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03"/>
  <workbookPr/>
  <mc:AlternateContent xmlns:mc="http://schemas.openxmlformats.org/markup-compatibility/2006">
    <mc:Choice Requires="x15">
      <x15ac:absPath xmlns:x15ac="http://schemas.microsoft.com/office/spreadsheetml/2010/11/ac" url="https://mlaus.sharepoint.com/sites/CRM/mcs_researchproposal/j14480 __ 4b7db6fe-1565-ea11-a811-000d3a79607c/Reports/Calculator Tool/"/>
    </mc:Choice>
  </mc:AlternateContent>
  <xr:revisionPtr revIDLastSave="0" documentId="8_{EE59F7B0-4374-4A2E-9E6E-63D93BE082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elcome" sheetId="52965" r:id="rId1"/>
    <sheet name="Guidelines" sheetId="52964" r:id="rId2"/>
    <sheet name="Calculator" sheetId="52963" r:id="rId3"/>
    <sheet name=" " sheetId="52966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52963" l="1"/>
  <c r="D76" i="52963"/>
  <c r="E76" i="52963"/>
  <c r="F76" i="52963"/>
  <c r="G76" i="52963"/>
  <c r="H76" i="52963"/>
  <c r="I76" i="52963"/>
  <c r="C77" i="52963"/>
  <c r="D77" i="52963"/>
  <c r="E77" i="52963"/>
  <c r="F77" i="52963"/>
  <c r="G77" i="52963"/>
  <c r="H77" i="52963"/>
  <c r="I77" i="52963"/>
  <c r="C78" i="52963"/>
  <c r="D78" i="52963"/>
  <c r="E78" i="52963"/>
  <c r="F78" i="52963"/>
  <c r="G78" i="52963"/>
  <c r="H78" i="52963"/>
  <c r="I78" i="52963"/>
  <c r="C79" i="52963"/>
  <c r="D79" i="52963"/>
  <c r="E79" i="52963"/>
  <c r="F79" i="52963"/>
  <c r="G79" i="52963"/>
  <c r="H79" i="52963"/>
  <c r="I79" i="52963"/>
  <c r="C80" i="52963"/>
  <c r="D80" i="52963"/>
  <c r="E80" i="52963"/>
  <c r="F80" i="52963"/>
  <c r="G80" i="52963"/>
  <c r="H80" i="52963"/>
  <c r="I80" i="52963"/>
  <c r="C81" i="52963"/>
  <c r="D81" i="52963"/>
  <c r="E81" i="52963"/>
  <c r="F81" i="52963"/>
  <c r="G81" i="52963"/>
  <c r="H81" i="52963"/>
  <c r="I81" i="52963"/>
  <c r="C82" i="52963"/>
  <c r="D82" i="52963"/>
  <c r="F82" i="52963"/>
  <c r="G82" i="52963"/>
  <c r="H82" i="52963"/>
  <c r="I82" i="52963"/>
  <c r="C83" i="52963"/>
  <c r="D83" i="52963"/>
  <c r="F83" i="52963"/>
  <c r="G83" i="52963"/>
  <c r="H83" i="52963"/>
  <c r="I83" i="52963"/>
  <c r="C84" i="52963"/>
  <c r="D84" i="52963"/>
  <c r="F84" i="52963"/>
  <c r="G84" i="52963"/>
  <c r="H84" i="52963"/>
  <c r="I84" i="52963"/>
  <c r="C85" i="52963"/>
  <c r="D85" i="52963"/>
  <c r="F85" i="52963"/>
  <c r="G85" i="52963"/>
  <c r="H85" i="52963"/>
  <c r="I85" i="52963"/>
  <c r="C86" i="52963"/>
  <c r="C87" i="52963"/>
  <c r="C89" i="52963"/>
  <c r="O6" i="52963" l="1"/>
  <c r="K6" i="52963"/>
  <c r="L6" i="52963" s="1"/>
  <c r="F8" i="52963" l="1"/>
  <c r="F9" i="52963"/>
  <c r="F10" i="52963"/>
  <c r="F11" i="52963"/>
  <c r="F7" i="52963"/>
  <c r="E8" i="52963"/>
  <c r="E9" i="52963"/>
  <c r="E10" i="52963"/>
  <c r="E11" i="52963"/>
  <c r="E7" i="52963"/>
  <c r="D11" i="52963"/>
  <c r="D10" i="52963"/>
  <c r="I10" i="52963" s="1"/>
  <c r="J10" i="52963" s="1"/>
  <c r="D9" i="52963"/>
  <c r="I9" i="52963" s="1"/>
  <c r="J9" i="52963" s="1"/>
  <c r="D8" i="52963"/>
  <c r="I8" i="52963" s="1"/>
  <c r="J8" i="52963" s="1"/>
  <c r="D7" i="52963"/>
  <c r="I7" i="52963" s="1"/>
  <c r="J7" i="52963" s="1"/>
  <c r="D6" i="52963"/>
  <c r="I6" i="52963" s="1"/>
  <c r="J6" i="52963" s="1"/>
  <c r="M77" i="52963" l="1"/>
  <c r="M78" i="52963"/>
  <c r="M80" i="52963"/>
  <c r="M81" i="52963"/>
  <c r="M76" i="52963"/>
  <c r="M79" i="52963"/>
  <c r="O77" i="52963"/>
  <c r="O83" i="52963"/>
  <c r="O80" i="52963"/>
  <c r="O81" i="52963"/>
  <c r="O78" i="52963"/>
  <c r="O76" i="52963"/>
  <c r="O79" i="52963"/>
  <c r="O85" i="52963"/>
  <c r="O82" i="52963"/>
  <c r="O84" i="52963"/>
  <c r="L78" i="52963"/>
  <c r="L77" i="52963"/>
  <c r="L83" i="52963"/>
  <c r="L85" i="52963"/>
  <c r="L80" i="52963"/>
  <c r="L79" i="52963"/>
  <c r="L81" i="52963"/>
  <c r="L76" i="52963"/>
  <c r="L84" i="52963"/>
  <c r="L82" i="52963"/>
  <c r="N77" i="52963"/>
  <c r="N78" i="52963"/>
  <c r="N80" i="52963"/>
  <c r="N84" i="52963"/>
  <c r="N83" i="52963"/>
  <c r="N79" i="52963"/>
  <c r="N81" i="52963"/>
  <c r="N82" i="52963"/>
  <c r="N76" i="52963"/>
  <c r="N85" i="52963"/>
  <c r="P77" i="52963"/>
  <c r="P83" i="52963"/>
  <c r="P84" i="52963"/>
  <c r="P80" i="52963"/>
  <c r="P81" i="52963"/>
  <c r="P78" i="52963"/>
  <c r="P79" i="52963"/>
  <c r="P85" i="52963"/>
  <c r="P76" i="52963"/>
  <c r="P82" i="52963"/>
  <c r="K9" i="52963"/>
  <c r="K10" i="52963"/>
  <c r="M6" i="52963"/>
  <c r="K7" i="52963"/>
  <c r="L7" i="52963" s="1"/>
  <c r="K11" i="52963"/>
  <c r="L11" i="52963" s="1"/>
  <c r="K8" i="52963"/>
  <c r="O7" i="52963"/>
  <c r="O11" i="52963"/>
  <c r="O10" i="52963"/>
  <c r="O9" i="52963"/>
  <c r="O8" i="52963"/>
  <c r="I11" i="52963"/>
  <c r="M10" i="52963" l="1"/>
  <c r="P10" i="52963" s="1"/>
  <c r="L10" i="52963"/>
  <c r="M9" i="52963"/>
  <c r="P9" i="52963" s="1"/>
  <c r="L9" i="52963"/>
  <c r="M8" i="52963"/>
  <c r="N8" i="52963" s="1"/>
  <c r="L8" i="52963"/>
  <c r="P6" i="52963"/>
  <c r="N6" i="52963"/>
  <c r="M7" i="52963"/>
  <c r="P7" i="52963" s="1"/>
  <c r="J11" i="52963"/>
  <c r="Q81" i="52963" l="1"/>
  <c r="Q84" i="52963"/>
  <c r="Q78" i="52963"/>
  <c r="Q82" i="52963"/>
  <c r="Q76" i="52963"/>
  <c r="Q83" i="52963"/>
  <c r="Q79" i="52963"/>
  <c r="Q80" i="52963"/>
  <c r="Q77" i="52963"/>
  <c r="Q85" i="52963"/>
  <c r="N10" i="52963"/>
  <c r="N9" i="52963"/>
  <c r="P8" i="52963"/>
  <c r="N7" i="52963"/>
  <c r="M11" i="52963"/>
  <c r="N11" i="52963" s="1"/>
  <c r="P11" i="52963" l="1"/>
</calcChain>
</file>

<file path=xl/sharedStrings.xml><?xml version="1.0" encoding="utf-8"?>
<sst xmlns="http://schemas.openxmlformats.org/spreadsheetml/2006/main" count="69" uniqueCount="39">
  <si>
    <t>Relative supplement cost - additional growth above unsupplemented goats</t>
  </si>
  <si>
    <t>ENTER DATA IN CELLS WITH RED FONT/YELLOW SHADING ONLY (DO NOT ENTER DATA IN BLUE SHADED CELLS)</t>
  </si>
  <si>
    <t>Supplement</t>
  </si>
  <si>
    <t>Cost of supplement</t>
  </si>
  <si>
    <t>DM Content</t>
  </si>
  <si>
    <t>Goat liveweight start</t>
  </si>
  <si>
    <t>Goat liveweight target</t>
  </si>
  <si>
    <t xml:space="preserve">Additional growth rate required (above unsupplemented) </t>
  </si>
  <si>
    <t>Maximum additional growth rate (above unsupplemented)</t>
  </si>
  <si>
    <t>Supplement intake required</t>
  </si>
  <si>
    <t>Number of days required to reach target liveweight</t>
  </si>
  <si>
    <t>Total supplement cost to reach target liveweight</t>
  </si>
  <si>
    <t>($/tonne delivered)</t>
  </si>
  <si>
    <t>(%)</t>
  </si>
  <si>
    <t>($/tonne DM)</t>
  </si>
  <si>
    <t>(kg)</t>
  </si>
  <si>
    <t>(g/day)</t>
  </si>
  <si>
    <t>(cent/kg DM)</t>
  </si>
  <si>
    <t>(cent/g DM)</t>
  </si>
  <si>
    <t>(g DM/day)</t>
  </si>
  <si>
    <t>(cent/day)</t>
  </si>
  <si>
    <t>($/kg additional LWG)</t>
  </si>
  <si>
    <t>($)</t>
  </si>
  <si>
    <t>Lucerne chaff</t>
  </si>
  <si>
    <t>Cottonseed meal</t>
  </si>
  <si>
    <t>Lucerne pellet</t>
  </si>
  <si>
    <t>Wheat (+ minerals)</t>
  </si>
  <si>
    <t>Sorghum (+ minerals)</t>
  </si>
  <si>
    <t>Pellet</t>
  </si>
  <si>
    <t>Must be equal to or lower than values in Column H</t>
  </si>
  <si>
    <t>Highlighted cells indicate target growth rate required or supplement intake is unlikely to be biologically possible or is outside the range tested in feeding studies</t>
  </si>
  <si>
    <t>Supplement intake</t>
  </si>
  <si>
    <t>Liveweight gain response (g/day)</t>
  </si>
  <si>
    <t>Cost (cent/day)</t>
  </si>
  <si>
    <t>g DM/kg LW.day</t>
  </si>
  <si>
    <t>Wheat</t>
  </si>
  <si>
    <t>Sorghum</t>
  </si>
  <si>
    <t>Linear</t>
  </si>
  <si>
    <t>Quadratic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</si>
</sst>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0"/>
      <name val="Arial"/>
    </font>
    <font>
      <b/>
      <sz val="24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17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20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73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Protection="1">
      <protection locked="0"/>
    </xf>
    <xf numFmtId="164" fontId="8" fillId="0" borderId="0" xfId="0" applyNumberFormat="1" applyFont="1" applyAlignment="1" applyProtection="1">
      <alignment horizontal="center"/>
      <protection locked="0"/>
    </xf>
    <xf numFmtId="0" fontId="5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1" fontId="8" fillId="2" borderId="0" xfId="0" applyNumberFormat="1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1" fontId="8" fillId="2" borderId="0" xfId="0" applyNumberFormat="1" applyFont="1" applyFill="1" applyAlignment="1" applyProtection="1">
      <alignment horizontal="center" vertical="center" wrapText="1"/>
      <protection hidden="1"/>
    </xf>
    <xf numFmtId="2" fontId="8" fillId="2" borderId="0" xfId="0" applyNumberFormat="1" applyFont="1" applyFill="1" applyAlignment="1" applyProtection="1">
      <alignment horizontal="center" wrapText="1"/>
      <protection hidden="1"/>
    </xf>
    <xf numFmtId="1" fontId="5" fillId="2" borderId="0" xfId="0" applyNumberFormat="1" applyFont="1" applyFill="1" applyAlignment="1" applyProtection="1">
      <alignment horizontal="center" vertical="center" wrapText="1"/>
      <protection hidden="1"/>
    </xf>
    <xf numFmtId="1" fontId="8" fillId="2" borderId="0" xfId="0" applyNumberFormat="1" applyFont="1" applyFill="1" applyAlignment="1" applyProtection="1">
      <alignment horizontal="center"/>
      <protection hidden="1"/>
    </xf>
    <xf numFmtId="164" fontId="8" fillId="2" borderId="0" xfId="0" applyNumberFormat="1" applyFont="1" applyFill="1" applyAlignment="1" applyProtection="1">
      <alignment horizontal="center"/>
      <protection hidden="1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/>
      <protection hidden="1"/>
    </xf>
    <xf numFmtId="164" fontId="15" fillId="0" borderId="0" xfId="0" applyNumberFormat="1" applyFont="1" applyAlignment="1" applyProtection="1">
      <alignment horizontal="center"/>
      <protection hidden="1"/>
    </xf>
    <xf numFmtId="1" fontId="15" fillId="0" borderId="0" xfId="0" applyNumberFormat="1" applyFont="1" applyAlignment="1" applyProtection="1">
      <alignment horizontal="center"/>
      <protection hidden="1"/>
    </xf>
    <xf numFmtId="1" fontId="15" fillId="0" borderId="0" xfId="0" applyNumberFormat="1" applyFont="1" applyAlignment="1" applyProtection="1">
      <alignment horizont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wrapText="1"/>
      <protection hidden="1"/>
    </xf>
    <xf numFmtId="0" fontId="17" fillId="0" borderId="0" xfId="0" applyFont="1" applyAlignment="1">
      <alignment horizontal="left" vertical="center" readingOrder="1"/>
    </xf>
    <xf numFmtId="0" fontId="13" fillId="4" borderId="0" xfId="0" applyFont="1" applyFill="1" applyAlignment="1" applyProtection="1">
      <alignment horizontal="left" vertical="center"/>
      <protection locked="0"/>
    </xf>
    <xf numFmtId="0" fontId="13" fillId="4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0" fillId="5" borderId="0" xfId="0" applyFill="1"/>
    <xf numFmtId="0" fontId="12" fillId="5" borderId="0" xfId="0" applyFont="1" applyFill="1" applyAlignment="1" applyProtection="1">
      <alignment horizontal="left" vertical="center"/>
      <protection locked="0"/>
    </xf>
    <xf numFmtId="0" fontId="12" fillId="5" borderId="0" xfId="0" applyFont="1" applyFill="1" applyAlignment="1" applyProtection="1">
      <alignment horizontal="center" vertical="center"/>
      <protection locked="0"/>
    </xf>
    <xf numFmtId="1" fontId="8" fillId="5" borderId="0" xfId="0" applyNumberFormat="1" applyFont="1" applyFill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vertical="center"/>
      <protection locked="0"/>
    </xf>
    <xf numFmtId="0" fontId="4" fillId="5" borderId="0" xfId="0" applyFont="1" applyFill="1" applyAlignment="1" applyProtection="1">
      <alignment horizontal="center" wrapText="1"/>
      <protection locked="0"/>
    </xf>
    <xf numFmtId="0" fontId="2" fillId="5" borderId="0" xfId="0" applyFont="1" applyFill="1" applyAlignment="1" applyProtection="1">
      <alignment horizontal="center" wrapText="1"/>
      <protection locked="0"/>
    </xf>
    <xf numFmtId="0" fontId="2" fillId="5" borderId="0" xfId="0" applyFont="1" applyFill="1" applyProtection="1">
      <protection locked="0"/>
    </xf>
    <xf numFmtId="0" fontId="8" fillId="5" borderId="0" xfId="0" applyFont="1" applyFill="1" applyAlignment="1" applyProtection="1">
      <alignment horizontal="center" wrapText="1"/>
      <protection locked="0"/>
    </xf>
    <xf numFmtId="0" fontId="8" fillId="5" borderId="0" xfId="0" applyFont="1" applyFill="1" applyProtection="1">
      <protection locked="0"/>
    </xf>
    <xf numFmtId="0" fontId="5" fillId="5" borderId="0" xfId="0" applyFont="1" applyFill="1" applyProtection="1">
      <protection locked="0"/>
    </xf>
    <xf numFmtId="0" fontId="6" fillId="5" borderId="0" xfId="0" applyFont="1" applyFill="1" applyProtection="1">
      <protection locked="0"/>
    </xf>
    <xf numFmtId="0" fontId="9" fillId="5" borderId="0" xfId="0" applyFont="1" applyFill="1" applyProtection="1">
      <protection locked="0"/>
    </xf>
    <xf numFmtId="0" fontId="11" fillId="5" borderId="0" xfId="0" applyFont="1" applyFill="1" applyProtection="1">
      <protection locked="0"/>
    </xf>
    <xf numFmtId="0" fontId="13" fillId="5" borderId="0" xfId="0" applyFon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 applyProtection="1">
      <alignment horizontal="center" wrapText="1"/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15" fillId="5" borderId="0" xfId="0" applyFont="1" applyFill="1" applyProtection="1">
      <protection locked="0"/>
    </xf>
    <xf numFmtId="0" fontId="15" fillId="5" borderId="0" xfId="0" applyFont="1" applyFill="1" applyProtection="1">
      <protection hidden="1"/>
    </xf>
    <xf numFmtId="0" fontId="16" fillId="5" borderId="0" xfId="0" applyFont="1" applyFill="1" applyAlignment="1" applyProtection="1">
      <alignment horizontal="center"/>
      <protection hidden="1"/>
    </xf>
    <xf numFmtId="0" fontId="15" fillId="5" borderId="0" xfId="0" applyFont="1" applyFill="1" applyAlignment="1" applyProtection="1">
      <alignment horizontal="center"/>
      <protection hidden="1"/>
    </xf>
    <xf numFmtId="164" fontId="15" fillId="5" borderId="0" xfId="0" applyNumberFormat="1" applyFont="1" applyFill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Alignment="1" applyProtection="1">
      <alignment horizontal="center" vertical="top" wrapText="1"/>
      <protection hidden="1"/>
    </xf>
    <xf numFmtId="0" fontId="10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21" fillId="5" borderId="0" xfId="0" applyFont="1" applyFill="1"/>
    <xf numFmtId="0" fontId="19" fillId="5" borderId="0" xfId="0" applyFont="1" applyFill="1"/>
    <xf numFmtId="0" fontId="20" fillId="5" borderId="0" xfId="1" applyFill="1"/>
    <xf numFmtId="0" fontId="18" fillId="5" borderId="0" xfId="0" applyFont="1" applyFill="1"/>
    <xf numFmtId="0" fontId="22" fillId="5" borderId="0" xfId="0" applyFont="1" applyFill="1"/>
    <xf numFmtId="0" fontId="16" fillId="0" borderId="0" xfId="0" applyFont="1" applyAlignment="1" applyProtection="1">
      <alignment horizontal="center"/>
      <protection hidden="1"/>
    </xf>
  </cellXfs>
  <cellStyles count="2">
    <cellStyle name="Hyperlink" xfId="1" builtinId="8"/>
    <cellStyle name="Normal" xfId="0" builtinId="0"/>
  </cellStyles>
  <dxfs count="17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  <color rgb="FFFFFF99"/>
      <color rgb="FFFFCCCC"/>
      <color rgb="FFCCE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01001336246326E-2"/>
          <c:y val="3.1079174447186657E-2"/>
          <c:w val="0.87069326057788687"/>
          <c:h val="0.8558346075457000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Calculator!$D$73</c:f>
              <c:strCache>
                <c:ptCount val="1"/>
                <c:pt idx="0">
                  <c:v>Lucerne chaff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Calculator!$D$76:$D$85</c:f>
              <c:numCache>
                <c:formatCode>0.0</c:formatCode>
                <c:ptCount val="10"/>
                <c:pt idx="0">
                  <c:v>0</c:v>
                </c:pt>
                <c:pt idx="1">
                  <c:v>5.7050000000000001</c:v>
                </c:pt>
                <c:pt idx="2">
                  <c:v>11.41</c:v>
                </c:pt>
                <c:pt idx="3">
                  <c:v>17.115000000000002</c:v>
                </c:pt>
                <c:pt idx="4">
                  <c:v>22.82</c:v>
                </c:pt>
                <c:pt idx="5">
                  <c:v>28.524999999999999</c:v>
                </c:pt>
                <c:pt idx="6">
                  <c:v>34.230000000000004</c:v>
                </c:pt>
                <c:pt idx="7">
                  <c:v>39.935000000000002</c:v>
                </c:pt>
                <c:pt idx="8">
                  <c:v>45.64</c:v>
                </c:pt>
                <c:pt idx="9">
                  <c:v>51.344999999999999</c:v>
                </c:pt>
              </c:numCache>
            </c:numRef>
          </c:xVal>
          <c:yVal>
            <c:numRef>
              <c:f>Calculator!$L$76:$L$85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315-42FB-A0C3-F438C34FD604}"/>
            </c:ext>
          </c:extLst>
        </c:ser>
        <c:ser>
          <c:idx val="3"/>
          <c:order val="1"/>
          <c:tx>
            <c:strRef>
              <c:f>Calculator!$E$73</c:f>
              <c:strCache>
                <c:ptCount val="1"/>
                <c:pt idx="0">
                  <c:v>Cottonseed meal</c:v>
                </c:pt>
              </c:strCache>
            </c:strRef>
          </c:tx>
          <c:spPr>
            <a:ln>
              <a:solidFill>
                <a:schemeClr val="tx2"/>
              </a:solidFill>
              <a:prstDash val="solid"/>
            </a:ln>
          </c:spPr>
          <c:marker>
            <c:symbol val="none"/>
          </c:marker>
          <c:xVal>
            <c:numRef>
              <c:f>Calculator!$E$76:$E$81</c:f>
              <c:numCache>
                <c:formatCode>0.0</c:formatCode>
                <c:ptCount val="6"/>
                <c:pt idx="0">
                  <c:v>0</c:v>
                </c:pt>
                <c:pt idx="1">
                  <c:v>17.521249999999998</c:v>
                </c:pt>
                <c:pt idx="2">
                  <c:v>31.88</c:v>
                </c:pt>
                <c:pt idx="3">
                  <c:v>43.076250000000002</c:v>
                </c:pt>
                <c:pt idx="4">
                  <c:v>51.11</c:v>
                </c:pt>
                <c:pt idx="5">
                  <c:v>55.981250000000003</c:v>
                </c:pt>
              </c:numCache>
            </c:numRef>
          </c:xVal>
          <c:yVal>
            <c:numRef>
              <c:f>Calculator!$M$76:$M$81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315-42FB-A0C3-F438C34FD604}"/>
            </c:ext>
          </c:extLst>
        </c:ser>
        <c:ser>
          <c:idx val="1"/>
          <c:order val="2"/>
          <c:tx>
            <c:strRef>
              <c:f>Calculator!$F$73</c:f>
              <c:strCache>
                <c:ptCount val="1"/>
                <c:pt idx="0">
                  <c:v>Lucerne pellet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Calculator!$F$76:$F$86</c:f>
              <c:numCache>
                <c:formatCode>0.0</c:formatCode>
                <c:ptCount val="11"/>
                <c:pt idx="0">
                  <c:v>0</c:v>
                </c:pt>
                <c:pt idx="1">
                  <c:v>6.78</c:v>
                </c:pt>
                <c:pt idx="2">
                  <c:v>13.56</c:v>
                </c:pt>
                <c:pt idx="3">
                  <c:v>20.34</c:v>
                </c:pt>
                <c:pt idx="4">
                  <c:v>27.12</c:v>
                </c:pt>
                <c:pt idx="5">
                  <c:v>33.900000000000006</c:v>
                </c:pt>
                <c:pt idx="6">
                  <c:v>40.68</c:v>
                </c:pt>
                <c:pt idx="7">
                  <c:v>47.46</c:v>
                </c:pt>
                <c:pt idx="8">
                  <c:v>54.24</c:v>
                </c:pt>
                <c:pt idx="9">
                  <c:v>61.02</c:v>
                </c:pt>
              </c:numCache>
            </c:numRef>
          </c:xVal>
          <c:yVal>
            <c:numRef>
              <c:f>Calculator!$N$76:$N$85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315-42FB-A0C3-F438C34FD604}"/>
            </c:ext>
          </c:extLst>
        </c:ser>
        <c:ser>
          <c:idx val="5"/>
          <c:order val="3"/>
          <c:tx>
            <c:strRef>
              <c:f>Calculator!$G$73</c:f>
              <c:strCache>
                <c:ptCount val="1"/>
                <c:pt idx="0">
                  <c:v>Wheat</c:v>
                </c:pt>
              </c:strCache>
            </c:strRef>
          </c:tx>
          <c:marker>
            <c:symbol val="none"/>
          </c:marker>
          <c:xVal>
            <c:numRef>
              <c:f>Calculator!$G$76:$G$86</c:f>
              <c:numCache>
                <c:formatCode>0.0</c:formatCode>
                <c:ptCount val="11"/>
                <c:pt idx="0">
                  <c:v>0</c:v>
                </c:pt>
                <c:pt idx="1">
                  <c:v>11.532500000000001</c:v>
                </c:pt>
                <c:pt idx="2">
                  <c:v>23.065000000000001</c:v>
                </c:pt>
                <c:pt idx="3">
                  <c:v>34.597500000000004</c:v>
                </c:pt>
                <c:pt idx="4">
                  <c:v>46.13</c:v>
                </c:pt>
                <c:pt idx="5">
                  <c:v>57.662500000000009</c:v>
                </c:pt>
                <c:pt idx="6">
                  <c:v>69.195000000000007</c:v>
                </c:pt>
                <c:pt idx="7">
                  <c:v>80.727500000000006</c:v>
                </c:pt>
                <c:pt idx="8">
                  <c:v>92.26</c:v>
                </c:pt>
                <c:pt idx="9">
                  <c:v>103.7925</c:v>
                </c:pt>
              </c:numCache>
            </c:numRef>
          </c:xVal>
          <c:yVal>
            <c:numRef>
              <c:f>Calculator!$O$76:$O$86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315-42FB-A0C3-F438C34FD604}"/>
            </c:ext>
          </c:extLst>
        </c:ser>
        <c:ser>
          <c:idx val="4"/>
          <c:order val="4"/>
          <c:tx>
            <c:strRef>
              <c:f>Calculator!$H$73</c:f>
              <c:strCache>
                <c:ptCount val="1"/>
                <c:pt idx="0">
                  <c:v>Sorghum</c:v>
                </c:pt>
              </c:strCache>
            </c:strRef>
          </c:tx>
          <c:marker>
            <c:symbol val="none"/>
          </c:marker>
          <c:xVal>
            <c:numRef>
              <c:f>Calculator!$H$76:$H$86</c:f>
              <c:numCache>
                <c:formatCode>0.0</c:formatCode>
                <c:ptCount val="11"/>
                <c:pt idx="0">
                  <c:v>0</c:v>
                </c:pt>
                <c:pt idx="1">
                  <c:v>9.1325000000000003</c:v>
                </c:pt>
                <c:pt idx="2">
                  <c:v>18.265000000000001</c:v>
                </c:pt>
                <c:pt idx="3">
                  <c:v>27.397500000000001</c:v>
                </c:pt>
                <c:pt idx="4">
                  <c:v>36.53</c:v>
                </c:pt>
                <c:pt idx="5">
                  <c:v>45.662500000000001</c:v>
                </c:pt>
                <c:pt idx="6">
                  <c:v>54.795000000000002</c:v>
                </c:pt>
                <c:pt idx="7">
                  <c:v>63.927500000000002</c:v>
                </c:pt>
                <c:pt idx="8">
                  <c:v>73.06</c:v>
                </c:pt>
                <c:pt idx="9">
                  <c:v>82.192499999999995</c:v>
                </c:pt>
              </c:numCache>
            </c:numRef>
          </c:xVal>
          <c:yVal>
            <c:numRef>
              <c:f>Calculator!$P$76:$P$86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315-42FB-A0C3-F438C34FD604}"/>
            </c:ext>
          </c:extLst>
        </c:ser>
        <c:ser>
          <c:idx val="2"/>
          <c:order val="5"/>
          <c:tx>
            <c:strRef>
              <c:f>Calculator!$I$73</c:f>
              <c:strCache>
                <c:ptCount val="1"/>
                <c:pt idx="0">
                  <c:v>Pellet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Calculator!$I$76:$I$86</c:f>
              <c:numCache>
                <c:formatCode>0.0</c:formatCode>
                <c:ptCount val="11"/>
                <c:pt idx="0">
                  <c:v>0</c:v>
                </c:pt>
                <c:pt idx="1">
                  <c:v>18.157499999999999</c:v>
                </c:pt>
                <c:pt idx="2">
                  <c:v>36.314999999999998</c:v>
                </c:pt>
                <c:pt idx="3">
                  <c:v>54.472499999999997</c:v>
                </c:pt>
                <c:pt idx="4">
                  <c:v>72.63</c:v>
                </c:pt>
                <c:pt idx="5">
                  <c:v>90.787499999999994</c:v>
                </c:pt>
                <c:pt idx="6">
                  <c:v>108.94499999999999</c:v>
                </c:pt>
                <c:pt idx="7">
                  <c:v>127.10249999999999</c:v>
                </c:pt>
                <c:pt idx="8">
                  <c:v>145.26</c:v>
                </c:pt>
                <c:pt idx="9">
                  <c:v>163.41749999999999</c:v>
                </c:pt>
              </c:numCache>
            </c:numRef>
          </c:xVal>
          <c:yVal>
            <c:numRef>
              <c:f>Calculator!$Q$76:$Q$86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6-A315-42FB-A0C3-F438C34F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84288"/>
        <c:axId val="144302848"/>
        <c:extLst>
          <c:ext xmlns:c15="http://schemas.microsoft.com/office/drawing/2012/chart" uri="{02D57815-91ED-43cb-92C2-25804820EDAC}">
            <c15:filteredScatte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Calculator!$J$73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>
                    <a:solidFill>
                      <a:srgbClr val="92D050"/>
                    </a:solidFill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Calculator!$J$76:$J$89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Calculator!$R$76:$R$89</c15:sqref>
                        </c15:formulaRef>
                      </c:ext>
                    </c:extLst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5-A315-42FB-A0C3-F438C34FD604}"/>
                  </c:ext>
                </c:extLst>
              </c15:ser>
            </c15:filteredScatterSeries>
          </c:ext>
        </c:extLst>
      </c:scatterChart>
      <c:valAx>
        <c:axId val="144284288"/>
        <c:scaling>
          <c:orientation val="minMax"/>
          <c:max val="20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Growth rate above unsupplemented goats  (g/day)</a:t>
                </a:r>
              </a:p>
            </c:rich>
          </c:tx>
          <c:layout>
            <c:manualLayout>
              <c:xMode val="edge"/>
              <c:yMode val="edge"/>
              <c:x val="0.23709859921314197"/>
              <c:y val="0.945482020942616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302848"/>
        <c:crosses val="autoZero"/>
        <c:crossBetween val="midCat"/>
      </c:valAx>
      <c:valAx>
        <c:axId val="144302848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Cost (c/goat.day)</a:t>
                </a:r>
              </a:p>
            </c:rich>
          </c:tx>
          <c:layout>
            <c:manualLayout>
              <c:xMode val="edge"/>
              <c:yMode val="edge"/>
              <c:x val="1.9341763098107537E-2"/>
              <c:y val="0.412251389119484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284288"/>
        <c:crossesAt val="-50"/>
        <c:crossBetween val="midCat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430291449125901E-2"/>
          <c:y val="3.5297392564569249E-2"/>
          <c:w val="0.46442114148609637"/>
          <c:h val="0.1640308948621181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62930632885893"/>
          <c:y val="3.1079174447186657E-2"/>
          <c:w val="0.86026495558527427"/>
          <c:h val="0.8558346075457000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Calculator!$D$73</c:f>
              <c:strCache>
                <c:ptCount val="1"/>
                <c:pt idx="0">
                  <c:v>Lucerne chaff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Calculator!$C$76:$C$89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xVal>
          <c:yVal>
            <c:numRef>
              <c:f>Calculator!$D$76:$D$89</c:f>
              <c:numCache>
                <c:formatCode>0.0</c:formatCode>
                <c:ptCount val="14"/>
                <c:pt idx="0">
                  <c:v>0</c:v>
                </c:pt>
                <c:pt idx="1">
                  <c:v>5.7050000000000001</c:v>
                </c:pt>
                <c:pt idx="2">
                  <c:v>11.41</c:v>
                </c:pt>
                <c:pt idx="3">
                  <c:v>17.115000000000002</c:v>
                </c:pt>
                <c:pt idx="4">
                  <c:v>22.82</c:v>
                </c:pt>
                <c:pt idx="5">
                  <c:v>28.524999999999999</c:v>
                </c:pt>
                <c:pt idx="6">
                  <c:v>34.230000000000004</c:v>
                </c:pt>
                <c:pt idx="7">
                  <c:v>39.935000000000002</c:v>
                </c:pt>
                <c:pt idx="8">
                  <c:v>45.64</c:v>
                </c:pt>
                <c:pt idx="9">
                  <c:v>51.344999999999999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9E-43F1-BD3A-25E8BC95D760}"/>
            </c:ext>
          </c:extLst>
        </c:ser>
        <c:ser>
          <c:idx val="3"/>
          <c:order val="1"/>
          <c:tx>
            <c:strRef>
              <c:f>Calculator!$E$73</c:f>
              <c:strCache>
                <c:ptCount val="1"/>
                <c:pt idx="0">
                  <c:v>Cottonseed meal</c:v>
                </c:pt>
              </c:strCache>
            </c:strRef>
          </c:tx>
          <c:spPr>
            <a:ln>
              <a:solidFill>
                <a:schemeClr val="tx2"/>
              </a:solidFill>
              <a:prstDash val="solid"/>
            </a:ln>
          </c:spPr>
          <c:marker>
            <c:symbol val="none"/>
          </c:marker>
          <c:xVal>
            <c:numRef>
              <c:f>Calculator!$C$76:$C$89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xVal>
          <c:yVal>
            <c:numRef>
              <c:f>Calculator!$E$76:$E$89</c:f>
              <c:numCache>
                <c:formatCode>0.0</c:formatCode>
                <c:ptCount val="14"/>
                <c:pt idx="0">
                  <c:v>0</c:v>
                </c:pt>
                <c:pt idx="1">
                  <c:v>17.521249999999998</c:v>
                </c:pt>
                <c:pt idx="2">
                  <c:v>31.88</c:v>
                </c:pt>
                <c:pt idx="3">
                  <c:v>43.076250000000002</c:v>
                </c:pt>
                <c:pt idx="4">
                  <c:v>51.11</c:v>
                </c:pt>
                <c:pt idx="5">
                  <c:v>55.981250000000003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C9E-43F1-BD3A-25E8BC95D760}"/>
            </c:ext>
          </c:extLst>
        </c:ser>
        <c:ser>
          <c:idx val="1"/>
          <c:order val="2"/>
          <c:tx>
            <c:strRef>
              <c:f>Calculator!$F$73</c:f>
              <c:strCache>
                <c:ptCount val="1"/>
                <c:pt idx="0">
                  <c:v>Lucerne pellet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Calculator!$C$76:$C$89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xVal>
          <c:yVal>
            <c:numRef>
              <c:f>Calculator!$F$76:$F$89</c:f>
              <c:numCache>
                <c:formatCode>0.0</c:formatCode>
                <c:ptCount val="14"/>
                <c:pt idx="0">
                  <c:v>0</c:v>
                </c:pt>
                <c:pt idx="1">
                  <c:v>6.78</c:v>
                </c:pt>
                <c:pt idx="2">
                  <c:v>13.56</c:v>
                </c:pt>
                <c:pt idx="3">
                  <c:v>20.34</c:v>
                </c:pt>
                <c:pt idx="4">
                  <c:v>27.12</c:v>
                </c:pt>
                <c:pt idx="5">
                  <c:v>33.900000000000006</c:v>
                </c:pt>
                <c:pt idx="6">
                  <c:v>40.68</c:v>
                </c:pt>
                <c:pt idx="7">
                  <c:v>47.46</c:v>
                </c:pt>
                <c:pt idx="8">
                  <c:v>54.24</c:v>
                </c:pt>
                <c:pt idx="9">
                  <c:v>61.02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C9E-43F1-BD3A-25E8BC95D760}"/>
            </c:ext>
          </c:extLst>
        </c:ser>
        <c:ser>
          <c:idx val="5"/>
          <c:order val="3"/>
          <c:tx>
            <c:strRef>
              <c:f>Calculator!$G$73</c:f>
              <c:strCache>
                <c:ptCount val="1"/>
                <c:pt idx="0">
                  <c:v>Wheat</c:v>
                </c:pt>
              </c:strCache>
            </c:strRef>
          </c:tx>
          <c:marker>
            <c:symbol val="none"/>
          </c:marker>
          <c:xVal>
            <c:numRef>
              <c:f>Calculator!$C$76:$C$89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xVal>
          <c:yVal>
            <c:numRef>
              <c:f>Calculator!$G$76:$G$89</c:f>
              <c:numCache>
                <c:formatCode>0.0</c:formatCode>
                <c:ptCount val="14"/>
                <c:pt idx="0">
                  <c:v>0</c:v>
                </c:pt>
                <c:pt idx="1">
                  <c:v>11.532500000000001</c:v>
                </c:pt>
                <c:pt idx="2">
                  <c:v>23.065000000000001</c:v>
                </c:pt>
                <c:pt idx="3">
                  <c:v>34.597500000000004</c:v>
                </c:pt>
                <c:pt idx="4">
                  <c:v>46.13</c:v>
                </c:pt>
                <c:pt idx="5">
                  <c:v>57.662500000000009</c:v>
                </c:pt>
                <c:pt idx="6">
                  <c:v>69.195000000000007</c:v>
                </c:pt>
                <c:pt idx="7">
                  <c:v>80.727500000000006</c:v>
                </c:pt>
                <c:pt idx="8">
                  <c:v>92.26</c:v>
                </c:pt>
                <c:pt idx="9">
                  <c:v>103.7925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C9E-43F1-BD3A-25E8BC95D760}"/>
            </c:ext>
          </c:extLst>
        </c:ser>
        <c:ser>
          <c:idx val="4"/>
          <c:order val="4"/>
          <c:tx>
            <c:strRef>
              <c:f>Calculator!$H$73</c:f>
              <c:strCache>
                <c:ptCount val="1"/>
                <c:pt idx="0">
                  <c:v>Sorghum</c:v>
                </c:pt>
              </c:strCache>
            </c:strRef>
          </c:tx>
          <c:marker>
            <c:symbol val="none"/>
          </c:marker>
          <c:xVal>
            <c:numRef>
              <c:f>Calculator!$C$76:$C$89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xVal>
          <c:yVal>
            <c:numRef>
              <c:f>Calculator!$H$76:$H$89</c:f>
              <c:numCache>
                <c:formatCode>0.0</c:formatCode>
                <c:ptCount val="14"/>
                <c:pt idx="0">
                  <c:v>0</c:v>
                </c:pt>
                <c:pt idx="1">
                  <c:v>9.1325000000000003</c:v>
                </c:pt>
                <c:pt idx="2">
                  <c:v>18.265000000000001</c:v>
                </c:pt>
                <c:pt idx="3">
                  <c:v>27.397500000000001</c:v>
                </c:pt>
                <c:pt idx="4">
                  <c:v>36.53</c:v>
                </c:pt>
                <c:pt idx="5">
                  <c:v>45.662500000000001</c:v>
                </c:pt>
                <c:pt idx="6">
                  <c:v>54.795000000000002</c:v>
                </c:pt>
                <c:pt idx="7">
                  <c:v>63.927500000000002</c:v>
                </c:pt>
                <c:pt idx="8">
                  <c:v>73.06</c:v>
                </c:pt>
                <c:pt idx="9">
                  <c:v>82.192499999999995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C9E-43F1-BD3A-25E8BC95D760}"/>
            </c:ext>
          </c:extLst>
        </c:ser>
        <c:ser>
          <c:idx val="2"/>
          <c:order val="5"/>
          <c:tx>
            <c:strRef>
              <c:f>Calculator!$I$73</c:f>
              <c:strCache>
                <c:ptCount val="1"/>
                <c:pt idx="0">
                  <c:v>Pellet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Calculator!$C$76:$C$89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xVal>
          <c:yVal>
            <c:numRef>
              <c:f>Calculator!$I$76:$I$89</c:f>
              <c:numCache>
                <c:formatCode>0.0</c:formatCode>
                <c:ptCount val="14"/>
                <c:pt idx="0">
                  <c:v>0</c:v>
                </c:pt>
                <c:pt idx="1">
                  <c:v>18.157499999999999</c:v>
                </c:pt>
                <c:pt idx="2">
                  <c:v>36.314999999999998</c:v>
                </c:pt>
                <c:pt idx="3">
                  <c:v>54.472499999999997</c:v>
                </c:pt>
                <c:pt idx="4">
                  <c:v>72.63</c:v>
                </c:pt>
                <c:pt idx="5">
                  <c:v>90.787499999999994</c:v>
                </c:pt>
                <c:pt idx="6">
                  <c:v>108.94499999999999</c:v>
                </c:pt>
                <c:pt idx="7">
                  <c:v>127.10249999999999</c:v>
                </c:pt>
                <c:pt idx="8">
                  <c:v>145.26</c:v>
                </c:pt>
                <c:pt idx="9">
                  <c:v>163.41749999999999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5-BC9E-43F1-BD3A-25E8BC95D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84288"/>
        <c:axId val="144302848"/>
        <c:extLst>
          <c:ext xmlns:c15="http://schemas.microsoft.com/office/drawing/2012/chart" uri="{02D57815-91ED-43cb-92C2-25804820EDAC}">
            <c15:filteredScatte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Calculator!$J$73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>
                    <a:noFill/>
                  </a:ln>
                </c:spPr>
                <c:marker>
                  <c:symbol val="circle"/>
                  <c:size val="5"/>
                  <c:spPr>
                    <a:solidFill>
                      <a:srgbClr val="00B050"/>
                    </a:solidFill>
                    <a:ln>
                      <a:solidFill>
                        <a:srgbClr val="00B050"/>
                      </a:solidFill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Calculator!$C$76:$C$89</c15:sqref>
                        </c15:formulaRef>
                      </c:ext>
                    </c:extLst>
                    <c:numCache>
                      <c:formatCode>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Calculator!$J$76:$J$89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6-BC9E-43F1-BD3A-25E8BC95D760}"/>
                  </c:ext>
                </c:extLst>
              </c15:ser>
            </c15:filteredScatterSeries>
          </c:ext>
        </c:extLst>
      </c:scatterChart>
      <c:valAx>
        <c:axId val="144284288"/>
        <c:scaling>
          <c:orientation val="minMax"/>
          <c:max val="50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Supplement intake (g</a:t>
                </a:r>
                <a:r>
                  <a:rPr lang="en-AU" baseline="0"/>
                  <a:t> DM</a:t>
                </a:r>
                <a:r>
                  <a:rPr lang="en-AU"/>
                  <a:t>/day)</a:t>
                </a:r>
              </a:p>
            </c:rich>
          </c:tx>
          <c:layout>
            <c:manualLayout>
              <c:xMode val="edge"/>
              <c:yMode val="edge"/>
              <c:x val="0.39004701769098016"/>
              <c:y val="0.9405249114444229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302848"/>
        <c:crosses val="autoZero"/>
        <c:crossBetween val="midCat"/>
      </c:valAx>
      <c:valAx>
        <c:axId val="144302848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Growth rate above unsupplemented (g/day)</a:t>
                </a:r>
              </a:p>
            </c:rich>
          </c:tx>
          <c:layout>
            <c:manualLayout>
              <c:xMode val="edge"/>
              <c:yMode val="edge"/>
              <c:x val="1.0651514512861303E-2"/>
              <c:y val="0.112160917862271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284288"/>
        <c:crossesAt val="-50"/>
        <c:crossBetween val="midCat"/>
        <c:majorUnit val="2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503861245588472"/>
          <c:y val="4.5634472886065418E-2"/>
          <c:w val="0.46442114148609637"/>
          <c:h val="0.1640308948621181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mla.com.au/research-and-development/reports/2022/response-of-rangeland-goats-to-supplements-and-development-of-a-least-cost-supplement-calculator/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10</xdr:row>
      <xdr:rowOff>112712</xdr:rowOff>
    </xdr:from>
    <xdr:to>
      <xdr:col>11</xdr:col>
      <xdr:colOff>358457</xdr:colOff>
      <xdr:row>48</xdr:row>
      <xdr:rowOff>155159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44CBA6-427D-48E6-A362-23F1FE03A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789112"/>
          <a:ext cx="6980237" cy="6435627"/>
        </a:xfrm>
        <a:prstGeom prst="rect">
          <a:avLst/>
        </a:prstGeom>
      </xdr:spPr>
    </xdr:pic>
    <xdr:clientData/>
  </xdr:twoCellAnchor>
  <xdr:twoCellAnchor editAs="oneCell">
    <xdr:from>
      <xdr:col>3</xdr:col>
      <xdr:colOff>532525</xdr:colOff>
      <xdr:row>50</xdr:row>
      <xdr:rowOff>80828</xdr:rowOff>
    </xdr:from>
    <xdr:to>
      <xdr:col>7</xdr:col>
      <xdr:colOff>126287</xdr:colOff>
      <xdr:row>52</xdr:row>
      <xdr:rowOff>63449</xdr:rowOff>
    </xdr:to>
    <xdr:pic>
      <xdr:nvPicPr>
        <xdr:cNvPr id="8" name="Pictur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66CCF87-58C3-4839-8BB3-2A125E38E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1825" y="8373928"/>
          <a:ext cx="2286162" cy="312821"/>
        </a:xfrm>
        <a:prstGeom prst="rect">
          <a:avLst/>
        </a:prstGeom>
      </xdr:spPr>
    </xdr:pic>
    <xdr:clientData/>
  </xdr:twoCellAnchor>
  <xdr:twoCellAnchor editAs="oneCell">
    <xdr:from>
      <xdr:col>0</xdr:col>
      <xdr:colOff>73026</xdr:colOff>
      <xdr:row>1</xdr:row>
      <xdr:rowOff>139700</xdr:rowOff>
    </xdr:from>
    <xdr:to>
      <xdr:col>2</xdr:col>
      <xdr:colOff>292100</xdr:colOff>
      <xdr:row>10</xdr:row>
      <xdr:rowOff>37190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CDD374-1F2B-4610-8084-2FE8D2C3C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6" y="304800"/>
          <a:ext cx="1565274" cy="1383390"/>
        </a:xfrm>
        <a:prstGeom prst="rect">
          <a:avLst/>
        </a:prstGeom>
      </xdr:spPr>
    </xdr:pic>
    <xdr:clientData/>
  </xdr:twoCellAnchor>
  <xdr:twoCellAnchor editAs="oneCell">
    <xdr:from>
      <xdr:col>7</xdr:col>
      <xdr:colOff>596900</xdr:colOff>
      <xdr:row>3</xdr:row>
      <xdr:rowOff>131272</xdr:rowOff>
    </xdr:from>
    <xdr:to>
      <xdr:col>10</xdr:col>
      <xdr:colOff>457200</xdr:colOff>
      <xdr:row>9</xdr:row>
      <xdr:rowOff>5620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065E05-E247-0915-4AD3-C97C3287F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08600" y="626572"/>
          <a:ext cx="1879600" cy="864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101600</xdr:rowOff>
    </xdr:from>
    <xdr:to>
      <xdr:col>1</xdr:col>
      <xdr:colOff>11865428</xdr:colOff>
      <xdr:row>53</xdr:row>
      <xdr:rowOff>76378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B7E75A-E0E8-4413-AC8C-D88B3D4B6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0"/>
          <a:ext cx="12507685" cy="10359749"/>
        </a:xfrm>
        <a:prstGeom prst="rect">
          <a:avLst/>
        </a:prstGeom>
      </xdr:spPr>
    </xdr:pic>
    <xdr:clientData/>
  </xdr:twoCellAnchor>
  <xdr:twoCellAnchor editAs="oneCell">
    <xdr:from>
      <xdr:col>0</xdr:col>
      <xdr:colOff>36285</xdr:colOff>
      <xdr:row>53</xdr:row>
      <xdr:rowOff>9069</xdr:rowOff>
    </xdr:from>
    <xdr:to>
      <xdr:col>1</xdr:col>
      <xdr:colOff>11847285</xdr:colOff>
      <xdr:row>90</xdr:row>
      <xdr:rowOff>149931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CAA8004-8655-4A1D-9B92-DF0326A7F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5" y="10586355"/>
          <a:ext cx="12518571" cy="75250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6</xdr:col>
      <xdr:colOff>40822</xdr:colOff>
      <xdr:row>40</xdr:row>
      <xdr:rowOff>102870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16</xdr:row>
      <xdr:rowOff>0</xdr:rowOff>
    </xdr:from>
    <xdr:to>
      <xdr:col>13</xdr:col>
      <xdr:colOff>122465</xdr:colOff>
      <xdr:row>40</xdr:row>
      <xdr:rowOff>102870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1E23A-A523-468F-ABA2-08D0FE4C6E70}">
  <dimension ref="B3:H43"/>
  <sheetViews>
    <sheetView tabSelected="1" topLeftCell="A31" zoomScaleNormal="100" workbookViewId="0">
      <selection activeCell="D50" sqref="D50"/>
    </sheetView>
  </sheetViews>
  <sheetFormatPr defaultColWidth="8.85546875" defaultRowHeight="13.15"/>
  <cols>
    <col min="1" max="16384" width="8.85546875" style="37"/>
  </cols>
  <sheetData>
    <row r="3" spans="2:8">
      <c r="B3" s="67"/>
      <c r="G3" s="67"/>
      <c r="H3" s="68"/>
    </row>
    <row r="32" spans="5:5" ht="13.9">
      <c r="E32" s="71"/>
    </row>
    <row r="39" spans="5:5" ht="14.45">
      <c r="E39" s="70"/>
    </row>
    <row r="43" spans="5:5">
      <c r="E43" s="69"/>
    </row>
  </sheetData>
  <sheetProtection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Ruler="0" topLeftCell="A64" zoomScale="70" zoomScaleNormal="70" workbookViewId="0">
      <selection activeCell="B24" sqref="B24"/>
    </sheetView>
  </sheetViews>
  <sheetFormatPr defaultColWidth="9.28515625" defaultRowHeight="15.6"/>
  <cols>
    <col min="1" max="1" width="9.28515625" style="2"/>
    <col min="2" max="2" width="255.7109375" style="1" bestFit="1" customWidth="1"/>
    <col min="3" max="16384" width="9.28515625" style="1"/>
  </cols>
  <sheetData>
    <row r="1" spans="1:1">
      <c r="A1" s="33"/>
    </row>
  </sheetData>
  <sheetProtection selectLockedCells="1" selectUnlockedCell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95"/>
  <sheetViews>
    <sheetView zoomScale="70" zoomScaleNormal="70" workbookViewId="0">
      <selection activeCell="B6" sqref="B6"/>
    </sheetView>
  </sheetViews>
  <sheetFormatPr defaultColWidth="0" defaultRowHeight="15.6"/>
  <cols>
    <col min="1" max="1" width="22" style="4" customWidth="1"/>
    <col min="2" max="2" width="21.28515625" style="4" customWidth="1"/>
    <col min="3" max="3" width="13.7109375" style="4" customWidth="1"/>
    <col min="4" max="4" width="14.42578125" style="4" bestFit="1" customWidth="1"/>
    <col min="5" max="5" width="19.42578125" style="4" customWidth="1"/>
    <col min="6" max="6" width="17.7109375" style="4" customWidth="1"/>
    <col min="7" max="7" width="33.7109375" style="4" customWidth="1"/>
    <col min="8" max="8" width="32.7109375" style="4" customWidth="1"/>
    <col min="9" max="9" width="18.42578125" style="4" customWidth="1"/>
    <col min="10" max="10" width="15.28515625" style="5" customWidth="1"/>
    <col min="11" max="11" width="17.28515625" style="6" customWidth="1"/>
    <col min="12" max="12" width="15.7109375" style="6" bestFit="1" customWidth="1"/>
    <col min="13" max="13" width="17.140625" style="6" bestFit="1" customWidth="1"/>
    <col min="14" max="14" width="21.85546875" style="7" bestFit="1" customWidth="1"/>
    <col min="15" max="15" width="25.28515625" style="7" bestFit="1" customWidth="1"/>
    <col min="16" max="16" width="24.7109375" style="7" bestFit="1" customWidth="1"/>
    <col min="17" max="17" width="8.28515625" style="48" bestFit="1" customWidth="1"/>
    <col min="18" max="21" width="16.7109375" style="7" hidden="1" customWidth="1"/>
    <col min="22" max="22" width="8.7109375" style="7" hidden="1" customWidth="1"/>
    <col min="23" max="23" width="13.42578125" style="7" hidden="1" customWidth="1"/>
    <col min="24" max="24" width="17.28515625" style="7" hidden="1" customWidth="1"/>
    <col min="25" max="25" width="14.28515625" style="7" hidden="1" customWidth="1"/>
    <col min="26" max="26" width="7.42578125" style="7" hidden="1" customWidth="1"/>
    <col min="27" max="27" width="9.7109375" style="7" hidden="1" customWidth="1"/>
    <col min="28" max="28" width="10.28515625" style="7" hidden="1" customWidth="1"/>
    <col min="29" max="29" width="12.42578125" style="7" hidden="1" customWidth="1"/>
    <col min="30" max="30" width="17.28515625" style="4" hidden="1" customWidth="1"/>
    <col min="31" max="16384" width="8.7109375" style="4" hidden="1"/>
  </cols>
  <sheetData>
    <row r="1" spans="1:30" ht="31.15">
      <c r="A1" s="52" t="s">
        <v>0</v>
      </c>
      <c r="B1" s="46"/>
      <c r="C1" s="46"/>
      <c r="D1" s="46"/>
      <c r="E1" s="46"/>
      <c r="F1" s="46"/>
      <c r="G1" s="46"/>
      <c r="H1" s="46"/>
      <c r="I1" s="46"/>
      <c r="J1" s="45"/>
      <c r="K1" s="47"/>
      <c r="L1" s="47"/>
      <c r="M1" s="47"/>
      <c r="N1" s="48"/>
      <c r="O1" s="48"/>
      <c r="P1" s="48"/>
    </row>
    <row r="2" spans="1:30" ht="18" customHeight="1">
      <c r="A2" s="53" t="s">
        <v>1</v>
      </c>
      <c r="B2" s="54"/>
      <c r="C2" s="46"/>
      <c r="D2" s="46"/>
      <c r="E2" s="46"/>
      <c r="F2" s="46"/>
      <c r="G2" s="46"/>
      <c r="H2" s="46"/>
      <c r="I2" s="46"/>
      <c r="J2" s="55"/>
      <c r="K2" s="47"/>
      <c r="L2" s="47"/>
      <c r="M2" s="47"/>
      <c r="N2" s="48"/>
      <c r="O2" s="48"/>
      <c r="P2" s="48"/>
    </row>
    <row r="3" spans="1:30">
      <c r="A3" s="49"/>
      <c r="B3" s="54"/>
      <c r="C3" s="56"/>
      <c r="D3" s="56"/>
      <c r="E3" s="56"/>
      <c r="F3" s="56"/>
      <c r="G3" s="56"/>
      <c r="H3" s="56"/>
      <c r="I3" s="56"/>
      <c r="J3" s="44"/>
      <c r="K3" s="47"/>
      <c r="L3" s="47"/>
      <c r="M3" s="47"/>
      <c r="N3" s="48"/>
      <c r="O3" s="48"/>
      <c r="P3" s="48"/>
    </row>
    <row r="4" spans="1:30" ht="46.5" customHeight="1">
      <c r="A4" s="62" t="s">
        <v>2</v>
      </c>
      <c r="B4" s="63" t="s">
        <v>3</v>
      </c>
      <c r="C4" s="63" t="s">
        <v>4</v>
      </c>
      <c r="D4" s="63" t="s">
        <v>3</v>
      </c>
      <c r="E4" s="63" t="s">
        <v>5</v>
      </c>
      <c r="F4" s="63" t="s">
        <v>6</v>
      </c>
      <c r="G4" s="63" t="s">
        <v>7</v>
      </c>
      <c r="H4" s="63" t="s">
        <v>8</v>
      </c>
      <c r="I4" s="63" t="s">
        <v>3</v>
      </c>
      <c r="J4" s="63" t="s">
        <v>3</v>
      </c>
      <c r="K4" s="63" t="s">
        <v>9</v>
      </c>
      <c r="L4" s="63" t="s">
        <v>9</v>
      </c>
      <c r="M4" s="63" t="s">
        <v>3</v>
      </c>
      <c r="N4" s="63" t="s">
        <v>3</v>
      </c>
      <c r="O4" s="63" t="s">
        <v>10</v>
      </c>
      <c r="P4" s="63" t="s">
        <v>11</v>
      </c>
      <c r="Q4" s="46"/>
      <c r="AD4" s="8"/>
    </row>
    <row r="5" spans="1:30" ht="24.75" customHeight="1">
      <c r="A5" s="64"/>
      <c r="B5" s="65" t="s">
        <v>12</v>
      </c>
      <c r="C5" s="65" t="s">
        <v>13</v>
      </c>
      <c r="D5" s="65" t="s">
        <v>14</v>
      </c>
      <c r="E5" s="65" t="s">
        <v>15</v>
      </c>
      <c r="F5" s="65" t="s">
        <v>15</v>
      </c>
      <c r="G5" s="65" t="s">
        <v>16</v>
      </c>
      <c r="H5" s="65" t="s">
        <v>16</v>
      </c>
      <c r="I5" s="65" t="s">
        <v>17</v>
      </c>
      <c r="J5" s="65" t="s">
        <v>18</v>
      </c>
      <c r="K5" s="65" t="s">
        <v>19</v>
      </c>
      <c r="L5" s="65" t="s">
        <v>16</v>
      </c>
      <c r="M5" s="65" t="s">
        <v>20</v>
      </c>
      <c r="N5" s="65" t="s">
        <v>21</v>
      </c>
      <c r="O5" s="66"/>
      <c r="P5" s="65" t="s">
        <v>22</v>
      </c>
      <c r="Q5" s="46"/>
      <c r="AD5" s="8"/>
    </row>
    <row r="6" spans="1:30" ht="19.5" customHeight="1">
      <c r="A6" s="34" t="s">
        <v>23</v>
      </c>
      <c r="B6" s="35"/>
      <c r="C6" s="35"/>
      <c r="D6" s="12" t="e">
        <f>B6*(100/C6)</f>
        <v>#DIV/0!</v>
      </c>
      <c r="E6" s="35"/>
      <c r="F6" s="35"/>
      <c r="G6" s="35"/>
      <c r="H6" s="3">
        <v>51</v>
      </c>
      <c r="I6" s="14" t="e">
        <f t="shared" ref="I6:I11" si="0">D6/10</f>
        <v>#DIV/0!</v>
      </c>
      <c r="J6" s="15" t="e">
        <f>I6/1000</f>
        <v>#DIV/0!</v>
      </c>
      <c r="K6" s="14">
        <f>(($G$6)/2.282)*(($E$6+$F$6)/2)</f>
        <v>0</v>
      </c>
      <c r="L6" s="16" t="e">
        <f>MROUND(K6*(100/$C6), 10)</f>
        <v>#DIV/0!</v>
      </c>
      <c r="M6" s="17" t="e">
        <f>J6*K6</f>
        <v>#DIV/0!</v>
      </c>
      <c r="N6" s="18" t="e">
        <f>(1000/G6*M6)/100</f>
        <v>#DIV/0!</v>
      </c>
      <c r="O6" s="17" t="e">
        <f t="shared" ref="O6:O11" si="1">($F6-$E6)/($G6/1000)</f>
        <v>#DIV/0!</v>
      </c>
      <c r="P6" s="17" t="e">
        <f>(M6*O6)/100</f>
        <v>#DIV/0!</v>
      </c>
      <c r="Q6" s="46"/>
      <c r="AD6" s="8"/>
    </row>
    <row r="7" spans="1:30" ht="19.5" customHeight="1">
      <c r="A7" s="34" t="s">
        <v>24</v>
      </c>
      <c r="B7" s="35"/>
      <c r="C7" s="35"/>
      <c r="D7" s="12" t="e">
        <f t="shared" ref="D7:D11" si="2">B7*(100/C7)</f>
        <v>#DIV/0!</v>
      </c>
      <c r="E7" s="13">
        <f t="shared" ref="E7:E11" si="3">$E$6</f>
        <v>0</v>
      </c>
      <c r="F7" s="13">
        <f t="shared" ref="F7:F11" si="4">$F$6</f>
        <v>0</v>
      </c>
      <c r="G7" s="35"/>
      <c r="H7" s="3">
        <v>57</v>
      </c>
      <c r="I7" s="14" t="e">
        <f t="shared" si="0"/>
        <v>#DIV/0!</v>
      </c>
      <c r="J7" s="15" t="e">
        <f t="shared" ref="J7:J11" si="5">I7/1000</f>
        <v>#DIV/0!</v>
      </c>
      <c r="K7" s="14">
        <f>(7.641-SQRT((-7.641^2)-4*0.253*$G$7))/(2*0.253)*(($E$7+$F$7)/2)</f>
        <v>0</v>
      </c>
      <c r="L7" s="16" t="e">
        <f t="shared" ref="L7:L11" si="6">MROUND(K7*(100/$C7), 10)</f>
        <v>#DIV/0!</v>
      </c>
      <c r="M7" s="17" t="e">
        <f t="shared" ref="M7:M11" si="7">J7*K7</f>
        <v>#DIV/0!</v>
      </c>
      <c r="N7" s="18" t="e">
        <f t="shared" ref="N7:N11" si="8">(1000/G7*M7)/100</f>
        <v>#DIV/0!</v>
      </c>
      <c r="O7" s="17" t="e">
        <f t="shared" si="1"/>
        <v>#DIV/0!</v>
      </c>
      <c r="P7" s="17" t="e">
        <f t="shared" ref="P7:P11" si="9">(M7*O7)/100</f>
        <v>#DIV/0!</v>
      </c>
      <c r="Q7" s="46"/>
      <c r="AD7" s="8"/>
    </row>
    <row r="8" spans="1:30" ht="19.5" customHeight="1">
      <c r="A8" s="34" t="s">
        <v>25</v>
      </c>
      <c r="B8" s="35"/>
      <c r="C8" s="35"/>
      <c r="D8" s="12" t="e">
        <f t="shared" si="2"/>
        <v>#DIV/0!</v>
      </c>
      <c r="E8" s="13">
        <f t="shared" si="3"/>
        <v>0</v>
      </c>
      <c r="F8" s="13">
        <f t="shared" si="4"/>
        <v>0</v>
      </c>
      <c r="G8" s="35"/>
      <c r="H8" s="3">
        <v>67</v>
      </c>
      <c r="I8" s="14" t="e">
        <f t="shared" si="0"/>
        <v>#DIV/0!</v>
      </c>
      <c r="J8" s="15" t="e">
        <f t="shared" si="5"/>
        <v>#DIV/0!</v>
      </c>
      <c r="K8" s="14">
        <f>(($G$8)/2.712)*(($E$8+$F$8)/2)</f>
        <v>0</v>
      </c>
      <c r="L8" s="16" t="e">
        <f t="shared" si="6"/>
        <v>#DIV/0!</v>
      </c>
      <c r="M8" s="17" t="e">
        <f t="shared" si="7"/>
        <v>#DIV/0!</v>
      </c>
      <c r="N8" s="18" t="e">
        <f t="shared" si="8"/>
        <v>#DIV/0!</v>
      </c>
      <c r="O8" s="17" t="e">
        <f t="shared" si="1"/>
        <v>#DIV/0!</v>
      </c>
      <c r="P8" s="17" t="e">
        <f t="shared" si="9"/>
        <v>#DIV/0!</v>
      </c>
      <c r="Q8" s="46"/>
    </row>
    <row r="9" spans="1:30" ht="19.5" customHeight="1">
      <c r="A9" s="34" t="s">
        <v>26</v>
      </c>
      <c r="B9" s="35"/>
      <c r="C9" s="35"/>
      <c r="D9" s="12" t="e">
        <f t="shared" si="2"/>
        <v>#DIV/0!</v>
      </c>
      <c r="E9" s="13">
        <f t="shared" si="3"/>
        <v>0</v>
      </c>
      <c r="F9" s="13">
        <f t="shared" si="4"/>
        <v>0</v>
      </c>
      <c r="G9" s="35"/>
      <c r="H9" s="3">
        <v>105</v>
      </c>
      <c r="I9" s="14" t="e">
        <f t="shared" si="0"/>
        <v>#DIV/0!</v>
      </c>
      <c r="J9" s="15" t="e">
        <f t="shared" si="5"/>
        <v>#DIV/0!</v>
      </c>
      <c r="K9" s="14">
        <f>(($G$9)/4.613)*(($E$9+$F$9)/2)</f>
        <v>0</v>
      </c>
      <c r="L9" s="16" t="e">
        <f t="shared" si="6"/>
        <v>#DIV/0!</v>
      </c>
      <c r="M9" s="17" t="e">
        <f t="shared" si="7"/>
        <v>#DIV/0!</v>
      </c>
      <c r="N9" s="18" t="e">
        <f t="shared" si="8"/>
        <v>#DIV/0!</v>
      </c>
      <c r="O9" s="17" t="e">
        <f t="shared" si="1"/>
        <v>#DIV/0!</v>
      </c>
      <c r="P9" s="17" t="e">
        <f t="shared" si="9"/>
        <v>#DIV/0!</v>
      </c>
      <c r="Q9" s="46"/>
    </row>
    <row r="10" spans="1:30" ht="19.5" customHeight="1">
      <c r="A10" s="34" t="s">
        <v>27</v>
      </c>
      <c r="B10" s="35"/>
      <c r="C10" s="35"/>
      <c r="D10" s="12" t="e">
        <f t="shared" si="2"/>
        <v>#DIV/0!</v>
      </c>
      <c r="E10" s="13">
        <f t="shared" si="3"/>
        <v>0</v>
      </c>
      <c r="F10" s="13">
        <f t="shared" si="4"/>
        <v>0</v>
      </c>
      <c r="G10" s="35"/>
      <c r="H10" s="3">
        <v>85</v>
      </c>
      <c r="I10" s="14" t="e">
        <f t="shared" si="0"/>
        <v>#DIV/0!</v>
      </c>
      <c r="J10" s="15" t="e">
        <f t="shared" si="5"/>
        <v>#DIV/0!</v>
      </c>
      <c r="K10" s="14">
        <f>(($G$10)/3.653)*(($E$10+$F$10)/2)</f>
        <v>0</v>
      </c>
      <c r="L10" s="16" t="e">
        <f t="shared" si="6"/>
        <v>#DIV/0!</v>
      </c>
      <c r="M10" s="17" t="e">
        <f t="shared" si="7"/>
        <v>#DIV/0!</v>
      </c>
      <c r="N10" s="18" t="e">
        <f t="shared" si="8"/>
        <v>#DIV/0!</v>
      </c>
      <c r="O10" s="17" t="e">
        <f t="shared" si="1"/>
        <v>#DIV/0!</v>
      </c>
      <c r="P10" s="17" t="e">
        <f t="shared" si="9"/>
        <v>#DIV/0!</v>
      </c>
      <c r="Q10" s="46"/>
    </row>
    <row r="11" spans="1:30" ht="19.5" customHeight="1">
      <c r="A11" s="34" t="s">
        <v>28</v>
      </c>
      <c r="B11" s="35"/>
      <c r="C11" s="35"/>
      <c r="D11" s="12" t="e">
        <f t="shared" si="2"/>
        <v>#DIV/0!</v>
      </c>
      <c r="E11" s="13">
        <f t="shared" si="3"/>
        <v>0</v>
      </c>
      <c r="F11" s="13">
        <f t="shared" si="4"/>
        <v>0</v>
      </c>
      <c r="G11" s="35"/>
      <c r="H11" s="3">
        <v>165</v>
      </c>
      <c r="I11" s="14" t="e">
        <f t="shared" si="0"/>
        <v>#DIV/0!</v>
      </c>
      <c r="J11" s="15" t="e">
        <f t="shared" si="5"/>
        <v>#DIV/0!</v>
      </c>
      <c r="K11" s="14">
        <f>(($G$11)/7.263)*(($E$11+$F$11)/2)</f>
        <v>0</v>
      </c>
      <c r="L11" s="16" t="e">
        <f t="shared" si="6"/>
        <v>#DIV/0!</v>
      </c>
      <c r="M11" s="17" t="e">
        <f t="shared" si="7"/>
        <v>#DIV/0!</v>
      </c>
      <c r="N11" s="18" t="e">
        <f t="shared" si="8"/>
        <v>#DIV/0!</v>
      </c>
      <c r="O11" s="17" t="e">
        <f t="shared" si="1"/>
        <v>#DIV/0!</v>
      </c>
      <c r="P11" s="17" t="e">
        <f t="shared" si="9"/>
        <v>#DIV/0!</v>
      </c>
      <c r="Q11" s="46"/>
    </row>
    <row r="12" spans="1:30" ht="18">
      <c r="A12" s="38"/>
      <c r="B12" s="39"/>
      <c r="C12" s="39"/>
      <c r="D12" s="40"/>
      <c r="E12" s="41"/>
      <c r="F12" s="41"/>
      <c r="G12" s="42" t="s">
        <v>29</v>
      </c>
      <c r="H12" s="43"/>
      <c r="I12" s="44"/>
      <c r="J12" s="45"/>
      <c r="K12" s="45"/>
      <c r="L12" s="45"/>
      <c r="M12" s="46"/>
      <c r="N12" s="46"/>
      <c r="O12" s="46"/>
      <c r="P12" s="46"/>
      <c r="Q12" s="46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30">
      <c r="A13" s="9" t="s">
        <v>30</v>
      </c>
      <c r="B13" s="10"/>
      <c r="C13" s="11"/>
      <c r="D13" s="11"/>
      <c r="E13" s="11"/>
      <c r="F13" s="11"/>
      <c r="G13" s="11"/>
      <c r="H13" s="36"/>
      <c r="I13" s="43"/>
      <c r="J13" s="44"/>
      <c r="K13" s="45"/>
      <c r="L13" s="45"/>
      <c r="M13" s="45"/>
      <c r="N13" s="46"/>
      <c r="O13" s="46"/>
      <c r="P13" s="46"/>
      <c r="Q13" s="46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30" ht="20.100000000000001" customHeight="1">
      <c r="A14" s="46"/>
      <c r="B14" s="40"/>
      <c r="C14" s="40"/>
      <c r="D14" s="40"/>
      <c r="E14" s="40"/>
      <c r="F14" s="40"/>
      <c r="G14" s="40"/>
      <c r="H14" s="40"/>
      <c r="I14" s="46"/>
      <c r="J14" s="45"/>
      <c r="K14" s="47"/>
      <c r="L14" s="47"/>
      <c r="M14" s="47"/>
      <c r="N14" s="48"/>
      <c r="O14" s="48"/>
      <c r="P14" s="48"/>
    </row>
    <row r="15" spans="1:30" ht="16.5" customHeight="1">
      <c r="A15" s="46"/>
      <c r="B15" s="46"/>
      <c r="C15" s="46"/>
      <c r="D15" s="46"/>
      <c r="E15" s="46"/>
      <c r="F15" s="46"/>
      <c r="G15" s="46"/>
      <c r="H15" s="46"/>
      <c r="I15" s="46"/>
      <c r="J15" s="45"/>
      <c r="K15" s="47"/>
      <c r="L15" s="47"/>
      <c r="M15" s="47"/>
      <c r="N15" s="48"/>
      <c r="O15" s="48"/>
      <c r="P15" s="48"/>
    </row>
    <row r="16" spans="1:30" ht="13.5" customHeight="1">
      <c r="A16" s="49"/>
      <c r="B16" s="46"/>
      <c r="C16" s="46"/>
      <c r="D16" s="46"/>
      <c r="E16" s="46"/>
      <c r="F16" s="46"/>
      <c r="G16" s="46"/>
      <c r="H16" s="46"/>
      <c r="I16" s="46"/>
      <c r="J16" s="45"/>
      <c r="K16" s="47"/>
      <c r="L16" s="47"/>
      <c r="M16" s="47"/>
      <c r="N16" s="48"/>
      <c r="O16" s="48"/>
      <c r="P16" s="48"/>
    </row>
    <row r="17" spans="1:16" ht="18">
      <c r="A17" s="50"/>
      <c r="B17" s="46"/>
      <c r="C17" s="46"/>
      <c r="D17" s="46"/>
      <c r="E17" s="46"/>
      <c r="F17" s="46"/>
      <c r="G17" s="46"/>
      <c r="H17" s="46"/>
      <c r="I17" s="46"/>
      <c r="J17" s="45"/>
      <c r="K17" s="47"/>
      <c r="L17" s="47"/>
      <c r="M17" s="47"/>
      <c r="N17" s="48"/>
      <c r="O17" s="48"/>
      <c r="P17" s="48"/>
    </row>
    <row r="18" spans="1:16" ht="16.5" customHeight="1">
      <c r="A18" s="46"/>
      <c r="B18" s="46"/>
      <c r="C18" s="46"/>
      <c r="D18" s="46"/>
      <c r="E18" s="46"/>
      <c r="F18" s="46"/>
      <c r="G18" s="46"/>
      <c r="H18" s="46"/>
      <c r="I18" s="46"/>
      <c r="J18" s="45"/>
      <c r="K18" s="47"/>
      <c r="L18" s="47"/>
      <c r="M18" s="47"/>
      <c r="N18" s="48"/>
      <c r="O18" s="48"/>
      <c r="P18" s="48"/>
    </row>
    <row r="19" spans="1:16" ht="15.75" customHeight="1">
      <c r="A19" s="46"/>
      <c r="B19" s="46"/>
      <c r="C19" s="46"/>
      <c r="D19" s="46"/>
      <c r="E19" s="46"/>
      <c r="F19" s="46"/>
      <c r="G19" s="46"/>
      <c r="H19" s="46"/>
      <c r="I19" s="46"/>
      <c r="J19" s="45"/>
      <c r="K19" s="47"/>
      <c r="L19" s="47"/>
      <c r="M19" s="47"/>
      <c r="N19" s="48"/>
      <c r="O19" s="48"/>
      <c r="P19" s="48"/>
    </row>
    <row r="20" spans="1:16" ht="18">
      <c r="A20" s="51"/>
      <c r="B20" s="46"/>
      <c r="C20" s="46"/>
      <c r="D20" s="46"/>
      <c r="E20" s="46"/>
      <c r="F20" s="46"/>
      <c r="G20" s="46"/>
      <c r="H20" s="46"/>
      <c r="I20" s="46"/>
      <c r="J20" s="45"/>
      <c r="K20" s="47"/>
      <c r="L20" s="47"/>
      <c r="M20" s="47"/>
      <c r="N20" s="48"/>
      <c r="O20" s="48"/>
      <c r="P20" s="48"/>
    </row>
    <row r="21" spans="1:16" ht="18">
      <c r="A21" s="51"/>
      <c r="B21" s="46"/>
      <c r="C21" s="46"/>
      <c r="D21" s="46"/>
      <c r="E21" s="46"/>
      <c r="F21" s="46"/>
      <c r="G21" s="46"/>
      <c r="H21" s="46"/>
      <c r="I21" s="46"/>
      <c r="J21" s="45"/>
      <c r="K21" s="47"/>
      <c r="L21" s="47"/>
      <c r="M21" s="47"/>
      <c r="N21" s="48"/>
      <c r="O21" s="48"/>
      <c r="P21" s="48"/>
    </row>
    <row r="22" spans="1:16">
      <c r="A22" s="46"/>
      <c r="B22" s="46"/>
      <c r="C22" s="46"/>
      <c r="D22" s="46"/>
      <c r="E22" s="46"/>
      <c r="F22" s="46"/>
      <c r="G22" s="46"/>
      <c r="H22" s="46"/>
      <c r="I22" s="46"/>
      <c r="J22" s="45"/>
      <c r="K22" s="47"/>
      <c r="L22" s="47"/>
      <c r="M22" s="47"/>
      <c r="N22" s="48"/>
      <c r="O22" s="48"/>
      <c r="P22" s="48"/>
    </row>
    <row r="23" spans="1:16">
      <c r="A23" s="46"/>
      <c r="B23" s="46"/>
      <c r="C23" s="46"/>
      <c r="D23" s="46"/>
      <c r="E23" s="46"/>
      <c r="F23" s="46"/>
      <c r="G23" s="46"/>
      <c r="H23" s="46"/>
      <c r="I23" s="46"/>
      <c r="J23" s="45"/>
      <c r="K23" s="47"/>
      <c r="L23" s="47"/>
      <c r="M23" s="47"/>
      <c r="N23" s="48"/>
      <c r="O23" s="48"/>
      <c r="P23" s="48"/>
    </row>
    <row r="24" spans="1:16">
      <c r="A24" s="46"/>
      <c r="B24" s="46"/>
      <c r="C24" s="46"/>
      <c r="D24" s="46"/>
      <c r="E24" s="46"/>
      <c r="F24" s="46"/>
      <c r="G24" s="46"/>
      <c r="H24" s="46"/>
      <c r="I24" s="46"/>
      <c r="J24" s="45"/>
      <c r="K24" s="47"/>
      <c r="L24" s="47"/>
      <c r="M24" s="47"/>
      <c r="N24" s="48"/>
      <c r="O24" s="48"/>
      <c r="P24" s="48"/>
    </row>
    <row r="25" spans="1:16">
      <c r="A25" s="46"/>
      <c r="B25" s="46"/>
      <c r="C25" s="46"/>
      <c r="D25" s="46"/>
      <c r="E25" s="46"/>
      <c r="F25" s="46"/>
      <c r="G25" s="46"/>
      <c r="H25" s="46"/>
      <c r="I25" s="46"/>
      <c r="J25" s="45"/>
      <c r="K25" s="47"/>
      <c r="L25" s="47"/>
      <c r="M25" s="47"/>
      <c r="N25" s="48"/>
      <c r="O25" s="48"/>
      <c r="P25" s="48"/>
    </row>
    <row r="26" spans="1:16">
      <c r="A26" s="46"/>
      <c r="B26" s="46"/>
      <c r="C26" s="46"/>
      <c r="D26" s="46"/>
      <c r="E26" s="46"/>
      <c r="F26" s="46"/>
      <c r="G26" s="46"/>
      <c r="H26" s="46"/>
      <c r="I26" s="46"/>
      <c r="J26" s="45"/>
      <c r="K26" s="47"/>
      <c r="L26" s="47"/>
      <c r="M26" s="47"/>
      <c r="N26" s="48"/>
      <c r="O26" s="48"/>
      <c r="P26" s="48"/>
    </row>
    <row r="27" spans="1:16">
      <c r="A27" s="46"/>
      <c r="B27" s="46"/>
      <c r="C27" s="46"/>
      <c r="D27" s="46"/>
      <c r="E27" s="46"/>
      <c r="F27" s="46"/>
      <c r="G27" s="46"/>
      <c r="H27" s="46"/>
      <c r="I27" s="46"/>
      <c r="J27" s="45"/>
      <c r="K27" s="47"/>
      <c r="L27" s="47"/>
      <c r="M27" s="47"/>
      <c r="N27" s="48"/>
      <c r="O27" s="48"/>
      <c r="P27" s="48"/>
    </row>
    <row r="28" spans="1:16">
      <c r="A28" s="46"/>
      <c r="B28" s="46"/>
      <c r="C28" s="46"/>
      <c r="D28" s="46"/>
      <c r="E28" s="46"/>
      <c r="F28" s="46"/>
      <c r="G28" s="46"/>
      <c r="H28" s="46"/>
      <c r="I28" s="46"/>
      <c r="J28" s="45"/>
      <c r="K28" s="47"/>
      <c r="L28" s="47"/>
      <c r="M28" s="47"/>
      <c r="N28" s="48"/>
      <c r="O28" s="48"/>
      <c r="P28" s="48"/>
    </row>
    <row r="29" spans="1:16">
      <c r="A29" s="46"/>
      <c r="B29" s="46"/>
      <c r="C29" s="46"/>
      <c r="D29" s="46"/>
      <c r="E29" s="46"/>
      <c r="F29" s="46"/>
      <c r="G29" s="46"/>
      <c r="H29" s="46"/>
      <c r="I29" s="46"/>
      <c r="J29" s="45"/>
      <c r="K29" s="47"/>
      <c r="L29" s="47"/>
      <c r="M29" s="47"/>
      <c r="N29" s="48"/>
      <c r="O29" s="48"/>
      <c r="P29" s="48"/>
    </row>
    <row r="30" spans="1:16">
      <c r="A30" s="46"/>
      <c r="B30" s="46"/>
      <c r="C30" s="46"/>
      <c r="D30" s="46"/>
      <c r="E30" s="46"/>
      <c r="F30" s="46"/>
      <c r="G30" s="46"/>
      <c r="H30" s="46"/>
      <c r="I30" s="46"/>
      <c r="J30" s="45"/>
      <c r="K30" s="47"/>
      <c r="L30" s="47"/>
      <c r="M30" s="47"/>
      <c r="N30" s="48"/>
      <c r="O30" s="48"/>
      <c r="P30" s="48"/>
    </row>
    <row r="31" spans="1:16">
      <c r="A31" s="46"/>
      <c r="B31" s="46"/>
      <c r="C31" s="46"/>
      <c r="D31" s="46"/>
      <c r="E31" s="46"/>
      <c r="F31" s="46"/>
      <c r="G31" s="46"/>
      <c r="H31" s="46"/>
      <c r="I31" s="46"/>
      <c r="J31" s="45"/>
      <c r="K31" s="47"/>
      <c r="L31" s="47"/>
      <c r="M31" s="47"/>
      <c r="N31" s="48"/>
      <c r="O31" s="48"/>
      <c r="P31" s="48"/>
    </row>
    <row r="32" spans="1:16">
      <c r="A32" s="46"/>
      <c r="B32" s="46"/>
      <c r="C32" s="46"/>
      <c r="D32" s="46"/>
      <c r="E32" s="46"/>
      <c r="F32" s="46"/>
      <c r="G32" s="46"/>
      <c r="H32" s="46"/>
      <c r="I32" s="46"/>
      <c r="J32" s="45"/>
      <c r="K32" s="47"/>
      <c r="L32" s="47"/>
      <c r="M32" s="47"/>
      <c r="N32" s="48"/>
      <c r="O32" s="48"/>
      <c r="P32" s="48"/>
    </row>
    <row r="33" spans="1:16">
      <c r="A33" s="46"/>
      <c r="B33" s="46"/>
      <c r="C33" s="46"/>
      <c r="D33" s="46"/>
      <c r="E33" s="46"/>
      <c r="F33" s="46"/>
      <c r="G33" s="46"/>
      <c r="H33" s="46"/>
      <c r="I33" s="46"/>
      <c r="J33" s="45"/>
      <c r="K33" s="47"/>
      <c r="L33" s="47"/>
      <c r="M33" s="47"/>
      <c r="N33" s="48"/>
      <c r="O33" s="48"/>
      <c r="P33" s="48"/>
    </row>
    <row r="34" spans="1:16">
      <c r="A34" s="46"/>
      <c r="B34" s="46"/>
      <c r="C34" s="46"/>
      <c r="D34" s="46"/>
      <c r="E34" s="46"/>
      <c r="F34" s="46"/>
      <c r="G34" s="46"/>
      <c r="H34" s="46"/>
      <c r="I34" s="46"/>
      <c r="J34" s="45"/>
      <c r="K34" s="47"/>
      <c r="L34" s="47"/>
      <c r="M34" s="47"/>
      <c r="N34" s="48"/>
      <c r="O34" s="48"/>
      <c r="P34" s="48"/>
    </row>
    <row r="35" spans="1:16">
      <c r="A35" s="46"/>
      <c r="B35" s="46"/>
      <c r="C35" s="46"/>
      <c r="D35" s="46"/>
      <c r="E35" s="46"/>
      <c r="F35" s="46"/>
      <c r="G35" s="46"/>
      <c r="H35" s="46"/>
      <c r="I35" s="46"/>
      <c r="J35" s="45"/>
      <c r="K35" s="47"/>
      <c r="L35" s="47"/>
      <c r="M35" s="47"/>
      <c r="N35" s="48"/>
      <c r="O35" s="48"/>
      <c r="P35" s="48"/>
    </row>
    <row r="36" spans="1:16">
      <c r="A36" s="46"/>
      <c r="B36" s="46"/>
      <c r="C36" s="46"/>
      <c r="D36" s="46"/>
      <c r="E36" s="46"/>
      <c r="F36" s="46"/>
      <c r="G36" s="46"/>
      <c r="H36" s="46"/>
      <c r="I36" s="46"/>
      <c r="J36" s="45"/>
      <c r="K36" s="47"/>
      <c r="L36" s="47"/>
      <c r="M36" s="47"/>
      <c r="N36" s="48"/>
      <c r="O36" s="48"/>
      <c r="P36" s="48"/>
    </row>
    <row r="37" spans="1:16">
      <c r="A37" s="46"/>
      <c r="B37" s="46"/>
      <c r="C37" s="46"/>
      <c r="D37" s="46"/>
      <c r="E37" s="46"/>
      <c r="F37" s="46"/>
      <c r="G37" s="46"/>
      <c r="H37" s="46"/>
      <c r="I37" s="46"/>
      <c r="J37" s="45"/>
      <c r="K37" s="47"/>
      <c r="L37" s="47"/>
      <c r="M37" s="47"/>
      <c r="N37" s="48"/>
      <c r="O37" s="48"/>
      <c r="P37" s="48"/>
    </row>
    <row r="38" spans="1:16">
      <c r="A38" s="46"/>
      <c r="B38" s="46"/>
      <c r="C38" s="46"/>
      <c r="D38" s="46"/>
      <c r="E38" s="46"/>
      <c r="F38" s="46"/>
      <c r="G38" s="46"/>
      <c r="H38" s="46"/>
      <c r="I38" s="46"/>
      <c r="J38" s="45"/>
      <c r="K38" s="47"/>
      <c r="L38" s="47"/>
      <c r="M38" s="47"/>
      <c r="N38" s="48"/>
      <c r="O38" s="48"/>
      <c r="P38" s="48"/>
    </row>
    <row r="39" spans="1:16">
      <c r="A39" s="46"/>
      <c r="B39" s="46"/>
      <c r="C39" s="46"/>
      <c r="D39" s="46"/>
      <c r="E39" s="46"/>
      <c r="F39" s="46"/>
      <c r="G39" s="46"/>
      <c r="H39" s="46"/>
      <c r="I39" s="46"/>
      <c r="J39" s="45"/>
      <c r="K39" s="47"/>
      <c r="L39" s="47"/>
      <c r="M39" s="47"/>
      <c r="N39" s="48"/>
      <c r="O39" s="48"/>
      <c r="P39" s="48"/>
    </row>
    <row r="40" spans="1:16">
      <c r="A40" s="46"/>
      <c r="B40" s="46"/>
      <c r="C40" s="46"/>
      <c r="D40" s="46"/>
      <c r="E40" s="46"/>
      <c r="F40" s="46"/>
      <c r="G40" s="46"/>
      <c r="H40" s="46"/>
      <c r="I40" s="46"/>
      <c r="J40" s="45"/>
      <c r="K40" s="47"/>
      <c r="L40" s="47"/>
      <c r="M40" s="47"/>
      <c r="N40" s="48"/>
      <c r="O40" s="48"/>
      <c r="P40" s="48"/>
    </row>
    <row r="41" spans="1:16">
      <c r="A41" s="46"/>
      <c r="B41" s="46"/>
      <c r="C41" s="46"/>
      <c r="D41" s="46"/>
      <c r="E41" s="46"/>
      <c r="F41" s="46"/>
      <c r="G41" s="46"/>
      <c r="H41" s="46"/>
      <c r="I41" s="46"/>
      <c r="J41" s="45"/>
      <c r="K41" s="47"/>
      <c r="L41" s="47"/>
      <c r="M41" s="47"/>
      <c r="N41" s="48"/>
      <c r="O41" s="48"/>
      <c r="P41" s="48"/>
    </row>
    <row r="42" spans="1:16">
      <c r="A42" s="46"/>
      <c r="B42" s="46"/>
      <c r="C42" s="46"/>
      <c r="D42" s="46"/>
      <c r="E42" s="46"/>
      <c r="F42" s="46"/>
      <c r="G42" s="46"/>
      <c r="H42" s="46"/>
      <c r="I42" s="46"/>
      <c r="J42" s="45"/>
      <c r="K42" s="47"/>
      <c r="L42" s="47"/>
      <c r="M42" s="47"/>
      <c r="N42" s="48"/>
      <c r="O42" s="48"/>
      <c r="P42" s="48"/>
    </row>
    <row r="43" spans="1:16">
      <c r="A43" s="46"/>
      <c r="B43" s="46"/>
      <c r="C43" s="46"/>
      <c r="D43" s="46"/>
      <c r="E43" s="46"/>
      <c r="F43" s="46"/>
      <c r="G43" s="46"/>
      <c r="H43" s="46"/>
      <c r="I43" s="46"/>
      <c r="J43" s="45"/>
      <c r="K43" s="47"/>
      <c r="L43" s="47"/>
      <c r="M43" s="47"/>
      <c r="N43" s="48"/>
      <c r="O43" s="48"/>
      <c r="P43" s="48"/>
    </row>
    <row r="44" spans="1:16">
      <c r="A44" s="46"/>
      <c r="B44" s="46"/>
      <c r="C44" s="46"/>
      <c r="D44" s="46"/>
      <c r="E44" s="46"/>
      <c r="F44" s="46"/>
      <c r="G44" s="46"/>
      <c r="H44" s="46"/>
      <c r="I44" s="46"/>
      <c r="J44" s="45"/>
      <c r="K44" s="47"/>
      <c r="L44" s="47"/>
      <c r="M44" s="47"/>
      <c r="N44" s="48"/>
      <c r="O44" s="48"/>
      <c r="P44" s="48"/>
    </row>
    <row r="68" spans="2:29">
      <c r="B68" s="19"/>
      <c r="C68" s="19"/>
      <c r="D68" s="19"/>
      <c r="E68" s="19"/>
      <c r="F68" s="19"/>
      <c r="G68" s="19"/>
      <c r="H68" s="19"/>
      <c r="I68" s="19"/>
      <c r="J68" s="20"/>
      <c r="K68" s="21"/>
      <c r="L68" s="21"/>
      <c r="M68" s="21"/>
      <c r="N68" s="22"/>
      <c r="O68" s="22"/>
      <c r="P68" s="22"/>
      <c r="Q68" s="57"/>
      <c r="R68" s="22"/>
    </row>
    <row r="69" spans="2:29">
      <c r="B69" s="19"/>
      <c r="C69" s="19"/>
      <c r="D69" s="19"/>
      <c r="E69" s="19"/>
      <c r="F69" s="19"/>
      <c r="G69" s="19"/>
      <c r="H69" s="19"/>
      <c r="I69" s="19"/>
      <c r="J69" s="20"/>
      <c r="K69" s="21"/>
      <c r="L69" s="22"/>
      <c r="M69" s="22"/>
      <c r="N69" s="22"/>
      <c r="O69" s="22"/>
      <c r="P69" s="22"/>
      <c r="Q69" s="57"/>
      <c r="R69" s="22"/>
      <c r="AB69" s="4"/>
      <c r="AC69" s="4"/>
    </row>
    <row r="70" spans="2:29">
      <c r="B70" s="22"/>
      <c r="C70" s="22"/>
      <c r="D70" s="22"/>
      <c r="E70" s="22"/>
      <c r="F70" s="22"/>
      <c r="G70" s="22"/>
      <c r="H70" s="22"/>
      <c r="I70" s="22"/>
      <c r="J70" s="21"/>
      <c r="K70" s="21"/>
      <c r="L70" s="22"/>
      <c r="M70" s="22"/>
      <c r="N70" s="22"/>
      <c r="O70" s="22"/>
      <c r="P70" s="22"/>
      <c r="Q70" s="57"/>
      <c r="R70" s="22"/>
      <c r="AB70" s="4"/>
      <c r="AC70" s="4"/>
    </row>
    <row r="71" spans="2:29">
      <c r="B71" s="72" t="s">
        <v>31</v>
      </c>
      <c r="C71" s="72"/>
      <c r="D71" s="72" t="s">
        <v>32</v>
      </c>
      <c r="E71" s="72"/>
      <c r="F71" s="72"/>
      <c r="G71" s="72"/>
      <c r="H71" s="72"/>
      <c r="I71" s="72"/>
      <c r="J71" s="72"/>
      <c r="K71" s="23"/>
      <c r="L71" s="72" t="s">
        <v>33</v>
      </c>
      <c r="M71" s="72"/>
      <c r="N71" s="72"/>
      <c r="O71" s="72"/>
      <c r="P71" s="72"/>
      <c r="Q71" s="72"/>
      <c r="R71" s="72"/>
      <c r="AB71" s="4"/>
      <c r="AC71" s="4"/>
    </row>
    <row r="72" spans="2:29">
      <c r="B72" s="24" t="s">
        <v>34</v>
      </c>
      <c r="C72" s="24" t="s">
        <v>19</v>
      </c>
      <c r="D72" s="25"/>
      <c r="E72" s="25"/>
      <c r="F72" s="25"/>
      <c r="G72" s="25"/>
      <c r="H72" s="25"/>
      <c r="I72" s="25"/>
      <c r="J72" s="26"/>
      <c r="K72" s="26"/>
      <c r="L72" s="24"/>
      <c r="M72" s="25"/>
      <c r="N72" s="25"/>
      <c r="O72" s="25"/>
      <c r="P72" s="25"/>
      <c r="Q72" s="58"/>
      <c r="R72" s="25"/>
      <c r="AB72" s="4"/>
      <c r="AC72" s="4"/>
    </row>
    <row r="73" spans="2:29">
      <c r="B73" s="25"/>
      <c r="C73" s="25"/>
      <c r="D73" s="27" t="s">
        <v>23</v>
      </c>
      <c r="E73" s="27" t="s">
        <v>24</v>
      </c>
      <c r="F73" s="27" t="s">
        <v>25</v>
      </c>
      <c r="G73" s="27" t="s">
        <v>35</v>
      </c>
      <c r="H73" s="27" t="s">
        <v>36</v>
      </c>
      <c r="I73" s="27" t="s">
        <v>28</v>
      </c>
      <c r="J73" s="23"/>
      <c r="K73" s="26"/>
      <c r="L73" s="27" t="s">
        <v>23</v>
      </c>
      <c r="M73" s="27" t="s">
        <v>24</v>
      </c>
      <c r="N73" s="27" t="s">
        <v>25</v>
      </c>
      <c r="O73" s="27" t="s">
        <v>35</v>
      </c>
      <c r="P73" s="27" t="s">
        <v>36</v>
      </c>
      <c r="Q73" s="59" t="s">
        <v>28</v>
      </c>
      <c r="R73" s="27"/>
      <c r="AB73" s="4"/>
      <c r="AC73" s="4"/>
    </row>
    <row r="74" spans="2:29">
      <c r="B74" s="25"/>
      <c r="C74" s="25"/>
      <c r="D74" s="24" t="s">
        <v>37</v>
      </c>
      <c r="E74" s="24" t="s">
        <v>38</v>
      </c>
      <c r="F74" s="24" t="s">
        <v>37</v>
      </c>
      <c r="G74" s="24" t="s">
        <v>37</v>
      </c>
      <c r="H74" s="24" t="s">
        <v>37</v>
      </c>
      <c r="I74" s="24" t="s">
        <v>37</v>
      </c>
      <c r="J74" s="26"/>
      <c r="K74" s="26"/>
      <c r="L74" s="24" t="s">
        <v>37</v>
      </c>
      <c r="M74" s="24" t="s">
        <v>38</v>
      </c>
      <c r="N74" s="24" t="s">
        <v>37</v>
      </c>
      <c r="O74" s="24" t="s">
        <v>37</v>
      </c>
      <c r="P74" s="24" t="s">
        <v>37</v>
      </c>
      <c r="Q74" s="60" t="s">
        <v>37</v>
      </c>
      <c r="R74" s="24"/>
      <c r="AB74" s="4"/>
      <c r="AC74" s="4"/>
    </row>
    <row r="75" spans="2:29">
      <c r="B75" s="25"/>
      <c r="C75" s="25"/>
      <c r="D75" s="25"/>
      <c r="E75" s="25"/>
      <c r="F75" s="25"/>
      <c r="G75" s="25"/>
      <c r="H75" s="25"/>
      <c r="I75" s="25"/>
      <c r="J75" s="26"/>
      <c r="K75" s="26"/>
      <c r="L75" s="25"/>
      <c r="M75" s="25"/>
      <c r="N75" s="25"/>
      <c r="O75" s="25"/>
      <c r="P75" s="25"/>
      <c r="Q75" s="58"/>
      <c r="R75" s="25"/>
      <c r="AB75" s="4"/>
      <c r="AC75" s="4"/>
    </row>
    <row r="76" spans="2:29">
      <c r="B76" s="28">
        <v>0</v>
      </c>
      <c r="C76" s="29">
        <f t="shared" ref="C76:C87" si="10">$B76*($E$6+$F$6)/2</f>
        <v>0</v>
      </c>
      <c r="D76" s="28">
        <f t="shared" ref="D76:D85" si="11">(2.282*$B76)</f>
        <v>0</v>
      </c>
      <c r="E76" s="28">
        <f t="shared" ref="E76:E81" si="12">(-0.253*$B76^2)+(7.641*$B76)</f>
        <v>0</v>
      </c>
      <c r="F76" s="28">
        <f t="shared" ref="F76:F85" si="13">(2.712*$B76)</f>
        <v>0</v>
      </c>
      <c r="G76" s="28">
        <f t="shared" ref="G76:G85" si="14">(4.613*$B76)</f>
        <v>0</v>
      </c>
      <c r="H76" s="28">
        <f t="shared" ref="H76:H85" si="15">(3.653*$B76)</f>
        <v>0</v>
      </c>
      <c r="I76" s="28">
        <f t="shared" ref="I76:I85" si="16">(7.263*$B76)</f>
        <v>0</v>
      </c>
      <c r="J76" s="26"/>
      <c r="K76" s="30"/>
      <c r="L76" s="28" t="e">
        <f t="shared" ref="L76:L85" si="17">$C76*$J$6</f>
        <v>#DIV/0!</v>
      </c>
      <c r="M76" s="28" t="e">
        <f t="shared" ref="M76:M81" si="18">$C76*J$7</f>
        <v>#DIV/0!</v>
      </c>
      <c r="N76" s="28" t="e">
        <f t="shared" ref="N76:N85" si="19">$C76*J$8</f>
        <v>#DIV/0!</v>
      </c>
      <c r="O76" s="28" t="e">
        <f t="shared" ref="O76:O85" si="20">$C76*J$9</f>
        <v>#DIV/0!</v>
      </c>
      <c r="P76" s="28" t="e">
        <f t="shared" ref="P76:P85" si="21">$C76*J$10</f>
        <v>#DIV/0!</v>
      </c>
      <c r="Q76" s="61" t="e">
        <f t="shared" ref="Q76:Q85" si="22">$C76*J$11</f>
        <v>#DIV/0!</v>
      </c>
      <c r="R76" s="28"/>
      <c r="AB76" s="4"/>
      <c r="AC76" s="4"/>
    </row>
    <row r="77" spans="2:29">
      <c r="B77" s="28">
        <v>2.5</v>
      </c>
      <c r="C77" s="29">
        <f t="shared" si="10"/>
        <v>0</v>
      </c>
      <c r="D77" s="28">
        <f t="shared" si="11"/>
        <v>5.7050000000000001</v>
      </c>
      <c r="E77" s="28">
        <f t="shared" si="12"/>
        <v>17.521249999999998</v>
      </c>
      <c r="F77" s="28">
        <f t="shared" si="13"/>
        <v>6.78</v>
      </c>
      <c r="G77" s="28">
        <f t="shared" si="14"/>
        <v>11.532500000000001</v>
      </c>
      <c r="H77" s="28">
        <f t="shared" si="15"/>
        <v>9.1325000000000003</v>
      </c>
      <c r="I77" s="28">
        <f t="shared" si="16"/>
        <v>18.157499999999999</v>
      </c>
      <c r="J77" s="26"/>
      <c r="K77" s="30"/>
      <c r="L77" s="28" t="e">
        <f t="shared" si="17"/>
        <v>#DIV/0!</v>
      </c>
      <c r="M77" s="28" t="e">
        <f t="shared" si="18"/>
        <v>#DIV/0!</v>
      </c>
      <c r="N77" s="28" t="e">
        <f t="shared" si="19"/>
        <v>#DIV/0!</v>
      </c>
      <c r="O77" s="28" t="e">
        <f t="shared" si="20"/>
        <v>#DIV/0!</v>
      </c>
      <c r="P77" s="28" t="e">
        <f t="shared" si="21"/>
        <v>#DIV/0!</v>
      </c>
      <c r="Q77" s="61" t="e">
        <f t="shared" si="22"/>
        <v>#DIV/0!</v>
      </c>
      <c r="R77" s="28"/>
      <c r="AB77" s="4"/>
      <c r="AC77" s="4"/>
    </row>
    <row r="78" spans="2:29">
      <c r="B78" s="28">
        <v>5</v>
      </c>
      <c r="C78" s="29">
        <f t="shared" si="10"/>
        <v>0</v>
      </c>
      <c r="D78" s="28">
        <f t="shared" si="11"/>
        <v>11.41</v>
      </c>
      <c r="E78" s="28">
        <f t="shared" si="12"/>
        <v>31.88</v>
      </c>
      <c r="F78" s="28">
        <f t="shared" si="13"/>
        <v>13.56</v>
      </c>
      <c r="G78" s="28">
        <f t="shared" si="14"/>
        <v>23.065000000000001</v>
      </c>
      <c r="H78" s="28">
        <f t="shared" si="15"/>
        <v>18.265000000000001</v>
      </c>
      <c r="I78" s="28">
        <f t="shared" si="16"/>
        <v>36.314999999999998</v>
      </c>
      <c r="J78" s="26"/>
      <c r="K78" s="30"/>
      <c r="L78" s="28" t="e">
        <f t="shared" si="17"/>
        <v>#DIV/0!</v>
      </c>
      <c r="M78" s="28" t="e">
        <f t="shared" si="18"/>
        <v>#DIV/0!</v>
      </c>
      <c r="N78" s="28" t="e">
        <f t="shared" si="19"/>
        <v>#DIV/0!</v>
      </c>
      <c r="O78" s="28" t="e">
        <f t="shared" si="20"/>
        <v>#DIV/0!</v>
      </c>
      <c r="P78" s="28" t="e">
        <f t="shared" si="21"/>
        <v>#DIV/0!</v>
      </c>
      <c r="Q78" s="61" t="e">
        <f t="shared" si="22"/>
        <v>#DIV/0!</v>
      </c>
      <c r="R78" s="28"/>
      <c r="AB78" s="4"/>
      <c r="AC78" s="4"/>
    </row>
    <row r="79" spans="2:29">
      <c r="B79" s="28">
        <v>7.5</v>
      </c>
      <c r="C79" s="29">
        <f t="shared" si="10"/>
        <v>0</v>
      </c>
      <c r="D79" s="28">
        <f t="shared" si="11"/>
        <v>17.115000000000002</v>
      </c>
      <c r="E79" s="28">
        <f t="shared" si="12"/>
        <v>43.076250000000002</v>
      </c>
      <c r="F79" s="28">
        <f t="shared" si="13"/>
        <v>20.34</v>
      </c>
      <c r="G79" s="28">
        <f t="shared" si="14"/>
        <v>34.597500000000004</v>
      </c>
      <c r="H79" s="28">
        <f t="shared" si="15"/>
        <v>27.397500000000001</v>
      </c>
      <c r="I79" s="28">
        <f t="shared" si="16"/>
        <v>54.472499999999997</v>
      </c>
      <c r="J79" s="26"/>
      <c r="K79" s="30"/>
      <c r="L79" s="28" t="e">
        <f t="shared" si="17"/>
        <v>#DIV/0!</v>
      </c>
      <c r="M79" s="28" t="e">
        <f t="shared" si="18"/>
        <v>#DIV/0!</v>
      </c>
      <c r="N79" s="28" t="e">
        <f t="shared" si="19"/>
        <v>#DIV/0!</v>
      </c>
      <c r="O79" s="28" t="e">
        <f t="shared" si="20"/>
        <v>#DIV/0!</v>
      </c>
      <c r="P79" s="28" t="e">
        <f t="shared" si="21"/>
        <v>#DIV/0!</v>
      </c>
      <c r="Q79" s="61" t="e">
        <f t="shared" si="22"/>
        <v>#DIV/0!</v>
      </c>
      <c r="R79" s="28"/>
      <c r="AB79" s="4"/>
      <c r="AC79" s="4"/>
    </row>
    <row r="80" spans="2:29">
      <c r="B80" s="28">
        <v>10</v>
      </c>
      <c r="C80" s="29">
        <f t="shared" si="10"/>
        <v>0</v>
      </c>
      <c r="D80" s="28">
        <f t="shared" si="11"/>
        <v>22.82</v>
      </c>
      <c r="E80" s="28">
        <f t="shared" si="12"/>
        <v>51.11</v>
      </c>
      <c r="F80" s="28">
        <f t="shared" si="13"/>
        <v>27.12</v>
      </c>
      <c r="G80" s="28">
        <f t="shared" si="14"/>
        <v>46.13</v>
      </c>
      <c r="H80" s="28">
        <f t="shared" si="15"/>
        <v>36.53</v>
      </c>
      <c r="I80" s="28">
        <f t="shared" si="16"/>
        <v>72.63</v>
      </c>
      <c r="J80" s="26"/>
      <c r="K80" s="30"/>
      <c r="L80" s="28" t="e">
        <f t="shared" si="17"/>
        <v>#DIV/0!</v>
      </c>
      <c r="M80" s="28" t="e">
        <f t="shared" si="18"/>
        <v>#DIV/0!</v>
      </c>
      <c r="N80" s="28" t="e">
        <f t="shared" si="19"/>
        <v>#DIV/0!</v>
      </c>
      <c r="O80" s="28" t="e">
        <f t="shared" si="20"/>
        <v>#DIV/0!</v>
      </c>
      <c r="P80" s="28" t="e">
        <f t="shared" si="21"/>
        <v>#DIV/0!</v>
      </c>
      <c r="Q80" s="61" t="e">
        <f t="shared" si="22"/>
        <v>#DIV/0!</v>
      </c>
      <c r="R80" s="28"/>
      <c r="AB80" s="4"/>
      <c r="AC80" s="4"/>
    </row>
    <row r="81" spans="2:29">
      <c r="B81" s="28">
        <v>12.5</v>
      </c>
      <c r="C81" s="29">
        <f t="shared" si="10"/>
        <v>0</v>
      </c>
      <c r="D81" s="28">
        <f t="shared" si="11"/>
        <v>28.524999999999999</v>
      </c>
      <c r="E81" s="28">
        <f t="shared" si="12"/>
        <v>55.981250000000003</v>
      </c>
      <c r="F81" s="28">
        <f t="shared" si="13"/>
        <v>33.900000000000006</v>
      </c>
      <c r="G81" s="28">
        <f t="shared" si="14"/>
        <v>57.662500000000009</v>
      </c>
      <c r="H81" s="28">
        <f t="shared" si="15"/>
        <v>45.662500000000001</v>
      </c>
      <c r="I81" s="28">
        <f t="shared" si="16"/>
        <v>90.787499999999994</v>
      </c>
      <c r="J81" s="26"/>
      <c r="K81" s="30"/>
      <c r="L81" s="28" t="e">
        <f t="shared" si="17"/>
        <v>#DIV/0!</v>
      </c>
      <c r="M81" s="28" t="e">
        <f t="shared" si="18"/>
        <v>#DIV/0!</v>
      </c>
      <c r="N81" s="28" t="e">
        <f t="shared" si="19"/>
        <v>#DIV/0!</v>
      </c>
      <c r="O81" s="28" t="e">
        <f t="shared" si="20"/>
        <v>#DIV/0!</v>
      </c>
      <c r="P81" s="28" t="e">
        <f t="shared" si="21"/>
        <v>#DIV/0!</v>
      </c>
      <c r="Q81" s="61" t="e">
        <f t="shared" si="22"/>
        <v>#DIV/0!</v>
      </c>
      <c r="R81" s="28"/>
      <c r="AB81" s="4"/>
      <c r="AC81" s="4"/>
    </row>
    <row r="82" spans="2:29">
      <c r="B82" s="28">
        <v>15</v>
      </c>
      <c r="C82" s="29">
        <f t="shared" si="10"/>
        <v>0</v>
      </c>
      <c r="D82" s="28">
        <f t="shared" si="11"/>
        <v>34.230000000000004</v>
      </c>
      <c r="E82" s="28"/>
      <c r="F82" s="28">
        <f t="shared" si="13"/>
        <v>40.68</v>
      </c>
      <c r="G82" s="28">
        <f t="shared" si="14"/>
        <v>69.195000000000007</v>
      </c>
      <c r="H82" s="28">
        <f t="shared" si="15"/>
        <v>54.795000000000002</v>
      </c>
      <c r="I82" s="28">
        <f t="shared" si="16"/>
        <v>108.94499999999999</v>
      </c>
      <c r="J82" s="26"/>
      <c r="K82" s="30"/>
      <c r="L82" s="28" t="e">
        <f t="shared" si="17"/>
        <v>#DIV/0!</v>
      </c>
      <c r="M82" s="28"/>
      <c r="N82" s="28" t="e">
        <f t="shared" si="19"/>
        <v>#DIV/0!</v>
      </c>
      <c r="O82" s="28" t="e">
        <f t="shared" si="20"/>
        <v>#DIV/0!</v>
      </c>
      <c r="P82" s="28" t="e">
        <f t="shared" si="21"/>
        <v>#DIV/0!</v>
      </c>
      <c r="Q82" s="61" t="e">
        <f t="shared" si="22"/>
        <v>#DIV/0!</v>
      </c>
      <c r="R82" s="28"/>
      <c r="AB82" s="4"/>
      <c r="AC82" s="4"/>
    </row>
    <row r="83" spans="2:29">
      <c r="B83" s="28">
        <v>17.5</v>
      </c>
      <c r="C83" s="29">
        <f t="shared" si="10"/>
        <v>0</v>
      </c>
      <c r="D83" s="28">
        <f t="shared" si="11"/>
        <v>39.935000000000002</v>
      </c>
      <c r="E83" s="28"/>
      <c r="F83" s="28">
        <f t="shared" si="13"/>
        <v>47.46</v>
      </c>
      <c r="G83" s="28">
        <f t="shared" si="14"/>
        <v>80.727500000000006</v>
      </c>
      <c r="H83" s="28">
        <f t="shared" si="15"/>
        <v>63.927500000000002</v>
      </c>
      <c r="I83" s="28">
        <f t="shared" si="16"/>
        <v>127.10249999999999</v>
      </c>
      <c r="J83" s="26"/>
      <c r="K83" s="30"/>
      <c r="L83" s="28" t="e">
        <f t="shared" si="17"/>
        <v>#DIV/0!</v>
      </c>
      <c r="M83" s="28"/>
      <c r="N83" s="28" t="e">
        <f t="shared" si="19"/>
        <v>#DIV/0!</v>
      </c>
      <c r="O83" s="28" t="e">
        <f t="shared" si="20"/>
        <v>#DIV/0!</v>
      </c>
      <c r="P83" s="28" t="e">
        <f t="shared" si="21"/>
        <v>#DIV/0!</v>
      </c>
      <c r="Q83" s="61" t="e">
        <f t="shared" si="22"/>
        <v>#DIV/0!</v>
      </c>
      <c r="R83" s="28"/>
      <c r="AB83" s="4"/>
      <c r="AC83" s="4"/>
    </row>
    <row r="84" spans="2:29">
      <c r="B84" s="28">
        <v>20</v>
      </c>
      <c r="C84" s="29">
        <f t="shared" si="10"/>
        <v>0</v>
      </c>
      <c r="D84" s="28">
        <f t="shared" si="11"/>
        <v>45.64</v>
      </c>
      <c r="E84" s="28"/>
      <c r="F84" s="28">
        <f t="shared" si="13"/>
        <v>54.24</v>
      </c>
      <c r="G84" s="28">
        <f t="shared" si="14"/>
        <v>92.26</v>
      </c>
      <c r="H84" s="28">
        <f t="shared" si="15"/>
        <v>73.06</v>
      </c>
      <c r="I84" s="28">
        <f t="shared" si="16"/>
        <v>145.26</v>
      </c>
      <c r="J84" s="26"/>
      <c r="K84" s="30"/>
      <c r="L84" s="28" t="e">
        <f t="shared" si="17"/>
        <v>#DIV/0!</v>
      </c>
      <c r="M84" s="28"/>
      <c r="N84" s="28" t="e">
        <f t="shared" si="19"/>
        <v>#DIV/0!</v>
      </c>
      <c r="O84" s="28" t="e">
        <f t="shared" si="20"/>
        <v>#DIV/0!</v>
      </c>
      <c r="P84" s="28" t="e">
        <f t="shared" si="21"/>
        <v>#DIV/0!</v>
      </c>
      <c r="Q84" s="61" t="e">
        <f t="shared" si="22"/>
        <v>#DIV/0!</v>
      </c>
      <c r="R84" s="28"/>
      <c r="AB84" s="4"/>
      <c r="AC84" s="4"/>
    </row>
    <row r="85" spans="2:29">
      <c r="B85" s="28">
        <v>22.5</v>
      </c>
      <c r="C85" s="29">
        <f t="shared" si="10"/>
        <v>0</v>
      </c>
      <c r="D85" s="28">
        <f t="shared" si="11"/>
        <v>51.344999999999999</v>
      </c>
      <c r="E85" s="28"/>
      <c r="F85" s="28">
        <f t="shared" si="13"/>
        <v>61.02</v>
      </c>
      <c r="G85" s="28">
        <f t="shared" si="14"/>
        <v>103.7925</v>
      </c>
      <c r="H85" s="28">
        <f t="shared" si="15"/>
        <v>82.192499999999995</v>
      </c>
      <c r="I85" s="28">
        <f t="shared" si="16"/>
        <v>163.41749999999999</v>
      </c>
      <c r="J85" s="26"/>
      <c r="K85" s="30"/>
      <c r="L85" s="28" t="e">
        <f t="shared" si="17"/>
        <v>#DIV/0!</v>
      </c>
      <c r="M85" s="28"/>
      <c r="N85" s="28" t="e">
        <f t="shared" si="19"/>
        <v>#DIV/0!</v>
      </c>
      <c r="O85" s="28" t="e">
        <f t="shared" si="20"/>
        <v>#DIV/0!</v>
      </c>
      <c r="P85" s="28" t="e">
        <f t="shared" si="21"/>
        <v>#DIV/0!</v>
      </c>
      <c r="Q85" s="61" t="e">
        <f t="shared" si="22"/>
        <v>#DIV/0!</v>
      </c>
      <c r="R85" s="28"/>
      <c r="AB85" s="4"/>
      <c r="AC85" s="4"/>
    </row>
    <row r="86" spans="2:29">
      <c r="B86" s="28">
        <v>25</v>
      </c>
      <c r="C86" s="29">
        <f t="shared" si="10"/>
        <v>0</v>
      </c>
      <c r="D86" s="28"/>
      <c r="E86" s="28"/>
      <c r="F86" s="28"/>
      <c r="G86" s="28"/>
      <c r="H86" s="28"/>
      <c r="I86" s="28"/>
      <c r="J86" s="26"/>
      <c r="K86" s="30"/>
      <c r="L86" s="28"/>
      <c r="M86" s="28"/>
      <c r="N86" s="28"/>
      <c r="O86" s="28"/>
      <c r="P86" s="28"/>
      <c r="Q86" s="61"/>
      <c r="R86" s="28"/>
      <c r="AB86" s="4"/>
      <c r="AC86" s="4"/>
    </row>
    <row r="87" spans="2:29">
      <c r="B87" s="28">
        <v>27.5</v>
      </c>
      <c r="C87" s="29">
        <f t="shared" si="10"/>
        <v>0</v>
      </c>
      <c r="D87" s="28"/>
      <c r="E87" s="28"/>
      <c r="F87" s="28"/>
      <c r="G87" s="28"/>
      <c r="H87" s="28"/>
      <c r="I87" s="28"/>
      <c r="J87" s="26"/>
      <c r="K87" s="30"/>
      <c r="L87" s="28"/>
      <c r="M87" s="28"/>
      <c r="N87" s="28"/>
      <c r="O87" s="28"/>
      <c r="P87" s="28"/>
      <c r="Q87" s="61"/>
      <c r="R87" s="28"/>
      <c r="AB87" s="4"/>
      <c r="AC87" s="4"/>
    </row>
    <row r="88" spans="2:29">
      <c r="B88" s="28"/>
      <c r="C88" s="29"/>
      <c r="D88" s="28"/>
      <c r="E88" s="28"/>
      <c r="F88" s="28"/>
      <c r="G88" s="28"/>
      <c r="H88" s="28"/>
      <c r="I88" s="28"/>
      <c r="J88" s="26"/>
      <c r="K88" s="30"/>
      <c r="L88" s="28"/>
      <c r="M88" s="28"/>
      <c r="N88" s="28"/>
      <c r="O88" s="28"/>
      <c r="P88" s="28"/>
      <c r="Q88" s="61"/>
      <c r="R88" s="28"/>
      <c r="AB88" s="4"/>
      <c r="AC88" s="4"/>
    </row>
    <row r="89" spans="2:29">
      <c r="B89" s="28">
        <v>30</v>
      </c>
      <c r="C89" s="29">
        <f>$B89*($E$6+$F$6)/2</f>
        <v>0</v>
      </c>
      <c r="D89" s="28"/>
      <c r="E89" s="28"/>
      <c r="F89" s="25"/>
      <c r="G89" s="25"/>
      <c r="H89" s="25"/>
      <c r="I89" s="25"/>
      <c r="J89" s="26"/>
      <c r="K89" s="30"/>
      <c r="L89" s="28"/>
      <c r="M89" s="28"/>
      <c r="N89" s="28"/>
      <c r="O89" s="28"/>
      <c r="P89" s="28"/>
      <c r="Q89" s="61"/>
      <c r="R89" s="28"/>
      <c r="AB89" s="4"/>
      <c r="AC89" s="4"/>
    </row>
    <row r="90" spans="2:29">
      <c r="B90" s="31"/>
      <c r="C90" s="31"/>
      <c r="D90" s="28"/>
      <c r="E90" s="28"/>
      <c r="F90" s="25"/>
      <c r="G90" s="25"/>
      <c r="H90" s="25"/>
      <c r="I90" s="25"/>
      <c r="J90" s="31"/>
      <c r="K90" s="30"/>
      <c r="L90" s="28"/>
      <c r="M90" s="28"/>
      <c r="N90" s="28"/>
      <c r="O90" s="28"/>
      <c r="P90" s="28"/>
      <c r="Q90" s="61"/>
      <c r="R90" s="31"/>
      <c r="AB90" s="4"/>
      <c r="AC90" s="4"/>
    </row>
    <row r="91" spans="2:29">
      <c r="B91" s="31"/>
      <c r="C91" s="31"/>
      <c r="D91" s="31"/>
      <c r="E91" s="31"/>
      <c r="F91" s="31"/>
      <c r="G91" s="31"/>
      <c r="H91" s="31"/>
      <c r="I91" s="31"/>
      <c r="J91" s="32"/>
      <c r="K91" s="26"/>
      <c r="L91" s="25"/>
      <c r="M91" s="25"/>
      <c r="N91" s="25"/>
      <c r="O91" s="25"/>
      <c r="P91" s="25"/>
      <c r="Q91" s="58"/>
      <c r="R91" s="25"/>
      <c r="AB91" s="4"/>
      <c r="AC91" s="4"/>
    </row>
    <row r="92" spans="2:29">
      <c r="B92" s="31"/>
      <c r="C92" s="31"/>
      <c r="D92" s="31"/>
      <c r="E92" s="31"/>
      <c r="F92" s="31"/>
      <c r="G92" s="31"/>
      <c r="H92" s="31"/>
      <c r="I92" s="31"/>
      <c r="J92" s="32"/>
      <c r="K92" s="26"/>
      <c r="L92" s="25"/>
      <c r="M92" s="25"/>
      <c r="N92" s="25"/>
      <c r="O92" s="25"/>
      <c r="P92" s="25"/>
      <c r="Q92" s="58"/>
      <c r="R92" s="25"/>
      <c r="AB92" s="4"/>
      <c r="AC92" s="4"/>
    </row>
    <row r="93" spans="2:29">
      <c r="B93" s="19"/>
      <c r="C93" s="19"/>
      <c r="D93" s="19"/>
      <c r="E93" s="19"/>
      <c r="F93" s="19"/>
      <c r="G93" s="19"/>
      <c r="H93" s="19"/>
      <c r="I93" s="19"/>
      <c r="J93" s="20"/>
      <c r="K93" s="21"/>
      <c r="L93" s="22"/>
      <c r="M93" s="22"/>
      <c r="N93" s="22"/>
      <c r="O93" s="22"/>
      <c r="P93" s="22"/>
      <c r="Q93" s="57"/>
      <c r="R93" s="22"/>
      <c r="AB93" s="4"/>
      <c r="AC93" s="4"/>
    </row>
    <row r="94" spans="2:29">
      <c r="B94" s="19"/>
      <c r="C94" s="19"/>
      <c r="D94" s="19"/>
      <c r="E94" s="19"/>
      <c r="F94" s="19"/>
      <c r="G94" s="19"/>
      <c r="H94" s="19"/>
      <c r="I94" s="19"/>
      <c r="J94" s="20"/>
      <c r="K94" s="21"/>
      <c r="L94" s="22"/>
      <c r="M94" s="22"/>
      <c r="N94" s="22"/>
      <c r="O94" s="22"/>
      <c r="P94" s="22"/>
      <c r="Q94" s="57"/>
      <c r="R94" s="22"/>
      <c r="AB94" s="4"/>
      <c r="AC94" s="4"/>
    </row>
    <row r="95" spans="2:29">
      <c r="B95" s="19"/>
      <c r="C95" s="19"/>
      <c r="D95" s="19"/>
      <c r="E95" s="19"/>
      <c r="F95" s="19"/>
      <c r="G95" s="19"/>
      <c r="H95" s="19"/>
      <c r="I95" s="19"/>
      <c r="J95" s="20"/>
      <c r="K95" s="21"/>
      <c r="L95" s="21"/>
      <c r="M95" s="21"/>
      <c r="N95" s="22"/>
      <c r="O95" s="22"/>
      <c r="P95" s="22"/>
      <c r="Q95" s="57"/>
      <c r="R95" s="22"/>
    </row>
  </sheetData>
  <sheetProtection algorithmName="SHA-512" hashValue="H8mFMBUEhBpOGWCV4EI+3PE+Zx1BR17+uKIiFS6nZdfqRBd10/R5XQ02a+Zvw33S5XrCsmMoOreZtSCjZ1vj+w==" saltValue="RifViDadLmEF7sHOwr56mA==" spinCount="100000" sheet="1" selectLockedCells="1"/>
  <mergeCells count="3">
    <mergeCell ref="B71:C71"/>
    <mergeCell ref="D71:J71"/>
    <mergeCell ref="L71:R71"/>
  </mergeCells>
  <conditionalFormatting sqref="B14">
    <cfRule type="cellIs" dxfId="16" priority="36" operator="greaterThan">
      <formula>((#REF!+#REF!)/2)*25</formula>
    </cfRule>
  </conditionalFormatting>
  <conditionalFormatting sqref="D14">
    <cfRule type="cellIs" dxfId="15" priority="35" operator="greaterThan">
      <formula>((#REF!+#REF!)/2)*25</formula>
    </cfRule>
  </conditionalFormatting>
  <conditionalFormatting sqref="E14">
    <cfRule type="cellIs" dxfId="14" priority="34" operator="greaterThan">
      <formula>((#REF!+#REF!)/2)*25</formula>
    </cfRule>
  </conditionalFormatting>
  <conditionalFormatting sqref="F14:G14">
    <cfRule type="cellIs" dxfId="13" priority="33" operator="greaterThan">
      <formula>((#REF!+#REF!)/2)*25</formula>
    </cfRule>
  </conditionalFormatting>
  <conditionalFormatting sqref="C14">
    <cfRule type="cellIs" dxfId="12" priority="32" operator="greaterThan">
      <formula>((#REF!+#REF!)/2)*12.5</formula>
    </cfRule>
  </conditionalFormatting>
  <conditionalFormatting sqref="H14">
    <cfRule type="cellIs" dxfId="11" priority="38" operator="greaterThan">
      <formula>((#REF!+#REF!)/2)*30</formula>
    </cfRule>
  </conditionalFormatting>
  <conditionalFormatting sqref="G6">
    <cfRule type="expression" dxfId="10" priority="3">
      <formula>$G$6&gt;$H$6</formula>
    </cfRule>
  </conditionalFormatting>
  <conditionalFormatting sqref="K6">
    <cfRule type="cellIs" dxfId="9" priority="22" operator="greaterThan">
      <formula>((#REF!+#REF!)/2)*25</formula>
    </cfRule>
  </conditionalFormatting>
  <conditionalFormatting sqref="K8">
    <cfRule type="cellIs" dxfId="8" priority="20" operator="greaterThan">
      <formula>((#REF!+#REF!)/2)*25</formula>
    </cfRule>
  </conditionalFormatting>
  <conditionalFormatting sqref="K9">
    <cfRule type="cellIs" dxfId="7" priority="19" operator="greaterThan">
      <formula>((#REF!+#REF!)/2)*25</formula>
    </cfRule>
  </conditionalFormatting>
  <conditionalFormatting sqref="K10:K11">
    <cfRule type="cellIs" dxfId="6" priority="18" operator="greaterThan">
      <formula>((#REF!+#REF!)/2)*25</formula>
    </cfRule>
  </conditionalFormatting>
  <conditionalFormatting sqref="K7">
    <cfRule type="cellIs" dxfId="5" priority="17" operator="greaterThan">
      <formula>((#REF!+#REF!)/2)*12.5</formula>
    </cfRule>
  </conditionalFormatting>
  <conditionalFormatting sqref="G7">
    <cfRule type="expression" dxfId="4" priority="8">
      <formula>$G$7&gt;$H$7</formula>
    </cfRule>
  </conditionalFormatting>
  <conditionalFormatting sqref="G8">
    <cfRule type="expression" dxfId="3" priority="29">
      <formula>$G$8&gt;$H$8</formula>
    </cfRule>
  </conditionalFormatting>
  <conditionalFormatting sqref="G9">
    <cfRule type="expression" dxfId="2" priority="6">
      <formula>$G$9&gt;$H$9</formula>
    </cfRule>
  </conditionalFormatting>
  <conditionalFormatting sqref="G10">
    <cfRule type="expression" dxfId="1" priority="7">
      <formula>$G$10&gt;$H$10</formula>
    </cfRule>
  </conditionalFormatting>
  <conditionalFormatting sqref="G11">
    <cfRule type="expression" dxfId="0" priority="9">
      <formula>$G$11&gt;$H$11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7C928-052C-2A41-8AFE-9E16C4BA08D2}">
  <dimension ref="A1"/>
  <sheetViews>
    <sheetView workbookViewId="0">
      <selection activeCell="B38" sqref="B38"/>
    </sheetView>
  </sheetViews>
  <sheetFormatPr defaultColWidth="11.42578125" defaultRowHeight="13.15"/>
  <sheetData/>
  <sheetProtection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1DBBAAFF8F234786F3FE35C2C55285" ma:contentTypeVersion="39" ma:contentTypeDescription="Create a new document." ma:contentTypeScope="" ma:versionID="d0f50dc104404f066f21aabd21f225df">
  <xsd:schema xmlns:xsd="http://www.w3.org/2001/XMLSchema" xmlns:xs="http://www.w3.org/2001/XMLSchema" xmlns:p="http://schemas.microsoft.com/office/2006/metadata/properties" xmlns:ns1="http://schemas.microsoft.com/sharepoint/v3" xmlns:ns2="812f1821-9b08-4c39-99da-29d577233d6f" xmlns:ns3="4b62e893-22f0-4291-b835-e3dda2a89aab" xmlns:ns4="406d9aec-898d-46cb-bf31-c4360018fedc" xmlns:ns5="http://schemas.microsoft.com/sharepoint/v4" targetNamespace="http://schemas.microsoft.com/office/2006/metadata/properties" ma:root="true" ma:fieldsID="0c645565c19ceb188c7afd6daea77e8c" ns1:_="" ns2:_="" ns3:_="" ns4:_="" ns5:_="">
    <xsd:import namespace="http://schemas.microsoft.com/sharepoint/v3"/>
    <xsd:import namespace="812f1821-9b08-4c39-99da-29d577233d6f"/>
    <xsd:import namespace="4b62e893-22f0-4291-b835-e3dda2a89aab"/>
    <xsd:import namespace="406d9aec-898d-46cb-bf31-c4360018fed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Notes" minOccurs="0"/>
                <xsd:element ref="ns3:Original_x0020_Created" minOccurs="0"/>
                <xsd:element ref="ns3:Original_x0020_Modified" minOccurs="0"/>
                <xsd:element ref="ns3:Attach_x0020_Count" minOccurs="0"/>
                <xsd:element ref="ns3:Original_x0020_Author" minOccurs="0"/>
                <xsd:element ref="ns3:Importance" minOccurs="0"/>
                <xsd:element ref="ns3:Message_x0020_ID" minOccurs="0"/>
                <xsd:element ref="ns3:BCC" minOccurs="0"/>
                <xsd:element ref="ns3:CC" minOccurs="0"/>
                <xsd:element ref="ns3:Original_x0020_Producer" minOccurs="0"/>
                <xsd:element ref="ns3:Received_x0020_Time" minOccurs="0"/>
                <xsd:element ref="ns3:Sensitivity" minOccurs="0"/>
                <xsd:element ref="ns3:Sent_x0020_On" minOccurs="0"/>
                <xsd:element ref="ns3:To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MediaServiceDateTaken" minOccurs="0"/>
                <xsd:element ref="ns3:Conversation_x0020_Topic" minOccurs="0"/>
                <xsd:element ref="ns3:From1" minOccurs="0"/>
                <xsd:element ref="ns5:IconOverlay" minOccurs="0"/>
                <xsd:element ref="ns1:_vti_ItemDeclaredRecord" minOccurs="0"/>
                <xsd:element ref="ns1:_vti_ItemHoldRecord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36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37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f1821-9b08-4c39-99da-29d577233d6f" elementFormDefault="qualified">
    <xsd:import namespace="http://schemas.microsoft.com/office/2006/documentManagement/types"/>
    <xsd:import namespace="http://schemas.microsoft.com/office/infopath/2007/PartnerControls"/>
    <xsd:element name="Description0" ma:index="1" nillable="true" ma:displayName="Description." ma:description="Executed 30 June" ma:format="Dropdown" ma:internalName="Description0">
      <xsd:simpleType>
        <xsd:restriction base="dms:Note">
          <xsd:maxLength value="255"/>
        </xsd:restriction>
      </xsd:simpleType>
    </xsd:element>
    <xsd:element name="Notes" ma:index="2" nillable="true" ma:displayName="BSO notes" ma:format="Dropdown" ma:internalName="Notes" ma:readOnly="false">
      <xsd:simpleType>
        <xsd:restriction base="dms:Note">
          <xsd:maxLength value="255"/>
        </xsd:restriction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2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8" nillable="true" ma:displayName="Tags" ma:hidden="true" ma:internalName="MediaServiceAutoTags" ma:readOnly="true">
      <xsd:simpleType>
        <xsd:restriction base="dms:Text"/>
      </xsd:simpleType>
    </xsd:element>
    <xsd:element name="MediaServiceOCR" ma:index="3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4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42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4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5" nillable="true" ma:taxonomy="true" ma:internalName="lcf76f155ced4ddcb4097134ff3c332f" ma:taxonomyFieldName="MediaServiceImageTags" ma:displayName="Image Tags" ma:readOnly="false" ma:fieldId="{5cf76f15-5ced-4ddc-b409-7134ff3c332f}" ma:taxonomyMulti="true" ma:sspId="4ee84d0e-6e93-49eb-b9f4-5341c9135f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62e893-22f0-4291-b835-e3dda2a89aab" elementFormDefault="qualified">
    <xsd:import namespace="http://schemas.microsoft.com/office/2006/documentManagement/types"/>
    <xsd:import namespace="http://schemas.microsoft.com/office/infopath/2007/PartnerControls"/>
    <xsd:element name="Original_x0020_Created" ma:index="3" nillable="true" ma:displayName="Original Created" ma:format="DateTime" ma:hidden="true" ma:internalName="Original_x0020_Created" ma:readOnly="false">
      <xsd:simpleType>
        <xsd:restriction base="dms:DateTime"/>
      </xsd:simpleType>
    </xsd:element>
    <xsd:element name="Original_x0020_Modified" ma:index="4" nillable="true" ma:displayName="Original Modified" ma:format="DateTime" ma:hidden="true" ma:internalName="Original_x0020_Modified" ma:readOnly="false">
      <xsd:simpleType>
        <xsd:restriction base="dms:DateTime"/>
      </xsd:simpleType>
    </xsd:element>
    <xsd:element name="Attach_x0020_Count" ma:index="5" nillable="true" ma:displayName="Attach Count" ma:hidden="true" ma:internalName="Attach_x0020_Count" ma:readOnly="false">
      <xsd:simpleType>
        <xsd:restriction base="dms:Text">
          <xsd:maxLength value="255"/>
        </xsd:restriction>
      </xsd:simpleType>
    </xsd:element>
    <xsd:element name="Original_x0020_Author" ma:index="6" nillable="true" ma:displayName="Original Author" ma:hidden="true" ma:internalName="Original_x0020_Author" ma:readOnly="false">
      <xsd:simpleType>
        <xsd:restriction base="dms:Text">
          <xsd:maxLength value="255"/>
        </xsd:restriction>
      </xsd:simpleType>
    </xsd:element>
    <xsd:element name="Importance" ma:index="7" nillable="true" ma:displayName="Importance" ma:hidden="true" ma:internalName="Importance" ma:readOnly="false">
      <xsd:simpleType>
        <xsd:restriction base="dms:Text">
          <xsd:maxLength value="255"/>
        </xsd:restriction>
      </xsd:simpleType>
    </xsd:element>
    <xsd:element name="Message_x0020_ID" ma:index="8" nillable="true" ma:displayName="Message ID" ma:hidden="true" ma:internalName="Message_x0020_ID" ma:readOnly="false">
      <xsd:simpleType>
        <xsd:restriction base="dms:Text">
          <xsd:maxLength value="255"/>
        </xsd:restriction>
      </xsd:simpleType>
    </xsd:element>
    <xsd:element name="BCC" ma:index="10" nillable="true" ma:displayName="BCC" ma:hidden="true" ma:internalName="BCC" ma:readOnly="false">
      <xsd:simpleType>
        <xsd:restriction base="dms:Text">
          <xsd:maxLength value="255"/>
        </xsd:restriction>
      </xsd:simpleType>
    </xsd:element>
    <xsd:element name="CC" ma:index="11" nillable="true" ma:displayName="CC" ma:hidden="true" ma:internalName="CC" ma:readOnly="false">
      <xsd:simpleType>
        <xsd:restriction base="dms:Text">
          <xsd:maxLength value="255"/>
        </xsd:restriction>
      </xsd:simpleType>
    </xsd:element>
    <xsd:element name="Original_x0020_Producer" ma:index="12" nillable="true" ma:displayName="Original Producer" ma:hidden="true" ma:internalName="Original_x0020_Producer" ma:readOnly="false">
      <xsd:simpleType>
        <xsd:restriction base="dms:Text">
          <xsd:maxLength value="255"/>
        </xsd:restriction>
      </xsd:simpleType>
    </xsd:element>
    <xsd:element name="Received_x0020_Time" ma:index="13" nillable="true" ma:displayName="Received Time" ma:format="DateTime" ma:hidden="true" ma:internalName="Received_x0020_Time" ma:readOnly="false">
      <xsd:simpleType>
        <xsd:restriction base="dms:DateTime"/>
      </xsd:simpleType>
    </xsd:element>
    <xsd:element name="Sensitivity" ma:index="14" nillable="true" ma:displayName="Sensitivity" ma:hidden="true" ma:internalName="Sensitivity" ma:readOnly="false">
      <xsd:simpleType>
        <xsd:restriction base="dms:Text">
          <xsd:maxLength value="255"/>
        </xsd:restriction>
      </xsd:simpleType>
    </xsd:element>
    <xsd:element name="Sent_x0020_On" ma:index="15" nillable="true" ma:displayName="Sent On" ma:format="DateTime" ma:hidden="true" ma:internalName="Sent_x0020_On" ma:readOnly="false">
      <xsd:simpleType>
        <xsd:restriction base="dms:DateTime"/>
      </xsd:simpleType>
    </xsd:element>
    <xsd:element name="To" ma:index="16" nillable="true" ma:displayName="To" ma:hidden="true" ma:internalName="To" ma:readOnly="false">
      <xsd:simpleType>
        <xsd:restriction base="dms:Text">
          <xsd:maxLength value="255"/>
        </xsd:restriction>
      </xsd:simpleType>
    </xsd:element>
    <xsd:element name="Conversation_x0020_Topic" ma:index="33" nillable="true" ma:displayName="Conversation Topic" ma:hidden="true" ma:internalName="Conversation_x0020_Topic" ma:readOnly="false">
      <xsd:simpleType>
        <xsd:restriction base="dms:Text">
          <xsd:maxLength value="255"/>
        </xsd:restriction>
      </xsd:simpleType>
    </xsd:element>
    <xsd:element name="From1" ma:index="34" nillable="true" ma:displayName="From" ma:hidden="true" ma:internalName="From1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6d9aec-898d-46cb-bf31-c4360018fedc" elementFormDefault="qualified">
    <xsd:import namespace="http://schemas.microsoft.com/office/2006/documentManagement/types"/>
    <xsd:import namespace="http://schemas.microsoft.com/office/infopath/2007/PartnerControls"/>
    <xsd:element name="_dlc_DocId" ma:index="19" nillable="true" ma:displayName="Document ID Value" ma:description="The value of the document ID assigned to this item." ma:hidden="true" ma:indexed="true" ma:internalName="_dlc_DocId" ma:readOnly="true">
      <xsd:simpleType>
        <xsd:restriction base="dms:Text"/>
      </xsd:simpleType>
    </xsd:element>
    <xsd:element name="_dlc_DocIdUrl" ma:index="20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26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46" nillable="true" ma:displayName="Taxonomy Catch All Column" ma:hidden="true" ma:list="{167c0925-cfb0-47f9-8dd9-fed8b076f1bc}" ma:internalName="TaxCatchAll" ma:showField="CatchAllData" ma:web="406d9aec-898d-46cb-bf31-c4360018f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812f1821-9b08-4c39-99da-29d577233d6f" xsi:nil="true"/>
    <Original_x0020_Created xmlns="4b62e893-22f0-4291-b835-e3dda2a89aab" xsi:nil="true"/>
    <Sent_x0020_On xmlns="4b62e893-22f0-4291-b835-e3dda2a89aab" xsi:nil="true"/>
    <Original_x0020_Author xmlns="4b62e893-22f0-4291-b835-e3dda2a89aab" xsi:nil="true"/>
    <Attach_x0020_Count xmlns="4b62e893-22f0-4291-b835-e3dda2a89aab" xsi:nil="true"/>
    <BCC xmlns="4b62e893-22f0-4291-b835-e3dda2a89aab" xsi:nil="true"/>
    <Sensitivity xmlns="4b62e893-22f0-4291-b835-e3dda2a89aab" xsi:nil="true"/>
    <IconOverlay xmlns="http://schemas.microsoft.com/sharepoint/v4" xsi:nil="true"/>
    <To xmlns="4b62e893-22f0-4291-b835-e3dda2a89aab" xsi:nil="true"/>
    <Conversation_x0020_Topic xmlns="4b62e893-22f0-4291-b835-e3dda2a89aab" xsi:nil="true"/>
    <Original_x0020_Modified xmlns="4b62e893-22f0-4291-b835-e3dda2a89aab" xsi:nil="true"/>
    <CC xmlns="4b62e893-22f0-4291-b835-e3dda2a89aab" xsi:nil="true"/>
    <TaxCatchAll xmlns="406d9aec-898d-46cb-bf31-c4360018fedc" xsi:nil="true"/>
    <Importance xmlns="4b62e893-22f0-4291-b835-e3dda2a89aab" xsi:nil="true"/>
    <_dlc_DocIdPersistId xmlns="406d9aec-898d-46cb-bf31-c4360018fedc" xsi:nil="true"/>
    <Original_x0020_Producer xmlns="4b62e893-22f0-4291-b835-e3dda2a89aab" xsi:nil="true"/>
    <lcf76f155ced4ddcb4097134ff3c332f xmlns="812f1821-9b08-4c39-99da-29d577233d6f">
      <Terms xmlns="http://schemas.microsoft.com/office/infopath/2007/PartnerControls"/>
    </lcf76f155ced4ddcb4097134ff3c332f>
    <Notes xmlns="812f1821-9b08-4c39-99da-29d577233d6f" xsi:nil="true"/>
    <Message_x0020_ID xmlns="4b62e893-22f0-4291-b835-e3dda2a89aab" xsi:nil="true"/>
    <Received_x0020_Time xmlns="4b62e893-22f0-4291-b835-e3dda2a89aab" xsi:nil="true"/>
    <_dlc_DocIdUrl xmlns="406d9aec-898d-46cb-bf31-c4360018fedc">
      <Url>https://mlaus.sharepoint.com/sites/CRM/_layouts/15/DocIdRedir.aspx?ID=PCFZEUR3HMRA-582714330-956226</Url>
      <Description>PCFZEUR3HMRA-582714330-956226</Description>
    </_dlc_DocIdUrl>
    <From1 xmlns="4b62e893-22f0-4291-b835-e3dda2a89aab" xsi:nil="true"/>
    <_dlc_DocId xmlns="406d9aec-898d-46cb-bf31-c4360018fedc">PCFZEUR3HMRA-582714330-956226</_dlc_DocId>
  </documentManagement>
</p:properties>
</file>

<file path=customXml/itemProps1.xml><?xml version="1.0" encoding="utf-8"?>
<ds:datastoreItem xmlns:ds="http://schemas.openxmlformats.org/officeDocument/2006/customXml" ds:itemID="{60F8FA86-66AE-4A94-9944-D2772113C473}"/>
</file>

<file path=customXml/itemProps2.xml><?xml version="1.0" encoding="utf-8"?>
<ds:datastoreItem xmlns:ds="http://schemas.openxmlformats.org/officeDocument/2006/customXml" ds:itemID="{F29C2B10-435C-46D7-87C8-54C20E31DC7B}"/>
</file>

<file path=customXml/itemProps3.xml><?xml version="1.0" encoding="utf-8"?>
<ds:datastoreItem xmlns:ds="http://schemas.openxmlformats.org/officeDocument/2006/customXml" ds:itemID="{86BA7140-D8A9-4395-9CF4-EC79BD1A72AA}"/>
</file>

<file path=customXml/itemProps4.xml><?xml version="1.0" encoding="utf-8"?>
<ds:datastoreItem xmlns:ds="http://schemas.openxmlformats.org/officeDocument/2006/customXml" ds:itemID="{90525CB3-3EFB-4F10-8D75-DE5C8E0E86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Department of Primary Industries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DPI</dc:creator>
  <cp:keywords/>
  <dc:description/>
  <cp:lastModifiedBy/>
  <cp:revision/>
  <dcterms:created xsi:type="dcterms:W3CDTF">2003-03-07T06:12:43Z</dcterms:created>
  <dcterms:modified xsi:type="dcterms:W3CDTF">2022-10-10T05:37:03Z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0x010100771DBBAAFF8F234786F3FE35C2C55285</vt:lpwstr>
  </property>
  <property fmtid="{D5CDD505-2E9C-101B-9397-08002B2CF9AE}" pid="3" name="_dlc_DocIdItemGuid">
    <vt:lpwstr>03e9beb8-2f6c-40c2-92f1-d260ca8f7e76</vt:lpwstr>
  </property>
  <property fmtid="{D5CDD505-2E9C-101B-9397-08002B2CF9AE}" pid="4" name="MediaServiceImageTags">
    <vt:lpwstr/>
  </property>
  <property fmtid="{D5CDD505-2E9C-101B-9397-08002B2CF9AE}" pid="5" name="MSIP_Label_f07ddce7-1591-4a00-8c9f-76632455b2e3_Enabled">
    <vt:lpwstr>true</vt:lpwstr>
  </property>
  <property fmtid="{D5CDD505-2E9C-101B-9397-08002B2CF9AE}" pid="6" name="MSIP_Label_f07ddce7-1591-4a00-8c9f-76632455b2e3_SetDate">
    <vt:lpwstr>2022-10-10T03:12:35Z</vt:lpwstr>
  </property>
  <property fmtid="{D5CDD505-2E9C-101B-9397-08002B2CF9AE}" pid="7" name="MSIP_Label_f07ddce7-1591-4a00-8c9f-76632455b2e3_Method">
    <vt:lpwstr>Standard</vt:lpwstr>
  </property>
  <property fmtid="{D5CDD505-2E9C-101B-9397-08002B2CF9AE}" pid="8" name="MSIP_Label_f07ddce7-1591-4a00-8c9f-76632455b2e3_Name">
    <vt:lpwstr>Internal</vt:lpwstr>
  </property>
  <property fmtid="{D5CDD505-2E9C-101B-9397-08002B2CF9AE}" pid="9" name="MSIP_Label_f07ddce7-1591-4a00-8c9f-76632455b2e3_SiteId">
    <vt:lpwstr>a3829b1c-ecbe-49d4-88e9-4f28f79afa11</vt:lpwstr>
  </property>
  <property fmtid="{D5CDD505-2E9C-101B-9397-08002B2CF9AE}" pid="10" name="MSIP_Label_f07ddce7-1591-4a00-8c9f-76632455b2e3_ActionId">
    <vt:lpwstr>c4a346c6-4394-4bb8-a2c1-9c04c9d6aa80</vt:lpwstr>
  </property>
  <property fmtid="{D5CDD505-2E9C-101B-9397-08002B2CF9AE}" pid="11" name="MSIP_Label_f07ddce7-1591-4a00-8c9f-76632455b2e3_ContentBits">
    <vt:lpwstr>0</vt:lpwstr>
  </property>
</Properties>
</file>