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P:\CAFHS_New\Projects 2024-25\MLA APsture Forages tender\Data\"/>
    </mc:Choice>
  </mc:AlternateContent>
  <xr:revisionPtr revIDLastSave="0" documentId="8_{43EE7FEB-DAA1-4E50-A729-0039D4393CBA}" xr6:coauthVersionLast="47" xr6:coauthVersionMax="47" xr10:uidLastSave="{00000000-0000-0000-0000-000000000000}"/>
  <bookViews>
    <workbookView xWindow="-120" yWindow="-120" windowWidth="29040" windowHeight="17520" firstSheet="1" activeTab="1" xr2:uid="{1CEDE1CC-E0E4-4813-B689-6283202A907C}"/>
  </bookViews>
  <sheets>
    <sheet name="Adoption model" sheetId="3" r:id="rId1"/>
    <sheet name="Calculations" sheetId="6" r:id="rId2"/>
    <sheet name="Sheep intake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3" l="1"/>
  <c r="Z35" i="6" l="1"/>
  <c r="AN33" i="6"/>
  <c r="AJ33" i="6"/>
  <c r="Y33" i="6"/>
  <c r="V33" i="6"/>
  <c r="M33" i="6"/>
  <c r="N33" i="6" s="1"/>
  <c r="F33" i="6"/>
  <c r="G33" i="6" s="1"/>
  <c r="I33" i="6" s="1"/>
  <c r="AN34" i="6"/>
  <c r="AJ34" i="6"/>
  <c r="Y34" i="6"/>
  <c r="V34" i="6"/>
  <c r="M34" i="6"/>
  <c r="N34" i="6" s="1"/>
  <c r="F34" i="6"/>
  <c r="G34" i="6" s="1"/>
  <c r="I34" i="6" s="1"/>
  <c r="O34" i="6" s="1"/>
  <c r="AZ34" i="6" s="1"/>
  <c r="AN32" i="6"/>
  <c r="AJ32" i="6"/>
  <c r="Y32" i="6"/>
  <c r="V32" i="6"/>
  <c r="M32" i="6"/>
  <c r="N32" i="6" s="1"/>
  <c r="I32" i="6"/>
  <c r="P31" i="6"/>
  <c r="AN26" i="6"/>
  <c r="AJ26" i="6"/>
  <c r="Y26" i="6"/>
  <c r="V26" i="6"/>
  <c r="M26" i="6"/>
  <c r="N26" i="6" s="1"/>
  <c r="F26" i="6"/>
  <c r="G26" i="6" s="1"/>
  <c r="I26" i="6" s="1"/>
  <c r="AN30" i="6"/>
  <c r="AJ30" i="6"/>
  <c r="Y30" i="6"/>
  <c r="V30" i="6"/>
  <c r="M30" i="6"/>
  <c r="N30" i="6" s="1"/>
  <c r="F30" i="6"/>
  <c r="G30" i="6" s="1"/>
  <c r="I30" i="6" s="1"/>
  <c r="AN29" i="6"/>
  <c r="AJ29" i="6"/>
  <c r="Y29" i="6"/>
  <c r="V29" i="6"/>
  <c r="M29" i="6"/>
  <c r="N29" i="6" s="1"/>
  <c r="I29" i="6"/>
  <c r="O29" i="6" s="1"/>
  <c r="AZ29" i="6" s="1"/>
  <c r="F29" i="6"/>
  <c r="AN28" i="6"/>
  <c r="AJ28" i="6"/>
  <c r="Y28" i="6"/>
  <c r="V28" i="6"/>
  <c r="M28" i="6"/>
  <c r="N28" i="6" s="1"/>
  <c r="I28" i="6"/>
  <c r="O28" i="6" s="1"/>
  <c r="AZ28" i="6" s="1"/>
  <c r="F28" i="6"/>
  <c r="AN27" i="6"/>
  <c r="AJ27" i="6"/>
  <c r="Y27" i="6"/>
  <c r="V27" i="6"/>
  <c r="M27" i="6"/>
  <c r="N27" i="6" s="1"/>
  <c r="I27" i="6"/>
  <c r="O27" i="6" s="1"/>
  <c r="AZ27" i="6" s="1"/>
  <c r="F27" i="6"/>
  <c r="AN25" i="6"/>
  <c r="AJ25" i="6"/>
  <c r="Y25" i="6"/>
  <c r="V25" i="6"/>
  <c r="M25" i="6"/>
  <c r="N25" i="6" s="1"/>
  <c r="F25" i="6"/>
  <c r="G25" i="6" s="1"/>
  <c r="I25" i="6" s="1"/>
  <c r="AN24" i="6"/>
  <c r="AJ24" i="6"/>
  <c r="Y24" i="6"/>
  <c r="V24" i="6"/>
  <c r="M24" i="6"/>
  <c r="N24" i="6" s="1"/>
  <c r="F24" i="6"/>
  <c r="G24" i="6" s="1"/>
  <c r="I24" i="6" s="1"/>
  <c r="Y16" i="6"/>
  <c r="Y12" i="6"/>
  <c r="Y11" i="6"/>
  <c r="Y10" i="6"/>
  <c r="Y9" i="6"/>
  <c r="Y7" i="6"/>
  <c r="Y6" i="6"/>
  <c r="J18" i="4"/>
  <c r="K18" i="4"/>
  <c r="J19" i="4"/>
  <c r="K19" i="4"/>
  <c r="J20" i="4"/>
  <c r="AN14" i="6" s="1"/>
  <c r="K20" i="4"/>
  <c r="J21" i="4"/>
  <c r="K21" i="4"/>
  <c r="J22" i="4"/>
  <c r="K22" i="4"/>
  <c r="J23" i="4"/>
  <c r="K23" i="4"/>
  <c r="J24" i="4"/>
  <c r="K24" i="4"/>
  <c r="J25" i="4"/>
  <c r="K25" i="4"/>
  <c r="I18" i="4"/>
  <c r="F18" i="4"/>
  <c r="F19" i="4"/>
  <c r="F20" i="4"/>
  <c r="F21" i="4"/>
  <c r="F22" i="4"/>
  <c r="F23" i="4"/>
  <c r="F24" i="4"/>
  <c r="F25" i="4"/>
  <c r="E19" i="4"/>
  <c r="E20" i="4"/>
  <c r="E21" i="4"/>
  <c r="E22" i="4"/>
  <c r="E23" i="4"/>
  <c r="E24" i="4"/>
  <c r="E25" i="4"/>
  <c r="E18" i="4"/>
  <c r="Z17" i="6"/>
  <c r="AN15" i="6"/>
  <c r="AJ15" i="6"/>
  <c r="AK15" i="6" s="1"/>
  <c r="Y15" i="6"/>
  <c r="V15" i="6"/>
  <c r="M15" i="6"/>
  <c r="N15" i="6" s="1"/>
  <c r="F15" i="6"/>
  <c r="G15" i="6" s="1"/>
  <c r="I15" i="6" s="1"/>
  <c r="AN16" i="6"/>
  <c r="AJ16" i="6"/>
  <c r="AK16" i="6" s="1"/>
  <c r="V16" i="6"/>
  <c r="M16" i="6"/>
  <c r="N16" i="6" s="1"/>
  <c r="F16" i="6"/>
  <c r="G16" i="6" s="1"/>
  <c r="I16" i="6" s="1"/>
  <c r="AJ14" i="6"/>
  <c r="AK14" i="6" s="1"/>
  <c r="Y14" i="6"/>
  <c r="V14" i="6"/>
  <c r="M14" i="6"/>
  <c r="N14" i="6" s="1"/>
  <c r="I14" i="6"/>
  <c r="O14" i="6" s="1"/>
  <c r="AZ14" i="6" s="1"/>
  <c r="P13" i="6"/>
  <c r="AN8" i="6"/>
  <c r="AJ8" i="6"/>
  <c r="AK8" i="6" s="1"/>
  <c r="Y8" i="6"/>
  <c r="V8" i="6"/>
  <c r="M8" i="6"/>
  <c r="N8" i="6" s="1"/>
  <c r="F8" i="6"/>
  <c r="G8" i="6" s="1"/>
  <c r="I8" i="6" s="1"/>
  <c r="AN12" i="6"/>
  <c r="AJ12" i="6"/>
  <c r="AK12" i="6" s="1"/>
  <c r="V12" i="6"/>
  <c r="M12" i="6"/>
  <c r="N12" i="6" s="1"/>
  <c r="F12" i="6"/>
  <c r="G12" i="6" s="1"/>
  <c r="I12" i="6" s="1"/>
  <c r="AN11" i="6"/>
  <c r="AJ11" i="6"/>
  <c r="AK11" i="6" s="1"/>
  <c r="V11" i="6"/>
  <c r="M11" i="6"/>
  <c r="N11" i="6" s="1"/>
  <c r="I11" i="6"/>
  <c r="O11" i="6" s="1"/>
  <c r="AZ11" i="6" s="1"/>
  <c r="F11" i="6"/>
  <c r="AN10" i="6"/>
  <c r="AJ10" i="6"/>
  <c r="AK10" i="6" s="1"/>
  <c r="V10" i="6"/>
  <c r="M10" i="6"/>
  <c r="N10" i="6" s="1"/>
  <c r="I10" i="6"/>
  <c r="O10" i="6" s="1"/>
  <c r="AZ10" i="6" s="1"/>
  <c r="F10" i="6"/>
  <c r="AN9" i="6"/>
  <c r="AJ9" i="6"/>
  <c r="AK9" i="6" s="1"/>
  <c r="V9" i="6"/>
  <c r="M9" i="6"/>
  <c r="N9" i="6" s="1"/>
  <c r="I9" i="6"/>
  <c r="O9" i="6" s="1"/>
  <c r="AZ9" i="6" s="1"/>
  <c r="F9" i="6"/>
  <c r="AN7" i="6"/>
  <c r="AJ7" i="6"/>
  <c r="AK7" i="6" s="1"/>
  <c r="V7" i="6"/>
  <c r="M7" i="6"/>
  <c r="N7" i="6" s="1"/>
  <c r="F7" i="6"/>
  <c r="G7" i="6" s="1"/>
  <c r="I7" i="6" s="1"/>
  <c r="AN6" i="6"/>
  <c r="AJ6" i="6"/>
  <c r="AK6" i="6" s="1"/>
  <c r="V6" i="6"/>
  <c r="M6" i="6"/>
  <c r="N6" i="6" s="1"/>
  <c r="F6" i="6"/>
  <c r="G6" i="6" s="1"/>
  <c r="I6" i="6" s="1"/>
  <c r="O6" i="6" s="1"/>
  <c r="AZ6" i="6" s="1"/>
  <c r="O32" i="3"/>
  <c r="M40" i="3"/>
  <c r="O40" i="3" s="1"/>
  <c r="M49" i="3"/>
  <c r="O49" i="3" s="1"/>
  <c r="K22" i="3"/>
  <c r="K23" i="3"/>
  <c r="O56" i="3" l="1"/>
  <c r="Z34" i="6"/>
  <c r="AC34" i="6" s="1"/>
  <c r="Z30" i="6"/>
  <c r="AC30" i="6" s="1"/>
  <c r="P28" i="6"/>
  <c r="Q28" i="6" s="1"/>
  <c r="BJ28" i="6" s="1"/>
  <c r="BN28" i="6" s="1"/>
  <c r="Z27" i="6"/>
  <c r="AC27" i="6" s="1"/>
  <c r="Z26" i="6"/>
  <c r="AC26" i="6" s="1"/>
  <c r="Z24" i="6"/>
  <c r="AC24" i="6" s="1"/>
  <c r="Z28" i="6"/>
  <c r="AC28" i="6" s="1"/>
  <c r="Z32" i="6"/>
  <c r="AC32" i="6" s="1"/>
  <c r="Z33" i="6"/>
  <c r="AC33" i="6" s="1"/>
  <c r="P34" i="6"/>
  <c r="Q34" i="6" s="1"/>
  <c r="BE34" i="6" s="1"/>
  <c r="Z25" i="6"/>
  <c r="AC25" i="6" s="1"/>
  <c r="O30" i="6"/>
  <c r="AZ30" i="6" s="1"/>
  <c r="O25" i="6"/>
  <c r="AZ25" i="6" s="1"/>
  <c r="O24" i="6"/>
  <c r="AZ24" i="6" s="1"/>
  <c r="P29" i="6"/>
  <c r="Q29" i="6" s="1"/>
  <c r="O33" i="6"/>
  <c r="AZ33" i="6" s="1"/>
  <c r="Z29" i="6"/>
  <c r="AC29" i="6" s="1"/>
  <c r="P27" i="6"/>
  <c r="Q27" i="6" s="1"/>
  <c r="O26" i="6"/>
  <c r="O32" i="6"/>
  <c r="AZ32" i="6" s="1"/>
  <c r="Z7" i="6"/>
  <c r="Z12" i="6"/>
  <c r="Z15" i="6"/>
  <c r="Z14" i="6"/>
  <c r="P11" i="6"/>
  <c r="Q11" i="6" s="1"/>
  <c r="BJ11" i="6" s="1"/>
  <c r="BN11" i="6" s="1"/>
  <c r="P9" i="6"/>
  <c r="Q9" i="6" s="1"/>
  <c r="BJ9" i="6" s="1"/>
  <c r="BN9" i="6" s="1"/>
  <c r="Z9" i="6"/>
  <c r="P6" i="6"/>
  <c r="Q6" i="6" s="1"/>
  <c r="BJ6" i="6" s="1"/>
  <c r="Z6" i="6"/>
  <c r="P14" i="6"/>
  <c r="Q14" i="6" s="1"/>
  <c r="BE14" i="6" s="1"/>
  <c r="Z10" i="6"/>
  <c r="Z8" i="6"/>
  <c r="P10" i="6"/>
  <c r="Q10" i="6" s="1"/>
  <c r="O8" i="6"/>
  <c r="AZ8" i="6" s="1"/>
  <c r="O12" i="6"/>
  <c r="AZ12" i="6" s="1"/>
  <c r="O16" i="6"/>
  <c r="AZ16" i="6" s="1"/>
  <c r="Z11" i="6"/>
  <c r="O7" i="6"/>
  <c r="AZ7" i="6" s="1"/>
  <c r="O15" i="6"/>
  <c r="AZ15" i="6" s="1"/>
  <c r="Z16" i="6"/>
  <c r="AZ35" i="6" l="1"/>
  <c r="AC11" i="6"/>
  <c r="AA11" i="6"/>
  <c r="AC9" i="6"/>
  <c r="AA9" i="6"/>
  <c r="AC14" i="6"/>
  <c r="AA14" i="6"/>
  <c r="AC7" i="6"/>
  <c r="AA7" i="6"/>
  <c r="AC15" i="6"/>
  <c r="AA15" i="6"/>
  <c r="AC12" i="6"/>
  <c r="AA12" i="6"/>
  <c r="AC16" i="6"/>
  <c r="AA16" i="6"/>
  <c r="AC8" i="6"/>
  <c r="AA8" i="6"/>
  <c r="AC10" i="6"/>
  <c r="AA10" i="6"/>
  <c r="AZ17" i="6"/>
  <c r="AC6" i="6"/>
  <c r="AA6" i="6"/>
  <c r="P30" i="6"/>
  <c r="Q30" i="6" s="1"/>
  <c r="BJ30" i="6" s="1"/>
  <c r="BN30" i="6" s="1"/>
  <c r="R34" i="6"/>
  <c r="BJ34" i="6"/>
  <c r="BN34" i="6" s="1"/>
  <c r="P33" i="6"/>
  <c r="Q33" i="6" s="1"/>
  <c r="R33" i="6" s="1"/>
  <c r="R28" i="6"/>
  <c r="BE28" i="6"/>
  <c r="P32" i="6"/>
  <c r="Q32" i="6" s="1"/>
  <c r="BJ29" i="6"/>
  <c r="BN29" i="6" s="1"/>
  <c r="R29" i="6"/>
  <c r="BE29" i="6"/>
  <c r="P24" i="6"/>
  <c r="Q24" i="6" s="1"/>
  <c r="P25" i="6"/>
  <c r="Q25" i="6" s="1"/>
  <c r="AZ26" i="6"/>
  <c r="AZ31" i="6" s="1"/>
  <c r="P26" i="6"/>
  <c r="Q26" i="6" s="1"/>
  <c r="BJ27" i="6"/>
  <c r="BN27" i="6" s="1"/>
  <c r="BE27" i="6"/>
  <c r="R27" i="6"/>
  <c r="BE11" i="6"/>
  <c r="R11" i="6"/>
  <c r="AZ13" i="6"/>
  <c r="BJ14" i="6"/>
  <c r="R14" i="6"/>
  <c r="BE6" i="6"/>
  <c r="P15" i="6"/>
  <c r="Q15" i="6" s="1"/>
  <c r="R15" i="6" s="1"/>
  <c r="R6" i="6"/>
  <c r="BE9" i="6"/>
  <c r="R9" i="6"/>
  <c r="P7" i="6"/>
  <c r="Q7" i="6" s="1"/>
  <c r="BJ7" i="6" s="1"/>
  <c r="BN7" i="6" s="1"/>
  <c r="P8" i="6"/>
  <c r="Q8" i="6" s="1"/>
  <c r="BN6" i="6"/>
  <c r="P16" i="6"/>
  <c r="Q16" i="6" s="1"/>
  <c r="BJ16" i="6" s="1"/>
  <c r="BJ10" i="6"/>
  <c r="BN10" i="6" s="1"/>
  <c r="BE10" i="6"/>
  <c r="R10" i="6"/>
  <c r="P12" i="6"/>
  <c r="Q12" i="6" s="1"/>
  <c r="BE30" i="6" l="1"/>
  <c r="R30" i="6"/>
  <c r="BJ33" i="6"/>
  <c r="BN33" i="6" s="1"/>
  <c r="BE33" i="6"/>
  <c r="BN14" i="6"/>
  <c r="BE16" i="6"/>
  <c r="BN16" i="6"/>
  <c r="R25" i="6"/>
  <c r="BJ25" i="6"/>
  <c r="BN25" i="6" s="1"/>
  <c r="BE25" i="6"/>
  <c r="BJ32" i="6"/>
  <c r="BE32" i="6"/>
  <c r="R32" i="6"/>
  <c r="R26" i="6"/>
  <c r="BJ26" i="6"/>
  <c r="BN26" i="6" s="1"/>
  <c r="BE26" i="6"/>
  <c r="BE24" i="6"/>
  <c r="R24" i="6"/>
  <c r="BJ24" i="6"/>
  <c r="R7" i="6"/>
  <c r="BE7" i="6"/>
  <c r="BJ15" i="6"/>
  <c r="BN15" i="6" s="1"/>
  <c r="BE15" i="6"/>
  <c r="BJ12" i="6"/>
  <c r="BN12" i="6" s="1"/>
  <c r="R12" i="6"/>
  <c r="BE12" i="6"/>
  <c r="R16" i="6"/>
  <c r="BJ8" i="6"/>
  <c r="BN8" i="6" s="1"/>
  <c r="BE8" i="6"/>
  <c r="R8" i="6"/>
  <c r="K24" i="3"/>
  <c r="K17" i="3"/>
  <c r="K21" i="3"/>
  <c r="K20" i="3"/>
  <c r="K19" i="3"/>
  <c r="K18" i="3"/>
  <c r="K16" i="3"/>
  <c r="K15" i="3"/>
  <c r="D25" i="4"/>
  <c r="D24" i="4"/>
  <c r="D23" i="4"/>
  <c r="D22" i="4"/>
  <c r="D21" i="4"/>
  <c r="D20" i="4"/>
  <c r="D19" i="4"/>
  <c r="D18" i="4"/>
  <c r="I25" i="4"/>
  <c r="I24" i="4"/>
  <c r="I23" i="4"/>
  <c r="I22" i="4"/>
  <c r="I21" i="4"/>
  <c r="I20" i="4"/>
  <c r="I19" i="4"/>
  <c r="G22" i="4"/>
  <c r="G23" i="4"/>
  <c r="G24" i="4"/>
  <c r="G25" i="4"/>
  <c r="C64" i="3"/>
  <c r="C63" i="3"/>
  <c r="C62" i="3"/>
  <c r="BE35" i="6" l="1"/>
  <c r="BN32" i="6"/>
  <c r="BJ35" i="6"/>
  <c r="BN35" i="6" s="1"/>
  <c r="BJ17" i="6"/>
  <c r="D64" i="3"/>
  <c r="BN17" i="6"/>
  <c r="C66" i="3"/>
  <c r="BE17" i="6"/>
  <c r="BE31" i="6"/>
  <c r="BJ31" i="6"/>
  <c r="BN31" i="6" s="1"/>
  <c r="BN24" i="6"/>
  <c r="BE13" i="6"/>
  <c r="BJ13" i="6"/>
  <c r="BN13" i="6" s="1"/>
  <c r="D62" i="3"/>
  <c r="D63" i="3"/>
  <c r="D66" i="3" l="1"/>
  <c r="D65" i="3" s="1"/>
  <c r="L22" i="3" l="1"/>
  <c r="M22" i="3" s="1"/>
  <c r="P22" i="3" s="1"/>
  <c r="L23" i="3"/>
  <c r="M23" i="3" s="1"/>
  <c r="P23" i="3" s="1"/>
  <c r="L19" i="3"/>
  <c r="M19" i="3" s="1"/>
  <c r="P19" i="3" s="1"/>
  <c r="L17" i="3"/>
  <c r="M17" i="3" s="1"/>
  <c r="P17" i="3" s="1"/>
  <c r="L18" i="3"/>
  <c r="M18" i="3" s="1"/>
  <c r="P18" i="3" s="1"/>
  <c r="L24" i="3"/>
  <c r="M24" i="3" s="1"/>
  <c r="P24" i="3" s="1"/>
  <c r="L21" i="3"/>
  <c r="M21" i="3" s="1"/>
  <c r="P21" i="3" s="1"/>
  <c r="L20" i="3"/>
  <c r="M20" i="3" s="1"/>
  <c r="P20" i="3" s="1"/>
  <c r="L15" i="3"/>
  <c r="M15" i="3" s="1"/>
  <c r="P15" i="3" s="1"/>
  <c r="L16" i="3"/>
  <c r="M16" i="3" s="1"/>
  <c r="P16" i="3" s="1"/>
  <c r="B26" i="6" l="1"/>
  <c r="C26" i="6" s="1"/>
  <c r="B8" i="6"/>
  <c r="C8" i="6" s="1"/>
  <c r="B25" i="6"/>
  <c r="C25" i="6" s="1"/>
  <c r="B7" i="6"/>
  <c r="C7" i="6" s="1"/>
  <c r="B33" i="6"/>
  <c r="C33" i="6" s="1"/>
  <c r="AD33" i="6" s="1"/>
  <c r="B15" i="6"/>
  <c r="C15" i="6" s="1"/>
  <c r="AD15" i="6" s="1"/>
  <c r="B6" i="6"/>
  <c r="C6" i="6" s="1"/>
  <c r="B24" i="6"/>
  <c r="C24" i="6" s="1"/>
  <c r="B29" i="6"/>
  <c r="C29" i="6" s="1"/>
  <c r="B11" i="6"/>
  <c r="C11" i="6" s="1"/>
  <c r="B30" i="6"/>
  <c r="C30" i="6" s="1"/>
  <c r="B12" i="6"/>
  <c r="C12" i="6" s="1"/>
  <c r="B34" i="6"/>
  <c r="C34" i="6" s="1"/>
  <c r="AD34" i="6" s="1"/>
  <c r="B16" i="6"/>
  <c r="C16" i="6" s="1"/>
  <c r="AD16" i="6" s="1"/>
  <c r="B27" i="6"/>
  <c r="C27" i="6" s="1"/>
  <c r="B9" i="6"/>
  <c r="C9" i="6" s="1"/>
  <c r="B10" i="6"/>
  <c r="C10" i="6" s="1"/>
  <c r="B28" i="6"/>
  <c r="C28" i="6" s="1"/>
  <c r="B32" i="6"/>
  <c r="C32" i="6" s="1"/>
  <c r="AD32" i="6" s="1"/>
  <c r="B14" i="6"/>
  <c r="C14" i="6" s="1"/>
  <c r="AD14" i="6" s="1"/>
  <c r="AT32" i="6" l="1"/>
  <c r="AV32" i="6" s="1"/>
  <c r="AE32" i="6"/>
  <c r="AT14" i="6"/>
  <c r="AV14" i="6" s="1"/>
  <c r="AE14" i="6"/>
  <c r="AD26" i="6"/>
  <c r="AD8" i="6"/>
  <c r="AD24" i="6"/>
  <c r="AT15" i="6"/>
  <c r="AV15" i="6" s="1"/>
  <c r="AE15" i="6"/>
  <c r="AT33" i="6"/>
  <c r="AV33" i="6" s="1"/>
  <c r="AE33" i="6"/>
  <c r="AT16" i="6"/>
  <c r="AV16" i="6" s="1"/>
  <c r="AE16" i="6"/>
  <c r="AT34" i="6"/>
  <c r="AV34" i="6" s="1"/>
  <c r="AE34" i="6"/>
  <c r="AS32" i="6" l="1"/>
  <c r="AU32" i="6" s="1"/>
  <c r="AW32" i="6" s="1"/>
  <c r="BA32" i="6"/>
  <c r="AO32" i="6"/>
  <c r="AF32" i="6"/>
  <c r="AS14" i="6"/>
  <c r="AU14" i="6" s="1"/>
  <c r="AW14" i="6" s="1"/>
  <c r="BA14" i="6"/>
  <c r="AF14" i="6"/>
  <c r="AO14" i="6"/>
  <c r="AO33" i="6"/>
  <c r="BA33" i="6"/>
  <c r="AF33" i="6"/>
  <c r="AS33" i="6"/>
  <c r="AU33" i="6" s="1"/>
  <c r="AW33" i="6" s="1"/>
  <c r="AS15" i="6"/>
  <c r="AU15" i="6" s="1"/>
  <c r="AW15" i="6" s="1"/>
  <c r="AO15" i="6"/>
  <c r="BA15" i="6"/>
  <c r="AF15" i="6"/>
  <c r="AT24" i="6"/>
  <c r="AV24" i="6" s="1"/>
  <c r="AE24" i="6"/>
  <c r="AD6" i="6"/>
  <c r="AT6" i="6" s="1"/>
  <c r="AV6" i="6" s="1"/>
  <c r="AO16" i="6"/>
  <c r="AF16" i="6"/>
  <c r="BA16" i="6"/>
  <c r="AS16" i="6"/>
  <c r="AU16" i="6" s="1"/>
  <c r="AW16" i="6" s="1"/>
  <c r="BK16" i="6" s="1"/>
  <c r="AD9" i="6"/>
  <c r="AD27" i="6"/>
  <c r="AT8" i="6"/>
  <c r="AV8" i="6" s="1"/>
  <c r="AE8" i="6"/>
  <c r="AF34" i="6"/>
  <c r="AS34" i="6"/>
  <c r="AU34" i="6" s="1"/>
  <c r="AW34" i="6" s="1"/>
  <c r="AO34" i="6"/>
  <c r="BA34" i="6"/>
  <c r="AT26" i="6"/>
  <c r="AV26" i="6" s="1"/>
  <c r="AE26" i="6"/>
  <c r="AP32" i="6" l="1"/>
  <c r="AQ32" i="6"/>
  <c r="AQ14" i="6"/>
  <c r="AP14" i="6"/>
  <c r="BF14" i="6"/>
  <c r="BK14" i="6"/>
  <c r="BC32" i="6"/>
  <c r="BB32" i="6"/>
  <c r="BC14" i="6"/>
  <c r="BB14" i="6"/>
  <c r="BK32" i="6"/>
  <c r="BF32" i="6"/>
  <c r="BA35" i="6"/>
  <c r="BB35" i="6" s="1"/>
  <c r="AF24" i="6"/>
  <c r="AS24" i="6"/>
  <c r="AU24" i="6" s="1"/>
  <c r="AW24" i="6" s="1"/>
  <c r="AO24" i="6"/>
  <c r="BA24" i="6"/>
  <c r="BC24" i="6" s="1"/>
  <c r="AE6" i="6"/>
  <c r="BF15" i="6"/>
  <c r="BK15" i="6"/>
  <c r="BK17" i="6" s="1"/>
  <c r="AP34" i="6"/>
  <c r="AQ34" i="6"/>
  <c r="BA17" i="6"/>
  <c r="BB17" i="6" s="1"/>
  <c r="BB15" i="6"/>
  <c r="BC15" i="6"/>
  <c r="AD10" i="6"/>
  <c r="AD28" i="6"/>
  <c r="BF34" i="6"/>
  <c r="BK34" i="6"/>
  <c r="BA8" i="6"/>
  <c r="AF8" i="6"/>
  <c r="AO8" i="6"/>
  <c r="AS8" i="6"/>
  <c r="AU8" i="6" s="1"/>
  <c r="AW8" i="6" s="1"/>
  <c r="AD7" i="6"/>
  <c r="AD25" i="6"/>
  <c r="AD12" i="6"/>
  <c r="AD30" i="6"/>
  <c r="BF16" i="6"/>
  <c r="BB34" i="6"/>
  <c r="BC34" i="6"/>
  <c r="AD29" i="6"/>
  <c r="AD11" i="6"/>
  <c r="AT27" i="6"/>
  <c r="AV27" i="6" s="1"/>
  <c r="AE27" i="6"/>
  <c r="AQ15" i="6"/>
  <c r="AP15" i="6"/>
  <c r="AE9" i="6"/>
  <c r="AT9" i="6"/>
  <c r="AV9" i="6" s="1"/>
  <c r="BK33" i="6"/>
  <c r="BF33" i="6"/>
  <c r="BB16" i="6"/>
  <c r="BC16" i="6"/>
  <c r="AF26" i="6"/>
  <c r="BA26" i="6"/>
  <c r="AO26" i="6"/>
  <c r="AS26" i="6"/>
  <c r="AU26" i="6" s="1"/>
  <c r="AW26" i="6" s="1"/>
  <c r="BB33" i="6"/>
  <c r="BC33" i="6"/>
  <c r="BC35" i="6" s="1"/>
  <c r="AP16" i="6"/>
  <c r="AQ16" i="6"/>
  <c r="AP33" i="6"/>
  <c r="AQ33" i="6"/>
  <c r="BG32" i="6" l="1"/>
  <c r="BH32" i="6"/>
  <c r="BL14" i="6"/>
  <c r="BO14" i="6"/>
  <c r="BP14" i="6" s="1"/>
  <c r="BG14" i="6"/>
  <c r="BH14" i="6"/>
  <c r="BO32" i="6"/>
  <c r="BP32" i="6" s="1"/>
  <c r="BL32" i="6"/>
  <c r="BF35" i="6"/>
  <c r="BG35" i="6" s="1"/>
  <c r="BK35" i="6"/>
  <c r="BO35" i="6" s="1"/>
  <c r="BP35" i="6" s="1"/>
  <c r="BL16" i="6"/>
  <c r="BO16" i="6"/>
  <c r="BP16" i="6" s="1"/>
  <c r="BA9" i="6"/>
  <c r="AF9" i="6"/>
  <c r="AS9" i="6"/>
  <c r="AU9" i="6" s="1"/>
  <c r="AW9" i="6" s="1"/>
  <c r="AO9" i="6"/>
  <c r="AT12" i="6"/>
  <c r="AV12" i="6" s="1"/>
  <c r="AE12" i="6"/>
  <c r="AQ26" i="6"/>
  <c r="AP26" i="6"/>
  <c r="AE7" i="6"/>
  <c r="AT7" i="6"/>
  <c r="AV7" i="6" s="1"/>
  <c r="BK26" i="6"/>
  <c r="BF26" i="6"/>
  <c r="AQ8" i="6"/>
  <c r="AP8" i="6"/>
  <c r="BO15" i="6"/>
  <c r="BP15" i="6" s="1"/>
  <c r="BL15" i="6"/>
  <c r="BO17" i="6"/>
  <c r="BP17" i="6" s="1"/>
  <c r="BK8" i="6"/>
  <c r="BF8" i="6"/>
  <c r="AE11" i="6"/>
  <c r="AT11" i="6"/>
  <c r="AV11" i="6" s="1"/>
  <c r="BH15" i="6"/>
  <c r="BG15" i="6"/>
  <c r="BF17" i="6"/>
  <c r="BG17" i="6" s="1"/>
  <c r="BB26" i="6"/>
  <c r="BC26" i="6"/>
  <c r="AT29" i="6"/>
  <c r="AV29" i="6" s="1"/>
  <c r="AE29" i="6"/>
  <c r="BB8" i="6"/>
  <c r="BC8" i="6"/>
  <c r="BO34" i="6"/>
  <c r="BP34" i="6" s="1"/>
  <c r="BL34" i="6"/>
  <c r="AS6" i="6"/>
  <c r="BA6" i="6"/>
  <c r="AO6" i="6"/>
  <c r="AF6" i="6"/>
  <c r="BH33" i="6"/>
  <c r="BG33" i="6"/>
  <c r="BH34" i="6"/>
  <c r="BG34" i="6"/>
  <c r="BB24" i="6"/>
  <c r="AF27" i="6"/>
  <c r="BA27" i="6"/>
  <c r="AO27" i="6"/>
  <c r="AS27" i="6"/>
  <c r="AU27" i="6" s="1"/>
  <c r="AW27" i="6" s="1"/>
  <c r="BL33" i="6"/>
  <c r="BO33" i="6"/>
  <c r="BP33" i="6" s="1"/>
  <c r="BG16" i="6"/>
  <c r="BH16" i="6"/>
  <c r="AT28" i="6"/>
  <c r="AV28" i="6" s="1"/>
  <c r="AE28" i="6"/>
  <c r="AQ24" i="6"/>
  <c r="AP24" i="6"/>
  <c r="AT25" i="6"/>
  <c r="AV25" i="6" s="1"/>
  <c r="AE25" i="6"/>
  <c r="AT10" i="6"/>
  <c r="AV10" i="6" s="1"/>
  <c r="AE10" i="6"/>
  <c r="BK24" i="6"/>
  <c r="BF24" i="6"/>
  <c r="AT30" i="6"/>
  <c r="AV30" i="6" s="1"/>
  <c r="AE30" i="6"/>
  <c r="BC17" i="6"/>
  <c r="BH35" i="6" l="1"/>
  <c r="BL35" i="6"/>
  <c r="AU6" i="6"/>
  <c r="AW6" i="6" s="1"/>
  <c r="BL17" i="6"/>
  <c r="BC6" i="6"/>
  <c r="BB6" i="6"/>
  <c r="AQ6" i="6"/>
  <c r="AP6" i="6"/>
  <c r="BG26" i="6"/>
  <c r="BH26" i="6"/>
  <c r="BO24" i="6"/>
  <c r="BP24" i="6" s="1"/>
  <c r="BL24" i="6"/>
  <c r="BK27" i="6"/>
  <c r="BF27" i="6"/>
  <c r="AP9" i="6"/>
  <c r="AQ9" i="6"/>
  <c r="BH24" i="6"/>
  <c r="BG24" i="6"/>
  <c r="AF11" i="6"/>
  <c r="AS11" i="6"/>
  <c r="AU11" i="6" s="1"/>
  <c r="AW11" i="6" s="1"/>
  <c r="AO11" i="6"/>
  <c r="BA11" i="6"/>
  <c r="BL8" i="6"/>
  <c r="BO8" i="6"/>
  <c r="AS28" i="6"/>
  <c r="AU28" i="6" s="1"/>
  <c r="AW28" i="6" s="1"/>
  <c r="BA28" i="6"/>
  <c r="AO28" i="6"/>
  <c r="AF28" i="6"/>
  <c r="BA29" i="6"/>
  <c r="AF29" i="6"/>
  <c r="AS29" i="6"/>
  <c r="AU29" i="6" s="1"/>
  <c r="AW29" i="6" s="1"/>
  <c r="AO29" i="6"/>
  <c r="BF9" i="6"/>
  <c r="BK9" i="6"/>
  <c r="AS10" i="6"/>
  <c r="AU10" i="6" s="1"/>
  <c r="AW10" i="6" s="1"/>
  <c r="BA10" i="6"/>
  <c r="AO10" i="6"/>
  <c r="AF10" i="6"/>
  <c r="BA7" i="6"/>
  <c r="AS7" i="6"/>
  <c r="AU7" i="6" s="1"/>
  <c r="AW7" i="6" s="1"/>
  <c r="AF7" i="6"/>
  <c r="AO7" i="6"/>
  <c r="AO25" i="6"/>
  <c r="AF25" i="6"/>
  <c r="AS25" i="6"/>
  <c r="AU25" i="6" s="1"/>
  <c r="AW25" i="6" s="1"/>
  <c r="BA25" i="6"/>
  <c r="AF12" i="6"/>
  <c r="AS12" i="6"/>
  <c r="AU12" i="6" s="1"/>
  <c r="AW12" i="6" s="1"/>
  <c r="BA12" i="6"/>
  <c r="AO12" i="6"/>
  <c r="BA30" i="6"/>
  <c r="AF30" i="6"/>
  <c r="AS30" i="6"/>
  <c r="AU30" i="6" s="1"/>
  <c r="AW30" i="6" s="1"/>
  <c r="AO30" i="6"/>
  <c r="BH17" i="6"/>
  <c r="BO26" i="6"/>
  <c r="BP26" i="6" s="1"/>
  <c r="BL26" i="6"/>
  <c r="AP27" i="6"/>
  <c r="AQ27" i="6"/>
  <c r="BB27" i="6"/>
  <c r="BC27" i="6"/>
  <c r="BG8" i="6"/>
  <c r="BH8" i="6"/>
  <c r="BB9" i="6"/>
  <c r="BC9" i="6"/>
  <c r="BK6" i="6" l="1"/>
  <c r="BF6" i="6"/>
  <c r="BG6" i="6" s="1"/>
  <c r="AQ7" i="6"/>
  <c r="AP7" i="6"/>
  <c r="BK25" i="6"/>
  <c r="BF25" i="6"/>
  <c r="BO9" i="6"/>
  <c r="BL9" i="6"/>
  <c r="BB10" i="6"/>
  <c r="BC10" i="6"/>
  <c r="BK28" i="6"/>
  <c r="BF28" i="6"/>
  <c r="BB25" i="6"/>
  <c r="BC25" i="6"/>
  <c r="BH9" i="6"/>
  <c r="BG9" i="6"/>
  <c r="BK29" i="6"/>
  <c r="BF29" i="6"/>
  <c r="AQ10" i="6"/>
  <c r="AP10" i="6"/>
  <c r="BP8" i="6"/>
  <c r="BK10" i="6"/>
  <c r="BF10" i="6"/>
  <c r="BC11" i="6"/>
  <c r="BB11" i="6"/>
  <c r="AQ30" i="6"/>
  <c r="AP30" i="6"/>
  <c r="AQ29" i="6"/>
  <c r="AP29" i="6"/>
  <c r="BK7" i="6"/>
  <c r="BF7" i="6"/>
  <c r="BA31" i="6"/>
  <c r="BB30" i="6"/>
  <c r="BC30" i="6"/>
  <c r="AQ12" i="6"/>
  <c r="AP12" i="6"/>
  <c r="BH27" i="6"/>
  <c r="BG27" i="6"/>
  <c r="BL27" i="6"/>
  <c r="BO27" i="6"/>
  <c r="BP27" i="6" s="1"/>
  <c r="AQ25" i="6"/>
  <c r="AP25" i="6"/>
  <c r="AP11" i="6"/>
  <c r="AQ11" i="6"/>
  <c r="BK11" i="6"/>
  <c r="BF11" i="6"/>
  <c r="BF30" i="6"/>
  <c r="BK30" i="6"/>
  <c r="BB7" i="6"/>
  <c r="BC7" i="6"/>
  <c r="BC29" i="6"/>
  <c r="BB29" i="6"/>
  <c r="BB12" i="6"/>
  <c r="BC12" i="6"/>
  <c r="AP28" i="6"/>
  <c r="AQ28" i="6"/>
  <c r="BK12" i="6"/>
  <c r="BF12" i="6"/>
  <c r="BB28" i="6"/>
  <c r="BC28" i="6"/>
  <c r="BA13" i="6"/>
  <c r="BB13" i="6" s="1"/>
  <c r="BK13" i="6" l="1"/>
  <c r="BL13" i="6" s="1"/>
  <c r="BL6" i="6"/>
  <c r="BO6" i="6"/>
  <c r="BP6" i="6" s="1"/>
  <c r="BH6" i="6"/>
  <c r="BL28" i="6"/>
  <c r="BO28" i="6"/>
  <c r="BP28" i="6" s="1"/>
  <c r="BC13" i="6"/>
  <c r="BB31" i="6"/>
  <c r="BC31" i="6"/>
  <c r="BP9" i="6"/>
  <c r="BH12" i="6"/>
  <c r="BG12" i="6"/>
  <c r="BL30" i="6"/>
  <c r="BO30" i="6"/>
  <c r="BP30" i="6" s="1"/>
  <c r="BH30" i="6"/>
  <c r="BG30" i="6"/>
  <c r="BG10" i="6"/>
  <c r="BH10" i="6"/>
  <c r="BH28" i="6"/>
  <c r="BG28" i="6"/>
  <c r="BG11" i="6"/>
  <c r="BH11" i="6"/>
  <c r="BO10" i="6"/>
  <c r="BP10" i="6" s="1"/>
  <c r="BL10" i="6"/>
  <c r="BL11" i="6"/>
  <c r="BO11" i="6"/>
  <c r="BP11" i="6" s="1"/>
  <c r="BG7" i="6"/>
  <c r="BH7" i="6"/>
  <c r="BO7" i="6"/>
  <c r="BL7" i="6"/>
  <c r="BF13" i="6"/>
  <c r="BH29" i="6"/>
  <c r="BG29" i="6"/>
  <c r="BG25" i="6"/>
  <c r="BH25" i="6"/>
  <c r="BF31" i="6"/>
  <c r="BO12" i="6"/>
  <c r="BP12" i="6" s="1"/>
  <c r="BL12" i="6"/>
  <c r="BL29" i="6"/>
  <c r="BO29" i="6"/>
  <c r="BP29" i="6" s="1"/>
  <c r="BO25" i="6"/>
  <c r="BP25" i="6" s="1"/>
  <c r="BL25" i="6"/>
  <c r="BK31" i="6"/>
  <c r="BO13" i="6" l="1"/>
  <c r="BP13" i="6" s="1"/>
  <c r="BP7" i="6"/>
  <c r="BG31" i="6"/>
  <c r="BH31" i="6"/>
  <c r="BO31" i="6"/>
  <c r="BP31" i="6" s="1"/>
  <c r="BL31" i="6"/>
  <c r="BH13" i="6"/>
  <c r="BG13" i="6"/>
</calcChain>
</file>

<file path=xl/sharedStrings.xml><?xml version="1.0" encoding="utf-8"?>
<sst xmlns="http://schemas.openxmlformats.org/spreadsheetml/2006/main" count="347" uniqueCount="154">
  <si>
    <t>Notes</t>
  </si>
  <si>
    <t>The canola area in 2025 was dual purpose are halved as adoption slower for a  brassicas</t>
  </si>
  <si>
    <t>Leucaena based on Beutel in 2017 and published value in 1999 cant recall who</t>
  </si>
  <si>
    <t>Desmanthus area based on pers comm Chris Gardiner</t>
  </si>
  <si>
    <t>The proportional increase is actual increase per year  over the mea adoption score calculated from the 9 factors</t>
  </si>
  <si>
    <t>Step 2 is using the conversion factor to conver a score to an adoption rate</t>
  </si>
  <si>
    <t>Involves deciding how far from peak adoption a forage is , based on a 20 yr adoption trimframe</t>
  </si>
  <si>
    <t>The adjusteed adoption is the sum of adoption over the years to peak  divided by the total years (20)</t>
  </si>
  <si>
    <t>Adoption scores</t>
  </si>
  <si>
    <t>Cost of adoption</t>
  </si>
  <si>
    <t>Access to equipment, labout, and capital</t>
  </si>
  <si>
    <t>Certainty establishment/ persistence</t>
  </si>
  <si>
    <t>Animal Production &amp;  CH4 intensity benefit</t>
  </si>
  <si>
    <t>Carbon benefits</t>
  </si>
  <si>
    <t>Certainty of carbon benefits</t>
  </si>
  <si>
    <t>Climate stability</t>
  </si>
  <si>
    <t>Typology</t>
  </si>
  <si>
    <t>Access to information/equipment/captial</t>
  </si>
  <si>
    <t>Mean score</t>
  </si>
  <si>
    <t>Actual annual adoption for 3 species divided by score (%)</t>
  </si>
  <si>
    <t>Mean annual adoption not accounting for maturity of adoption curve (%)</t>
  </si>
  <si>
    <t>Adoptionprofile (years)</t>
  </si>
  <si>
    <t>Yeare from peak adoption</t>
  </si>
  <si>
    <t>Annual adoption rate rate after adjustment for years from peak production (%)</t>
  </si>
  <si>
    <t>1 - 3</t>
  </si>
  <si>
    <t>1 - 5</t>
  </si>
  <si>
    <t>1 - 10</t>
  </si>
  <si>
    <t xml:space="preserve">  Lucerne</t>
  </si>
  <si>
    <t xml:space="preserve">  Brassicas</t>
  </si>
  <si>
    <t>Plantain</t>
  </si>
  <si>
    <t xml:space="preserve">  Leucaena</t>
  </si>
  <si>
    <t xml:space="preserve">  Desmanthus</t>
  </si>
  <si>
    <t xml:space="preserve">  Stylos</t>
  </si>
  <si>
    <t xml:space="preserve">  Biserrula</t>
  </si>
  <si>
    <t>Ryegrass</t>
  </si>
  <si>
    <t>Sanfoin</t>
  </si>
  <si>
    <t>Rhagodia</t>
  </si>
  <si>
    <t>Step 2. Calculating observed adoption rates for Canola, Leucaena and Desmanthus</t>
  </si>
  <si>
    <t>Year</t>
  </si>
  <si>
    <t>canola adoption (Ha)*</t>
  </si>
  <si>
    <t>Leucaena (ha)</t>
  </si>
  <si>
    <t>Desmanthus (ha)</t>
  </si>
  <si>
    <t>Observed adoption rate (ppn)</t>
  </si>
  <si>
    <t>* Areao of dual purpose canola was halved to account for lower adoption rate of all brassicas.</t>
  </si>
  <si>
    <t>Adoption/score</t>
  </si>
  <si>
    <t>Observed adoptio (three species)</t>
  </si>
  <si>
    <t>predicted</t>
  </si>
  <si>
    <t>Canola</t>
  </si>
  <si>
    <t>Leucaena</t>
  </si>
  <si>
    <t>Desmanthus</t>
  </si>
  <si>
    <t>conversion</t>
  </si>
  <si>
    <t>Mean</t>
  </si>
  <si>
    <t>Variable animal performance and methane yield</t>
  </si>
  <si>
    <t>Adoption over 1 year (%)</t>
  </si>
  <si>
    <t>Business as usual</t>
  </si>
  <si>
    <t>BAU Intake, methane</t>
  </si>
  <si>
    <t>ppn diet and year</t>
  </si>
  <si>
    <t>Performance</t>
  </si>
  <si>
    <t>Increase din AE due to performance and adoption</t>
  </si>
  <si>
    <t>Methane yield accounting for mitigation only 100% diet</t>
  </si>
  <si>
    <t>Dry matter intake</t>
  </si>
  <si>
    <t>Methane production per year (tonnes)</t>
  </si>
  <si>
    <t>Adult equivalents</t>
  </si>
  <si>
    <t>methane tonnes</t>
  </si>
  <si>
    <t>CO2 equiv tonnes</t>
  </si>
  <si>
    <t>Methane intensity</t>
  </si>
  <si>
    <t>Adoption over 1year (ppn)</t>
  </si>
  <si>
    <t>current area (ha)</t>
  </si>
  <si>
    <t>DSE/ha control</t>
  </si>
  <si>
    <t>AE/ha</t>
  </si>
  <si>
    <t>Ha/AE</t>
  </si>
  <si>
    <t>ppn of year grazed</t>
  </si>
  <si>
    <t>BAU Toal AE</t>
  </si>
  <si>
    <t>LW</t>
  </si>
  <si>
    <t>LWG</t>
  </si>
  <si>
    <t>DM intake M&amp;M cattle, Sheep SCA Table 6.3, 6.4</t>
  </si>
  <si>
    <t>DMI</t>
  </si>
  <si>
    <t>Total AE</t>
  </si>
  <si>
    <t>Total DMI (tonnnes)</t>
  </si>
  <si>
    <t>Methane</t>
  </si>
  <si>
    <t>CO2 equiv</t>
  </si>
  <si>
    <t>ppn of year grazed low methane plant</t>
  </si>
  <si>
    <t>ppn of low methane plant in diet</t>
  </si>
  <si>
    <t>ppn of antimethanogenic plant in diet per year</t>
  </si>
  <si>
    <t>LWG when not on Antimethanogenic  species</t>
  </si>
  <si>
    <t>LWg gain when on antimethanogenic species</t>
  </si>
  <si>
    <t>LW gain adjusted for the proportional time on antimethanogenic species</t>
  </si>
  <si>
    <t>Multiplier for increased adoption (D plus 1)</t>
  </si>
  <si>
    <t>AE accounting for increased LWG</t>
  </si>
  <si>
    <t>AE accounting for inceased adoption</t>
  </si>
  <si>
    <t>AE accounting for LWG and adoption rate</t>
  </si>
  <si>
    <t>Response in AE (ppn</t>
  </si>
  <si>
    <t>NGGI methane yield</t>
  </si>
  <si>
    <t>% reduction in Methane yield</t>
  </si>
  <si>
    <t>Avoided emissions</t>
  </si>
  <si>
    <t>Methane yield after accounting for mitigation</t>
  </si>
  <si>
    <t>DM intake M&amp;M cattle, Sheep SCA Table 6.3, 6.4 accounting for mean increased LWG</t>
  </si>
  <si>
    <t xml:space="preserve">Total DMI (tonnnes) accounting for increased LWG anf adoption </t>
  </si>
  <si>
    <t>Total DMI (tonnnes)of animals  when on antimethanogenic plants</t>
  </si>
  <si>
    <t>Total DMI (tonnnes)of animals  when NOT on antimethanogenic plants</t>
  </si>
  <si>
    <t>AE from antimethanogenic  proportion of herd</t>
  </si>
  <si>
    <t>AE from non-antimethanogenic  proportion of herd</t>
  </si>
  <si>
    <t>Methane production from antimethanogenic proportion of herd</t>
  </si>
  <si>
    <t>Methane production from non-antimethanogenic proportion of herd</t>
  </si>
  <si>
    <t xml:space="preserve">Total methane </t>
  </si>
  <si>
    <t>BAU total AE</t>
  </si>
  <si>
    <t>After 1 yr adoption total AE</t>
  </si>
  <si>
    <t>% change in AE after 1 yr</t>
  </si>
  <si>
    <t>Proportional change in AE after 1 year</t>
  </si>
  <si>
    <t>BAU total methane</t>
  </si>
  <si>
    <t>After 1 yr adoption total methane</t>
  </si>
  <si>
    <t>% change in methane after 1 yr</t>
  </si>
  <si>
    <t>Proportional change in methane after 1 year</t>
  </si>
  <si>
    <t>BAU methane CO2 equiv</t>
  </si>
  <si>
    <t>% change in methane CO2 equiv after 1 yr</t>
  </si>
  <si>
    <t>Proportional change in methane CO2 equiv after 1 year</t>
  </si>
  <si>
    <t>intensity BAU (t CO2 equiv/AE)</t>
  </si>
  <si>
    <t>Intensity after 1 yr (t CO2 equiv/AE)</t>
  </si>
  <si>
    <t>Percent  methane intensityChange</t>
  </si>
  <si>
    <t>% per yr</t>
  </si>
  <si>
    <t>ppn</t>
  </si>
  <si>
    <t>ha</t>
  </si>
  <si>
    <t xml:space="preserve">DSE/ha </t>
  </si>
  <si>
    <t>ha/AE</t>
  </si>
  <si>
    <t xml:space="preserve">ppn </t>
  </si>
  <si>
    <t>kg</t>
  </si>
  <si>
    <t>kg/d</t>
  </si>
  <si>
    <t>kg/AE/d</t>
  </si>
  <si>
    <t>t /AE/yr</t>
  </si>
  <si>
    <t>t/yr</t>
  </si>
  <si>
    <t>g/kg DMI</t>
  </si>
  <si>
    <t>%</t>
  </si>
  <si>
    <t>g/kg DMI)</t>
  </si>
  <si>
    <t>tonnes</t>
  </si>
  <si>
    <t>AE</t>
  </si>
  <si>
    <t>% change</t>
  </si>
  <si>
    <t>ppn change</t>
  </si>
  <si>
    <t>BAU</t>
  </si>
  <si>
    <t>LES</t>
  </si>
  <si>
    <t>Lucerne</t>
  </si>
  <si>
    <t>Brassicas</t>
  </si>
  <si>
    <t>Stylos</t>
  </si>
  <si>
    <t>Biserrula</t>
  </si>
  <si>
    <t>Total</t>
  </si>
  <si>
    <t>Variable animal performance and Assuming no reduction in methane yield</t>
  </si>
  <si>
    <t xml:space="preserve">  Plantin</t>
  </si>
  <si>
    <t>growing sheep</t>
  </si>
  <si>
    <t>lactating ewe</t>
  </si>
  <si>
    <t>Table 6.4 Feedig standards</t>
  </si>
  <si>
    <t>Standard reference weight</t>
  </si>
  <si>
    <t>DMD (ppn)</t>
  </si>
  <si>
    <t>Weight of sheep (kg)</t>
  </si>
  <si>
    <t>Days after lambing</t>
  </si>
  <si>
    <t>DSE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</si>
</sst>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#,##0.0000"/>
    <numFmt numFmtId="167" formatCode="0.0000"/>
  </numFmts>
  <fonts count="5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Alignment="1">
      <alignment textRotation="90"/>
    </xf>
    <xf numFmtId="2" fontId="0" fillId="0" borderId="0" xfId="0" applyNumberFormat="1"/>
    <xf numFmtId="0" fontId="0" fillId="2" borderId="0" xfId="0" applyFill="1"/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3" borderId="0" xfId="0" applyFill="1"/>
    <xf numFmtId="3" fontId="0" fillId="3" borderId="0" xfId="0" applyNumberFormat="1" applyFill="1"/>
    <xf numFmtId="0" fontId="0" fillId="0" borderId="0" xfId="0" applyAlignment="1">
      <alignment wrapText="1"/>
    </xf>
    <xf numFmtId="0" fontId="0" fillId="0" borderId="1" xfId="0" applyBorder="1"/>
    <xf numFmtId="2" fontId="0" fillId="0" borderId="1" xfId="0" applyNumberFormat="1" applyBorder="1"/>
    <xf numFmtId="1" fontId="0" fillId="0" borderId="0" xfId="0" applyNumberFormat="1"/>
    <xf numFmtId="0" fontId="0" fillId="5" borderId="1" xfId="0" applyFill="1" applyBorder="1" applyAlignment="1">
      <alignment textRotation="90"/>
    </xf>
    <xf numFmtId="3" fontId="0" fillId="5" borderId="1" xfId="0" applyNumberFormat="1" applyFill="1" applyBorder="1" applyAlignment="1">
      <alignment textRotation="90"/>
    </xf>
    <xf numFmtId="0" fontId="0" fillId="5" borderId="1" xfId="0" applyFill="1" applyBorder="1"/>
    <xf numFmtId="0" fontId="0" fillId="5" borderId="1" xfId="0" quotePrefix="1" applyFill="1" applyBorder="1"/>
    <xf numFmtId="3" fontId="0" fillId="5" borderId="1" xfId="0" applyNumberFormat="1" applyFill="1" applyBorder="1"/>
    <xf numFmtId="1" fontId="0" fillId="5" borderId="1" xfId="0" applyNumberFormat="1" applyFill="1" applyBorder="1"/>
    <xf numFmtId="0" fontId="0" fillId="2" borderId="1" xfId="0" applyFill="1" applyBorder="1" applyAlignment="1">
      <alignment textRotation="90"/>
    </xf>
    <xf numFmtId="2" fontId="0" fillId="2" borderId="1" xfId="0" applyNumberFormat="1" applyFill="1" applyBorder="1" applyAlignment="1">
      <alignment textRotation="90"/>
    </xf>
    <xf numFmtId="2" fontId="0" fillId="2" borderId="1" xfId="0" applyNumberFormat="1" applyFill="1" applyBorder="1"/>
    <xf numFmtId="0" fontId="0" fillId="2" borderId="1" xfId="0" applyFill="1" applyBorder="1"/>
    <xf numFmtId="0" fontId="0" fillId="5" borderId="1" xfId="0" applyFill="1" applyBorder="1" applyAlignment="1">
      <alignment textRotation="90" wrapText="1"/>
    </xf>
    <xf numFmtId="2" fontId="0" fillId="5" borderId="1" xfId="0" applyNumberFormat="1" applyFill="1" applyBorder="1" applyAlignment="1">
      <alignment textRotation="90"/>
    </xf>
    <xf numFmtId="1" fontId="0" fillId="5" borderId="1" xfId="0" applyNumberFormat="1" applyFill="1" applyBorder="1" applyAlignment="1">
      <alignment textRotation="90"/>
    </xf>
    <xf numFmtId="0" fontId="0" fillId="5" borderId="1" xfId="0" applyFill="1" applyBorder="1" applyAlignment="1">
      <alignment wrapText="1"/>
    </xf>
    <xf numFmtId="2" fontId="0" fillId="5" borderId="1" xfId="0" applyNumberFormat="1" applyFill="1" applyBorder="1"/>
    <xf numFmtId="3" fontId="0" fillId="2" borderId="1" xfId="0" applyNumberFormat="1" applyFill="1" applyBorder="1" applyAlignment="1">
      <alignment textRotation="90"/>
    </xf>
    <xf numFmtId="3" fontId="0" fillId="2" borderId="1" xfId="0" applyNumberFormat="1" applyFill="1" applyBorder="1"/>
    <xf numFmtId="0" fontId="0" fillId="0" borderId="5" xfId="0" applyBorder="1" applyAlignment="1">
      <alignment horizontal="center"/>
    </xf>
    <xf numFmtId="3" fontId="0" fillId="0" borderId="1" xfId="0" applyNumberFormat="1" applyBorder="1" applyAlignment="1">
      <alignment textRotation="90"/>
    </xf>
    <xf numFmtId="3" fontId="0" fillId="0" borderId="1" xfId="0" applyNumberFormat="1" applyBorder="1"/>
    <xf numFmtId="164" fontId="0" fillId="6" borderId="1" xfId="0" applyNumberFormat="1" applyFill="1" applyBorder="1" applyAlignment="1">
      <alignment textRotation="90"/>
    </xf>
    <xf numFmtId="164" fontId="0" fillId="6" borderId="0" xfId="0" applyNumberFormat="1" applyFill="1"/>
    <xf numFmtId="3" fontId="0" fillId="7" borderId="1" xfId="0" applyNumberFormat="1" applyFill="1" applyBorder="1" applyAlignment="1">
      <alignment textRotation="90"/>
    </xf>
    <xf numFmtId="165" fontId="0" fillId="7" borderId="1" xfId="0" applyNumberFormat="1" applyFill="1" applyBorder="1" applyAlignment="1">
      <alignment textRotation="90"/>
    </xf>
    <xf numFmtId="0" fontId="0" fillId="0" borderId="2" xfId="0" applyBorder="1"/>
    <xf numFmtId="16" fontId="0" fillId="0" borderId="2" xfId="0" quotePrefix="1" applyNumberFormat="1" applyBorder="1" applyAlignment="1">
      <alignment horizontal="left"/>
    </xf>
    <xf numFmtId="2" fontId="0" fillId="0" borderId="2" xfId="0" applyNumberFormat="1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9" xfId="0" applyBorder="1"/>
    <xf numFmtId="0" fontId="0" fillId="0" borderId="19" xfId="0" applyBorder="1"/>
    <xf numFmtId="0" fontId="0" fillId="3" borderId="9" xfId="0" applyFill="1" applyBorder="1"/>
    <xf numFmtId="0" fontId="0" fillId="3" borderId="19" xfId="0" applyFill="1" applyBorder="1"/>
    <xf numFmtId="0" fontId="0" fillId="4" borderId="0" xfId="0" applyFill="1"/>
    <xf numFmtId="0" fontId="0" fillId="4" borderId="9" xfId="0" applyFill="1" applyBorder="1"/>
    <xf numFmtId="0" fontId="0" fillId="4" borderId="19" xfId="0" applyFill="1" applyBorder="1"/>
    <xf numFmtId="0" fontId="0" fillId="0" borderId="20" xfId="0" applyBorder="1"/>
    <xf numFmtId="0" fontId="0" fillId="0" borderId="8" xfId="0" applyBorder="1"/>
    <xf numFmtId="0" fontId="0" fillId="4" borderId="8" xfId="0" applyFill="1" applyBorder="1"/>
    <xf numFmtId="0" fontId="0" fillId="0" borderId="21" xfId="0" applyBorder="1"/>
    <xf numFmtId="0" fontId="0" fillId="4" borderId="20" xfId="0" applyFill="1" applyBorder="1"/>
    <xf numFmtId="0" fontId="0" fillId="4" borderId="21" xfId="0" applyFill="1" applyBorder="1"/>
    <xf numFmtId="0" fontId="0" fillId="3" borderId="17" xfId="0" applyFill="1" applyBorder="1"/>
    <xf numFmtId="0" fontId="0" fillId="3" borderId="16" xfId="0" applyFill="1" applyBorder="1"/>
    <xf numFmtId="2" fontId="0" fillId="0" borderId="13" xfId="0" applyNumberFormat="1" applyBorder="1"/>
    <xf numFmtId="2" fontId="0" fillId="0" borderId="15" xfId="0" applyNumberFormat="1" applyBorder="1"/>
    <xf numFmtId="3" fontId="0" fillId="7" borderId="2" xfId="0" applyNumberFormat="1" applyFill="1" applyBorder="1"/>
    <xf numFmtId="165" fontId="0" fillId="7" borderId="2" xfId="0" applyNumberFormat="1" applyFill="1" applyBorder="1"/>
    <xf numFmtId="0" fontId="0" fillId="7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textRotation="90"/>
    </xf>
    <xf numFmtId="0" fontId="0" fillId="2" borderId="8" xfId="0" applyFill="1" applyBorder="1" applyAlignment="1">
      <alignment horizontal="center"/>
    </xf>
    <xf numFmtId="3" fontId="0" fillId="0" borderId="0" xfId="0" applyNumberFormat="1" applyAlignment="1">
      <alignment textRotation="90"/>
    </xf>
    <xf numFmtId="0" fontId="0" fillId="0" borderId="8" xfId="0" applyBorder="1" applyAlignment="1">
      <alignment horizontal="center"/>
    </xf>
    <xf numFmtId="3" fontId="0" fillId="9" borderId="9" xfId="0" applyNumberFormat="1" applyFill="1" applyBorder="1"/>
    <xf numFmtId="4" fontId="0" fillId="0" borderId="0" xfId="0" applyNumberFormat="1"/>
    <xf numFmtId="2" fontId="0" fillId="2" borderId="2" xfId="0" applyNumberFormat="1" applyFill="1" applyBorder="1"/>
    <xf numFmtId="2" fontId="0" fillId="0" borderId="1" xfId="0" applyNumberFormat="1" applyBorder="1" applyAlignment="1">
      <alignment textRotation="90"/>
    </xf>
    <xf numFmtId="1" fontId="0" fillId="0" borderId="8" xfId="0" applyNumberFormat="1" applyBorder="1" applyAlignment="1">
      <alignment horizontal="center"/>
    </xf>
    <xf numFmtId="1" fontId="0" fillId="8" borderId="1" xfId="0" applyNumberFormat="1" applyFill="1" applyBorder="1" applyAlignment="1">
      <alignment textRotation="90"/>
    </xf>
    <xf numFmtId="1" fontId="3" fillId="8" borderId="1" xfId="0" applyNumberFormat="1" applyFont="1" applyFill="1" applyBorder="1" applyAlignment="1">
      <alignment textRotation="90"/>
    </xf>
    <xf numFmtId="1" fontId="0" fillId="0" borderId="1" xfId="0" applyNumberFormat="1" applyBorder="1" applyAlignment="1">
      <alignment textRotation="90"/>
    </xf>
    <xf numFmtId="1" fontId="0" fillId="8" borderId="1" xfId="0" quotePrefix="1" applyNumberFormat="1" applyFill="1" applyBorder="1"/>
    <xf numFmtId="1" fontId="0" fillId="0" borderId="2" xfId="0" applyNumberFormat="1" applyBorder="1"/>
    <xf numFmtId="1" fontId="0" fillId="8" borderId="1" xfId="0" applyNumberFormat="1" applyFill="1" applyBorder="1"/>
    <xf numFmtId="1" fontId="0" fillId="0" borderId="1" xfId="0" applyNumberFormat="1" applyBorder="1"/>
    <xf numFmtId="2" fontId="0" fillId="8" borderId="1" xfId="0" applyNumberFormat="1" applyFill="1" applyBorder="1"/>
    <xf numFmtId="0" fontId="0" fillId="0" borderId="22" xfId="0" applyBorder="1"/>
    <xf numFmtId="2" fontId="0" fillId="0" borderId="22" xfId="0" applyNumberFormat="1" applyBorder="1"/>
    <xf numFmtId="4" fontId="0" fillId="0" borderId="9" xfId="0" applyNumberFormat="1" applyBorder="1"/>
    <xf numFmtId="167" fontId="0" fillId="2" borderId="1" xfId="0" applyNumberFormat="1" applyFill="1" applyBorder="1"/>
    <xf numFmtId="4" fontId="0" fillId="3" borderId="0" xfId="0" applyNumberFormat="1" applyFill="1"/>
    <xf numFmtId="3" fontId="0" fillId="5" borderId="1" xfId="0" applyNumberFormat="1" applyFill="1" applyBorder="1" applyAlignment="1">
      <alignment wrapText="1"/>
    </xf>
    <xf numFmtId="3" fontId="0" fillId="8" borderId="1" xfId="0" applyNumberFormat="1" applyFill="1" applyBorder="1"/>
    <xf numFmtId="167" fontId="0" fillId="0" borderId="0" xfId="0" applyNumberFormat="1"/>
    <xf numFmtId="3" fontId="0" fillId="0" borderId="0" xfId="0" applyNumberFormat="1" applyAlignment="1">
      <alignment wrapText="1"/>
    </xf>
    <xf numFmtId="4" fontId="2" fillId="0" borderId="0" xfId="0" applyNumberFormat="1" applyFont="1" applyAlignment="1">
      <alignment horizontal="center" vertical="center" wrapText="1"/>
    </xf>
    <xf numFmtId="4" fontId="0" fillId="3" borderId="9" xfId="0" applyNumberFormat="1" applyFill="1" applyBorder="1"/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165" fontId="0" fillId="7" borderId="1" xfId="0" applyNumberFormat="1" applyFill="1" applyBorder="1"/>
    <xf numFmtId="0" fontId="0" fillId="0" borderId="0" xfId="0" applyAlignment="1">
      <alignment textRotation="90" wrapText="1"/>
    </xf>
    <xf numFmtId="0" fontId="0" fillId="0" borderId="1" xfId="0" applyBorder="1" applyAlignment="1">
      <alignment horizontal="center" textRotation="90" wrapText="1"/>
    </xf>
    <xf numFmtId="0" fontId="0" fillId="0" borderId="0" xfId="0" applyAlignment="1">
      <alignment textRotation="89"/>
    </xf>
    <xf numFmtId="0" fontId="0" fillId="0" borderId="0" xfId="0" applyAlignment="1">
      <alignment horizontal="center" textRotation="90" wrapText="1"/>
    </xf>
    <xf numFmtId="0" fontId="0" fillId="0" borderId="9" xfId="0" applyBorder="1" applyAlignment="1">
      <alignment horizontal="left"/>
    </xf>
    <xf numFmtId="3" fontId="0" fillId="0" borderId="2" xfId="0" applyNumberFormat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 textRotation="90" wrapText="1"/>
    </xf>
    <xf numFmtId="1" fontId="0" fillId="0" borderId="1" xfId="0" applyNumberFormat="1" applyBorder="1" applyAlignment="1">
      <alignment horizontal="center" textRotation="90" wrapText="1"/>
    </xf>
    <xf numFmtId="0" fontId="0" fillId="0" borderId="24" xfId="0" applyBorder="1"/>
    <xf numFmtId="2" fontId="0" fillId="0" borderId="23" xfId="0" applyNumberFormat="1" applyBorder="1"/>
    <xf numFmtId="2" fontId="0" fillId="0" borderId="25" xfId="0" applyNumberFormat="1" applyBorder="1"/>
    <xf numFmtId="1" fontId="0" fillId="0" borderId="0" xfId="0" applyNumberFormat="1" applyAlignment="1">
      <alignment horizontal="center"/>
    </xf>
    <xf numFmtId="3" fontId="0" fillId="9" borderId="0" xfId="0" applyNumberFormat="1" applyFill="1"/>
    <xf numFmtId="3" fontId="0" fillId="10" borderId="26" xfId="0" applyNumberFormat="1" applyFill="1" applyBorder="1" applyAlignment="1">
      <alignment textRotation="90"/>
    </xf>
    <xf numFmtId="3" fontId="0" fillId="10" borderId="0" xfId="0" applyNumberFormat="1" applyFill="1" applyAlignment="1">
      <alignment textRotation="90"/>
    </xf>
    <xf numFmtId="0" fontId="0" fillId="10" borderId="13" xfId="0" applyFill="1" applyBorder="1" applyAlignment="1">
      <alignment textRotation="90"/>
    </xf>
    <xf numFmtId="3" fontId="0" fillId="0" borderId="12" xfId="0" applyNumberFormat="1" applyBorder="1"/>
    <xf numFmtId="4" fontId="0" fillId="0" borderId="12" xfId="0" applyNumberFormat="1" applyBorder="1"/>
    <xf numFmtId="4" fontId="0" fillId="0" borderId="13" xfId="0" applyNumberFormat="1" applyBorder="1"/>
    <xf numFmtId="4" fontId="0" fillId="3" borderId="12" xfId="0" applyNumberFormat="1" applyFill="1" applyBorder="1"/>
    <xf numFmtId="4" fontId="0" fillId="3" borderId="13" xfId="0" applyNumberFormat="1" applyFill="1" applyBorder="1"/>
    <xf numFmtId="4" fontId="0" fillId="3" borderId="14" xfId="0" applyNumberFormat="1" applyFill="1" applyBorder="1"/>
    <xf numFmtId="4" fontId="0" fillId="3" borderId="27" xfId="0" applyNumberFormat="1" applyFill="1" applyBorder="1"/>
    <xf numFmtId="4" fontId="0" fillId="3" borderId="15" xfId="0" applyNumberFormat="1" applyFill="1" applyBorder="1"/>
    <xf numFmtId="0" fontId="0" fillId="0" borderId="3" xfId="0" applyBorder="1"/>
    <xf numFmtId="3" fontId="0" fillId="10" borderId="12" xfId="0" applyNumberFormat="1" applyFill="1" applyBorder="1" applyAlignment="1">
      <alignment textRotation="90"/>
    </xf>
    <xf numFmtId="3" fontId="0" fillId="10" borderId="13" xfId="0" applyNumberFormat="1" applyFill="1" applyBorder="1" applyAlignment="1">
      <alignment textRotation="90"/>
    </xf>
    <xf numFmtId="3" fontId="0" fillId="9" borderId="12" xfId="0" quotePrefix="1" applyNumberFormat="1" applyFill="1" applyBorder="1"/>
    <xf numFmtId="3" fontId="0" fillId="9" borderId="28" xfId="0" applyNumberFormat="1" applyFill="1" applyBorder="1"/>
    <xf numFmtId="3" fontId="0" fillId="3" borderId="12" xfId="0" applyNumberFormat="1" applyFill="1" applyBorder="1"/>
    <xf numFmtId="2" fontId="0" fillId="0" borderId="12" xfId="0" applyNumberFormat="1" applyBorder="1"/>
    <xf numFmtId="3" fontId="0" fillId="3" borderId="14" xfId="0" applyNumberFormat="1" applyFill="1" applyBorder="1"/>
    <xf numFmtId="3" fontId="0" fillId="3" borderId="7" xfId="0" applyNumberFormat="1" applyFill="1" applyBorder="1"/>
    <xf numFmtId="4" fontId="0" fillId="3" borderId="7" xfId="0" applyNumberFormat="1" applyFill="1" applyBorder="1"/>
    <xf numFmtId="3" fontId="0" fillId="3" borderId="15" xfId="0" applyNumberFormat="1" applyFill="1" applyBorder="1"/>
    <xf numFmtId="3" fontId="0" fillId="9" borderId="0" xfId="0" quotePrefix="1" applyNumberFormat="1" applyFill="1"/>
    <xf numFmtId="3" fontId="0" fillId="0" borderId="11" xfId="0" applyNumberFormat="1" applyBorder="1"/>
    <xf numFmtId="3" fontId="0" fillId="9" borderId="13" xfId="0" applyNumberFormat="1" applyFill="1" applyBorder="1"/>
    <xf numFmtId="1" fontId="0" fillId="10" borderId="12" xfId="0" applyNumberFormat="1" applyFill="1" applyBorder="1" applyAlignment="1">
      <alignment textRotation="90"/>
    </xf>
    <xf numFmtId="0" fontId="0" fillId="0" borderId="3" xfId="0" applyBorder="1" applyAlignment="1">
      <alignment horizontal="left"/>
    </xf>
    <xf numFmtId="3" fontId="0" fillId="10" borderId="10" xfId="0" applyNumberFormat="1" applyFill="1" applyBorder="1" applyAlignment="1">
      <alignment textRotation="90"/>
    </xf>
    <xf numFmtId="3" fontId="0" fillId="10" borderId="6" xfId="0" applyNumberFormat="1" applyFill="1" applyBorder="1" applyAlignment="1">
      <alignment textRotation="90"/>
    </xf>
    <xf numFmtId="3" fontId="0" fillId="10" borderId="11" xfId="0" applyNumberFormat="1" applyFill="1" applyBorder="1" applyAlignment="1">
      <alignment textRotation="90"/>
    </xf>
    <xf numFmtId="1" fontId="0" fillId="0" borderId="12" xfId="0" applyNumberFormat="1" applyBorder="1"/>
    <xf numFmtId="166" fontId="0" fillId="11" borderId="1" xfId="0" quotePrefix="1" applyNumberFormat="1" applyFill="1" applyBorder="1"/>
    <xf numFmtId="3" fontId="0" fillId="11" borderId="1" xfId="0" applyNumberFormat="1" applyFill="1" applyBorder="1"/>
    <xf numFmtId="0" fontId="0" fillId="11" borderId="1" xfId="0" applyFill="1" applyBorder="1" applyAlignment="1">
      <alignment textRotation="90"/>
    </xf>
    <xf numFmtId="166" fontId="0" fillId="11" borderId="1" xfId="0" applyNumberFormat="1" applyFill="1" applyBorder="1" applyAlignment="1">
      <alignment textRotation="90"/>
    </xf>
    <xf numFmtId="3" fontId="0" fillId="11" borderId="1" xfId="0" applyNumberFormat="1" applyFill="1" applyBorder="1" applyAlignment="1">
      <alignment textRotation="90"/>
    </xf>
    <xf numFmtId="0" fontId="0" fillId="11" borderId="1" xfId="0" quotePrefix="1" applyFill="1" applyBorder="1"/>
    <xf numFmtId="3" fontId="0" fillId="11" borderId="0" xfId="0" applyNumberFormat="1" applyFill="1"/>
    <xf numFmtId="0" fontId="0" fillId="0" borderId="8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4" fillId="0" borderId="19" xfId="0" applyFont="1" applyBorder="1" applyAlignment="1">
      <alignment horizontal="center" textRotation="90" wrapText="1"/>
    </xf>
    <xf numFmtId="1" fontId="0" fillId="0" borderId="10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164" fontId="0" fillId="2" borderId="2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" fontId="0" fillId="8" borderId="1" xfId="0" applyNumberFormat="1" applyFill="1" applyBorder="1" applyAlignment="1">
      <alignment horizontal="center" wrapText="1"/>
    </xf>
    <xf numFmtId="0" fontId="0" fillId="7" borderId="3" xfId="0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7" borderId="5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Dual purpose canola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848003755628105"/>
          <c:y val="0.18560185185185185"/>
          <c:w val="0.76344408168491129"/>
          <c:h val="0.72125801983085447"/>
        </c:manualLayout>
      </c:layout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AU"/>
                </a:p>
              </c:txPr>
            </c:trendlineLbl>
          </c:trendline>
          <c:xVal>
            <c:numRef>
              <c:f>'Adoption model'!$B$38:$B$56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'Adoption model'!$C$38:$C$56</c:f>
              <c:numCache>
                <c:formatCode>General</c:formatCode>
                <c:ptCount val="19"/>
                <c:pt idx="0">
                  <c:v>0</c:v>
                </c:pt>
                <c:pt idx="18">
                  <c:v>100000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29-40EB-BFE4-49A471FFF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356288"/>
        <c:axId val="1766356768"/>
      </c:scatterChart>
      <c:valAx>
        <c:axId val="1766356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6356768"/>
        <c:crosses val="autoZero"/>
        <c:crossBetween val="midCat"/>
      </c:valAx>
      <c:valAx>
        <c:axId val="176635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Hectares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6356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Leucaena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848003755628105"/>
          <c:y val="0.18560185185185185"/>
          <c:w val="0.76344408168491129"/>
          <c:h val="0.7212580198308544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'Adoption model'!$B$30:$B$48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xVal>
          <c:yVal>
            <c:numRef>
              <c:f>'Adoption model'!$D$30:$D$48</c:f>
              <c:numCache>
                <c:formatCode>General</c:formatCode>
                <c:ptCount val="19"/>
                <c:pt idx="0">
                  <c:v>50000</c:v>
                </c:pt>
                <c:pt idx="18">
                  <c:v>130000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CAF-4846-B6F8-714FA7F1A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356288"/>
        <c:axId val="1766356768"/>
      </c:scatterChart>
      <c:valAx>
        <c:axId val="1766356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6356768"/>
        <c:crosses val="autoZero"/>
        <c:crossBetween val="midCat"/>
      </c:valAx>
      <c:valAx>
        <c:axId val="176635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Hectares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6356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Desmanthus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848003755628105"/>
          <c:y val="0.18560185185185185"/>
          <c:w val="0.76344408168491129"/>
          <c:h val="0.7212580198308544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'Adoption model'!$B$38:$B$56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xVal>
          <c:yVal>
            <c:numRef>
              <c:f>'Adoption model'!$E$38:$E$56</c:f>
              <c:numCache>
                <c:formatCode>General</c:formatCode>
                <c:ptCount val="19"/>
                <c:pt idx="0">
                  <c:v>30000</c:v>
                </c:pt>
                <c:pt idx="16">
                  <c:v>100000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56-4C61-BFB0-C0DE96F8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356288"/>
        <c:axId val="1766356768"/>
      </c:scatterChart>
      <c:valAx>
        <c:axId val="1766356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6356768"/>
        <c:crosses val="autoZero"/>
        <c:crossBetween val="midCat"/>
      </c:valAx>
      <c:valAx>
        <c:axId val="176635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Hectares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6356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28</xdr:row>
      <xdr:rowOff>90487</xdr:rowOff>
    </xdr:from>
    <xdr:to>
      <xdr:col>12</xdr:col>
      <xdr:colOff>38100</xdr:colOff>
      <xdr:row>36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6619A0D-F9E8-C47E-E5DD-17A38F79D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</xdr:colOff>
      <xdr:row>36</xdr:row>
      <xdr:rowOff>180975</xdr:rowOff>
    </xdr:from>
    <xdr:to>
      <xdr:col>12</xdr:col>
      <xdr:colOff>19050</xdr:colOff>
      <xdr:row>45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4A6A34E-CCE8-4664-8FB7-3467D5169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571501</xdr:colOff>
      <xdr:row>46</xdr:row>
      <xdr:rowOff>114300</xdr:rowOff>
    </xdr:from>
    <xdr:to>
      <xdr:col>12</xdr:col>
      <xdr:colOff>76201</xdr:colOff>
      <xdr:row>55</xdr:row>
      <xdr:rowOff>47625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C71BE25-8513-44AC-BD22-ABA93887F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3591A-F265-4C3D-87E7-A8771083FEA5}">
  <dimension ref="A1:U98"/>
  <sheetViews>
    <sheetView topLeftCell="A29" workbookViewId="0">
      <selection activeCell="A2" sqref="A2:P67"/>
    </sheetView>
  </sheetViews>
  <sheetFormatPr defaultRowHeight="15"/>
  <cols>
    <col min="12" max="12" width="9.140625" style="2"/>
    <col min="15" max="15" width="9.140625" style="12"/>
    <col min="21" max="21" width="13.42578125" customWidth="1"/>
  </cols>
  <sheetData>
    <row r="1" spans="1:21" ht="25.5" customHeight="1"/>
    <row r="2" spans="1:21" ht="25.5" customHeight="1">
      <c r="B2" t="s">
        <v>0</v>
      </c>
    </row>
    <row r="3" spans="1:21" ht="25.5" customHeight="1">
      <c r="B3" t="s">
        <v>1</v>
      </c>
    </row>
    <row r="4" spans="1:21" ht="25.5" customHeight="1">
      <c r="B4" t="s">
        <v>2</v>
      </c>
    </row>
    <row r="5" spans="1:21" ht="25.5" customHeight="1">
      <c r="B5" t="s">
        <v>3</v>
      </c>
    </row>
    <row r="6" spans="1:21" ht="25.5" customHeight="1">
      <c r="B6" t="s">
        <v>4</v>
      </c>
    </row>
    <row r="7" spans="1:21" ht="25.5" customHeight="1">
      <c r="B7" t="s">
        <v>5</v>
      </c>
    </row>
    <row r="8" spans="1:21" ht="25.5" customHeight="1">
      <c r="B8" t="s">
        <v>6</v>
      </c>
    </row>
    <row r="9" spans="1:21" ht="25.5" customHeight="1">
      <c r="B9" t="s">
        <v>7</v>
      </c>
    </row>
    <row r="10" spans="1:21" ht="25.5" customHeight="1"/>
    <row r="11" spans="1:21" ht="25.5" customHeight="1"/>
    <row r="12" spans="1:21" ht="25.5" customHeight="1">
      <c r="B12" s="154" t="s">
        <v>8</v>
      </c>
      <c r="C12" s="154"/>
      <c r="D12" s="154"/>
      <c r="E12" s="154"/>
      <c r="F12" s="154"/>
      <c r="G12" s="154"/>
      <c r="H12" s="154"/>
      <c r="I12" s="154"/>
      <c r="J12" s="154"/>
      <c r="K12" s="154"/>
    </row>
    <row r="13" spans="1:21" ht="274.5">
      <c r="A13" s="102"/>
      <c r="B13" s="103" t="s">
        <v>9</v>
      </c>
      <c r="C13" s="103" t="s">
        <v>10</v>
      </c>
      <c r="D13" s="103" t="s">
        <v>11</v>
      </c>
      <c r="E13" s="103" t="s">
        <v>12</v>
      </c>
      <c r="F13" s="103" t="s">
        <v>13</v>
      </c>
      <c r="G13" s="103" t="s">
        <v>14</v>
      </c>
      <c r="H13" s="103" t="s">
        <v>15</v>
      </c>
      <c r="I13" s="103" t="s">
        <v>16</v>
      </c>
      <c r="J13" s="103" t="s">
        <v>17</v>
      </c>
      <c r="K13" s="103" t="s">
        <v>18</v>
      </c>
      <c r="L13" s="109" t="s">
        <v>19</v>
      </c>
      <c r="M13" s="103" t="s">
        <v>20</v>
      </c>
      <c r="N13" s="103" t="s">
        <v>21</v>
      </c>
      <c r="O13" s="110" t="s">
        <v>22</v>
      </c>
      <c r="P13" s="103" t="s">
        <v>23</v>
      </c>
      <c r="Q13" s="105"/>
      <c r="R13" s="105"/>
      <c r="S13" s="105"/>
      <c r="T13" s="9"/>
      <c r="U13" s="9"/>
    </row>
    <row r="14" spans="1:21">
      <c r="B14" s="38" t="s">
        <v>24</v>
      </c>
      <c r="C14" s="38" t="s">
        <v>24</v>
      </c>
      <c r="D14" s="38" t="s">
        <v>24</v>
      </c>
      <c r="E14" s="38" t="s">
        <v>25</v>
      </c>
      <c r="F14" s="38" t="s">
        <v>24</v>
      </c>
      <c r="G14" s="38" t="s">
        <v>24</v>
      </c>
      <c r="H14" s="38" t="s">
        <v>24</v>
      </c>
      <c r="I14" s="38" t="s">
        <v>26</v>
      </c>
      <c r="J14" s="38" t="s">
        <v>26</v>
      </c>
      <c r="K14" s="37"/>
      <c r="L14" s="11"/>
      <c r="M14" s="10"/>
      <c r="N14" s="10"/>
      <c r="O14" s="86"/>
      <c r="P14" s="10"/>
    </row>
    <row r="15" spans="1:21">
      <c r="A15" s="10" t="s">
        <v>27</v>
      </c>
      <c r="B15" s="10">
        <v>2</v>
      </c>
      <c r="C15" s="10">
        <v>3</v>
      </c>
      <c r="D15" s="10">
        <v>3</v>
      </c>
      <c r="E15" s="10">
        <v>4</v>
      </c>
      <c r="F15" s="10">
        <v>0</v>
      </c>
      <c r="G15" s="10">
        <v>0</v>
      </c>
      <c r="H15" s="10">
        <v>3</v>
      </c>
      <c r="I15" s="10">
        <v>8</v>
      </c>
      <c r="J15" s="10">
        <v>8</v>
      </c>
      <c r="K15" s="11">
        <f t="shared" ref="K15:K21" si="0">AVERAGE(B15:J15)</f>
        <v>3.4444444444444446</v>
      </c>
      <c r="L15" s="11">
        <f t="shared" ref="L15:L24" si="1">K15*$D$65</f>
        <v>4.5224295922656577</v>
      </c>
      <c r="M15" s="11">
        <f>L15</f>
        <v>4.5224295922656577</v>
      </c>
      <c r="N15" s="11">
        <v>20</v>
      </c>
      <c r="O15" s="86">
        <v>1</v>
      </c>
      <c r="P15" s="11">
        <f>M15*O15/N15</f>
        <v>0.22612147961328288</v>
      </c>
      <c r="Q15" s="2"/>
      <c r="R15" s="2"/>
      <c r="S15" s="2"/>
    </row>
    <row r="16" spans="1:21">
      <c r="A16" s="10" t="s">
        <v>28</v>
      </c>
      <c r="B16" s="10">
        <v>0.5</v>
      </c>
      <c r="C16" s="10">
        <v>3</v>
      </c>
      <c r="D16" s="10">
        <v>3</v>
      </c>
      <c r="E16" s="10">
        <v>4</v>
      </c>
      <c r="F16" s="10">
        <v>3</v>
      </c>
      <c r="G16" s="10">
        <v>1</v>
      </c>
      <c r="H16" s="10">
        <v>3</v>
      </c>
      <c r="I16" s="10">
        <v>8</v>
      </c>
      <c r="J16" s="10">
        <v>8</v>
      </c>
      <c r="K16" s="11">
        <f t="shared" si="0"/>
        <v>3.7222222222222223</v>
      </c>
      <c r="L16" s="11">
        <f t="shared" si="1"/>
        <v>4.8871416561580494</v>
      </c>
      <c r="M16" s="11">
        <f t="shared" ref="M16:M24" si="2">L16</f>
        <v>4.8871416561580494</v>
      </c>
      <c r="N16" s="11">
        <v>20</v>
      </c>
      <c r="O16" s="86">
        <v>15</v>
      </c>
      <c r="P16" s="11">
        <f t="shared" ref="P16:P24" si="3">M16*O16/N16</f>
        <v>3.6653562421185368</v>
      </c>
      <c r="Q16" s="2"/>
      <c r="R16" s="2"/>
      <c r="S16" s="2"/>
    </row>
    <row r="17" spans="1:19">
      <c r="A17" s="10" t="s">
        <v>29</v>
      </c>
      <c r="B17" s="10">
        <v>1</v>
      </c>
      <c r="C17" s="10">
        <v>3</v>
      </c>
      <c r="D17" s="10">
        <v>2</v>
      </c>
      <c r="E17" s="10">
        <v>4</v>
      </c>
      <c r="F17" s="10">
        <v>3</v>
      </c>
      <c r="G17" s="10">
        <v>1</v>
      </c>
      <c r="H17" s="10">
        <v>3</v>
      </c>
      <c r="I17" s="10">
        <v>8</v>
      </c>
      <c r="J17" s="10">
        <v>8</v>
      </c>
      <c r="K17" s="11">
        <f>AVERAGE(B17:J17)</f>
        <v>3.6666666666666665</v>
      </c>
      <c r="L17" s="11">
        <f t="shared" si="1"/>
        <v>4.8141992433795711</v>
      </c>
      <c r="M17" s="11">
        <f>L17</f>
        <v>4.8141992433795711</v>
      </c>
      <c r="N17" s="11">
        <v>20</v>
      </c>
      <c r="O17" s="86">
        <v>12</v>
      </c>
      <c r="P17" s="11">
        <f>M17*O17/N17</f>
        <v>2.8885195460277426</v>
      </c>
      <c r="Q17" s="2"/>
      <c r="R17" s="2"/>
      <c r="S17" s="2"/>
    </row>
    <row r="18" spans="1:19">
      <c r="A18" s="10" t="s">
        <v>30</v>
      </c>
      <c r="B18" s="10">
        <v>2.5</v>
      </c>
      <c r="C18" s="10">
        <v>2</v>
      </c>
      <c r="D18" s="10">
        <v>2</v>
      </c>
      <c r="E18" s="10">
        <v>4</v>
      </c>
      <c r="F18" s="10">
        <v>3</v>
      </c>
      <c r="G18" s="10">
        <v>3</v>
      </c>
      <c r="H18" s="10">
        <v>2</v>
      </c>
      <c r="I18" s="10">
        <v>5</v>
      </c>
      <c r="J18" s="10">
        <v>6</v>
      </c>
      <c r="K18" s="11">
        <f t="shared" si="0"/>
        <v>3.2777777777777777</v>
      </c>
      <c r="L18" s="11">
        <f t="shared" si="1"/>
        <v>4.3036023539302226</v>
      </c>
      <c r="M18" s="11">
        <f t="shared" si="2"/>
        <v>4.3036023539302226</v>
      </c>
      <c r="N18" s="11">
        <v>20</v>
      </c>
      <c r="O18" s="86">
        <v>10</v>
      </c>
      <c r="P18" s="11">
        <f t="shared" si="3"/>
        <v>2.1518011769651113</v>
      </c>
      <c r="Q18" s="2"/>
      <c r="R18" s="2"/>
      <c r="S18" s="2"/>
    </row>
    <row r="19" spans="1:19">
      <c r="A19" s="10" t="s">
        <v>31</v>
      </c>
      <c r="B19" s="10">
        <v>3</v>
      </c>
      <c r="C19" s="10">
        <v>2</v>
      </c>
      <c r="D19" s="10">
        <v>2.5</v>
      </c>
      <c r="E19" s="10">
        <v>3</v>
      </c>
      <c r="F19" s="10">
        <v>1</v>
      </c>
      <c r="G19" s="10">
        <v>2</v>
      </c>
      <c r="H19" s="10">
        <v>2</v>
      </c>
      <c r="I19" s="10">
        <v>4</v>
      </c>
      <c r="J19" s="10">
        <v>9</v>
      </c>
      <c r="K19" s="11">
        <f t="shared" si="0"/>
        <v>3.1666666666666665</v>
      </c>
      <c r="L19" s="11">
        <f t="shared" si="1"/>
        <v>4.1577175283732659</v>
      </c>
      <c r="M19" s="11">
        <f t="shared" si="2"/>
        <v>4.1577175283732659</v>
      </c>
      <c r="N19" s="11">
        <v>20</v>
      </c>
      <c r="O19" s="86">
        <v>12</v>
      </c>
      <c r="P19" s="11">
        <f t="shared" si="3"/>
        <v>2.4946305170239595</v>
      </c>
      <c r="Q19" s="2"/>
      <c r="R19" s="2"/>
      <c r="S19" s="2"/>
    </row>
    <row r="20" spans="1:19">
      <c r="A20" s="10" t="s">
        <v>32</v>
      </c>
      <c r="B20" s="10">
        <v>3</v>
      </c>
      <c r="C20" s="10">
        <v>3</v>
      </c>
      <c r="D20" s="10">
        <v>3</v>
      </c>
      <c r="E20" s="10">
        <v>3</v>
      </c>
      <c r="F20" s="10">
        <v>0</v>
      </c>
      <c r="G20" s="10">
        <v>0</v>
      </c>
      <c r="H20" s="10">
        <v>3</v>
      </c>
      <c r="I20" s="10">
        <v>4</v>
      </c>
      <c r="J20" s="10">
        <v>6</v>
      </c>
      <c r="K20" s="11">
        <f t="shared" si="0"/>
        <v>2.7777777777777777</v>
      </c>
      <c r="L20" s="11">
        <f t="shared" si="1"/>
        <v>3.6471206389239175</v>
      </c>
      <c r="M20" s="11">
        <f t="shared" si="2"/>
        <v>3.6471206389239175</v>
      </c>
      <c r="N20" s="11">
        <v>20</v>
      </c>
      <c r="O20" s="86">
        <v>3</v>
      </c>
      <c r="P20" s="11">
        <f t="shared" si="3"/>
        <v>0.54706809583858762</v>
      </c>
      <c r="Q20" s="2"/>
      <c r="R20" s="2"/>
      <c r="S20" s="2"/>
    </row>
    <row r="21" spans="1:19">
      <c r="A21" s="37" t="s">
        <v>33</v>
      </c>
      <c r="B21" s="37">
        <v>2</v>
      </c>
      <c r="C21" s="37">
        <v>2</v>
      </c>
      <c r="D21" s="37">
        <v>3</v>
      </c>
      <c r="E21" s="37">
        <v>3</v>
      </c>
      <c r="F21" s="37">
        <v>2</v>
      </c>
      <c r="G21" s="37">
        <v>1</v>
      </c>
      <c r="H21" s="37">
        <v>2</v>
      </c>
      <c r="I21" s="37">
        <v>6</v>
      </c>
      <c r="J21" s="37">
        <v>7</v>
      </c>
      <c r="K21" s="39">
        <f t="shared" si="0"/>
        <v>3.1111111111111112</v>
      </c>
      <c r="L21" s="11">
        <f t="shared" si="1"/>
        <v>4.0847751155947876</v>
      </c>
      <c r="M21" s="11">
        <f t="shared" si="2"/>
        <v>4.0847751155947876</v>
      </c>
      <c r="N21" s="11">
        <v>20</v>
      </c>
      <c r="O21" s="86">
        <v>10</v>
      </c>
      <c r="P21" s="11">
        <f t="shared" si="3"/>
        <v>2.0423875577973938</v>
      </c>
      <c r="Q21" s="2"/>
      <c r="R21" s="2"/>
      <c r="S21" s="2"/>
    </row>
    <row r="22" spans="1:19">
      <c r="A22" s="88" t="s">
        <v>34</v>
      </c>
      <c r="B22" s="88">
        <v>1</v>
      </c>
      <c r="C22" s="88">
        <v>3</v>
      </c>
      <c r="D22" s="88">
        <v>2</v>
      </c>
      <c r="E22" s="88">
        <v>4</v>
      </c>
      <c r="F22" s="88">
        <v>1</v>
      </c>
      <c r="G22" s="88">
        <v>0</v>
      </c>
      <c r="H22" s="88">
        <v>3</v>
      </c>
      <c r="I22" s="88">
        <v>8</v>
      </c>
      <c r="J22" s="88">
        <v>8</v>
      </c>
      <c r="K22" s="89">
        <f>AVERAGE(B22:J22)</f>
        <v>3.3333333333333335</v>
      </c>
      <c r="L22" s="11">
        <f t="shared" si="1"/>
        <v>4.376544766708701</v>
      </c>
      <c r="M22" s="11">
        <f t="shared" si="2"/>
        <v>4.376544766708701</v>
      </c>
      <c r="N22" s="11">
        <v>20</v>
      </c>
      <c r="O22" s="86">
        <v>15</v>
      </c>
      <c r="P22" s="11">
        <f t="shared" si="3"/>
        <v>3.2824085750315257</v>
      </c>
      <c r="Q22" s="2"/>
      <c r="R22" s="2"/>
      <c r="S22" s="2"/>
    </row>
    <row r="23" spans="1:19">
      <c r="A23" s="88" t="s">
        <v>35</v>
      </c>
      <c r="B23" s="10">
        <v>1</v>
      </c>
      <c r="C23" s="10">
        <v>3</v>
      </c>
      <c r="D23" s="10">
        <v>2</v>
      </c>
      <c r="E23" s="10">
        <v>4</v>
      </c>
      <c r="F23" s="10">
        <v>1</v>
      </c>
      <c r="G23" s="10">
        <v>1</v>
      </c>
      <c r="H23" s="10">
        <v>3</v>
      </c>
      <c r="I23" s="10">
        <v>8</v>
      </c>
      <c r="J23" s="10">
        <v>8</v>
      </c>
      <c r="K23" s="11">
        <f>AVERAGE(B23:J23)</f>
        <v>3.4444444444444446</v>
      </c>
      <c r="L23" s="11">
        <f t="shared" si="1"/>
        <v>4.5224295922656577</v>
      </c>
      <c r="M23" s="11">
        <f t="shared" si="2"/>
        <v>4.5224295922656577</v>
      </c>
      <c r="N23" s="11">
        <v>20</v>
      </c>
      <c r="O23" s="86">
        <v>10</v>
      </c>
      <c r="P23" s="11">
        <f t="shared" si="3"/>
        <v>2.2612147961328288</v>
      </c>
      <c r="Q23" s="2"/>
      <c r="R23" s="2"/>
      <c r="S23" s="2"/>
    </row>
    <row r="24" spans="1:19">
      <c r="A24" s="10" t="s">
        <v>36</v>
      </c>
      <c r="B24" s="10">
        <v>2</v>
      </c>
      <c r="C24" s="10">
        <v>2</v>
      </c>
      <c r="D24" s="10">
        <v>2</v>
      </c>
      <c r="E24" s="10">
        <v>1</v>
      </c>
      <c r="F24" s="10">
        <v>3</v>
      </c>
      <c r="G24" s="10">
        <v>1</v>
      </c>
      <c r="H24" s="10">
        <v>3</v>
      </c>
      <c r="I24" s="10">
        <v>7</v>
      </c>
      <c r="J24" s="10">
        <v>5</v>
      </c>
      <c r="K24" s="11">
        <f>AVERAGE(B24:J24)</f>
        <v>2.8888888888888888</v>
      </c>
      <c r="L24" s="11">
        <f t="shared" si="1"/>
        <v>3.7930054644808742</v>
      </c>
      <c r="M24" s="11">
        <f t="shared" si="2"/>
        <v>3.7930054644808742</v>
      </c>
      <c r="N24" s="11">
        <v>20</v>
      </c>
      <c r="O24" s="86">
        <v>8</v>
      </c>
      <c r="P24" s="11">
        <f t="shared" si="3"/>
        <v>1.5172021857923497</v>
      </c>
      <c r="Q24" s="2"/>
      <c r="R24" s="2"/>
      <c r="S24" s="2"/>
    </row>
    <row r="26" spans="1:19">
      <c r="B26" s="47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9"/>
    </row>
    <row r="27" spans="1:19">
      <c r="B27" s="106" t="s">
        <v>37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100"/>
    </row>
    <row r="28" spans="1:19" ht="75">
      <c r="A28" s="104"/>
      <c r="B28" s="50" t="s">
        <v>38</v>
      </c>
      <c r="C28" s="9" t="s">
        <v>39</v>
      </c>
      <c r="D28" s="9" t="s">
        <v>40</v>
      </c>
      <c r="E28" s="9" t="s">
        <v>41</v>
      </c>
      <c r="L28"/>
      <c r="M28" s="9" t="s">
        <v>42</v>
      </c>
      <c r="N28" s="9" t="s">
        <v>18</v>
      </c>
      <c r="O28" s="51"/>
      <c r="P28" s="6"/>
      <c r="Q28" s="6"/>
      <c r="R28" s="6"/>
      <c r="S28" s="6"/>
    </row>
    <row r="29" spans="1:19">
      <c r="A29" s="104"/>
      <c r="B29" s="50"/>
      <c r="L29"/>
      <c r="O29" s="51"/>
    </row>
    <row r="30" spans="1:19">
      <c r="A30" s="104"/>
      <c r="B30" s="50">
        <v>1999</v>
      </c>
      <c r="D30">
        <v>50000</v>
      </c>
      <c r="L30"/>
      <c r="O30" s="51"/>
    </row>
    <row r="31" spans="1:19">
      <c r="A31" s="104"/>
      <c r="B31" s="50">
        <v>2000</v>
      </c>
      <c r="L31"/>
      <c r="O31" s="51"/>
    </row>
    <row r="32" spans="1:19">
      <c r="A32" s="104"/>
      <c r="B32" s="50">
        <v>2001</v>
      </c>
      <c r="L32"/>
      <c r="M32">
        <f>5555/100000</f>
        <v>5.5550000000000002E-2</v>
      </c>
      <c r="N32">
        <v>3.72</v>
      </c>
      <c r="O32" s="51">
        <f>(M32*100)/N32</f>
        <v>1.4932795698924732</v>
      </c>
    </row>
    <row r="33" spans="1:15">
      <c r="A33" s="104"/>
      <c r="B33" s="50">
        <v>2002</v>
      </c>
      <c r="L33"/>
      <c r="O33" s="51"/>
    </row>
    <row r="34" spans="1:15">
      <c r="A34" s="104"/>
      <c r="B34" s="50">
        <v>2003</v>
      </c>
      <c r="L34"/>
      <c r="O34" s="51"/>
    </row>
    <row r="35" spans="1:15">
      <c r="A35" s="104"/>
      <c r="B35" s="50">
        <v>2004</v>
      </c>
      <c r="L35"/>
      <c r="O35" s="51"/>
    </row>
    <row r="36" spans="1:15">
      <c r="A36" s="104"/>
      <c r="B36" s="50">
        <v>2005</v>
      </c>
      <c r="L36"/>
      <c r="O36" s="51"/>
    </row>
    <row r="37" spans="1:15">
      <c r="A37" s="104"/>
      <c r="B37" s="50">
        <v>2006</v>
      </c>
      <c r="L37"/>
      <c r="O37" s="51"/>
    </row>
    <row r="38" spans="1:15">
      <c r="B38" s="50">
        <v>2007</v>
      </c>
      <c r="C38">
        <v>0</v>
      </c>
      <c r="E38">
        <v>30000</v>
      </c>
      <c r="L38"/>
      <c r="O38" s="51"/>
    </row>
    <row r="39" spans="1:15">
      <c r="B39" s="50">
        <v>2008</v>
      </c>
      <c r="L39"/>
      <c r="O39" s="51"/>
    </row>
    <row r="40" spans="1:15">
      <c r="B40" s="50">
        <v>2009</v>
      </c>
      <c r="L40"/>
      <c r="M40">
        <f>4444/130000</f>
        <v>3.4184615384615383E-2</v>
      </c>
      <c r="N40">
        <v>3.28</v>
      </c>
      <c r="O40" s="51">
        <f>(M40*100)/N40</f>
        <v>1.0422138836772983</v>
      </c>
    </row>
    <row r="41" spans="1:15">
      <c r="B41" s="50">
        <v>2010</v>
      </c>
      <c r="L41"/>
      <c r="O41" s="51"/>
    </row>
    <row r="42" spans="1:15">
      <c r="B42" s="50">
        <v>2011</v>
      </c>
      <c r="L42"/>
      <c r="O42" s="51"/>
    </row>
    <row r="43" spans="1:15">
      <c r="B43" s="50">
        <v>2012</v>
      </c>
      <c r="L43"/>
      <c r="O43" s="51"/>
    </row>
    <row r="44" spans="1:15">
      <c r="B44" s="50">
        <v>2013</v>
      </c>
      <c r="L44"/>
      <c r="O44" s="51"/>
    </row>
    <row r="45" spans="1:15">
      <c r="B45" s="50">
        <v>2014</v>
      </c>
      <c r="L45"/>
      <c r="O45" s="51"/>
    </row>
    <row r="46" spans="1:15">
      <c r="B46" s="50">
        <v>2015</v>
      </c>
      <c r="L46"/>
      <c r="O46" s="51"/>
    </row>
    <row r="47" spans="1:15">
      <c r="B47" s="50">
        <v>2016</v>
      </c>
      <c r="L47"/>
      <c r="O47" s="51"/>
    </row>
    <row r="48" spans="1:15">
      <c r="B48" s="50">
        <v>2017</v>
      </c>
      <c r="D48">
        <v>130000</v>
      </c>
      <c r="L48"/>
      <c r="O48" s="51"/>
    </row>
    <row r="49" spans="2:15">
      <c r="B49" s="50">
        <v>2018</v>
      </c>
      <c r="L49"/>
      <c r="M49">
        <f>4375/100000</f>
        <v>4.3749999999999997E-2</v>
      </c>
      <c r="N49">
        <v>3.06</v>
      </c>
      <c r="O49" s="51">
        <f>(M49*100)/N49</f>
        <v>1.4297385620915033</v>
      </c>
    </row>
    <row r="50" spans="2:15">
      <c r="B50" s="50">
        <v>2019</v>
      </c>
      <c r="L50"/>
      <c r="O50" s="51"/>
    </row>
    <row r="51" spans="2:15">
      <c r="B51" s="50">
        <v>2020</v>
      </c>
      <c r="L51"/>
      <c r="O51" s="51"/>
    </row>
    <row r="52" spans="2:15">
      <c r="B52" s="50">
        <v>2021</v>
      </c>
      <c r="L52"/>
      <c r="O52" s="51"/>
    </row>
    <row r="53" spans="2:15">
      <c r="B53" s="50">
        <v>2022</v>
      </c>
      <c r="L53"/>
      <c r="O53" s="51"/>
    </row>
    <row r="54" spans="2:15">
      <c r="B54" s="50">
        <v>2023</v>
      </c>
      <c r="E54">
        <v>100000</v>
      </c>
      <c r="L54"/>
      <c r="O54" s="51"/>
    </row>
    <row r="55" spans="2:15">
      <c r="B55" s="50">
        <v>2024</v>
      </c>
      <c r="L55"/>
      <c r="O55" s="51"/>
    </row>
    <row r="56" spans="2:15">
      <c r="B56" s="50">
        <v>2025</v>
      </c>
      <c r="C56">
        <v>100000</v>
      </c>
      <c r="L56"/>
      <c r="O56" s="51">
        <f>AVERAGE(O32,O40,O49)</f>
        <v>1.321744005220425</v>
      </c>
    </row>
    <row r="57" spans="2:15">
      <c r="B57" s="57"/>
      <c r="C57" s="58" t="s">
        <v>43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60"/>
    </row>
    <row r="59" spans="2:15" ht="15.75" thickBot="1">
      <c r="B59" t="s">
        <v>44</v>
      </c>
    </row>
    <row r="60" spans="2:15">
      <c r="B60" s="40"/>
      <c r="C60" s="41" t="s">
        <v>45</v>
      </c>
      <c r="D60" s="42" t="s">
        <v>46</v>
      </c>
    </row>
    <row r="61" spans="2:15">
      <c r="B61" s="43"/>
      <c r="D61" s="44"/>
    </row>
    <row r="62" spans="2:15">
      <c r="B62" s="43" t="s">
        <v>47</v>
      </c>
      <c r="C62" s="2">
        <f>M32*100</f>
        <v>5.5550000000000006</v>
      </c>
      <c r="D62" s="65">
        <f>K16</f>
        <v>3.7222222222222223</v>
      </c>
    </row>
    <row r="63" spans="2:15">
      <c r="B63" s="43" t="s">
        <v>48</v>
      </c>
      <c r="C63" s="2">
        <f>M40*100</f>
        <v>3.4184615384615382</v>
      </c>
      <c r="D63" s="65">
        <f>K18</f>
        <v>3.2777777777777777</v>
      </c>
    </row>
    <row r="64" spans="2:15">
      <c r="B64" s="43" t="s">
        <v>49</v>
      </c>
      <c r="C64" s="2">
        <f>M49*100</f>
        <v>4.375</v>
      </c>
      <c r="D64" s="65">
        <f>K19</f>
        <v>3.1666666666666665</v>
      </c>
    </row>
    <row r="65" spans="2:4" ht="15.75" thickBot="1">
      <c r="B65" s="45" t="s">
        <v>50</v>
      </c>
      <c r="C65" s="46"/>
      <c r="D65" s="66">
        <f>C66/D66</f>
        <v>1.3129634300126103</v>
      </c>
    </row>
    <row r="66" spans="2:4" ht="15.75" thickBot="1">
      <c r="B66" s="111" t="s">
        <v>51</v>
      </c>
      <c r="C66" s="112">
        <f>AVERAGE(C62:C64)</f>
        <v>4.4494871794871793</v>
      </c>
      <c r="D66" s="113">
        <f>AVERAGE(D62:D64)</f>
        <v>3.3888888888888888</v>
      </c>
    </row>
    <row r="90" spans="3:5">
      <c r="C90" s="9"/>
      <c r="D90" s="9"/>
    </row>
    <row r="92" spans="3:5">
      <c r="E92" s="2"/>
    </row>
    <row r="93" spans="3:5">
      <c r="E93" s="2"/>
    </row>
    <row r="94" spans="3:5">
      <c r="E94" s="2"/>
    </row>
    <row r="95" spans="3:5">
      <c r="E95" s="2"/>
    </row>
    <row r="96" spans="3:5">
      <c r="E96" s="2"/>
    </row>
    <row r="97" spans="5:5">
      <c r="E97" s="2"/>
    </row>
    <row r="98" spans="5:5">
      <c r="E98" s="2"/>
    </row>
  </sheetData>
  <mergeCells count="1">
    <mergeCell ref="B12:K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3418-8BBC-4A86-B9DC-52D8D8A7B5D9}">
  <dimension ref="A1:BP36"/>
  <sheetViews>
    <sheetView tabSelected="1" zoomScale="30" zoomScaleNormal="30" workbookViewId="0">
      <pane xSplit="1" topLeftCell="BU22" activePane="topRight" state="frozen"/>
      <selection pane="topRight" activeCell="BU22" sqref="BU22"/>
    </sheetView>
  </sheetViews>
  <sheetFormatPr defaultRowHeight="15"/>
  <cols>
    <col min="1" max="1" width="22.42578125" customWidth="1"/>
    <col min="2" max="2" width="9.28515625" style="4" bestFit="1" customWidth="1"/>
    <col min="3" max="3" width="9.28515625" bestFit="1" customWidth="1"/>
    <col min="4" max="4" width="10.140625" style="9" bestFit="1" customWidth="1"/>
    <col min="5" max="8" width="9.28515625" bestFit="1" customWidth="1"/>
    <col min="9" max="9" width="10.140625" style="12" bestFit="1" customWidth="1"/>
    <col min="10" max="10" width="4.85546875" customWidth="1"/>
    <col min="11" max="14" width="9.28515625" bestFit="1" customWidth="1"/>
    <col min="15" max="15" width="10.140625" bestFit="1" customWidth="1"/>
    <col min="16" max="16" width="13.7109375" style="5" customWidth="1"/>
    <col min="17" max="17" width="12.42578125" style="5" customWidth="1"/>
    <col min="18" max="18" width="13.85546875" style="5" bestFit="1" customWidth="1"/>
    <col min="19" max="19" width="13.5703125" style="5" customWidth="1"/>
    <col min="20" max="22" width="9.28515625" bestFit="1" customWidth="1"/>
    <col min="24" max="26" width="9.28515625" bestFit="1" customWidth="1"/>
    <col min="28" max="28" width="9.28515625" bestFit="1" customWidth="1"/>
    <col min="29" max="31" width="10.140625" style="12" bestFit="1" customWidth="1"/>
    <col min="32" max="32" width="9.28515625" style="12" bestFit="1" customWidth="1"/>
    <col min="33" max="33" width="9.140625" style="12"/>
    <col min="34" max="37" width="9.28515625" bestFit="1" customWidth="1"/>
    <col min="39" max="40" width="9.28515625" bestFit="1" customWidth="1"/>
    <col min="41" max="41" width="12.85546875" bestFit="1" customWidth="1"/>
    <col min="42" max="42" width="12.7109375" customWidth="1"/>
    <col min="43" max="43" width="10.140625" bestFit="1" customWidth="1"/>
    <col min="45" max="49" width="13.28515625" customWidth="1"/>
    <col min="52" max="53" width="10.140625" style="5" bestFit="1" customWidth="1"/>
    <col min="54" max="54" width="9.28515625" style="5" bestFit="1" customWidth="1"/>
    <col min="55" max="56" width="10.7109375" style="5" customWidth="1"/>
    <col min="57" max="58" width="11.7109375" style="5" bestFit="1" customWidth="1"/>
    <col min="59" max="59" width="9.28515625" style="5" bestFit="1" customWidth="1"/>
    <col min="60" max="61" width="9.28515625" style="5" customWidth="1"/>
    <col min="62" max="63" width="13.85546875" style="12" bestFit="1" customWidth="1"/>
    <col min="64" max="64" width="10.5703125" style="5" customWidth="1"/>
    <col min="65" max="65" width="6.42578125" style="5" customWidth="1"/>
    <col min="66" max="67" width="9.28515625" style="5" bestFit="1" customWidth="1"/>
    <col min="68" max="68" width="9.28515625" bestFit="1" customWidth="1"/>
  </cols>
  <sheetData>
    <row r="1" spans="1:68">
      <c r="A1" s="76"/>
      <c r="B1" s="76"/>
      <c r="D1" s="96"/>
      <c r="E1" s="5"/>
      <c r="F1" s="76"/>
      <c r="G1" s="76"/>
      <c r="H1" s="76"/>
      <c r="I1" s="5"/>
      <c r="J1" s="76"/>
      <c r="K1" s="76"/>
      <c r="L1" s="76"/>
      <c r="M1" s="76"/>
      <c r="N1" s="76"/>
      <c r="O1" s="5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5"/>
      <c r="AD1" s="5"/>
      <c r="AE1" s="5"/>
      <c r="AF1" s="76"/>
      <c r="AG1" s="76"/>
      <c r="AH1" s="76"/>
      <c r="AI1" s="97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5"/>
      <c r="AV1" s="5"/>
      <c r="AW1" s="5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</row>
    <row r="2" spans="1:68" ht="15.75" thickBot="1">
      <c r="BH2" s="76"/>
      <c r="BI2" s="76"/>
    </row>
    <row r="3" spans="1:68" ht="15.75" thickBot="1">
      <c r="A3" s="158" t="s">
        <v>52</v>
      </c>
      <c r="B3" s="162" t="s">
        <v>53</v>
      </c>
      <c r="C3" s="163"/>
      <c r="D3" s="164" t="s">
        <v>54</v>
      </c>
      <c r="E3" s="164"/>
      <c r="F3" s="164"/>
      <c r="G3" s="164"/>
      <c r="H3" s="164"/>
      <c r="I3" s="164"/>
      <c r="K3" s="165" t="s">
        <v>55</v>
      </c>
      <c r="L3" s="166"/>
      <c r="M3" s="166"/>
      <c r="N3" s="166"/>
      <c r="O3" s="166"/>
      <c r="P3" s="166"/>
      <c r="Q3" s="166"/>
      <c r="R3" s="167"/>
      <c r="S3" s="30"/>
      <c r="T3" s="168" t="s">
        <v>56</v>
      </c>
      <c r="U3" s="169"/>
      <c r="V3" s="169"/>
      <c r="X3" s="169" t="s">
        <v>57</v>
      </c>
      <c r="Y3" s="169"/>
      <c r="Z3" s="72"/>
      <c r="AA3" s="72"/>
      <c r="AB3" s="74"/>
      <c r="AC3" s="170" t="s">
        <v>58</v>
      </c>
      <c r="AD3" s="170"/>
      <c r="AE3" s="170"/>
      <c r="AF3" s="170"/>
      <c r="AG3" s="79"/>
      <c r="AH3" s="171" t="s">
        <v>59</v>
      </c>
      <c r="AI3" s="172"/>
      <c r="AJ3" s="172"/>
      <c r="AK3" s="173"/>
      <c r="AM3" s="174" t="s">
        <v>60</v>
      </c>
      <c r="AN3" s="174"/>
      <c r="AO3" s="174"/>
      <c r="AP3" s="174"/>
      <c r="AQ3" s="174"/>
      <c r="AS3" s="175" t="s">
        <v>61</v>
      </c>
      <c r="AT3" s="175"/>
      <c r="AU3" s="175"/>
      <c r="AV3" s="175"/>
      <c r="AW3" s="175"/>
      <c r="AZ3" s="155" t="s">
        <v>62</v>
      </c>
      <c r="BA3" s="156"/>
      <c r="BB3" s="156"/>
      <c r="BC3" s="139"/>
      <c r="BE3" s="155" t="s">
        <v>63</v>
      </c>
      <c r="BF3" s="156"/>
      <c r="BG3" s="156"/>
      <c r="BH3" s="157"/>
      <c r="BI3" s="76"/>
      <c r="BJ3" s="159" t="s">
        <v>64</v>
      </c>
      <c r="BK3" s="160"/>
      <c r="BL3" s="161"/>
      <c r="BM3" s="114"/>
      <c r="BN3" s="155" t="s">
        <v>65</v>
      </c>
      <c r="BO3" s="156"/>
      <c r="BP3" s="157"/>
    </row>
    <row r="4" spans="1:68" ht="211.5" customHeight="1">
      <c r="A4" s="158"/>
      <c r="B4" s="33" t="s">
        <v>53</v>
      </c>
      <c r="C4" s="71" t="s">
        <v>66</v>
      </c>
      <c r="D4" s="23" t="s">
        <v>67</v>
      </c>
      <c r="E4" s="13" t="s">
        <v>68</v>
      </c>
      <c r="F4" s="13" t="s">
        <v>69</v>
      </c>
      <c r="G4" s="24" t="s">
        <v>70</v>
      </c>
      <c r="H4" s="24" t="s">
        <v>71</v>
      </c>
      <c r="I4" s="25" t="s">
        <v>72</v>
      </c>
      <c r="J4" s="1"/>
      <c r="K4" s="13" t="s">
        <v>73</v>
      </c>
      <c r="L4" s="13" t="s">
        <v>74</v>
      </c>
      <c r="M4" s="13" t="s">
        <v>75</v>
      </c>
      <c r="N4" s="13" t="s">
        <v>76</v>
      </c>
      <c r="O4" s="13" t="s">
        <v>77</v>
      </c>
      <c r="P4" s="14" t="s">
        <v>78</v>
      </c>
      <c r="Q4" s="14" t="s">
        <v>79</v>
      </c>
      <c r="R4" s="14" t="s">
        <v>80</v>
      </c>
      <c r="S4" s="31"/>
      <c r="T4" s="20" t="s">
        <v>81</v>
      </c>
      <c r="U4" s="20" t="s">
        <v>82</v>
      </c>
      <c r="V4" s="20" t="s">
        <v>83</v>
      </c>
      <c r="W4" s="1"/>
      <c r="X4" s="20" t="s">
        <v>84</v>
      </c>
      <c r="Y4" s="20" t="s">
        <v>85</v>
      </c>
      <c r="Z4" s="20" t="s">
        <v>86</v>
      </c>
      <c r="AA4" s="20"/>
      <c r="AB4" s="78" t="s">
        <v>87</v>
      </c>
      <c r="AC4" s="80" t="s">
        <v>88</v>
      </c>
      <c r="AD4" s="80" t="s">
        <v>89</v>
      </c>
      <c r="AE4" s="81" t="s">
        <v>90</v>
      </c>
      <c r="AF4" s="80" t="s">
        <v>91</v>
      </c>
      <c r="AG4" s="82"/>
      <c r="AH4" s="35" t="s">
        <v>92</v>
      </c>
      <c r="AI4" s="35" t="s">
        <v>93</v>
      </c>
      <c r="AJ4" s="35" t="s">
        <v>94</v>
      </c>
      <c r="AK4" s="36" t="s">
        <v>95</v>
      </c>
      <c r="AL4" s="1"/>
      <c r="AM4" s="19" t="s">
        <v>73</v>
      </c>
      <c r="AN4" s="19" t="s">
        <v>96</v>
      </c>
      <c r="AO4" s="28" t="s">
        <v>97</v>
      </c>
      <c r="AP4" s="28" t="s">
        <v>98</v>
      </c>
      <c r="AQ4" s="28" t="s">
        <v>99</v>
      </c>
      <c r="AR4" s="73"/>
      <c r="AS4" s="149" t="s">
        <v>100</v>
      </c>
      <c r="AT4" s="149" t="s">
        <v>101</v>
      </c>
      <c r="AU4" s="150" t="s">
        <v>102</v>
      </c>
      <c r="AV4" s="150" t="s">
        <v>103</v>
      </c>
      <c r="AW4" s="151" t="s">
        <v>104</v>
      </c>
      <c r="AX4" s="73"/>
      <c r="AY4" s="1"/>
      <c r="AZ4" s="143" t="s">
        <v>105</v>
      </c>
      <c r="BA4" s="144" t="s">
        <v>106</v>
      </c>
      <c r="BB4" s="144" t="s">
        <v>107</v>
      </c>
      <c r="BC4" s="145" t="s">
        <v>108</v>
      </c>
      <c r="BD4" s="117"/>
      <c r="BE4" s="128" t="s">
        <v>109</v>
      </c>
      <c r="BF4" s="117" t="s">
        <v>110</v>
      </c>
      <c r="BG4" s="117" t="s">
        <v>111</v>
      </c>
      <c r="BH4" s="129" t="s">
        <v>112</v>
      </c>
      <c r="BI4" s="76"/>
      <c r="BJ4" s="141" t="s">
        <v>113</v>
      </c>
      <c r="BK4" s="117" t="s">
        <v>114</v>
      </c>
      <c r="BL4" s="129" t="s">
        <v>115</v>
      </c>
      <c r="BM4" s="73"/>
      <c r="BN4" s="116" t="s">
        <v>116</v>
      </c>
      <c r="BO4" s="117" t="s">
        <v>117</v>
      </c>
      <c r="BP4" s="118" t="s">
        <v>118</v>
      </c>
    </row>
    <row r="5" spans="1:68">
      <c r="B5" s="34" t="s">
        <v>119</v>
      </c>
      <c r="C5" s="3" t="s">
        <v>120</v>
      </c>
      <c r="D5" s="26" t="s">
        <v>121</v>
      </c>
      <c r="E5" s="15" t="s">
        <v>122</v>
      </c>
      <c r="F5" s="15" t="s">
        <v>69</v>
      </c>
      <c r="G5" s="15" t="s">
        <v>123</v>
      </c>
      <c r="H5" s="15" t="s">
        <v>124</v>
      </c>
      <c r="I5" s="18"/>
      <c r="K5" s="15" t="s">
        <v>125</v>
      </c>
      <c r="L5" s="15" t="s">
        <v>126</v>
      </c>
      <c r="M5" s="15" t="s">
        <v>127</v>
      </c>
      <c r="N5" s="15" t="s">
        <v>128</v>
      </c>
      <c r="O5" s="16"/>
      <c r="P5" s="17" t="s">
        <v>129</v>
      </c>
      <c r="Q5" s="17" t="s">
        <v>129</v>
      </c>
      <c r="R5" s="17" t="s">
        <v>129</v>
      </c>
      <c r="S5" s="32"/>
      <c r="T5" s="21" t="s">
        <v>120</v>
      </c>
      <c r="U5" s="21" t="s">
        <v>120</v>
      </c>
      <c r="V5" s="21" t="s">
        <v>120</v>
      </c>
      <c r="X5" s="21" t="s">
        <v>126</v>
      </c>
      <c r="Y5" s="21" t="s">
        <v>126</v>
      </c>
      <c r="Z5" s="77" t="s">
        <v>126</v>
      </c>
      <c r="AA5" s="77"/>
      <c r="AB5" s="39"/>
      <c r="AC5" s="83"/>
      <c r="AD5" s="83"/>
      <c r="AE5" s="83"/>
      <c r="AF5" s="83"/>
      <c r="AG5" s="84"/>
      <c r="AH5" s="67" t="s">
        <v>130</v>
      </c>
      <c r="AI5" s="67" t="s">
        <v>131</v>
      </c>
      <c r="AJ5" s="67" t="s">
        <v>132</v>
      </c>
      <c r="AK5" s="68" t="s">
        <v>130</v>
      </c>
      <c r="AM5" s="22" t="s">
        <v>125</v>
      </c>
      <c r="AN5" s="22" t="s">
        <v>127</v>
      </c>
      <c r="AO5" s="29" t="s">
        <v>129</v>
      </c>
      <c r="AP5" s="29"/>
      <c r="AQ5" s="29" t="s">
        <v>129</v>
      </c>
      <c r="AR5" s="5"/>
      <c r="AS5" s="152"/>
      <c r="AT5" s="152"/>
      <c r="AU5" s="147" t="s">
        <v>133</v>
      </c>
      <c r="AV5" s="147" t="s">
        <v>133</v>
      </c>
      <c r="AW5" s="147" t="s">
        <v>133</v>
      </c>
      <c r="AX5" s="5"/>
      <c r="AZ5" s="130" t="s">
        <v>134</v>
      </c>
      <c r="BA5" s="138" t="s">
        <v>134</v>
      </c>
      <c r="BB5" s="115" t="s">
        <v>135</v>
      </c>
      <c r="BC5" s="140" t="s">
        <v>136</v>
      </c>
      <c r="BD5" s="115"/>
      <c r="BE5" s="130" t="s">
        <v>133</v>
      </c>
      <c r="BF5" s="138" t="s">
        <v>133</v>
      </c>
      <c r="BG5" s="115" t="s">
        <v>135</v>
      </c>
      <c r="BH5" s="140" t="s">
        <v>136</v>
      </c>
      <c r="BI5" s="76"/>
      <c r="BJ5" s="130" t="s">
        <v>133</v>
      </c>
      <c r="BK5" s="75" t="s">
        <v>135</v>
      </c>
      <c r="BL5" s="131" t="s">
        <v>136</v>
      </c>
      <c r="BM5" s="115"/>
      <c r="BN5" s="119" t="s">
        <v>137</v>
      </c>
      <c r="BO5" s="107" t="s">
        <v>138</v>
      </c>
      <c r="BP5" s="44" t="s">
        <v>135</v>
      </c>
    </row>
    <row r="6" spans="1:68">
      <c r="A6" s="108" t="s">
        <v>139</v>
      </c>
      <c r="B6" s="34">
        <f>'Adoption model'!P15</f>
        <v>0.22612147961328288</v>
      </c>
      <c r="C6" s="3">
        <f t="shared" ref="C6:C12" si="0">1+(B6/100)</f>
        <v>1.0022612147961327</v>
      </c>
      <c r="D6" s="93">
        <v>2320000</v>
      </c>
      <c r="E6" s="15">
        <v>10</v>
      </c>
      <c r="F6" s="15">
        <f>E6/8</f>
        <v>1.25</v>
      </c>
      <c r="G6" s="27">
        <f>1/F6</f>
        <v>0.8</v>
      </c>
      <c r="H6" s="27">
        <v>1</v>
      </c>
      <c r="I6" s="17">
        <f>(D6/G6)*H6</f>
        <v>2900000</v>
      </c>
      <c r="K6" s="15">
        <v>450</v>
      </c>
      <c r="L6" s="15">
        <v>0.6</v>
      </c>
      <c r="M6" s="27">
        <f xml:space="preserve"> ((1.185+(0.00454*K6))-(0.0000026*(K6^2))+(0.315*L6))^2</f>
        <v>8.3549902499999984</v>
      </c>
      <c r="N6" s="27">
        <f>M6*365/1000</f>
        <v>3.049571441249999</v>
      </c>
      <c r="O6" s="17">
        <f t="shared" ref="O6:O12" si="1">I6</f>
        <v>2900000</v>
      </c>
      <c r="P6" s="17">
        <f>(N6*O6)</f>
        <v>8843757.1796249971</v>
      </c>
      <c r="Q6" s="17">
        <f>(P6*20.7)/1000</f>
        <v>183065.77361823744</v>
      </c>
      <c r="R6" s="17">
        <f>Q6*28</f>
        <v>5125841.6613106485</v>
      </c>
      <c r="S6" s="32"/>
      <c r="T6" s="21">
        <v>0.7</v>
      </c>
      <c r="U6" s="21">
        <v>0.5</v>
      </c>
      <c r="V6" s="21">
        <f>T6*U6</f>
        <v>0.35</v>
      </c>
      <c r="X6" s="21">
        <v>0.6</v>
      </c>
      <c r="Y6" s="21">
        <f>(X6*1.1)</f>
        <v>0.66</v>
      </c>
      <c r="Z6" s="91">
        <f t="shared" ref="Z6:Z12" si="2">((Y6-X6)*(V6))+X6</f>
        <v>0.621</v>
      </c>
      <c r="AA6" s="21">
        <f>Z6/X6*100</f>
        <v>103.50000000000001</v>
      </c>
      <c r="AB6" s="11">
        <v>1</v>
      </c>
      <c r="AC6" s="94">
        <f t="shared" ref="AC6:AC12" si="3">I6*(Z6/X6)</f>
        <v>3001500.0000000005</v>
      </c>
      <c r="AD6" s="94">
        <f t="shared" ref="AD6:AD12" si="4">I6*C6</f>
        <v>2906557.5229087849</v>
      </c>
      <c r="AE6" s="94">
        <f t="shared" ref="AE6:AE12" si="5">I6+(AC6-I6)+(AD6-I6)</f>
        <v>3008057.5229087854</v>
      </c>
      <c r="AF6" s="87">
        <f t="shared" ref="AF6:AF12" si="6">AE6/I6</f>
        <v>1.0372612147961329</v>
      </c>
      <c r="AG6" s="86"/>
      <c r="AH6" s="69">
        <v>20.7</v>
      </c>
      <c r="AI6" s="70">
        <v>14</v>
      </c>
      <c r="AJ6" s="69">
        <f>(AI6/100)</f>
        <v>0.14000000000000001</v>
      </c>
      <c r="AK6" s="101">
        <f>AH6*(1-AJ6)</f>
        <v>17.802</v>
      </c>
      <c r="AM6" s="22">
        <v>450</v>
      </c>
      <c r="AN6" s="21">
        <f xml:space="preserve"> ((1.185+(0.00454*AM6))-(0.0000026*(AM6^2))+(0.315*X6))^2</f>
        <v>8.3549902499999984</v>
      </c>
      <c r="AO6" s="29">
        <f t="shared" ref="AO6:AO12" si="7">(AE6*AN6*365)/1000</f>
        <v>9173286.3154998478</v>
      </c>
      <c r="AP6" s="29">
        <f t="shared" ref="AP6:AP12" si="8">(AO6*V6)</f>
        <v>3210650.2104249466</v>
      </c>
      <c r="AQ6" s="29">
        <f t="shared" ref="AQ6:AQ12" si="9">(AO6*(1-V6))</f>
        <v>5962636.1050749011</v>
      </c>
      <c r="AR6" s="5"/>
      <c r="AS6" s="153">
        <f t="shared" ref="AS6:AS12" si="10">(AE6*V6)</f>
        <v>1052820.1330180748</v>
      </c>
      <c r="AT6" s="153">
        <f>AD6*(1-V6)</f>
        <v>1889262.3898907104</v>
      </c>
      <c r="AU6" s="148">
        <f>(AS6*AN6*365*AK6)/1000000</f>
        <v>57155.995045984899</v>
      </c>
      <c r="AV6" s="148">
        <f>(AT6*AN6*365*AH6)/1000000</f>
        <v>119261.82102523553</v>
      </c>
      <c r="AW6" s="148">
        <f t="shared" ref="AW6:AW12" si="11">SUM(AU6:AV6)</f>
        <v>176417.81607122044</v>
      </c>
      <c r="AX6" s="5"/>
      <c r="AY6" s="142" t="s">
        <v>139</v>
      </c>
      <c r="AZ6" s="119">
        <f t="shared" ref="AZ6:AZ12" si="12">O6</f>
        <v>2900000</v>
      </c>
      <c r="BA6" s="5">
        <f>AE6</f>
        <v>3008057.5229087854</v>
      </c>
      <c r="BB6" s="76">
        <f>((BA6-AZ6)/AZ6)*100</f>
        <v>3.7261214796132891</v>
      </c>
      <c r="BC6" s="121">
        <f>(BA6/AZ6)*100</f>
        <v>103.72612147961328</v>
      </c>
      <c r="BD6" s="76"/>
      <c r="BE6" s="119">
        <f>Q6</f>
        <v>183065.77361823744</v>
      </c>
      <c r="BF6" s="5">
        <f>AW6</f>
        <v>176417.81607122044</v>
      </c>
      <c r="BG6" s="76">
        <f>((BF6/BE6)*100)-100</f>
        <v>-3.6314584728877435</v>
      </c>
      <c r="BH6" s="121">
        <f t="shared" ref="BH6:BH14" si="13">(BF6/BE6)*100</f>
        <v>96.368541527112257</v>
      </c>
      <c r="BI6" s="76"/>
      <c r="BJ6" s="119">
        <f>Q6*28</f>
        <v>5125841.6613106485</v>
      </c>
      <c r="BK6" s="5">
        <f>AW6*28</f>
        <v>4939698.8499941723</v>
      </c>
      <c r="BL6" s="121">
        <f>((BK6-BJ6)/BJ6)*100</f>
        <v>-3.6314584728877586</v>
      </c>
      <c r="BM6" s="76"/>
      <c r="BN6" s="120">
        <f>(BJ6/AZ6)</f>
        <v>1.7675316073484995</v>
      </c>
      <c r="BO6" s="90">
        <f>(BK6/BA6)</f>
        <v>1.642155714235642</v>
      </c>
      <c r="BP6" s="121">
        <f t="shared" ref="BP6:BP14" si="14">((BO6-BN6)/BN6)*100</f>
        <v>-7.0932758764600372</v>
      </c>
    </row>
    <row r="7" spans="1:68">
      <c r="A7" s="10" t="s">
        <v>140</v>
      </c>
      <c r="B7" s="34">
        <f>'Adoption model'!P16</f>
        <v>3.6653562421185368</v>
      </c>
      <c r="C7" s="3">
        <f t="shared" si="0"/>
        <v>1.0366535624211854</v>
      </c>
      <c r="D7" s="93">
        <v>400000</v>
      </c>
      <c r="E7" s="15">
        <v>10</v>
      </c>
      <c r="F7" s="15">
        <f>E7/8</f>
        <v>1.25</v>
      </c>
      <c r="G7" s="27">
        <f>1/F7</f>
        <v>0.8</v>
      </c>
      <c r="H7" s="27">
        <v>1</v>
      </c>
      <c r="I7" s="17">
        <f t="shared" ref="I7:I12" si="15">(D7/G7)*H7</f>
        <v>500000</v>
      </c>
      <c r="K7" s="15">
        <v>450</v>
      </c>
      <c r="L7" s="15">
        <v>0.6</v>
      </c>
      <c r="M7" s="27">
        <f>'Sheep intake'!E$20</f>
        <v>10.5</v>
      </c>
      <c r="N7" s="27">
        <f t="shared" ref="N7:N12" si="16">M7*365/1000</f>
        <v>3.8325</v>
      </c>
      <c r="O7" s="17">
        <f t="shared" si="1"/>
        <v>500000</v>
      </c>
      <c r="P7" s="17">
        <f t="shared" ref="P7:P16" si="17">(N7*O7)</f>
        <v>1916250</v>
      </c>
      <c r="Q7" s="17">
        <f t="shared" ref="Q7:Q12" si="18">(P7*20.7)/1000</f>
        <v>39666.375</v>
      </c>
      <c r="R7" s="17">
        <f t="shared" ref="R7:R12" si="19">Q7*28</f>
        <v>1110658.5</v>
      </c>
      <c r="S7" s="32"/>
      <c r="T7" s="21">
        <v>0.4</v>
      </c>
      <c r="U7" s="21">
        <v>0.9</v>
      </c>
      <c r="V7" s="21">
        <f t="shared" ref="V7:V12" si="20">T7*U7</f>
        <v>0.36000000000000004</v>
      </c>
      <c r="X7" s="21">
        <v>0.6</v>
      </c>
      <c r="Y7" s="21">
        <f>(X7*1.5)</f>
        <v>0.89999999999999991</v>
      </c>
      <c r="Z7" s="91">
        <f t="shared" si="2"/>
        <v>0.70799999999999996</v>
      </c>
      <c r="AA7" s="21">
        <f t="shared" ref="AA7:AA16" si="21">Z7/X7*100</f>
        <v>118</v>
      </c>
      <c r="AB7" s="11">
        <v>1</v>
      </c>
      <c r="AC7" s="94">
        <f t="shared" si="3"/>
        <v>590000</v>
      </c>
      <c r="AD7" s="94">
        <f t="shared" si="4"/>
        <v>518326.78121059272</v>
      </c>
      <c r="AE7" s="94">
        <f t="shared" si="5"/>
        <v>608326.78121059272</v>
      </c>
      <c r="AF7" s="87">
        <f t="shared" si="6"/>
        <v>1.2166535624211854</v>
      </c>
      <c r="AG7" s="86"/>
      <c r="AH7" s="69">
        <v>20.7</v>
      </c>
      <c r="AI7" s="70">
        <v>28</v>
      </c>
      <c r="AJ7" s="69">
        <f t="shared" ref="AJ7:AJ11" si="22">(AI7/100)</f>
        <v>0.28000000000000003</v>
      </c>
      <c r="AK7" s="101">
        <f t="shared" ref="AK7:AK11" si="23">AH7*(1-AJ7)</f>
        <v>14.903999999999998</v>
      </c>
      <c r="AM7" s="22">
        <v>450</v>
      </c>
      <c r="AN7" s="21">
        <f>'Sheep intake'!E$20</f>
        <v>10.5</v>
      </c>
      <c r="AO7" s="29">
        <f t="shared" si="7"/>
        <v>2331412.3889895966</v>
      </c>
      <c r="AP7" s="29">
        <f t="shared" si="8"/>
        <v>839308.46003625484</v>
      </c>
      <c r="AQ7" s="29">
        <f t="shared" si="9"/>
        <v>1492103.9289533417</v>
      </c>
      <c r="AR7" s="5"/>
      <c r="AS7" s="153">
        <f t="shared" si="10"/>
        <v>218997.64123581341</v>
      </c>
      <c r="AT7" s="153">
        <f t="shared" ref="AT7:AT12" si="24">AD7*(1-V7)</f>
        <v>331729.13997477927</v>
      </c>
      <c r="AU7" s="148">
        <f t="shared" ref="AU7:AU12" si="25">(AS7*AN7*365*AK7)/1000000</f>
        <v>12509.053288380341</v>
      </c>
      <c r="AV7" s="148">
        <f t="shared" ref="AV7:AV12" si="26">(AT7*AN7*365*AH7)/1000000</f>
        <v>26316.984929334169</v>
      </c>
      <c r="AW7" s="148">
        <f t="shared" si="11"/>
        <v>38826.038217714507</v>
      </c>
      <c r="AX7" s="5"/>
      <c r="AY7" s="127" t="s">
        <v>140</v>
      </c>
      <c r="AZ7" s="119">
        <f t="shared" si="12"/>
        <v>500000</v>
      </c>
      <c r="BA7" s="5">
        <f t="shared" ref="BA7:BA12" si="27">AE7</f>
        <v>608326.78121059272</v>
      </c>
      <c r="BB7" s="76">
        <f t="shared" ref="BB7:BB13" si="28">((BA7-AZ7)/AZ7)*100</f>
        <v>21.665356242118545</v>
      </c>
      <c r="BC7" s="121">
        <f>(BA7/AZ7)*100</f>
        <v>121.66535624211853</v>
      </c>
      <c r="BD7" s="76"/>
      <c r="BE7" s="119">
        <f>Q7</f>
        <v>39666.375</v>
      </c>
      <c r="BF7" s="5">
        <f>AW7</f>
        <v>38826.038217714507</v>
      </c>
      <c r="BG7" s="76">
        <f t="shared" ref="BG7:BG14" si="29">((BF7/BE7)*100)-100</f>
        <v>-2.1185116670870343</v>
      </c>
      <c r="BH7" s="121">
        <f t="shared" si="13"/>
        <v>97.881488332912966</v>
      </c>
      <c r="BI7" s="76"/>
      <c r="BJ7" s="119">
        <f>Q7*28</f>
        <v>1110658.5</v>
      </c>
      <c r="BK7" s="5">
        <f>AW7*28</f>
        <v>1087129.0700960062</v>
      </c>
      <c r="BL7" s="121">
        <f t="shared" ref="BL7:BL14" si="30">((BK7-BJ7)/BJ7)*100</f>
        <v>-2.1185116670870343</v>
      </c>
      <c r="BM7" s="76"/>
      <c r="BN7" s="120">
        <f>(BJ7/AZ7)</f>
        <v>2.221317</v>
      </c>
      <c r="BO7" s="90">
        <f>(BK7/BA7)</f>
        <v>1.7870807330438079</v>
      </c>
      <c r="BP7" s="121">
        <f t="shared" si="14"/>
        <v>-19.548595133256178</v>
      </c>
    </row>
    <row r="8" spans="1:68">
      <c r="A8" s="10" t="s">
        <v>29</v>
      </c>
      <c r="B8" s="34">
        <f>'Adoption model'!P17</f>
        <v>2.8885195460277426</v>
      </c>
      <c r="C8" s="3">
        <f t="shared" si="0"/>
        <v>1.0288851954602773</v>
      </c>
      <c r="D8" s="93">
        <v>75000</v>
      </c>
      <c r="E8" s="15">
        <v>10</v>
      </c>
      <c r="F8" s="15">
        <f>E8/8</f>
        <v>1.25</v>
      </c>
      <c r="G8" s="27">
        <f t="shared" ref="G8" si="31">1/F8</f>
        <v>0.8</v>
      </c>
      <c r="H8" s="27">
        <v>1</v>
      </c>
      <c r="I8" s="17">
        <f>(D8/G8)*H8</f>
        <v>93750</v>
      </c>
      <c r="K8" s="15">
        <v>450</v>
      </c>
      <c r="L8" s="15">
        <v>0.6</v>
      </c>
      <c r="M8" s="27">
        <f>'Sheep intake'!J$19</f>
        <v>5.68</v>
      </c>
      <c r="N8" s="27">
        <f>M8*365/1000</f>
        <v>2.0731999999999999</v>
      </c>
      <c r="O8" s="17">
        <f>I8</f>
        <v>93750</v>
      </c>
      <c r="P8" s="17">
        <f>(N8*O8)</f>
        <v>194362.5</v>
      </c>
      <c r="Q8" s="17">
        <f>(P8*20.7)/1000</f>
        <v>4023.30375</v>
      </c>
      <c r="R8" s="17">
        <f>Q8*28</f>
        <v>112652.505</v>
      </c>
      <c r="T8" s="21">
        <v>0.7</v>
      </c>
      <c r="U8" s="21">
        <v>0.3</v>
      </c>
      <c r="V8" s="21">
        <f>T8*U8</f>
        <v>0.21</v>
      </c>
      <c r="X8" s="21">
        <v>0.6</v>
      </c>
      <c r="Y8" s="21">
        <f t="shared" ref="Y8" si="32">(X8*1.1)</f>
        <v>0.66</v>
      </c>
      <c r="Z8" s="91">
        <f>((Y8-X8)*(V8))+X8</f>
        <v>0.61260000000000003</v>
      </c>
      <c r="AA8" s="21">
        <f>Z8/X8*100</f>
        <v>102.10000000000001</v>
      </c>
      <c r="AB8" s="11">
        <v>1</v>
      </c>
      <c r="AC8" s="94">
        <f>I8*(Z8/X8)</f>
        <v>95718.750000000015</v>
      </c>
      <c r="AD8" s="94">
        <f>I8*C8</f>
        <v>96457.987074400997</v>
      </c>
      <c r="AE8" s="94">
        <f>I8+(AC8-I8)+(AD8-I8)</f>
        <v>98426.737074401011</v>
      </c>
      <c r="AF8" s="87">
        <f>AE8/I8</f>
        <v>1.0498851954602775</v>
      </c>
      <c r="AG8" s="86"/>
      <c r="AH8" s="69">
        <v>20.7</v>
      </c>
      <c r="AI8" s="70">
        <v>21</v>
      </c>
      <c r="AJ8" s="69">
        <f t="shared" ref="AJ8" si="33">(AI8/100)</f>
        <v>0.21</v>
      </c>
      <c r="AK8" s="101">
        <f>AH8*(1-AJ8)</f>
        <v>16.353000000000002</v>
      </c>
      <c r="AM8" s="22">
        <v>450</v>
      </c>
      <c r="AN8" s="21">
        <f>'Sheep intake'!J$19</f>
        <v>5.68</v>
      </c>
      <c r="AO8" s="29">
        <f>(AE8*AN8*365)/1000</f>
        <v>204058.31130264816</v>
      </c>
      <c r="AP8" s="29">
        <f>(AO8*V8)</f>
        <v>42852.245373556114</v>
      </c>
      <c r="AQ8" s="29">
        <f>(AO8*(1-V8))</f>
        <v>161206.06592909206</v>
      </c>
      <c r="AR8" s="5"/>
      <c r="AS8" s="153">
        <f>(AE8*V8)</f>
        <v>20669.614785624213</v>
      </c>
      <c r="AT8" s="153">
        <f>AD8*(1-V8)</f>
        <v>76201.809788776794</v>
      </c>
      <c r="AU8" s="148">
        <f>(AS8*AN8*365*AK8)/1000000</f>
        <v>700.76276859376321</v>
      </c>
      <c r="AV8" s="148">
        <f>(AT8*AN8*365*AH8)/1000000</f>
        <v>3270.2189555197051</v>
      </c>
      <c r="AW8" s="148">
        <f>SUM(AU8:AV8)</f>
        <v>3970.9817241134683</v>
      </c>
      <c r="AX8" s="5"/>
      <c r="AY8" s="127" t="s">
        <v>29</v>
      </c>
      <c r="AZ8" s="119">
        <f>O8</f>
        <v>93750</v>
      </c>
      <c r="BA8" s="5">
        <f>AE8</f>
        <v>98426.737074401011</v>
      </c>
      <c r="BB8" s="76">
        <f>((BA8-AZ8)/AZ8)*100</f>
        <v>4.9885195460277458</v>
      </c>
      <c r="BC8" s="121">
        <f>(BA8/AZ8)*100</f>
        <v>104.98851954602775</v>
      </c>
      <c r="BD8" s="76"/>
      <c r="BE8" s="119">
        <f>Q8</f>
        <v>4023.30375</v>
      </c>
      <c r="BF8" s="5">
        <f>AW8</f>
        <v>3970.9817241134683</v>
      </c>
      <c r="BG8" s="76">
        <f>((BF8/BE8)*100)-100</f>
        <v>-1.300474165952096</v>
      </c>
      <c r="BH8" s="121">
        <f>(BF8/BE8)*100</f>
        <v>98.699525834047904</v>
      </c>
      <c r="BI8" s="76"/>
      <c r="BJ8" s="119">
        <f>Q8*28</f>
        <v>112652.505</v>
      </c>
      <c r="BK8" s="5">
        <f>AW8*28</f>
        <v>111187.48827517711</v>
      </c>
      <c r="BL8" s="121">
        <f>((BK8-BJ8)/BJ8)*100</f>
        <v>-1.3004741659520995</v>
      </c>
      <c r="BM8" s="76"/>
      <c r="BN8" s="120">
        <f>(BJ8/AZ8)</f>
        <v>1.2016267200000001</v>
      </c>
      <c r="BO8" s="90">
        <f>(BK8/BA8)</f>
        <v>1.129647203392816</v>
      </c>
      <c r="BP8" s="121">
        <f>((BO8-BN8)/BN8)*100</f>
        <v>-5.990172772388429</v>
      </c>
    </row>
    <row r="9" spans="1:68">
      <c r="A9" s="10" t="s">
        <v>48</v>
      </c>
      <c r="B9" s="34">
        <f>'Adoption model'!P18</f>
        <v>2.1518011769651113</v>
      </c>
      <c r="C9" s="3">
        <f t="shared" si="0"/>
        <v>1.0215180117696512</v>
      </c>
      <c r="D9" s="93">
        <v>130000</v>
      </c>
      <c r="E9" s="15"/>
      <c r="F9" s="15">
        <f t="shared" ref="F9:F11" si="34">E9/9</f>
        <v>0</v>
      </c>
      <c r="G9" s="27">
        <v>2.56</v>
      </c>
      <c r="H9" s="27">
        <v>1</v>
      </c>
      <c r="I9" s="17">
        <f t="shared" si="15"/>
        <v>50781.25</v>
      </c>
      <c r="K9" s="15">
        <v>450</v>
      </c>
      <c r="L9" s="15">
        <v>0.6</v>
      </c>
      <c r="M9" s="27">
        <f t="shared" ref="M9:M11" si="35" xml:space="preserve"> ((1.185+(0.00454*K9))-(0.0000026*(K9^2))+(0.315*L9))^2</f>
        <v>8.3549902499999984</v>
      </c>
      <c r="N9" s="27">
        <f t="shared" si="16"/>
        <v>3.049571441249999</v>
      </c>
      <c r="O9" s="17">
        <f t="shared" si="1"/>
        <v>50781.25</v>
      </c>
      <c r="P9" s="17">
        <f t="shared" si="17"/>
        <v>154861.04975097653</v>
      </c>
      <c r="Q9" s="17">
        <f t="shared" si="18"/>
        <v>3205.6237298452143</v>
      </c>
      <c r="R9" s="17">
        <f t="shared" si="19"/>
        <v>89757.464435665999</v>
      </c>
      <c r="S9" s="32"/>
      <c r="T9" s="21">
        <v>0.6</v>
      </c>
      <c r="U9" s="21">
        <v>0.3</v>
      </c>
      <c r="V9" s="21">
        <f t="shared" si="20"/>
        <v>0.18</v>
      </c>
      <c r="X9" s="21">
        <v>0.6</v>
      </c>
      <c r="Y9" s="21">
        <f>(X9*1.5)</f>
        <v>0.89999999999999991</v>
      </c>
      <c r="Z9" s="91">
        <f t="shared" si="2"/>
        <v>0.65399999999999991</v>
      </c>
      <c r="AA9" s="21">
        <f t="shared" si="21"/>
        <v>108.99999999999999</v>
      </c>
      <c r="AB9" s="11">
        <v>1</v>
      </c>
      <c r="AC9" s="94">
        <f t="shared" si="3"/>
        <v>55351.562499999993</v>
      </c>
      <c r="AD9" s="94">
        <f t="shared" si="4"/>
        <v>51873.961535177601</v>
      </c>
      <c r="AE9" s="94">
        <f t="shared" si="5"/>
        <v>56444.274035177594</v>
      </c>
      <c r="AF9" s="87">
        <f t="shared" si="6"/>
        <v>1.111518011769651</v>
      </c>
      <c r="AG9" s="86"/>
      <c r="AH9" s="69">
        <v>20.7</v>
      </c>
      <c r="AI9" s="70">
        <v>55</v>
      </c>
      <c r="AJ9" s="69">
        <f t="shared" si="22"/>
        <v>0.55000000000000004</v>
      </c>
      <c r="AK9" s="101">
        <f t="shared" si="23"/>
        <v>9.3149999999999995</v>
      </c>
      <c r="AM9" s="22">
        <v>450</v>
      </c>
      <c r="AN9" s="21">
        <f xml:space="preserve"> ((1.185+(0.00454*AM9))-(0.0000026*(AM9^2))+(0.315*X9))^2</f>
        <v>8.3549902499999984</v>
      </c>
      <c r="AO9" s="29">
        <f t="shared" si="7"/>
        <v>172130.84611976644</v>
      </c>
      <c r="AP9" s="29">
        <f t="shared" si="8"/>
        <v>30983.55230155796</v>
      </c>
      <c r="AQ9" s="29">
        <f t="shared" si="9"/>
        <v>141147.29381820851</v>
      </c>
      <c r="AR9" s="5"/>
      <c r="AS9" s="153">
        <f t="shared" si="10"/>
        <v>10159.969326331966</v>
      </c>
      <c r="AT9" s="153">
        <f t="shared" si="24"/>
        <v>42536.648458845637</v>
      </c>
      <c r="AU9" s="148">
        <f t="shared" si="25"/>
        <v>288.61178968901237</v>
      </c>
      <c r="AV9" s="148">
        <f t="shared" si="26"/>
        <v>2685.1739507743396</v>
      </c>
      <c r="AW9" s="148">
        <f t="shared" si="11"/>
        <v>2973.7857404633519</v>
      </c>
      <c r="AX9" s="5"/>
      <c r="AY9" s="127" t="s">
        <v>48</v>
      </c>
      <c r="AZ9" s="119">
        <f t="shared" si="12"/>
        <v>50781.25</v>
      </c>
      <c r="BA9" s="5">
        <f t="shared" si="27"/>
        <v>56444.274035177594</v>
      </c>
      <c r="BB9" s="76">
        <f t="shared" si="28"/>
        <v>11.151801176965108</v>
      </c>
      <c r="BC9" s="121">
        <f>(BA9/AZ9)*100</f>
        <v>111.15180117696511</v>
      </c>
      <c r="BD9" s="76"/>
      <c r="BE9" s="119">
        <f>Q9</f>
        <v>3205.6237298452143</v>
      </c>
      <c r="BF9" s="5">
        <f>AW9</f>
        <v>2973.7857404633519</v>
      </c>
      <c r="BG9" s="76">
        <f t="shared" si="29"/>
        <v>-7.2322271395544249</v>
      </c>
      <c r="BH9" s="121">
        <f t="shared" si="13"/>
        <v>92.767772860445575</v>
      </c>
      <c r="BI9" s="76"/>
      <c r="BJ9" s="119">
        <f>Q9*28</f>
        <v>89757.464435665999</v>
      </c>
      <c r="BK9" s="5">
        <f>AW9*28</f>
        <v>83266.000732973858</v>
      </c>
      <c r="BL9" s="121">
        <f t="shared" si="30"/>
        <v>-7.2322271395544178</v>
      </c>
      <c r="BM9" s="76"/>
      <c r="BN9" s="120">
        <f>(BJ9/AZ9)</f>
        <v>1.7675316073484997</v>
      </c>
      <c r="BO9" s="90">
        <f>(BK9/BA9)</f>
        <v>1.4751895060441427</v>
      </c>
      <c r="BP9" s="121">
        <f t="shared" si="14"/>
        <v>-16.539568519677207</v>
      </c>
    </row>
    <row r="10" spans="1:68">
      <c r="A10" s="10" t="s">
        <v>49</v>
      </c>
      <c r="B10" s="34">
        <f>'Adoption model'!P19</f>
        <v>2.4946305170239595</v>
      </c>
      <c r="C10" s="3">
        <f t="shared" si="0"/>
        <v>1.0249463051702397</v>
      </c>
      <c r="D10" s="93">
        <v>100000</v>
      </c>
      <c r="E10" s="15"/>
      <c r="F10" s="15">
        <f t="shared" si="34"/>
        <v>0</v>
      </c>
      <c r="G10" s="27">
        <v>5</v>
      </c>
      <c r="H10" s="27">
        <v>1</v>
      </c>
      <c r="I10" s="17">
        <f t="shared" si="15"/>
        <v>20000</v>
      </c>
      <c r="K10" s="15">
        <v>450</v>
      </c>
      <c r="L10" s="15">
        <v>0.6</v>
      </c>
      <c r="M10" s="27">
        <f t="shared" si="35"/>
        <v>8.3549902499999984</v>
      </c>
      <c r="N10" s="27">
        <f t="shared" si="16"/>
        <v>3.049571441249999</v>
      </c>
      <c r="O10" s="17">
        <f t="shared" si="1"/>
        <v>20000</v>
      </c>
      <c r="P10" s="17">
        <f t="shared" si="17"/>
        <v>60991.428824999981</v>
      </c>
      <c r="Q10" s="17">
        <f t="shared" si="18"/>
        <v>1262.5225766774995</v>
      </c>
      <c r="R10" s="17">
        <f t="shared" si="19"/>
        <v>35350.632146969983</v>
      </c>
      <c r="S10" s="32"/>
      <c r="T10" s="21">
        <v>0.5</v>
      </c>
      <c r="U10" s="21">
        <v>0.3</v>
      </c>
      <c r="V10" s="21">
        <f t="shared" si="20"/>
        <v>0.15</v>
      </c>
      <c r="X10" s="21">
        <v>0.6</v>
      </c>
      <c r="Y10" s="21">
        <f>(X10*1.4)</f>
        <v>0.84</v>
      </c>
      <c r="Z10" s="91">
        <f t="shared" si="2"/>
        <v>0.63600000000000001</v>
      </c>
      <c r="AA10" s="21">
        <f t="shared" si="21"/>
        <v>106</v>
      </c>
      <c r="AB10" s="11">
        <v>1</v>
      </c>
      <c r="AC10" s="94">
        <f t="shared" si="3"/>
        <v>21200</v>
      </c>
      <c r="AD10" s="94">
        <f t="shared" si="4"/>
        <v>20498.926103404792</v>
      </c>
      <c r="AE10" s="94">
        <f t="shared" si="5"/>
        <v>21698.926103404792</v>
      </c>
      <c r="AF10" s="87">
        <f t="shared" si="6"/>
        <v>1.0849463051702397</v>
      </c>
      <c r="AG10" s="86"/>
      <c r="AH10" s="69">
        <v>20.7</v>
      </c>
      <c r="AI10" s="70">
        <v>11</v>
      </c>
      <c r="AJ10" s="69">
        <f t="shared" si="22"/>
        <v>0.11</v>
      </c>
      <c r="AK10" s="101">
        <f t="shared" si="23"/>
        <v>18.422999999999998</v>
      </c>
      <c r="AM10" s="22">
        <v>450</v>
      </c>
      <c r="AN10" s="21">
        <f xml:space="preserve"> ((1.185+(0.00454*AM10))-(0.0000026*(AM10^2))+(0.315*X10))^2</f>
        <v>8.3549902499999984</v>
      </c>
      <c r="AO10" s="29">
        <f t="shared" si="7"/>
        <v>66172.42535073738</v>
      </c>
      <c r="AP10" s="29">
        <f t="shared" si="8"/>
        <v>9925.8638026106073</v>
      </c>
      <c r="AQ10" s="29">
        <f t="shared" si="9"/>
        <v>56246.561548126774</v>
      </c>
      <c r="AR10" s="5"/>
      <c r="AS10" s="153">
        <f t="shared" si="10"/>
        <v>3254.8389155107188</v>
      </c>
      <c r="AT10" s="153">
        <f t="shared" si="24"/>
        <v>17424.087187894074</v>
      </c>
      <c r="AU10" s="148">
        <f t="shared" si="25"/>
        <v>182.86418883549521</v>
      </c>
      <c r="AV10" s="148">
        <f t="shared" si="26"/>
        <v>1099.9151726356718</v>
      </c>
      <c r="AW10" s="148">
        <f t="shared" si="11"/>
        <v>1282.779361471167</v>
      </c>
      <c r="AX10" s="5"/>
      <c r="AY10" s="127" t="s">
        <v>49</v>
      </c>
      <c r="AZ10" s="119">
        <f t="shared" si="12"/>
        <v>20000</v>
      </c>
      <c r="BA10" s="5">
        <f t="shared" si="27"/>
        <v>21698.926103404792</v>
      </c>
      <c r="BB10" s="76">
        <f t="shared" si="28"/>
        <v>8.4946305170239622</v>
      </c>
      <c r="BC10" s="121">
        <f>(BA10/AZ10)*100</f>
        <v>108.49463051702398</v>
      </c>
      <c r="BD10" s="76"/>
      <c r="BE10" s="119">
        <f>Q10</f>
        <v>1262.5225766774995</v>
      </c>
      <c r="BF10" s="5">
        <f>AW10</f>
        <v>1282.779361471167</v>
      </c>
      <c r="BG10" s="76">
        <f t="shared" si="29"/>
        <v>1.6044691134930815</v>
      </c>
      <c r="BH10" s="121">
        <f t="shared" si="13"/>
        <v>101.60446911349308</v>
      </c>
      <c r="BI10" s="76"/>
      <c r="BJ10" s="119">
        <f>Q10*28</f>
        <v>35350.632146969983</v>
      </c>
      <c r="BK10" s="5">
        <f>AW10*28</f>
        <v>35917.822121192679</v>
      </c>
      <c r="BL10" s="121">
        <f t="shared" si="30"/>
        <v>1.6044691134930997</v>
      </c>
      <c r="BM10" s="76"/>
      <c r="BN10" s="120">
        <f>(BJ10/AZ10)</f>
        <v>1.7675316073484992</v>
      </c>
      <c r="BO10" s="90">
        <f>(BK10/BA10)</f>
        <v>1.6552810931761637</v>
      </c>
      <c r="BP10" s="121">
        <f t="shared" si="14"/>
        <v>-6.3506934589262736</v>
      </c>
    </row>
    <row r="11" spans="1:68">
      <c r="A11" s="10" t="s">
        <v>141</v>
      </c>
      <c r="B11" s="34">
        <f>'Adoption model'!P20</f>
        <v>0.54706809583858762</v>
      </c>
      <c r="C11" s="3">
        <f t="shared" si="0"/>
        <v>1.005470680958386</v>
      </c>
      <c r="D11" s="93">
        <v>1500000</v>
      </c>
      <c r="E11" s="15"/>
      <c r="F11" s="15">
        <f t="shared" si="34"/>
        <v>0</v>
      </c>
      <c r="G11" s="27">
        <v>7</v>
      </c>
      <c r="H11" s="27">
        <v>1</v>
      </c>
      <c r="I11" s="17">
        <f t="shared" si="15"/>
        <v>214285.71428571429</v>
      </c>
      <c r="K11" s="15">
        <v>450</v>
      </c>
      <c r="L11" s="15">
        <v>0.6</v>
      </c>
      <c r="M11" s="27">
        <f t="shared" si="35"/>
        <v>8.3549902499999984</v>
      </c>
      <c r="N11" s="27">
        <f t="shared" si="16"/>
        <v>3.049571441249999</v>
      </c>
      <c r="O11" s="17">
        <f t="shared" si="1"/>
        <v>214285.71428571429</v>
      </c>
      <c r="P11" s="17">
        <f t="shared" si="17"/>
        <v>653479.59455357119</v>
      </c>
      <c r="Q11" s="17">
        <f t="shared" si="18"/>
        <v>13527.027607258924</v>
      </c>
      <c r="R11" s="17">
        <f t="shared" si="19"/>
        <v>378756.77300324989</v>
      </c>
      <c r="S11" s="32"/>
      <c r="T11" s="21">
        <v>0.6</v>
      </c>
      <c r="U11" s="21">
        <v>0.4</v>
      </c>
      <c r="V11" s="21">
        <f t="shared" si="20"/>
        <v>0.24</v>
      </c>
      <c r="X11" s="21">
        <v>0.6</v>
      </c>
      <c r="Y11" s="21">
        <f>(X11*1.6)</f>
        <v>0.96</v>
      </c>
      <c r="Z11" s="91">
        <f t="shared" si="2"/>
        <v>0.68640000000000001</v>
      </c>
      <c r="AA11" s="21">
        <f t="shared" si="21"/>
        <v>114.4</v>
      </c>
      <c r="AB11" s="11">
        <v>1</v>
      </c>
      <c r="AC11" s="94">
        <f t="shared" si="3"/>
        <v>245142.85714285719</v>
      </c>
      <c r="AD11" s="94">
        <f t="shared" si="4"/>
        <v>215458.0030625113</v>
      </c>
      <c r="AE11" s="94">
        <f t="shared" si="5"/>
        <v>246315.1459196542</v>
      </c>
      <c r="AF11" s="87">
        <f t="shared" si="6"/>
        <v>1.1494706809583863</v>
      </c>
      <c r="AG11" s="86"/>
      <c r="AH11" s="69">
        <v>20.7</v>
      </c>
      <c r="AI11" s="70">
        <v>-5</v>
      </c>
      <c r="AJ11" s="69">
        <f t="shared" si="22"/>
        <v>-0.05</v>
      </c>
      <c r="AK11" s="101">
        <f t="shared" si="23"/>
        <v>21.734999999999999</v>
      </c>
      <c r="AM11" s="22">
        <v>450</v>
      </c>
      <c r="AN11" s="21">
        <f xml:space="preserve"> ((1.185+(0.00454*AM11))-(0.0000026*(AM11^2))+(0.315*X11))^2</f>
        <v>8.3549902499999984</v>
      </c>
      <c r="AO11" s="29">
        <f t="shared" si="7"/>
        <v>751155.63454390387</v>
      </c>
      <c r="AP11" s="29">
        <f t="shared" si="8"/>
        <v>180277.35229053692</v>
      </c>
      <c r="AQ11" s="29">
        <f t="shared" si="9"/>
        <v>570878.2822533669</v>
      </c>
      <c r="AR11" s="5"/>
      <c r="AS11" s="153">
        <f t="shared" si="10"/>
        <v>59115.635020717003</v>
      </c>
      <c r="AT11" s="153">
        <f t="shared" si="24"/>
        <v>163748.0823275086</v>
      </c>
      <c r="AU11" s="148">
        <f t="shared" si="25"/>
        <v>3918.3282520348193</v>
      </c>
      <c r="AV11" s="148">
        <f t="shared" si="26"/>
        <v>10336.782541306275</v>
      </c>
      <c r="AW11" s="148">
        <f t="shared" si="11"/>
        <v>14255.110793341093</v>
      </c>
      <c r="AX11" s="5"/>
      <c r="AY11" s="127" t="s">
        <v>141</v>
      </c>
      <c r="AZ11" s="119">
        <f t="shared" si="12"/>
        <v>214285.71428571429</v>
      </c>
      <c r="BA11" s="5">
        <f t="shared" si="27"/>
        <v>246315.1459196542</v>
      </c>
      <c r="BB11" s="76">
        <f t="shared" si="28"/>
        <v>14.947068095838622</v>
      </c>
      <c r="BC11" s="121">
        <f>(BA11/AZ11)*100</f>
        <v>114.94706809583863</v>
      </c>
      <c r="BD11" s="76"/>
      <c r="BE11" s="119">
        <f>Q11</f>
        <v>13527.027607258924</v>
      </c>
      <c r="BF11" s="5">
        <f>AW11</f>
        <v>14255.110793341093</v>
      </c>
      <c r="BG11" s="76">
        <f t="shared" si="29"/>
        <v>5.3824329129886763</v>
      </c>
      <c r="BH11" s="121">
        <f t="shared" si="13"/>
        <v>105.38243291298868</v>
      </c>
      <c r="BI11" s="76"/>
      <c r="BJ11" s="119">
        <f>Q11*28</f>
        <v>378756.77300324989</v>
      </c>
      <c r="BK11" s="5">
        <f>AW11*28</f>
        <v>399143.10221355059</v>
      </c>
      <c r="BL11" s="121">
        <f t="shared" si="30"/>
        <v>5.3824329129886674</v>
      </c>
      <c r="BM11" s="76"/>
      <c r="BN11" s="120">
        <f>(BJ11/AZ11)</f>
        <v>1.7675316073484995</v>
      </c>
      <c r="BO11" s="90">
        <f>(BK11/BA11)</f>
        <v>1.6204569991962554</v>
      </c>
      <c r="BP11" s="121">
        <f t="shared" si="14"/>
        <v>-8.3209039963292568</v>
      </c>
    </row>
    <row r="12" spans="1:68">
      <c r="A12" s="37" t="s">
        <v>142</v>
      </c>
      <c r="B12" s="34">
        <f>'Adoption model'!P21</f>
        <v>2.0423875577973938</v>
      </c>
      <c r="C12" s="3">
        <f t="shared" si="0"/>
        <v>1.020423875577974</v>
      </c>
      <c r="D12" s="93">
        <v>95000</v>
      </c>
      <c r="E12" s="15">
        <v>10</v>
      </c>
      <c r="F12" s="15">
        <f t="shared" ref="F12" si="36">E12/8</f>
        <v>1.25</v>
      </c>
      <c r="G12" s="27">
        <f>1/F12</f>
        <v>0.8</v>
      </c>
      <c r="H12" s="27">
        <v>1</v>
      </c>
      <c r="I12" s="17">
        <f t="shared" si="15"/>
        <v>118750</v>
      </c>
      <c r="K12" s="15">
        <v>450</v>
      </c>
      <c r="L12" s="15">
        <v>0.6</v>
      </c>
      <c r="M12" s="27">
        <f>'Sheep intake'!J$19</f>
        <v>5.68</v>
      </c>
      <c r="N12" s="27">
        <f t="shared" si="16"/>
        <v>2.0731999999999999</v>
      </c>
      <c r="O12" s="17">
        <f t="shared" si="1"/>
        <v>118750</v>
      </c>
      <c r="P12" s="17">
        <f t="shared" si="17"/>
        <v>246192.5</v>
      </c>
      <c r="Q12" s="17">
        <f t="shared" si="18"/>
        <v>5096.1847500000003</v>
      </c>
      <c r="R12" s="17">
        <f t="shared" si="19"/>
        <v>142693.17300000001</v>
      </c>
      <c r="S12" s="32"/>
      <c r="T12" s="21">
        <v>0.4</v>
      </c>
      <c r="U12" s="21">
        <v>0.6</v>
      </c>
      <c r="V12" s="21">
        <f t="shared" si="20"/>
        <v>0.24</v>
      </c>
      <c r="X12" s="21">
        <v>0.6</v>
      </c>
      <c r="Y12" s="21">
        <f>(X12*1.5)</f>
        <v>0.89999999999999991</v>
      </c>
      <c r="Z12" s="91">
        <f t="shared" si="2"/>
        <v>0.67199999999999993</v>
      </c>
      <c r="AA12" s="21">
        <f t="shared" si="21"/>
        <v>111.99999999999999</v>
      </c>
      <c r="AB12" s="11">
        <v>1</v>
      </c>
      <c r="AC12" s="94">
        <f t="shared" si="3"/>
        <v>133000</v>
      </c>
      <c r="AD12" s="94">
        <f t="shared" si="4"/>
        <v>121175.33522488442</v>
      </c>
      <c r="AE12" s="94">
        <f t="shared" si="5"/>
        <v>135425.33522488442</v>
      </c>
      <c r="AF12" s="87">
        <f t="shared" si="6"/>
        <v>1.1404238755779741</v>
      </c>
      <c r="AG12" s="86"/>
      <c r="AH12" s="69">
        <v>20.7</v>
      </c>
      <c r="AI12" s="70">
        <v>24</v>
      </c>
      <c r="AJ12" s="69">
        <f>(AI12/100)</f>
        <v>0.24</v>
      </c>
      <c r="AK12" s="101">
        <f>AH12*(1-AJ12)</f>
        <v>15.731999999999999</v>
      </c>
      <c r="AM12" s="22">
        <v>450</v>
      </c>
      <c r="AN12" s="21">
        <f>'Sheep intake'!J$19</f>
        <v>5.68</v>
      </c>
      <c r="AO12" s="29">
        <f t="shared" si="7"/>
        <v>280763.80498823035</v>
      </c>
      <c r="AP12" s="29">
        <f t="shared" si="8"/>
        <v>67383.313197175274</v>
      </c>
      <c r="AQ12" s="29">
        <f t="shared" si="9"/>
        <v>213380.49179105507</v>
      </c>
      <c r="AR12" s="5"/>
      <c r="AS12" s="153">
        <f t="shared" si="10"/>
        <v>32502.080453972259</v>
      </c>
      <c r="AT12" s="153">
        <f t="shared" si="24"/>
        <v>92093.254770912157</v>
      </c>
      <c r="AU12" s="148">
        <f t="shared" si="25"/>
        <v>1060.0742832179615</v>
      </c>
      <c r="AV12" s="148">
        <f t="shared" si="26"/>
        <v>3952.2041308748403</v>
      </c>
      <c r="AW12" s="148">
        <f t="shared" si="11"/>
        <v>5012.2784140928015</v>
      </c>
      <c r="AX12" s="5"/>
      <c r="AY12" s="47" t="s">
        <v>142</v>
      </c>
      <c r="AZ12" s="119">
        <f t="shared" si="12"/>
        <v>118750</v>
      </c>
      <c r="BA12" s="5">
        <f t="shared" si="27"/>
        <v>135425.33522488442</v>
      </c>
      <c r="BB12" s="76">
        <f t="shared" si="28"/>
        <v>14.042387557797403</v>
      </c>
      <c r="BC12" s="121">
        <f>(BA12/AZ12)*100</f>
        <v>114.04238755779741</v>
      </c>
      <c r="BD12" s="76"/>
      <c r="BE12" s="119">
        <f>Q12</f>
        <v>5096.1847500000003</v>
      </c>
      <c r="BF12" s="5">
        <f>AW12</f>
        <v>5012.2784140928015</v>
      </c>
      <c r="BG12" s="76">
        <f t="shared" si="29"/>
        <v>-1.6464539655317338</v>
      </c>
      <c r="BH12" s="121">
        <f t="shared" si="13"/>
        <v>98.353546034468266</v>
      </c>
      <c r="BI12" s="76"/>
      <c r="BJ12" s="119">
        <f>Q12*28</f>
        <v>142693.17300000001</v>
      </c>
      <c r="BK12" s="5">
        <f>AW12*28</f>
        <v>140343.79559459846</v>
      </c>
      <c r="BL12" s="121">
        <f t="shared" si="30"/>
        <v>-1.6464539655317301</v>
      </c>
      <c r="BM12" s="76"/>
      <c r="BN12" s="120">
        <f>(BJ12/AZ12)</f>
        <v>1.2016267200000001</v>
      </c>
      <c r="BO12" s="90">
        <f>(BK12/BA12)</f>
        <v>1.0363186132162534</v>
      </c>
      <c r="BP12" s="121">
        <f t="shared" si="14"/>
        <v>-13.757026540134421</v>
      </c>
    </row>
    <row r="13" spans="1:68">
      <c r="A13" s="88" t="s">
        <v>143</v>
      </c>
      <c r="B13" s="34"/>
      <c r="C13" s="3"/>
      <c r="D13" s="93">
        <v>0</v>
      </c>
      <c r="E13" s="15"/>
      <c r="F13" s="15"/>
      <c r="G13" s="27"/>
      <c r="H13" s="27"/>
      <c r="I13" s="17"/>
      <c r="K13" s="15"/>
      <c r="L13" s="15"/>
      <c r="M13" s="27"/>
      <c r="N13" s="27"/>
      <c r="O13" s="17"/>
      <c r="P13" s="17">
        <f t="shared" si="17"/>
        <v>0</v>
      </c>
      <c r="Q13" s="17"/>
      <c r="R13" s="17"/>
      <c r="T13" s="21"/>
      <c r="U13" s="21"/>
      <c r="V13" s="21"/>
      <c r="X13" s="21"/>
      <c r="Y13" s="21"/>
      <c r="Z13" s="91"/>
      <c r="AA13" s="21"/>
      <c r="AB13" s="11"/>
      <c r="AC13" s="94"/>
      <c r="AD13" s="94"/>
      <c r="AE13" s="94"/>
      <c r="AF13" s="85"/>
      <c r="AG13" s="86"/>
      <c r="AH13" s="69"/>
      <c r="AI13" s="70"/>
      <c r="AJ13" s="69"/>
      <c r="AK13" s="101"/>
      <c r="AM13" s="22"/>
      <c r="AN13" s="21"/>
      <c r="AO13" s="29"/>
      <c r="AP13" s="29"/>
      <c r="AQ13" s="29"/>
      <c r="AR13" s="5"/>
      <c r="AS13" s="153"/>
      <c r="AT13" s="153"/>
      <c r="AU13" s="148"/>
      <c r="AV13" s="148"/>
      <c r="AW13" s="148"/>
      <c r="AX13" s="5"/>
      <c r="AY13" s="50" t="s">
        <v>143</v>
      </c>
      <c r="AZ13" s="132">
        <f>SUM(AZ6:AZ12)</f>
        <v>3897566.9642857141</v>
      </c>
      <c r="BA13" s="8">
        <f>SUM(BA6:BA12)</f>
        <v>4174694.7224769006</v>
      </c>
      <c r="BB13" s="92">
        <f t="shared" si="28"/>
        <v>7.1102757369038345</v>
      </c>
      <c r="BC13" s="123">
        <f>(BA13/AZ13)*100</f>
        <v>107.11027573690384</v>
      </c>
      <c r="BD13" s="92"/>
      <c r="BE13" s="132">
        <f>SUM(BE6:BE12)</f>
        <v>249846.81103201909</v>
      </c>
      <c r="BF13" s="8">
        <f>SUM(BF6:BF12)</f>
        <v>242738.79032241684</v>
      </c>
      <c r="BG13" s="92">
        <f t="shared" si="29"/>
        <v>-2.8449515446051947</v>
      </c>
      <c r="BH13" s="123">
        <f t="shared" si="13"/>
        <v>97.155048455394805</v>
      </c>
      <c r="BI13" s="92"/>
      <c r="BJ13" s="132">
        <f>SUM(BJ6:BJ12)</f>
        <v>6995710.7088965345</v>
      </c>
      <c r="BK13" s="8">
        <f>SUM(BK6:BK12)</f>
        <v>6796686.1290276702</v>
      </c>
      <c r="BL13" s="123">
        <f t="shared" si="30"/>
        <v>-2.8449515446052129</v>
      </c>
      <c r="BM13" s="92"/>
      <c r="BN13" s="122">
        <f>(BJ13/AZ13)</f>
        <v>1.7948917293788178</v>
      </c>
      <c r="BO13" s="98">
        <f>(BK13/BA13)</f>
        <v>1.62806781833262</v>
      </c>
      <c r="BP13" s="123">
        <f t="shared" si="14"/>
        <v>-9.2943718172868692</v>
      </c>
    </row>
    <row r="14" spans="1:68">
      <c r="A14" s="88" t="s">
        <v>34</v>
      </c>
      <c r="B14" s="34">
        <f>'Adoption model'!P22</f>
        <v>3.2824085750315257</v>
      </c>
      <c r="C14" s="3">
        <f>1+(B14/100)</f>
        <v>1.0328240857503153</v>
      </c>
      <c r="D14" s="93">
        <v>1000</v>
      </c>
      <c r="E14" s="15"/>
      <c r="F14" s="15"/>
      <c r="G14" s="27">
        <v>0.25</v>
      </c>
      <c r="H14" s="27">
        <v>1</v>
      </c>
      <c r="I14" s="17">
        <f>(D14/G14)*H14</f>
        <v>4000</v>
      </c>
      <c r="K14" s="15">
        <v>450</v>
      </c>
      <c r="L14" s="15">
        <v>0.6</v>
      </c>
      <c r="M14" s="27">
        <f t="shared" ref="M14" si="37" xml:space="preserve"> ((1.185+(0.00454*K14))-(0.0000026*(K14^2))+(0.315*L14))^2</f>
        <v>8.3549902499999984</v>
      </c>
      <c r="N14" s="27">
        <f>M14*365/1000</f>
        <v>3.049571441249999</v>
      </c>
      <c r="O14" s="17">
        <f>I14</f>
        <v>4000</v>
      </c>
      <c r="P14" s="17">
        <f t="shared" si="17"/>
        <v>12198.285764999997</v>
      </c>
      <c r="Q14" s="17">
        <f>(P14*20.7)/1000</f>
        <v>252.50451533549992</v>
      </c>
      <c r="R14" s="17">
        <f>Q14*28</f>
        <v>7070.1264293939976</v>
      </c>
      <c r="T14" s="21">
        <v>0.6</v>
      </c>
      <c r="U14" s="21">
        <v>0.9</v>
      </c>
      <c r="V14" s="21">
        <f>T14*U14</f>
        <v>0.54</v>
      </c>
      <c r="X14" s="21">
        <v>0.6</v>
      </c>
      <c r="Y14" s="21">
        <f t="shared" ref="Y14" si="38">(X14*1.1)</f>
        <v>0.66</v>
      </c>
      <c r="Z14" s="91">
        <f t="shared" ref="Z14:Z16" si="39">((Y14-X14)*(V14))+X14</f>
        <v>0.63239999999999996</v>
      </c>
      <c r="AA14" s="21">
        <f t="shared" si="21"/>
        <v>105.4</v>
      </c>
      <c r="AB14" s="11">
        <v>1</v>
      </c>
      <c r="AC14" s="94">
        <f t="shared" ref="AC14:AC16" si="40">I14*(Z14/X14)</f>
        <v>4216</v>
      </c>
      <c r="AD14" s="94">
        <f t="shared" ref="AD14:AD16" si="41">I14*C14</f>
        <v>4131.2963430012614</v>
      </c>
      <c r="AE14" s="94">
        <f t="shared" ref="AE14:AE16" si="42">I14+(AC14-I14)+(AD14-I14)</f>
        <v>4347.2963430012614</v>
      </c>
      <c r="AF14" s="87">
        <f t="shared" ref="AF14:AF16" si="43">AE14/I14</f>
        <v>1.0868240857503153</v>
      </c>
      <c r="AG14" s="86"/>
      <c r="AH14" s="69">
        <v>20.7</v>
      </c>
      <c r="AI14" s="70">
        <v>10</v>
      </c>
      <c r="AJ14" s="69">
        <f>(AI14/100)</f>
        <v>0.1</v>
      </c>
      <c r="AK14" s="101">
        <f>AH14*(1-AJ14)</f>
        <v>18.63</v>
      </c>
      <c r="AM14" s="22">
        <v>450</v>
      </c>
      <c r="AN14" s="21">
        <f>'Sheep intake'!J$20</f>
        <v>7.16</v>
      </c>
      <c r="AO14" s="29">
        <f t="shared" ref="AO14:AO16" si="44">(AE14*AN14*365)/1000</f>
        <v>11361.224262799498</v>
      </c>
      <c r="AP14" s="29">
        <f t="shared" ref="AP14:AP16" si="45">(AO14*V14)</f>
        <v>6135.0611019117296</v>
      </c>
      <c r="AQ14" s="29">
        <f t="shared" ref="AQ14:AQ16" si="46">(AO14*(1-V14))</f>
        <v>5226.1631608877688</v>
      </c>
      <c r="AR14" s="5"/>
      <c r="AS14" s="153">
        <f t="shared" ref="AS14:AS16" si="47">(AE14*V14)</f>
        <v>2347.5400252206814</v>
      </c>
      <c r="AT14" s="153">
        <f t="shared" ref="AT14:AT16" si="48">AD14*(1-V14)</f>
        <v>1900.3963177805801</v>
      </c>
      <c r="AU14" s="148">
        <f t="shared" ref="AU14:AU16" si="49">(AS14*AN14*365*AK14)/1000000</f>
        <v>114.29618832861549</v>
      </c>
      <c r="AV14" s="148">
        <f t="shared" ref="AV14:AV16" si="50">(AT14*AN14*365*AH14)/1000000</f>
        <v>102.80646175357678</v>
      </c>
      <c r="AW14" s="148">
        <f t="shared" ref="AW14:AW16" si="51">SUM(AU14:AV14)</f>
        <v>217.10265008219227</v>
      </c>
      <c r="AX14" s="5"/>
      <c r="AY14" s="50" t="s">
        <v>34</v>
      </c>
      <c r="AZ14" s="146">
        <f>O14</f>
        <v>4000</v>
      </c>
      <c r="BA14" s="12">
        <f t="shared" ref="BA14" si="52">AE14</f>
        <v>4347.2963430012614</v>
      </c>
      <c r="BB14" s="76">
        <f>((BA14-AZ14)/AZ14)*100</f>
        <v>8.6824085750315358</v>
      </c>
      <c r="BC14" s="121">
        <f>(BA14/AZ14)*100</f>
        <v>108.68240857503153</v>
      </c>
      <c r="BD14" s="76"/>
      <c r="BE14" s="119">
        <f>Q14</f>
        <v>252.50451533549992</v>
      </c>
      <c r="BF14" s="5">
        <f>AW14</f>
        <v>217.10265008219227</v>
      </c>
      <c r="BG14" s="76">
        <f t="shared" si="29"/>
        <v>-14.020289976307794</v>
      </c>
      <c r="BH14" s="121">
        <f t="shared" si="13"/>
        <v>85.979710023692206</v>
      </c>
      <c r="BI14" s="76"/>
      <c r="BJ14" s="119">
        <f>Q14*28</f>
        <v>7070.1264293939976</v>
      </c>
      <c r="BK14" s="5">
        <f>AW14*28</f>
        <v>6078.8742023013838</v>
      </c>
      <c r="BL14" s="121">
        <f t="shared" si="30"/>
        <v>-14.02028997630778</v>
      </c>
      <c r="BM14" s="76"/>
      <c r="BN14" s="120">
        <f>(BJ14/AZ14)</f>
        <v>1.7675316073484995</v>
      </c>
      <c r="BO14" s="90">
        <f>(BK14/BA14)</f>
        <v>1.3983114383466864</v>
      </c>
      <c r="BP14" s="121">
        <f t="shared" si="14"/>
        <v>-20.889027809561256</v>
      </c>
    </row>
    <row r="15" spans="1:68">
      <c r="A15" s="88" t="s">
        <v>35</v>
      </c>
      <c r="B15" s="34">
        <f>'Adoption model'!P23</f>
        <v>2.2612147961328288</v>
      </c>
      <c r="C15" s="3">
        <f>1+(B15/100)</f>
        <v>1.0226121479613284</v>
      </c>
      <c r="D15" s="93">
        <v>20000</v>
      </c>
      <c r="E15" s="15">
        <v>10</v>
      </c>
      <c r="F15" s="15">
        <f>E15/8</f>
        <v>1.25</v>
      </c>
      <c r="G15" s="27">
        <f>1/F15</f>
        <v>0.8</v>
      </c>
      <c r="H15" s="27">
        <v>1</v>
      </c>
      <c r="I15" s="17">
        <f>(D15/G15)*H15</f>
        <v>25000</v>
      </c>
      <c r="K15" s="15">
        <v>450</v>
      </c>
      <c r="L15" s="15">
        <v>0.6</v>
      </c>
      <c r="M15" s="27">
        <f>'Sheep intake'!J$19</f>
        <v>5.68</v>
      </c>
      <c r="N15" s="27">
        <f>M15*365/1000</f>
        <v>2.0731999999999999</v>
      </c>
      <c r="O15" s="17">
        <f t="shared" ref="O15" si="53">I15</f>
        <v>25000</v>
      </c>
      <c r="P15" s="17">
        <f>(N15*O15)</f>
        <v>51830</v>
      </c>
      <c r="Q15" s="17">
        <f>(P15*20.7)/1000</f>
        <v>1072.8810000000001</v>
      </c>
      <c r="R15" s="17">
        <f>Q15*28</f>
        <v>30040.668000000001</v>
      </c>
      <c r="T15" s="21">
        <v>0.5</v>
      </c>
      <c r="U15" s="21">
        <v>0.3</v>
      </c>
      <c r="V15" s="21">
        <f>T15*U15</f>
        <v>0.15</v>
      </c>
      <c r="X15" s="21">
        <v>0.6</v>
      </c>
      <c r="Y15" s="21">
        <f>(X15*1.1)</f>
        <v>0.66</v>
      </c>
      <c r="Z15" s="91">
        <f>((Y15-X15)*(V15))+X15</f>
        <v>0.60899999999999999</v>
      </c>
      <c r="AA15" s="21">
        <f t="shared" si="21"/>
        <v>101.50000000000001</v>
      </c>
      <c r="AB15" s="11">
        <v>1</v>
      </c>
      <c r="AC15" s="94">
        <f>I15*(Z15/X15)</f>
        <v>25375.000000000004</v>
      </c>
      <c r="AD15" s="94">
        <f>I15*C15</f>
        <v>25565.303699033211</v>
      </c>
      <c r="AE15" s="94">
        <f>I15+(AC15-I15)+(AD15-I15)</f>
        <v>25940.303699033215</v>
      </c>
      <c r="AF15" s="87">
        <f>AE15/I15</f>
        <v>1.0376121479613285</v>
      </c>
      <c r="AG15" s="86"/>
      <c r="AH15" s="69">
        <v>20.7</v>
      </c>
      <c r="AI15" s="70">
        <v>6.9</v>
      </c>
      <c r="AJ15" s="69">
        <f>(AI15/100)</f>
        <v>6.9000000000000006E-2</v>
      </c>
      <c r="AK15" s="101">
        <f>AH15*(1-AJ15)</f>
        <v>19.271699999999999</v>
      </c>
      <c r="AM15" s="22">
        <v>450</v>
      </c>
      <c r="AN15" s="21">
        <f>'Sheep intake'!J$19</f>
        <v>5.68</v>
      </c>
      <c r="AO15" s="29">
        <f>(AE15*AN15*365)/1000</f>
        <v>53779.437628835658</v>
      </c>
      <c r="AP15" s="29">
        <f>(AO15*V15)</f>
        <v>8066.9156443253487</v>
      </c>
      <c r="AQ15" s="29">
        <f>(AO15*(1-V15))</f>
        <v>45712.521984510306</v>
      </c>
      <c r="AR15" s="5"/>
      <c r="AS15" s="153">
        <f>(AE15*V15)</f>
        <v>3891.0455548549821</v>
      </c>
      <c r="AT15" s="153">
        <f>AD15*(1-V15)</f>
        <v>21730.508144178228</v>
      </c>
      <c r="AU15" s="148">
        <f>(AS15*AN15*365*AK15)/1000000</f>
        <v>155.46317822274483</v>
      </c>
      <c r="AV15" s="148">
        <f>(AT15*AN15*365*AH15)/1000000</f>
        <v>932.56997232936328</v>
      </c>
      <c r="AW15" s="148">
        <f>SUM(AU15:AV15)</f>
        <v>1088.0331505521081</v>
      </c>
      <c r="AX15" s="5"/>
      <c r="AY15" s="50" t="s">
        <v>35</v>
      </c>
      <c r="AZ15" s="146">
        <f>O15</f>
        <v>25000</v>
      </c>
      <c r="BA15" s="12">
        <f>AE15</f>
        <v>25940.303699033215</v>
      </c>
      <c r="BB15" s="76">
        <f t="shared" ref="BB15" si="54">((BA15-AZ15)/AZ15)*100</f>
        <v>3.761214796132859</v>
      </c>
      <c r="BC15" s="121">
        <f>(BA15/AZ15)*100</f>
        <v>103.76121479613285</v>
      </c>
      <c r="BD15" s="76"/>
      <c r="BE15" s="119">
        <f>Q15</f>
        <v>1072.8810000000001</v>
      </c>
      <c r="BF15" s="5">
        <f>AW15</f>
        <v>1088.0331505521081</v>
      </c>
      <c r="BG15" s="76">
        <f>((BF15/BE15)*100)-100</f>
        <v>1.4122862229928472</v>
      </c>
      <c r="BH15" s="121">
        <f>(BF15/BE15)*100</f>
        <v>101.41228622299285</v>
      </c>
      <c r="BI15" s="76"/>
      <c r="BJ15" s="119">
        <f>Q15*28</f>
        <v>30040.668000000001</v>
      </c>
      <c r="BK15" s="5">
        <f>AW15*28</f>
        <v>30464.928215459026</v>
      </c>
      <c r="BL15" s="121">
        <f>((BK15-BJ15)/BJ15)*100</f>
        <v>1.4122862229928577</v>
      </c>
      <c r="BM15" s="76"/>
      <c r="BN15" s="120">
        <f>(BJ15/AZ15)</f>
        <v>1.2016267200000001</v>
      </c>
      <c r="BO15" s="90">
        <f>(BK15/BA15)</f>
        <v>1.1744245005348353</v>
      </c>
      <c r="BP15" s="121">
        <f>((BO15-BN15)/BN15)*100</f>
        <v>-2.2637828380817693</v>
      </c>
    </row>
    <row r="16" spans="1:68">
      <c r="A16" s="10" t="s">
        <v>36</v>
      </c>
      <c r="B16" s="34">
        <f>'Adoption model'!P24</f>
        <v>1.5172021857923497</v>
      </c>
      <c r="C16" s="3">
        <f>1+(B16/100)</f>
        <v>1.0151720218579234</v>
      </c>
      <c r="D16" s="93">
        <v>1000</v>
      </c>
      <c r="E16" s="15">
        <v>10</v>
      </c>
      <c r="F16" s="15">
        <f t="shared" ref="F16" si="55">E16/8</f>
        <v>1.25</v>
      </c>
      <c r="G16" s="27">
        <f t="shared" ref="G16" si="56">1/F16</f>
        <v>0.8</v>
      </c>
      <c r="H16" s="27">
        <v>1</v>
      </c>
      <c r="I16" s="17">
        <f t="shared" ref="I16" si="57">(D16/G16)*H16</f>
        <v>1250</v>
      </c>
      <c r="K16" s="15">
        <v>450</v>
      </c>
      <c r="L16" s="15">
        <v>0.6</v>
      </c>
      <c r="M16" s="27">
        <f>'Sheep intake'!J$19</f>
        <v>5.68</v>
      </c>
      <c r="N16" s="27">
        <f t="shared" ref="N16" si="58">M16*365/1000</f>
        <v>2.0731999999999999</v>
      </c>
      <c r="O16" s="17">
        <f>I16</f>
        <v>1250</v>
      </c>
      <c r="P16" s="17">
        <f t="shared" si="17"/>
        <v>2591.5</v>
      </c>
      <c r="Q16" s="17">
        <f t="shared" ref="Q16" si="59">(P16*20.7)/1000</f>
        <v>53.644049999999993</v>
      </c>
      <c r="R16" s="17">
        <f t="shared" ref="R16" si="60">Q16*28</f>
        <v>1502.0333999999998</v>
      </c>
      <c r="T16" s="21">
        <v>0.12</v>
      </c>
      <c r="U16" s="21">
        <v>0.5</v>
      </c>
      <c r="V16" s="21">
        <f t="shared" ref="V16" si="61">T16*U16</f>
        <v>0.06</v>
      </c>
      <c r="X16" s="21">
        <v>0.6</v>
      </c>
      <c r="Y16" s="21">
        <f>(X16*1.5)</f>
        <v>0.89999999999999991</v>
      </c>
      <c r="Z16" s="91">
        <f t="shared" si="39"/>
        <v>0.61799999999999999</v>
      </c>
      <c r="AA16" s="21">
        <f t="shared" si="21"/>
        <v>103</v>
      </c>
      <c r="AB16" s="11">
        <v>1</v>
      </c>
      <c r="AC16" s="94">
        <f t="shared" si="40"/>
        <v>1287.5</v>
      </c>
      <c r="AD16" s="94">
        <f t="shared" si="41"/>
        <v>1268.9650273224042</v>
      </c>
      <c r="AE16" s="94">
        <f t="shared" si="42"/>
        <v>1306.4650273224042</v>
      </c>
      <c r="AF16" s="87">
        <f t="shared" si="43"/>
        <v>1.0451720218579235</v>
      </c>
      <c r="AG16" s="86"/>
      <c r="AH16" s="69">
        <v>20.7</v>
      </c>
      <c r="AI16" s="70">
        <v>53</v>
      </c>
      <c r="AJ16" s="69">
        <f t="shared" ref="AJ16" si="62">(AI16/100)</f>
        <v>0.53</v>
      </c>
      <c r="AK16" s="101">
        <f t="shared" ref="AK16" si="63">AH16*(1-AJ16)</f>
        <v>9.7289999999999992</v>
      </c>
      <c r="AM16" s="22">
        <v>450</v>
      </c>
      <c r="AN16" s="21">
        <f>'Sheep intake'!J$19</f>
        <v>5.68</v>
      </c>
      <c r="AO16" s="29">
        <f t="shared" si="44"/>
        <v>2708.5632946448086</v>
      </c>
      <c r="AP16" s="29">
        <f t="shared" si="45"/>
        <v>162.51379767868852</v>
      </c>
      <c r="AQ16" s="29">
        <f t="shared" si="46"/>
        <v>2546.0494969661199</v>
      </c>
      <c r="AR16" s="5"/>
      <c r="AS16" s="153">
        <f t="shared" si="47"/>
        <v>78.38790163934425</v>
      </c>
      <c r="AT16" s="153">
        <f t="shared" si="48"/>
        <v>1192.8271256830599</v>
      </c>
      <c r="AU16" s="148">
        <f t="shared" si="49"/>
        <v>1.5810967376159601</v>
      </c>
      <c r="AV16" s="148">
        <f t="shared" si="50"/>
        <v>51.190462377198671</v>
      </c>
      <c r="AW16" s="148">
        <f t="shared" si="51"/>
        <v>52.771559114814629</v>
      </c>
      <c r="AX16" s="5"/>
      <c r="AY16" s="127" t="s">
        <v>36</v>
      </c>
      <c r="AZ16" s="146">
        <f>O16</f>
        <v>1250</v>
      </c>
      <c r="BA16" s="12">
        <f t="shared" ref="BA16" si="64">AE16</f>
        <v>1306.4650273224042</v>
      </c>
      <c r="BB16" s="76">
        <f>((BA16-AZ16)/AZ16)*100</f>
        <v>4.517202185792339</v>
      </c>
      <c r="BC16" s="121">
        <f>(BA16/AZ16)*100</f>
        <v>104.51720218579234</v>
      </c>
      <c r="BD16" s="76"/>
      <c r="BE16" s="119">
        <f>Q16</f>
        <v>53.644049999999993</v>
      </c>
      <c r="BF16" s="5">
        <f>AW16</f>
        <v>52.771559114814629</v>
      </c>
      <c r="BG16" s="76">
        <f t="shared" ref="BG16" si="65">((BF16/BE16)*100)-100</f>
        <v>-1.6264448437158734</v>
      </c>
      <c r="BH16" s="121">
        <f t="shared" ref="BH16" si="66">(BF16/BE16)*100</f>
        <v>98.373555156284127</v>
      </c>
      <c r="BI16" s="76"/>
      <c r="BJ16" s="119">
        <f>Q16*28</f>
        <v>1502.0333999999998</v>
      </c>
      <c r="BK16" s="5">
        <f>AW16*28</f>
        <v>1477.6036552148096</v>
      </c>
      <c r="BL16" s="121">
        <f t="shared" ref="BL16" si="67">((BK16-BJ16)/BJ16)*100</f>
        <v>-1.6264448437158736</v>
      </c>
      <c r="BM16" s="76"/>
      <c r="BN16" s="120">
        <f>(BJ16/AZ16)</f>
        <v>1.2016267199999999</v>
      </c>
      <c r="BO16" s="90">
        <f>(BK16/BA16)</f>
        <v>1.1309936541073384</v>
      </c>
      <c r="BP16" s="121">
        <f t="shared" ref="BP16:BP17" si="68">((BO16-BN16)/BN16)*100</f>
        <v>-5.8781204443141455</v>
      </c>
    </row>
    <row r="17" spans="1:68" ht="15.75" thickBot="1">
      <c r="A17" s="88" t="s">
        <v>143</v>
      </c>
      <c r="B17" s="34"/>
      <c r="C17" s="3"/>
      <c r="D17" s="26"/>
      <c r="E17" s="15"/>
      <c r="F17" s="15"/>
      <c r="G17" s="27"/>
      <c r="H17" s="27"/>
      <c r="I17" s="17"/>
      <c r="K17" s="15"/>
      <c r="L17" s="15"/>
      <c r="M17" s="27"/>
      <c r="N17" s="27"/>
      <c r="O17" s="17"/>
      <c r="P17" s="17"/>
      <c r="Q17" s="17"/>
      <c r="R17" s="17"/>
      <c r="T17" s="21"/>
      <c r="U17" s="21"/>
      <c r="V17" s="21"/>
      <c r="X17" s="21"/>
      <c r="Y17" s="21"/>
      <c r="Z17" s="91">
        <f t="shared" ref="Z17" si="69">(Y17-X17)*(1/0.31)+X17</f>
        <v>0</v>
      </c>
      <c r="AA17" s="21"/>
      <c r="AB17" s="11"/>
      <c r="AC17" s="94"/>
      <c r="AD17" s="94"/>
      <c r="AE17" s="94"/>
      <c r="AF17" s="85"/>
      <c r="AG17" s="86"/>
      <c r="AH17" s="69"/>
      <c r="AI17" s="70"/>
      <c r="AJ17" s="69"/>
      <c r="AK17" s="69"/>
      <c r="AM17" s="22"/>
      <c r="AN17" s="21"/>
      <c r="AO17" s="29"/>
      <c r="AP17" s="29"/>
      <c r="AQ17" s="29"/>
      <c r="AR17" s="5"/>
      <c r="AS17" s="153"/>
      <c r="AT17" s="153"/>
      <c r="AU17" s="148"/>
      <c r="AV17" s="148"/>
      <c r="AW17" s="148"/>
      <c r="AX17" s="5"/>
      <c r="AY17" s="50" t="s">
        <v>143</v>
      </c>
      <c r="AZ17" s="134">
        <f>SUM(AZ14:AZ16)</f>
        <v>30250</v>
      </c>
      <c r="BA17" s="135">
        <f>SUM(BA14:BA16)</f>
        <v>31594.065069356879</v>
      </c>
      <c r="BB17" s="136">
        <f t="shared" ref="BB17" si="70">((BA17-AZ17)/AZ17)*100</f>
        <v>4.4431903119235656</v>
      </c>
      <c r="BC17" s="137">
        <f>SUM(BC14:BC16)</f>
        <v>316.96082555695671</v>
      </c>
      <c r="BD17" s="8"/>
      <c r="BE17" s="134">
        <f>SUM(BE14:BE16)</f>
        <v>1379.0295653355001</v>
      </c>
      <c r="BF17" s="135">
        <f>SUM(BF14:BF16)</f>
        <v>1357.9073597491149</v>
      </c>
      <c r="BG17" s="136">
        <f t="shared" ref="BG17" si="71">((BF17-BE17)/BE17)*100</f>
        <v>-1.5316716999643496</v>
      </c>
      <c r="BH17" s="137">
        <f>SUM(BH14:BH16)</f>
        <v>285.76555140296915</v>
      </c>
      <c r="BI17" s="8"/>
      <c r="BJ17" s="134">
        <f>SUM(BJ14:BJ16)</f>
        <v>38612.827829394002</v>
      </c>
      <c r="BK17" s="135">
        <f>SUM(BK14:BK16)</f>
        <v>38021.406072975216</v>
      </c>
      <c r="BL17" s="137">
        <f>SUM(BL14:BL16)</f>
        <v>-14.234448597030795</v>
      </c>
      <c r="BM17" s="8"/>
      <c r="BN17" s="124">
        <f>(BJ17/AZ17)</f>
        <v>1.2764571183270745</v>
      </c>
      <c r="BO17" s="125">
        <f>(BK17/BA17)</f>
        <v>1.2034350752113954</v>
      </c>
      <c r="BP17" s="126">
        <f t="shared" si="68"/>
        <v>-5.7206812565221075</v>
      </c>
    </row>
    <row r="18" spans="1:68">
      <c r="B18" s="34"/>
      <c r="C18" s="3"/>
      <c r="D18" s="26"/>
      <c r="E18" s="15"/>
      <c r="F18" s="15"/>
      <c r="G18" s="27"/>
      <c r="H18" s="27"/>
      <c r="I18" s="17"/>
      <c r="K18" s="15"/>
      <c r="L18" s="15"/>
      <c r="M18" s="27"/>
      <c r="N18" s="27"/>
      <c r="O18" s="17"/>
      <c r="P18" s="17"/>
      <c r="Q18" s="17"/>
      <c r="R18" s="17"/>
      <c r="T18" s="21"/>
      <c r="U18" s="21"/>
      <c r="V18" s="21"/>
      <c r="X18" s="21"/>
      <c r="Y18" s="21"/>
      <c r="Z18" s="91"/>
      <c r="AA18" s="21"/>
      <c r="AB18" s="11"/>
      <c r="AC18" s="94"/>
      <c r="AD18" s="94"/>
      <c r="AE18" s="94"/>
      <c r="AF18" s="85"/>
      <c r="AG18" s="86"/>
      <c r="AH18" s="69"/>
      <c r="AI18" s="70"/>
      <c r="AJ18" s="69"/>
      <c r="AK18" s="69"/>
      <c r="AM18" s="22"/>
      <c r="AN18" s="21"/>
      <c r="AO18" s="29"/>
      <c r="AP18" s="29"/>
      <c r="AQ18" s="29"/>
      <c r="AR18" s="5"/>
      <c r="AS18" s="153"/>
      <c r="AT18" s="153"/>
      <c r="AU18" s="148"/>
      <c r="AV18" s="148"/>
      <c r="AW18" s="148"/>
      <c r="AX18" s="5"/>
      <c r="BB18" s="76"/>
      <c r="BG18" s="76"/>
      <c r="BJ18" s="5"/>
      <c r="BK18" s="5"/>
      <c r="BN18" s="90"/>
      <c r="BO18" s="90"/>
      <c r="BP18" s="76"/>
    </row>
    <row r="19" spans="1:68">
      <c r="AC19" s="95"/>
      <c r="AD19" s="95"/>
      <c r="AE19" s="95"/>
    </row>
    <row r="20" spans="1:68" ht="21.75" customHeight="1" thickBot="1">
      <c r="BH20" s="76"/>
      <c r="BI20" s="76"/>
    </row>
    <row r="21" spans="1:68">
      <c r="A21" s="158" t="s">
        <v>144</v>
      </c>
      <c r="B21" s="162" t="s">
        <v>53</v>
      </c>
      <c r="C21" s="163"/>
      <c r="D21" s="164" t="s">
        <v>54</v>
      </c>
      <c r="E21" s="164"/>
      <c r="F21" s="164"/>
      <c r="G21" s="164"/>
      <c r="H21" s="164"/>
      <c r="I21" s="164"/>
      <c r="K21" s="165" t="s">
        <v>55</v>
      </c>
      <c r="L21" s="166"/>
      <c r="M21" s="166"/>
      <c r="N21" s="166"/>
      <c r="O21" s="166"/>
      <c r="P21" s="166"/>
      <c r="Q21" s="166"/>
      <c r="R21" s="167"/>
      <c r="S21" s="30"/>
      <c r="T21" s="168" t="s">
        <v>56</v>
      </c>
      <c r="U21" s="169"/>
      <c r="V21" s="169"/>
      <c r="X21" s="169" t="s">
        <v>57</v>
      </c>
      <c r="Y21" s="169"/>
      <c r="Z21" s="72"/>
      <c r="AA21" s="72"/>
      <c r="AB21" s="74"/>
      <c r="AC21" s="170" t="s">
        <v>58</v>
      </c>
      <c r="AD21" s="170"/>
      <c r="AE21" s="170"/>
      <c r="AF21" s="170"/>
      <c r="AG21" s="79"/>
      <c r="AH21" s="171" t="s">
        <v>59</v>
      </c>
      <c r="AI21" s="172"/>
      <c r="AJ21" s="172"/>
      <c r="AK21" s="173"/>
      <c r="AM21" s="174" t="s">
        <v>60</v>
      </c>
      <c r="AN21" s="174"/>
      <c r="AO21" s="174"/>
      <c r="AP21" s="174"/>
      <c r="AQ21" s="174"/>
      <c r="AS21" s="175" t="s">
        <v>61</v>
      </c>
      <c r="AT21" s="175"/>
      <c r="AU21" s="175"/>
      <c r="AV21" s="175"/>
      <c r="AW21" s="175"/>
      <c r="AZ21" s="155" t="s">
        <v>62</v>
      </c>
      <c r="BA21" s="156"/>
      <c r="BB21" s="156"/>
      <c r="BC21" s="139"/>
      <c r="BE21" s="155" t="s">
        <v>63</v>
      </c>
      <c r="BF21" s="156"/>
      <c r="BG21" s="156"/>
      <c r="BH21" s="157"/>
      <c r="BI21" s="76"/>
      <c r="BJ21" s="159" t="s">
        <v>64</v>
      </c>
      <c r="BK21" s="160"/>
      <c r="BL21" s="161"/>
      <c r="BM21" s="114"/>
      <c r="BN21" s="155" t="s">
        <v>65</v>
      </c>
      <c r="BO21" s="156"/>
      <c r="BP21" s="157"/>
    </row>
    <row r="22" spans="1:68" ht="211.5" customHeight="1">
      <c r="A22" s="158"/>
      <c r="B22" s="33" t="s">
        <v>53</v>
      </c>
      <c r="C22" s="71" t="s">
        <v>66</v>
      </c>
      <c r="D22" s="23" t="s">
        <v>67</v>
      </c>
      <c r="E22" s="13" t="s">
        <v>68</v>
      </c>
      <c r="F22" s="13" t="s">
        <v>69</v>
      </c>
      <c r="G22" s="24" t="s">
        <v>70</v>
      </c>
      <c r="H22" s="24" t="s">
        <v>71</v>
      </c>
      <c r="I22" s="25" t="s">
        <v>72</v>
      </c>
      <c r="J22" s="1"/>
      <c r="K22" s="13" t="s">
        <v>73</v>
      </c>
      <c r="L22" s="13" t="s">
        <v>74</v>
      </c>
      <c r="M22" s="13" t="s">
        <v>75</v>
      </c>
      <c r="N22" s="13" t="s">
        <v>76</v>
      </c>
      <c r="O22" s="13" t="s">
        <v>77</v>
      </c>
      <c r="P22" s="14" t="s">
        <v>78</v>
      </c>
      <c r="Q22" s="14" t="s">
        <v>79</v>
      </c>
      <c r="R22" s="14" t="s">
        <v>80</v>
      </c>
      <c r="S22" s="31"/>
      <c r="T22" s="20" t="s">
        <v>81</v>
      </c>
      <c r="U22" s="20" t="s">
        <v>82</v>
      </c>
      <c r="V22" s="20" t="s">
        <v>83</v>
      </c>
      <c r="W22" s="1"/>
      <c r="X22" s="20" t="s">
        <v>84</v>
      </c>
      <c r="Y22" s="20" t="s">
        <v>85</v>
      </c>
      <c r="Z22" s="20" t="s">
        <v>86</v>
      </c>
      <c r="AA22" s="20"/>
      <c r="AB22" s="78" t="s">
        <v>87</v>
      </c>
      <c r="AC22" s="80" t="s">
        <v>88</v>
      </c>
      <c r="AD22" s="80" t="s">
        <v>89</v>
      </c>
      <c r="AE22" s="81" t="s">
        <v>90</v>
      </c>
      <c r="AF22" s="80" t="s">
        <v>91</v>
      </c>
      <c r="AG22" s="82"/>
      <c r="AH22" s="35" t="s">
        <v>92</v>
      </c>
      <c r="AI22" s="35" t="s">
        <v>93</v>
      </c>
      <c r="AJ22" s="35" t="s">
        <v>94</v>
      </c>
      <c r="AK22" s="36" t="s">
        <v>95</v>
      </c>
      <c r="AL22" s="1"/>
      <c r="AM22" s="19" t="s">
        <v>73</v>
      </c>
      <c r="AN22" s="19" t="s">
        <v>96</v>
      </c>
      <c r="AO22" s="28" t="s">
        <v>97</v>
      </c>
      <c r="AP22" s="28" t="s">
        <v>98</v>
      </c>
      <c r="AQ22" s="28" t="s">
        <v>99</v>
      </c>
      <c r="AR22" s="73"/>
      <c r="AS22" s="149" t="s">
        <v>100</v>
      </c>
      <c r="AT22" s="149" t="s">
        <v>101</v>
      </c>
      <c r="AU22" s="150" t="s">
        <v>102</v>
      </c>
      <c r="AV22" s="150" t="s">
        <v>103</v>
      </c>
      <c r="AW22" s="151" t="s">
        <v>104</v>
      </c>
      <c r="AX22" s="73"/>
      <c r="AY22" s="1"/>
      <c r="AZ22" s="128" t="s">
        <v>105</v>
      </c>
      <c r="BA22" s="117" t="s">
        <v>106</v>
      </c>
      <c r="BB22" s="117" t="s">
        <v>107</v>
      </c>
      <c r="BC22" s="129" t="s">
        <v>108</v>
      </c>
      <c r="BD22" s="117"/>
      <c r="BE22" s="128" t="s">
        <v>109</v>
      </c>
      <c r="BF22" s="117" t="s">
        <v>110</v>
      </c>
      <c r="BG22" s="117" t="s">
        <v>111</v>
      </c>
      <c r="BH22" s="129" t="s">
        <v>112</v>
      </c>
      <c r="BI22" s="76"/>
      <c r="BJ22" s="141" t="s">
        <v>113</v>
      </c>
      <c r="BK22" s="117" t="s">
        <v>114</v>
      </c>
      <c r="BL22" s="129" t="s">
        <v>115</v>
      </c>
      <c r="BM22" s="73"/>
      <c r="BN22" s="116" t="s">
        <v>116</v>
      </c>
      <c r="BO22" s="117" t="s">
        <v>117</v>
      </c>
      <c r="BP22" s="118" t="s">
        <v>118</v>
      </c>
    </row>
    <row r="23" spans="1:68">
      <c r="B23" s="34" t="s">
        <v>119</v>
      </c>
      <c r="C23" s="3" t="s">
        <v>120</v>
      </c>
      <c r="D23" s="26" t="s">
        <v>121</v>
      </c>
      <c r="E23" s="15" t="s">
        <v>122</v>
      </c>
      <c r="F23" s="15" t="s">
        <v>69</v>
      </c>
      <c r="G23" s="15" t="s">
        <v>123</v>
      </c>
      <c r="H23" s="15" t="s">
        <v>124</v>
      </c>
      <c r="I23" s="18"/>
      <c r="K23" s="15" t="s">
        <v>125</v>
      </c>
      <c r="L23" s="15" t="s">
        <v>126</v>
      </c>
      <c r="M23" s="15" t="s">
        <v>127</v>
      </c>
      <c r="N23" s="15" t="s">
        <v>128</v>
      </c>
      <c r="O23" s="16"/>
      <c r="P23" s="17" t="s">
        <v>129</v>
      </c>
      <c r="Q23" s="17" t="s">
        <v>129</v>
      </c>
      <c r="R23" s="17" t="s">
        <v>129</v>
      </c>
      <c r="S23" s="32"/>
      <c r="T23" s="21" t="s">
        <v>120</v>
      </c>
      <c r="U23" s="21" t="s">
        <v>120</v>
      </c>
      <c r="V23" s="21" t="s">
        <v>120</v>
      </c>
      <c r="X23" s="21" t="s">
        <v>126</v>
      </c>
      <c r="Y23" s="21" t="s">
        <v>126</v>
      </c>
      <c r="Z23" s="77" t="s">
        <v>126</v>
      </c>
      <c r="AA23" s="77"/>
      <c r="AB23" s="39"/>
      <c r="AC23" s="83"/>
      <c r="AD23" s="83"/>
      <c r="AE23" s="83"/>
      <c r="AF23" s="83"/>
      <c r="AG23" s="84"/>
      <c r="AH23" s="67" t="s">
        <v>130</v>
      </c>
      <c r="AI23" s="67" t="s">
        <v>131</v>
      </c>
      <c r="AJ23" s="67" t="s">
        <v>132</v>
      </c>
      <c r="AK23" s="68" t="s">
        <v>130</v>
      </c>
      <c r="AM23" s="22" t="s">
        <v>125</v>
      </c>
      <c r="AN23" s="22" t="s">
        <v>127</v>
      </c>
      <c r="AO23" s="29" t="s">
        <v>129</v>
      </c>
      <c r="AP23" s="29"/>
      <c r="AQ23" s="29" t="s">
        <v>129</v>
      </c>
      <c r="AR23" s="5"/>
      <c r="AS23" s="152"/>
      <c r="AT23" s="152"/>
      <c r="AU23" s="147" t="s">
        <v>133</v>
      </c>
      <c r="AV23" s="147" t="s">
        <v>133</v>
      </c>
      <c r="AW23" s="147" t="s">
        <v>133</v>
      </c>
      <c r="AX23" s="5"/>
      <c r="AZ23" s="130" t="s">
        <v>134</v>
      </c>
      <c r="BA23" s="138" t="s">
        <v>134</v>
      </c>
      <c r="BB23" s="115" t="s">
        <v>135</v>
      </c>
      <c r="BC23" s="140" t="s">
        <v>136</v>
      </c>
      <c r="BD23" s="115"/>
      <c r="BE23" s="130" t="s">
        <v>133</v>
      </c>
      <c r="BF23" s="138" t="s">
        <v>133</v>
      </c>
      <c r="BG23" s="115" t="s">
        <v>135</v>
      </c>
      <c r="BH23" s="140" t="s">
        <v>136</v>
      </c>
      <c r="BI23" s="76"/>
      <c r="BJ23" s="130" t="s">
        <v>133</v>
      </c>
      <c r="BK23" s="75" t="s">
        <v>135</v>
      </c>
      <c r="BL23" s="131" t="s">
        <v>136</v>
      </c>
      <c r="BM23" s="115"/>
      <c r="BN23" s="119" t="s">
        <v>137</v>
      </c>
      <c r="BO23" s="107" t="s">
        <v>138</v>
      </c>
      <c r="BP23" s="44" t="s">
        <v>135</v>
      </c>
    </row>
    <row r="24" spans="1:68">
      <c r="A24" s="108" t="s">
        <v>139</v>
      </c>
      <c r="B24" s="34">
        <f>'Adoption model'!P15</f>
        <v>0.22612147961328288</v>
      </c>
      <c r="C24" s="3">
        <f>1+(B24/100)</f>
        <v>1.0022612147961327</v>
      </c>
      <c r="D24" s="93">
        <v>2320000</v>
      </c>
      <c r="E24" s="15">
        <v>10</v>
      </c>
      <c r="F24" s="15">
        <f>E24/8</f>
        <v>1.25</v>
      </c>
      <c r="G24" s="27">
        <f>1/F24</f>
        <v>0.8</v>
      </c>
      <c r="H24" s="27">
        <v>1</v>
      </c>
      <c r="I24" s="17">
        <f>(D24/G24)*H24</f>
        <v>2900000</v>
      </c>
      <c r="K24" s="15">
        <v>450</v>
      </c>
      <c r="L24" s="15">
        <v>0.6</v>
      </c>
      <c r="M24" s="27">
        <f xml:space="preserve"> ((1.185+(0.00454*K24))-(0.0000026*(K24^2))+(0.315*L24))^2</f>
        <v>8.3549902499999984</v>
      </c>
      <c r="N24" s="27">
        <f>M24*365/1000</f>
        <v>3.049571441249999</v>
      </c>
      <c r="O24" s="17">
        <f t="shared" ref="O24:O30" si="72">I24</f>
        <v>2900000</v>
      </c>
      <c r="P24" s="17">
        <f>(N24*O24)</f>
        <v>8843757.1796249971</v>
      </c>
      <c r="Q24" s="17">
        <f>(P24*20.7)/1000</f>
        <v>183065.77361823744</v>
      </c>
      <c r="R24" s="17">
        <f>Q24*28</f>
        <v>5125841.6613106485</v>
      </c>
      <c r="S24" s="32"/>
      <c r="T24" s="21">
        <v>0.7</v>
      </c>
      <c r="U24" s="21">
        <v>0.5</v>
      </c>
      <c r="V24" s="21">
        <f>T24*U24</f>
        <v>0.35</v>
      </c>
      <c r="X24" s="21">
        <v>0.6</v>
      </c>
      <c r="Y24" s="21">
        <f>(X24*1.1)</f>
        <v>0.66</v>
      </c>
      <c r="Z24" s="91">
        <f t="shared" ref="Z24:Z30" si="73">((Y24-X24)*(V24))+X24</f>
        <v>0.621</v>
      </c>
      <c r="AA24" s="21"/>
      <c r="AB24" s="11">
        <v>1</v>
      </c>
      <c r="AC24" s="94">
        <f t="shared" ref="AC24:AC30" si="74">I24*(Z24/X24)</f>
        <v>3001500.0000000005</v>
      </c>
      <c r="AD24" s="94">
        <f t="shared" ref="AD24:AD30" si="75">I24*C24</f>
        <v>2906557.5229087849</v>
      </c>
      <c r="AE24" s="94">
        <f t="shared" ref="AE24:AE30" si="76">I24+(AC24-I24)+(AD24-I24)</f>
        <v>3008057.5229087854</v>
      </c>
      <c r="AF24" s="87">
        <f t="shared" ref="AF24:AF30" si="77">AE24/I24</f>
        <v>1.0372612147961329</v>
      </c>
      <c r="AG24" s="86"/>
      <c r="AH24" s="69">
        <v>20.7</v>
      </c>
      <c r="AI24" s="70">
        <v>14</v>
      </c>
      <c r="AJ24" s="69">
        <f>(AI24/100)</f>
        <v>0.14000000000000001</v>
      </c>
      <c r="AK24" s="69">
        <v>20.7</v>
      </c>
      <c r="AM24" s="22">
        <v>450</v>
      </c>
      <c r="AN24" s="21">
        <f xml:space="preserve"> ((1.185+(0.00454*AM24))-(0.0000026*(AM24^2))+(0.315*X24))^2</f>
        <v>8.3549902499999984</v>
      </c>
      <c r="AO24" s="29">
        <f t="shared" ref="AO24:AO30" si="78">(AE24*AN24*365)/1000</f>
        <v>9173286.3154998478</v>
      </c>
      <c r="AP24" s="29">
        <f t="shared" ref="AP24:AP30" si="79">(AO24*V24)</f>
        <v>3210650.2104249466</v>
      </c>
      <c r="AQ24" s="29">
        <f t="shared" ref="AQ24:AQ30" si="80">(AO24*(1-V24))</f>
        <v>5962636.1050749011</v>
      </c>
      <c r="AR24" s="5"/>
      <c r="AS24" s="153">
        <f t="shared" ref="AS24:AS30" si="81">(AE24*V24)</f>
        <v>1052820.1330180748</v>
      </c>
      <c r="AT24" s="153">
        <f t="shared" ref="AT24:AT30" si="82">AD24*(1-V24)</f>
        <v>1889262.3898907104</v>
      </c>
      <c r="AU24" s="148">
        <f>(AS24*AN24*365*AK24)/1000000</f>
        <v>66460.459355796396</v>
      </c>
      <c r="AV24" s="148">
        <f>(AT24*AN24*365*AH24)/1000000</f>
        <v>119261.82102523553</v>
      </c>
      <c r="AW24" s="148">
        <f t="shared" ref="AW24:AW30" si="83">SUM(AU24:AV24)</f>
        <v>185722.28038103192</v>
      </c>
      <c r="AX24" s="5"/>
      <c r="AY24" s="127" t="s">
        <v>27</v>
      </c>
      <c r="AZ24" s="119">
        <f t="shared" ref="AZ24:AZ30" si="84">O24</f>
        <v>2900000</v>
      </c>
      <c r="BA24" s="5">
        <f>AE24</f>
        <v>3008057.5229087854</v>
      </c>
      <c r="BB24" s="76">
        <f>((BA24-AZ24)/AZ24)*100</f>
        <v>3.7261214796132891</v>
      </c>
      <c r="BC24" s="121">
        <f>(BA24/AZ24)*100</f>
        <v>103.72612147961328</v>
      </c>
      <c r="BD24" s="76"/>
      <c r="BE24" s="119">
        <f>Q24</f>
        <v>183065.77361823744</v>
      </c>
      <c r="BF24" s="5">
        <f>AW24</f>
        <v>185722.28038103192</v>
      </c>
      <c r="BG24" s="76">
        <f>((BF24/BE24)*100)-100</f>
        <v>1.4511214796132776</v>
      </c>
      <c r="BH24" s="121">
        <f t="shared" ref="BH24:BH34" si="85">(BF24/BE24)*100</f>
        <v>101.45112147961328</v>
      </c>
      <c r="BI24" s="76"/>
      <c r="BJ24" s="119">
        <f>Q24*28</f>
        <v>5125841.6613106485</v>
      </c>
      <c r="BK24" s="5">
        <f>AW24*28</f>
        <v>5200223.8506688941</v>
      </c>
      <c r="BL24" s="121">
        <f>((BK24-BJ24)/BJ24)*100</f>
        <v>1.4511214796132912</v>
      </c>
      <c r="BM24" s="76"/>
      <c r="BN24" s="120">
        <f>(BJ24/AZ24)</f>
        <v>1.7675316073484995</v>
      </c>
      <c r="BO24" s="90">
        <f>(BK24/BA24)</f>
        <v>1.7287647629957184</v>
      </c>
      <c r="BP24" s="121">
        <f t="shared" ref="BP24:BP35" si="86">((BO24-BN24)/BN24)*100</f>
        <v>-2.193275876460044</v>
      </c>
    </row>
    <row r="25" spans="1:68">
      <c r="A25" s="10" t="s">
        <v>140</v>
      </c>
      <c r="B25" s="34">
        <f>'Adoption model'!P16</f>
        <v>3.6653562421185368</v>
      </c>
      <c r="C25" s="3">
        <f t="shared" ref="C25:C34" si="87">1+(B25/100)</f>
        <v>1.0366535624211854</v>
      </c>
      <c r="D25" s="93">
        <v>400000</v>
      </c>
      <c r="E25" s="15">
        <v>10</v>
      </c>
      <c r="F25" s="15">
        <f>E25/8</f>
        <v>1.25</v>
      </c>
      <c r="G25" s="27">
        <f>1/F25</f>
        <v>0.8</v>
      </c>
      <c r="H25" s="27">
        <v>1</v>
      </c>
      <c r="I25" s="17">
        <f t="shared" ref="I25:I30" si="88">(D25/G25)*H25</f>
        <v>500000</v>
      </c>
      <c r="K25" s="15">
        <v>450</v>
      </c>
      <c r="L25" s="15">
        <v>0.6</v>
      </c>
      <c r="M25" s="27">
        <f>'Sheep intake'!E$20</f>
        <v>10.5</v>
      </c>
      <c r="N25" s="27">
        <f t="shared" ref="N25:N30" si="89">M25*365/1000</f>
        <v>3.8325</v>
      </c>
      <c r="O25" s="17">
        <f t="shared" si="72"/>
        <v>500000</v>
      </c>
      <c r="P25" s="17">
        <f t="shared" ref="P25:P34" si="90">(N25*O25)</f>
        <v>1916250</v>
      </c>
      <c r="Q25" s="17">
        <f t="shared" ref="Q25:Q30" si="91">(P25*20.7)/1000</f>
        <v>39666.375</v>
      </c>
      <c r="R25" s="17">
        <f t="shared" ref="R25:R30" si="92">Q25*28</f>
        <v>1110658.5</v>
      </c>
      <c r="S25" s="32"/>
      <c r="T25" s="21">
        <v>0.4</v>
      </c>
      <c r="U25" s="21">
        <v>0.9</v>
      </c>
      <c r="V25" s="21">
        <f t="shared" ref="V25:V30" si="93">T25*U25</f>
        <v>0.36000000000000004</v>
      </c>
      <c r="X25" s="21">
        <v>0.6</v>
      </c>
      <c r="Y25" s="21">
        <f>(X25*1.5)</f>
        <v>0.89999999999999991</v>
      </c>
      <c r="Z25" s="91">
        <f t="shared" si="73"/>
        <v>0.70799999999999996</v>
      </c>
      <c r="AA25" s="21"/>
      <c r="AB25" s="11">
        <v>1</v>
      </c>
      <c r="AC25" s="94">
        <f t="shared" si="74"/>
        <v>590000</v>
      </c>
      <c r="AD25" s="94">
        <f t="shared" si="75"/>
        <v>518326.78121059272</v>
      </c>
      <c r="AE25" s="94">
        <f t="shared" si="76"/>
        <v>608326.78121059272</v>
      </c>
      <c r="AF25" s="87">
        <f t="shared" si="77"/>
        <v>1.2166535624211854</v>
      </c>
      <c r="AG25" s="86"/>
      <c r="AH25" s="69">
        <v>20.7</v>
      </c>
      <c r="AI25" s="70">
        <v>28</v>
      </c>
      <c r="AJ25" s="69">
        <f t="shared" ref="AJ25:AJ29" si="94">(AI25/100)</f>
        <v>0.28000000000000003</v>
      </c>
      <c r="AK25" s="69">
        <v>20.7</v>
      </c>
      <c r="AM25" s="22">
        <v>450</v>
      </c>
      <c r="AN25" s="21">
        <f>'Sheep intake'!E$20</f>
        <v>10.5</v>
      </c>
      <c r="AO25" s="29">
        <f t="shared" si="78"/>
        <v>2331412.3889895966</v>
      </c>
      <c r="AP25" s="29">
        <f t="shared" si="79"/>
        <v>839308.46003625484</v>
      </c>
      <c r="AQ25" s="29">
        <f t="shared" si="80"/>
        <v>1492103.9289533417</v>
      </c>
      <c r="AR25" s="5"/>
      <c r="AS25" s="153">
        <f t="shared" si="81"/>
        <v>218997.64123581341</v>
      </c>
      <c r="AT25" s="153">
        <f t="shared" si="82"/>
        <v>331729.13997477927</v>
      </c>
      <c r="AU25" s="148">
        <f t="shared" ref="AU25:AU30" si="95">(AS25*AN25*365*AK25)/1000000</f>
        <v>17373.685122750478</v>
      </c>
      <c r="AV25" s="148">
        <f t="shared" ref="AV25:AV30" si="96">(AT25*AN25*365*AH25)/1000000</f>
        <v>26316.984929334169</v>
      </c>
      <c r="AW25" s="148">
        <f t="shared" si="83"/>
        <v>43690.67005208465</v>
      </c>
      <c r="AX25" s="5"/>
      <c r="AY25" s="127" t="s">
        <v>28</v>
      </c>
      <c r="AZ25" s="119">
        <f t="shared" si="84"/>
        <v>500000</v>
      </c>
      <c r="BA25" s="5">
        <f t="shared" ref="BA25:BA30" si="97">AE25</f>
        <v>608326.78121059272</v>
      </c>
      <c r="BB25" s="76">
        <f t="shared" ref="BB25:BB31" si="98">((BA25-AZ25)/AZ25)*100</f>
        <v>21.665356242118545</v>
      </c>
      <c r="BC25" s="121">
        <f>(BA25/AZ25)*100</f>
        <v>121.66535624211853</v>
      </c>
      <c r="BD25" s="76"/>
      <c r="BE25" s="119">
        <f>Q25</f>
        <v>39666.375</v>
      </c>
      <c r="BF25" s="5">
        <f>AW25</f>
        <v>43690.67005208465</v>
      </c>
      <c r="BG25" s="76">
        <f t="shared" ref="BG25:BG34" si="99">((BF25/BE25)*100)-100</f>
        <v>10.145356242118538</v>
      </c>
      <c r="BH25" s="121">
        <f t="shared" si="85"/>
        <v>110.14535624211854</v>
      </c>
      <c r="BI25" s="76"/>
      <c r="BJ25" s="119">
        <f>Q25*28</f>
        <v>1110658.5</v>
      </c>
      <c r="BK25" s="5">
        <f>AW25*28</f>
        <v>1223338.7614583701</v>
      </c>
      <c r="BL25" s="121">
        <f t="shared" ref="BL25:BL34" si="100">((BK25-BJ25)/BJ25)*100</f>
        <v>10.145356242118538</v>
      </c>
      <c r="BM25" s="76"/>
      <c r="BN25" s="120">
        <f>(BJ25/AZ25)</f>
        <v>2.221317</v>
      </c>
      <c r="BO25" s="90">
        <f>(BK25/BA25)</f>
        <v>2.0109894866438083</v>
      </c>
      <c r="BP25" s="121">
        <f t="shared" si="86"/>
        <v>-9.4685951332561586</v>
      </c>
    </row>
    <row r="26" spans="1:68">
      <c r="A26" s="10" t="s">
        <v>29</v>
      </c>
      <c r="B26" s="34">
        <f>'Adoption model'!P17</f>
        <v>2.8885195460277426</v>
      </c>
      <c r="C26" s="3">
        <f t="shared" si="87"/>
        <v>1.0288851954602773</v>
      </c>
      <c r="D26" s="93">
        <v>75000</v>
      </c>
      <c r="E26" s="15">
        <v>10</v>
      </c>
      <c r="F26" s="15">
        <f>E26/8</f>
        <v>1.25</v>
      </c>
      <c r="G26" s="27">
        <f t="shared" ref="G26" si="101">1/F26</f>
        <v>0.8</v>
      </c>
      <c r="H26" s="27">
        <v>1</v>
      </c>
      <c r="I26" s="17">
        <f>(D26/G26)*H26</f>
        <v>93750</v>
      </c>
      <c r="K26" s="15">
        <v>450</v>
      </c>
      <c r="L26" s="15">
        <v>0.6</v>
      </c>
      <c r="M26" s="27">
        <f>'Sheep intake'!J$19</f>
        <v>5.68</v>
      </c>
      <c r="N26" s="27">
        <f>M26*365/1000</f>
        <v>2.0731999999999999</v>
      </c>
      <c r="O26" s="17">
        <f>I26</f>
        <v>93750</v>
      </c>
      <c r="P26" s="17">
        <f>(N26*O26)</f>
        <v>194362.5</v>
      </c>
      <c r="Q26" s="17">
        <f>(P26*20.7)/1000</f>
        <v>4023.30375</v>
      </c>
      <c r="R26" s="17">
        <f>Q26*28</f>
        <v>112652.505</v>
      </c>
      <c r="T26" s="21">
        <v>0.7</v>
      </c>
      <c r="U26" s="21">
        <v>0.3</v>
      </c>
      <c r="V26" s="21">
        <f>T26*U26</f>
        <v>0.21</v>
      </c>
      <c r="X26" s="21">
        <v>0.6</v>
      </c>
      <c r="Y26" s="21">
        <f t="shared" ref="Y26" si="102">(X26*1.1)</f>
        <v>0.66</v>
      </c>
      <c r="Z26" s="91">
        <f>((Y26-X26)*(V26))+X26</f>
        <v>0.61260000000000003</v>
      </c>
      <c r="AA26" s="21"/>
      <c r="AB26" s="11">
        <v>1</v>
      </c>
      <c r="AC26" s="94">
        <f>I26*(Z26/X26)</f>
        <v>95718.750000000015</v>
      </c>
      <c r="AD26" s="94">
        <f>I26*C26</f>
        <v>96457.987074400997</v>
      </c>
      <c r="AE26" s="94">
        <f>I26+(AC26-I26)+(AD26-I26)</f>
        <v>98426.737074401011</v>
      </c>
      <c r="AF26" s="87">
        <f>AE26/I26</f>
        <v>1.0498851954602775</v>
      </c>
      <c r="AG26" s="86"/>
      <c r="AH26" s="69">
        <v>20.7</v>
      </c>
      <c r="AI26" s="70">
        <v>21</v>
      </c>
      <c r="AJ26" s="69">
        <f t="shared" ref="AJ26" si="103">(AI26/100)</f>
        <v>0.21</v>
      </c>
      <c r="AK26" s="69">
        <v>20.7</v>
      </c>
      <c r="AM26" s="22">
        <v>450</v>
      </c>
      <c r="AN26" s="21">
        <f>'Sheep intake'!J$19</f>
        <v>5.68</v>
      </c>
      <c r="AO26" s="29">
        <f>(AE26*AN26*365)/1000</f>
        <v>204058.31130264816</v>
      </c>
      <c r="AP26" s="29">
        <f>(AO26*V26)</f>
        <v>42852.245373556114</v>
      </c>
      <c r="AQ26" s="29">
        <f>(AO26*(1-V26))</f>
        <v>161206.06592909206</v>
      </c>
      <c r="AR26" s="5"/>
      <c r="AS26" s="153">
        <f>(AE26*V26)</f>
        <v>20669.614785624213</v>
      </c>
      <c r="AT26" s="153">
        <f>AD26*(1-V26)</f>
        <v>76201.809788776794</v>
      </c>
      <c r="AU26" s="148">
        <f>(AS26*AN26*365*AK26)/1000000</f>
        <v>887.04147923261155</v>
      </c>
      <c r="AV26" s="148">
        <f>(AT26*AN26*365*AH26)/1000000</f>
        <v>3270.2189555197051</v>
      </c>
      <c r="AW26" s="148">
        <f>SUM(AU26:AV26)</f>
        <v>4157.2604347523165</v>
      </c>
      <c r="AX26" s="5"/>
      <c r="AY26" s="127" t="s">
        <v>145</v>
      </c>
      <c r="AZ26" s="119">
        <f>O26</f>
        <v>93750</v>
      </c>
      <c r="BA26" s="5">
        <f>AE26</f>
        <v>98426.737074401011</v>
      </c>
      <c r="BB26" s="76">
        <f>((BA26-AZ26)/AZ26)*100</f>
        <v>4.9885195460277458</v>
      </c>
      <c r="BC26" s="121">
        <f>(BA26/AZ26)*100</f>
        <v>104.98851954602775</v>
      </c>
      <c r="BD26" s="76"/>
      <c r="BE26" s="119">
        <f>Q26</f>
        <v>4023.30375</v>
      </c>
      <c r="BF26" s="5">
        <f>AW26</f>
        <v>4157.2604347523165</v>
      </c>
      <c r="BG26" s="76">
        <f>((BF26/BE26)*100)-100</f>
        <v>3.3295195460277398</v>
      </c>
      <c r="BH26" s="121">
        <f>(BF26/BE26)*100</f>
        <v>103.32951954602774</v>
      </c>
      <c r="BI26" s="76"/>
      <c r="BJ26" s="119">
        <f>Q26*28</f>
        <v>112652.505</v>
      </c>
      <c r="BK26" s="5">
        <f>AW26*28</f>
        <v>116403.29217306487</v>
      </c>
      <c r="BL26" s="121">
        <f>((BK26-BJ26)/BJ26)*100</f>
        <v>3.3295195460277269</v>
      </c>
      <c r="BM26" s="76"/>
      <c r="BN26" s="120">
        <f>(BJ26/AZ26)</f>
        <v>1.2016267200000001</v>
      </c>
      <c r="BO26" s="90">
        <f>(BK26/BA26)</f>
        <v>1.182638941744816</v>
      </c>
      <c r="BP26" s="121">
        <f>((BO26-BN26)/BN26)*100</f>
        <v>-1.5801727723884302</v>
      </c>
    </row>
    <row r="27" spans="1:68">
      <c r="A27" s="10" t="s">
        <v>48</v>
      </c>
      <c r="B27" s="34">
        <f>'Adoption model'!P18</f>
        <v>2.1518011769651113</v>
      </c>
      <c r="C27" s="3">
        <f t="shared" si="87"/>
        <v>1.0215180117696512</v>
      </c>
      <c r="D27" s="93">
        <v>130000</v>
      </c>
      <c r="E27" s="15"/>
      <c r="F27" s="15">
        <f t="shared" ref="F27:F29" si="104">E27/9</f>
        <v>0</v>
      </c>
      <c r="G27" s="27">
        <v>2.56</v>
      </c>
      <c r="H27" s="27">
        <v>1</v>
      </c>
      <c r="I27" s="17">
        <f t="shared" si="88"/>
        <v>50781.25</v>
      </c>
      <c r="K27" s="15">
        <v>450</v>
      </c>
      <c r="L27" s="15">
        <v>0.6</v>
      </c>
      <c r="M27" s="27">
        <f t="shared" ref="M27:M29" si="105" xml:space="preserve"> ((1.185+(0.00454*K27))-(0.0000026*(K27^2))+(0.315*L27))^2</f>
        <v>8.3549902499999984</v>
      </c>
      <c r="N27" s="27">
        <f t="shared" si="89"/>
        <v>3.049571441249999</v>
      </c>
      <c r="O27" s="17">
        <f t="shared" si="72"/>
        <v>50781.25</v>
      </c>
      <c r="P27" s="17">
        <f t="shared" si="90"/>
        <v>154861.04975097653</v>
      </c>
      <c r="Q27" s="17">
        <f t="shared" si="91"/>
        <v>3205.6237298452143</v>
      </c>
      <c r="R27" s="17">
        <f t="shared" si="92"/>
        <v>89757.464435665999</v>
      </c>
      <c r="S27" s="32"/>
      <c r="T27" s="21">
        <v>0.6</v>
      </c>
      <c r="U27" s="21">
        <v>0.3</v>
      </c>
      <c r="V27" s="21">
        <f t="shared" si="93"/>
        <v>0.18</v>
      </c>
      <c r="X27" s="21">
        <v>0.6</v>
      </c>
      <c r="Y27" s="21">
        <f>(X27*1.5)</f>
        <v>0.89999999999999991</v>
      </c>
      <c r="Z27" s="91">
        <f t="shared" si="73"/>
        <v>0.65399999999999991</v>
      </c>
      <c r="AA27" s="21"/>
      <c r="AB27" s="11">
        <v>1</v>
      </c>
      <c r="AC27" s="94">
        <f t="shared" si="74"/>
        <v>55351.562499999993</v>
      </c>
      <c r="AD27" s="94">
        <f t="shared" si="75"/>
        <v>51873.961535177601</v>
      </c>
      <c r="AE27" s="94">
        <f t="shared" si="76"/>
        <v>56444.274035177594</v>
      </c>
      <c r="AF27" s="87">
        <f t="shared" si="77"/>
        <v>1.111518011769651</v>
      </c>
      <c r="AG27" s="86"/>
      <c r="AH27" s="69">
        <v>20.7</v>
      </c>
      <c r="AI27" s="70">
        <v>55</v>
      </c>
      <c r="AJ27" s="69">
        <f t="shared" si="94"/>
        <v>0.55000000000000004</v>
      </c>
      <c r="AK27" s="69">
        <v>20.7</v>
      </c>
      <c r="AM27" s="22">
        <v>450</v>
      </c>
      <c r="AN27" s="21">
        <f xml:space="preserve"> ((1.185+(0.00454*AM27))-(0.0000026*(AM27^2))+(0.315*X27))^2</f>
        <v>8.3549902499999984</v>
      </c>
      <c r="AO27" s="29">
        <f t="shared" si="78"/>
        <v>172130.84611976644</v>
      </c>
      <c r="AP27" s="29">
        <f t="shared" si="79"/>
        <v>30983.55230155796</v>
      </c>
      <c r="AQ27" s="29">
        <f t="shared" si="80"/>
        <v>141147.29381820851</v>
      </c>
      <c r="AR27" s="5"/>
      <c r="AS27" s="153">
        <f t="shared" si="81"/>
        <v>10159.969326331966</v>
      </c>
      <c r="AT27" s="153">
        <f t="shared" si="82"/>
        <v>42536.648458845637</v>
      </c>
      <c r="AU27" s="148">
        <f t="shared" si="95"/>
        <v>641.35953264224975</v>
      </c>
      <c r="AV27" s="148">
        <f t="shared" si="96"/>
        <v>2685.1739507743396</v>
      </c>
      <c r="AW27" s="148">
        <f t="shared" si="83"/>
        <v>3326.5334834165892</v>
      </c>
      <c r="AX27" s="5"/>
      <c r="AY27" s="127" t="s">
        <v>30</v>
      </c>
      <c r="AZ27" s="119">
        <f t="shared" si="84"/>
        <v>50781.25</v>
      </c>
      <c r="BA27" s="5">
        <f t="shared" si="97"/>
        <v>56444.274035177594</v>
      </c>
      <c r="BB27" s="76">
        <f t="shared" si="98"/>
        <v>11.151801176965108</v>
      </c>
      <c r="BC27" s="121">
        <f>(BA27/AZ27)*100</f>
        <v>111.15180117696511</v>
      </c>
      <c r="BD27" s="76"/>
      <c r="BE27" s="119">
        <f>Q27</f>
        <v>3205.6237298452143</v>
      </c>
      <c r="BF27" s="5">
        <f>AW27</f>
        <v>3326.5334834165892</v>
      </c>
      <c r="BG27" s="76">
        <f t="shared" si="99"/>
        <v>3.7718011769651127</v>
      </c>
      <c r="BH27" s="121">
        <f t="shared" si="85"/>
        <v>103.77180117696511</v>
      </c>
      <c r="BI27" s="76"/>
      <c r="BJ27" s="119">
        <f>Q27*28</f>
        <v>89757.464435665999</v>
      </c>
      <c r="BK27" s="5">
        <f>AW27*28</f>
        <v>93142.937535664503</v>
      </c>
      <c r="BL27" s="121">
        <f t="shared" si="100"/>
        <v>3.7718011769651256</v>
      </c>
      <c r="BM27" s="76"/>
      <c r="BN27" s="120">
        <f>(BJ27/AZ27)</f>
        <v>1.7675316073484997</v>
      </c>
      <c r="BO27" s="90">
        <f>(BK27/BA27)</f>
        <v>1.650175135171644</v>
      </c>
      <c r="BP27" s="121">
        <f t="shared" si="86"/>
        <v>-6.6395685196772138</v>
      </c>
    </row>
    <row r="28" spans="1:68">
      <c r="A28" s="10" t="s">
        <v>49</v>
      </c>
      <c r="B28" s="34">
        <f>'Adoption model'!P19</f>
        <v>2.4946305170239595</v>
      </c>
      <c r="C28" s="3">
        <f t="shared" si="87"/>
        <v>1.0249463051702397</v>
      </c>
      <c r="D28" s="93">
        <v>100000</v>
      </c>
      <c r="E28" s="15"/>
      <c r="F28" s="15">
        <f t="shared" si="104"/>
        <v>0</v>
      </c>
      <c r="G28" s="27">
        <v>5</v>
      </c>
      <c r="H28" s="27">
        <v>1</v>
      </c>
      <c r="I28" s="17">
        <f t="shared" si="88"/>
        <v>20000</v>
      </c>
      <c r="K28" s="15">
        <v>450</v>
      </c>
      <c r="L28" s="15">
        <v>0.6</v>
      </c>
      <c r="M28" s="27">
        <f t="shared" si="105"/>
        <v>8.3549902499999984</v>
      </c>
      <c r="N28" s="27">
        <f t="shared" si="89"/>
        <v>3.049571441249999</v>
      </c>
      <c r="O28" s="17">
        <f t="shared" si="72"/>
        <v>20000</v>
      </c>
      <c r="P28" s="17">
        <f t="shared" si="90"/>
        <v>60991.428824999981</v>
      </c>
      <c r="Q28" s="17">
        <f t="shared" si="91"/>
        <v>1262.5225766774995</v>
      </c>
      <c r="R28" s="17">
        <f t="shared" si="92"/>
        <v>35350.632146969983</v>
      </c>
      <c r="S28" s="32"/>
      <c r="T28" s="21">
        <v>0.5</v>
      </c>
      <c r="U28" s="21">
        <v>0.3</v>
      </c>
      <c r="V28" s="21">
        <f t="shared" si="93"/>
        <v>0.15</v>
      </c>
      <c r="X28" s="21">
        <v>0.6</v>
      </c>
      <c r="Y28" s="21">
        <f>(X28*1.4)</f>
        <v>0.84</v>
      </c>
      <c r="Z28" s="91">
        <f t="shared" si="73"/>
        <v>0.63600000000000001</v>
      </c>
      <c r="AA28" s="21"/>
      <c r="AB28" s="11">
        <v>1</v>
      </c>
      <c r="AC28" s="94">
        <f t="shared" si="74"/>
        <v>21200</v>
      </c>
      <c r="AD28" s="94">
        <f t="shared" si="75"/>
        <v>20498.926103404792</v>
      </c>
      <c r="AE28" s="94">
        <f t="shared" si="76"/>
        <v>21698.926103404792</v>
      </c>
      <c r="AF28" s="87">
        <f t="shared" si="77"/>
        <v>1.0849463051702397</v>
      </c>
      <c r="AG28" s="86"/>
      <c r="AH28" s="69">
        <v>20.7</v>
      </c>
      <c r="AI28" s="70">
        <v>11</v>
      </c>
      <c r="AJ28" s="69">
        <f t="shared" si="94"/>
        <v>0.11</v>
      </c>
      <c r="AK28" s="69">
        <v>20.7</v>
      </c>
      <c r="AM28" s="22">
        <v>450</v>
      </c>
      <c r="AN28" s="21">
        <f xml:space="preserve"> ((1.185+(0.00454*AM28))-(0.0000026*(AM28^2))+(0.315*X28))^2</f>
        <v>8.3549902499999984</v>
      </c>
      <c r="AO28" s="29">
        <f t="shared" si="78"/>
        <v>66172.42535073738</v>
      </c>
      <c r="AP28" s="29">
        <f t="shared" si="79"/>
        <v>9925.8638026106073</v>
      </c>
      <c r="AQ28" s="29">
        <f t="shared" si="80"/>
        <v>56246.561548126774</v>
      </c>
      <c r="AR28" s="5"/>
      <c r="AS28" s="153">
        <f t="shared" si="81"/>
        <v>3254.8389155107188</v>
      </c>
      <c r="AT28" s="153">
        <f t="shared" si="82"/>
        <v>17424.087187894074</v>
      </c>
      <c r="AU28" s="148">
        <f t="shared" si="95"/>
        <v>205.46538071403955</v>
      </c>
      <c r="AV28" s="148">
        <f t="shared" si="96"/>
        <v>1099.9151726356718</v>
      </c>
      <c r="AW28" s="148">
        <f t="shared" si="83"/>
        <v>1305.3805533497114</v>
      </c>
      <c r="AX28" s="5"/>
      <c r="AY28" s="127" t="s">
        <v>31</v>
      </c>
      <c r="AZ28" s="119">
        <f t="shared" si="84"/>
        <v>20000</v>
      </c>
      <c r="BA28" s="5">
        <f t="shared" si="97"/>
        <v>21698.926103404792</v>
      </c>
      <c r="BB28" s="76">
        <f t="shared" si="98"/>
        <v>8.4946305170239622</v>
      </c>
      <c r="BC28" s="121">
        <f>(BA28/AZ28)*100</f>
        <v>108.49463051702398</v>
      </c>
      <c r="BD28" s="76"/>
      <c r="BE28" s="119">
        <f>Q28</f>
        <v>1262.5225766774995</v>
      </c>
      <c r="BF28" s="5">
        <f>AW28</f>
        <v>1305.3805533497114</v>
      </c>
      <c r="BG28" s="76">
        <f t="shared" si="99"/>
        <v>3.3946305170239839</v>
      </c>
      <c r="BH28" s="121">
        <f t="shared" si="85"/>
        <v>103.39463051702398</v>
      </c>
      <c r="BI28" s="76"/>
      <c r="BJ28" s="119">
        <f>Q28*28</f>
        <v>35350.632146969983</v>
      </c>
      <c r="BK28" s="5">
        <f>AW28*28</f>
        <v>36550.655493791921</v>
      </c>
      <c r="BL28" s="121">
        <f t="shared" si="100"/>
        <v>3.3946305170239945</v>
      </c>
      <c r="BM28" s="76"/>
      <c r="BN28" s="120">
        <f>(BJ28/AZ28)</f>
        <v>1.7675316073484992</v>
      </c>
      <c r="BO28" s="90">
        <f>(BK28/BA28)</f>
        <v>1.684445364697414</v>
      </c>
      <c r="BP28" s="121">
        <f t="shared" si="86"/>
        <v>-4.700693458926267</v>
      </c>
    </row>
    <row r="29" spans="1:68">
      <c r="A29" s="10" t="s">
        <v>141</v>
      </c>
      <c r="B29" s="34">
        <f>'Adoption model'!P20</f>
        <v>0.54706809583858762</v>
      </c>
      <c r="C29" s="3">
        <f t="shared" si="87"/>
        <v>1.005470680958386</v>
      </c>
      <c r="D29" s="93">
        <v>1500000</v>
      </c>
      <c r="E29" s="15"/>
      <c r="F29" s="15">
        <f t="shared" si="104"/>
        <v>0</v>
      </c>
      <c r="G29" s="27">
        <v>7</v>
      </c>
      <c r="H29" s="27">
        <v>1</v>
      </c>
      <c r="I29" s="17">
        <f t="shared" si="88"/>
        <v>214285.71428571429</v>
      </c>
      <c r="K29" s="15">
        <v>450</v>
      </c>
      <c r="L29" s="15">
        <v>0.6</v>
      </c>
      <c r="M29" s="27">
        <f t="shared" si="105"/>
        <v>8.3549902499999984</v>
      </c>
      <c r="N29" s="27">
        <f t="shared" si="89"/>
        <v>3.049571441249999</v>
      </c>
      <c r="O29" s="17">
        <f t="shared" si="72"/>
        <v>214285.71428571429</v>
      </c>
      <c r="P29" s="17">
        <f t="shared" si="90"/>
        <v>653479.59455357119</v>
      </c>
      <c r="Q29" s="17">
        <f t="shared" si="91"/>
        <v>13527.027607258924</v>
      </c>
      <c r="R29" s="17">
        <f t="shared" si="92"/>
        <v>378756.77300324989</v>
      </c>
      <c r="S29" s="32"/>
      <c r="T29" s="21">
        <v>0.6</v>
      </c>
      <c r="U29" s="21">
        <v>0.4</v>
      </c>
      <c r="V29" s="21">
        <f t="shared" si="93"/>
        <v>0.24</v>
      </c>
      <c r="X29" s="21">
        <v>0.6</v>
      </c>
      <c r="Y29" s="21">
        <f>(X29*1.6)</f>
        <v>0.96</v>
      </c>
      <c r="Z29" s="91">
        <f t="shared" si="73"/>
        <v>0.68640000000000001</v>
      </c>
      <c r="AA29" s="21"/>
      <c r="AB29" s="11">
        <v>1</v>
      </c>
      <c r="AC29" s="94">
        <f t="shared" si="74"/>
        <v>245142.85714285719</v>
      </c>
      <c r="AD29" s="94">
        <f t="shared" si="75"/>
        <v>215458.0030625113</v>
      </c>
      <c r="AE29" s="94">
        <f t="shared" si="76"/>
        <v>246315.1459196542</v>
      </c>
      <c r="AF29" s="87">
        <f t="shared" si="77"/>
        <v>1.1494706809583863</v>
      </c>
      <c r="AG29" s="86"/>
      <c r="AH29" s="69">
        <v>20.7</v>
      </c>
      <c r="AI29" s="70">
        <v>-5</v>
      </c>
      <c r="AJ29" s="69">
        <f t="shared" si="94"/>
        <v>-0.05</v>
      </c>
      <c r="AK29" s="69">
        <v>20.7</v>
      </c>
      <c r="AM29" s="22">
        <v>450</v>
      </c>
      <c r="AN29" s="21">
        <f xml:space="preserve"> ((1.185+(0.00454*AM29))-(0.0000026*(AM29^2))+(0.315*X29))^2</f>
        <v>8.3549902499999984</v>
      </c>
      <c r="AO29" s="29">
        <f t="shared" si="78"/>
        <v>751155.63454390387</v>
      </c>
      <c r="AP29" s="29">
        <f t="shared" si="79"/>
        <v>180277.35229053692</v>
      </c>
      <c r="AQ29" s="29">
        <f t="shared" si="80"/>
        <v>570878.2822533669</v>
      </c>
      <c r="AR29" s="5"/>
      <c r="AS29" s="153">
        <f t="shared" si="81"/>
        <v>59115.635020717003</v>
      </c>
      <c r="AT29" s="153">
        <f t="shared" si="82"/>
        <v>163748.0823275086</v>
      </c>
      <c r="AU29" s="148">
        <f t="shared" si="95"/>
        <v>3731.7411924141134</v>
      </c>
      <c r="AV29" s="148">
        <f t="shared" si="96"/>
        <v>10336.782541306275</v>
      </c>
      <c r="AW29" s="148">
        <f t="shared" si="83"/>
        <v>14068.523733720387</v>
      </c>
      <c r="AX29" s="5"/>
      <c r="AY29" s="127" t="s">
        <v>32</v>
      </c>
      <c r="AZ29" s="119">
        <f t="shared" si="84"/>
        <v>214285.71428571429</v>
      </c>
      <c r="BA29" s="5">
        <f t="shared" si="97"/>
        <v>246315.1459196542</v>
      </c>
      <c r="BB29" s="76">
        <f t="shared" si="98"/>
        <v>14.947068095838622</v>
      </c>
      <c r="BC29" s="121">
        <f>(BA29/AZ29)*100</f>
        <v>114.94706809583863</v>
      </c>
      <c r="BD29" s="76"/>
      <c r="BE29" s="119">
        <f>Q29</f>
        <v>13527.027607258924</v>
      </c>
      <c r="BF29" s="5">
        <f>AW29</f>
        <v>14068.523733720387</v>
      </c>
      <c r="BG29" s="76">
        <f t="shared" si="99"/>
        <v>4.0030680958386142</v>
      </c>
      <c r="BH29" s="121">
        <f t="shared" si="85"/>
        <v>104.00306809583861</v>
      </c>
      <c r="BI29" s="76"/>
      <c r="BJ29" s="119">
        <f>Q29*28</f>
        <v>378756.77300324989</v>
      </c>
      <c r="BK29" s="5">
        <f>AW29*28</f>
        <v>393918.66454417084</v>
      </c>
      <c r="BL29" s="121">
        <f t="shared" si="100"/>
        <v>4.0030680958386053</v>
      </c>
      <c r="BM29" s="76"/>
      <c r="BN29" s="120">
        <f>(BJ29/AZ29)</f>
        <v>1.7675316073484995</v>
      </c>
      <c r="BO29" s="90">
        <f>(BK29/BA29)</f>
        <v>1.5992466199080733</v>
      </c>
      <c r="BP29" s="121">
        <f t="shared" si="86"/>
        <v>-9.5209039963292668</v>
      </c>
    </row>
    <row r="30" spans="1:68">
      <c r="A30" s="37" t="s">
        <v>142</v>
      </c>
      <c r="B30" s="34">
        <f>'Adoption model'!P21</f>
        <v>2.0423875577973938</v>
      </c>
      <c r="C30" s="3">
        <f t="shared" si="87"/>
        <v>1.020423875577974</v>
      </c>
      <c r="D30" s="93">
        <v>95000</v>
      </c>
      <c r="E30" s="15">
        <v>10</v>
      </c>
      <c r="F30" s="15">
        <f t="shared" ref="F30" si="106">E30/8</f>
        <v>1.25</v>
      </c>
      <c r="G30" s="27">
        <f>1/F30</f>
        <v>0.8</v>
      </c>
      <c r="H30" s="27">
        <v>1</v>
      </c>
      <c r="I30" s="17">
        <f t="shared" si="88"/>
        <v>118750</v>
      </c>
      <c r="K30" s="15">
        <v>450</v>
      </c>
      <c r="L30" s="15">
        <v>0.6</v>
      </c>
      <c r="M30" s="27">
        <f>'Sheep intake'!J$19</f>
        <v>5.68</v>
      </c>
      <c r="N30" s="27">
        <f t="shared" si="89"/>
        <v>2.0731999999999999</v>
      </c>
      <c r="O30" s="17">
        <f t="shared" si="72"/>
        <v>118750</v>
      </c>
      <c r="P30" s="17">
        <f t="shared" si="90"/>
        <v>246192.5</v>
      </c>
      <c r="Q30" s="17">
        <f t="shared" si="91"/>
        <v>5096.1847500000003</v>
      </c>
      <c r="R30" s="17">
        <f t="shared" si="92"/>
        <v>142693.17300000001</v>
      </c>
      <c r="S30" s="32"/>
      <c r="T30" s="21">
        <v>0.4</v>
      </c>
      <c r="U30" s="21">
        <v>0.6</v>
      </c>
      <c r="V30" s="21">
        <f t="shared" si="93"/>
        <v>0.24</v>
      </c>
      <c r="X30" s="21">
        <v>0.6</v>
      </c>
      <c r="Y30" s="21">
        <f>(X30*1.5)</f>
        <v>0.89999999999999991</v>
      </c>
      <c r="Z30" s="91">
        <f t="shared" si="73"/>
        <v>0.67199999999999993</v>
      </c>
      <c r="AA30" s="21"/>
      <c r="AB30" s="11">
        <v>1</v>
      </c>
      <c r="AC30" s="94">
        <f t="shared" si="74"/>
        <v>133000</v>
      </c>
      <c r="AD30" s="94">
        <f t="shared" si="75"/>
        <v>121175.33522488442</v>
      </c>
      <c r="AE30" s="94">
        <f t="shared" si="76"/>
        <v>135425.33522488442</v>
      </c>
      <c r="AF30" s="87">
        <f t="shared" si="77"/>
        <v>1.1404238755779741</v>
      </c>
      <c r="AG30" s="86"/>
      <c r="AH30" s="69">
        <v>20.7</v>
      </c>
      <c r="AI30" s="70">
        <v>24</v>
      </c>
      <c r="AJ30" s="69">
        <f>(AI30/100)</f>
        <v>0.24</v>
      </c>
      <c r="AK30" s="69">
        <v>20.7</v>
      </c>
      <c r="AM30" s="22">
        <v>450</v>
      </c>
      <c r="AN30" s="21">
        <f>'Sheep intake'!J$19</f>
        <v>5.68</v>
      </c>
      <c r="AO30" s="29">
        <f t="shared" si="78"/>
        <v>280763.80498823035</v>
      </c>
      <c r="AP30" s="29">
        <f t="shared" si="79"/>
        <v>67383.313197175274</v>
      </c>
      <c r="AQ30" s="29">
        <f t="shared" si="80"/>
        <v>213380.49179105507</v>
      </c>
      <c r="AR30" s="5"/>
      <c r="AS30" s="153">
        <f t="shared" si="81"/>
        <v>32502.080453972259</v>
      </c>
      <c r="AT30" s="153">
        <f t="shared" si="82"/>
        <v>92093.254770912157</v>
      </c>
      <c r="AU30" s="148">
        <f t="shared" si="95"/>
        <v>1394.8345831815284</v>
      </c>
      <c r="AV30" s="148">
        <f t="shared" si="96"/>
        <v>3952.2041308748403</v>
      </c>
      <c r="AW30" s="148">
        <f t="shared" si="83"/>
        <v>5347.0387140563689</v>
      </c>
      <c r="AX30" s="5"/>
      <c r="AY30" s="47" t="s">
        <v>33</v>
      </c>
      <c r="AZ30" s="119">
        <f t="shared" si="84"/>
        <v>118750</v>
      </c>
      <c r="BA30" s="5">
        <f t="shared" si="97"/>
        <v>135425.33522488442</v>
      </c>
      <c r="BB30" s="76">
        <f t="shared" si="98"/>
        <v>14.042387557797403</v>
      </c>
      <c r="BC30" s="121">
        <f>(BA30/AZ30)*100</f>
        <v>114.04238755779741</v>
      </c>
      <c r="BD30" s="76"/>
      <c r="BE30" s="119">
        <f>Q30</f>
        <v>5096.1847500000003</v>
      </c>
      <c r="BF30" s="5">
        <f>AW30</f>
        <v>5347.0387140563689</v>
      </c>
      <c r="BG30" s="76">
        <f t="shared" si="99"/>
        <v>4.9223875577973928</v>
      </c>
      <c r="BH30" s="121">
        <f t="shared" si="85"/>
        <v>104.92238755779739</v>
      </c>
      <c r="BI30" s="76"/>
      <c r="BJ30" s="119">
        <f>Q30*28</f>
        <v>142693.17300000001</v>
      </c>
      <c r="BK30" s="5">
        <f>AW30*28</f>
        <v>149717.08399357833</v>
      </c>
      <c r="BL30" s="121">
        <f t="shared" si="100"/>
        <v>4.9223875577973999</v>
      </c>
      <c r="BM30" s="76"/>
      <c r="BN30" s="120">
        <f>(BJ30/AZ30)</f>
        <v>1.2016267200000001</v>
      </c>
      <c r="BO30" s="90">
        <f>(BK30/BA30)</f>
        <v>1.1055323122882534</v>
      </c>
      <c r="BP30" s="121">
        <f t="shared" si="86"/>
        <v>-7.9970265401344189</v>
      </c>
    </row>
    <row r="31" spans="1:68">
      <c r="A31" s="88" t="s">
        <v>143</v>
      </c>
      <c r="B31" s="34"/>
      <c r="C31" s="3"/>
      <c r="D31" s="93">
        <v>0</v>
      </c>
      <c r="E31" s="15"/>
      <c r="F31" s="15"/>
      <c r="G31" s="27"/>
      <c r="H31" s="27"/>
      <c r="I31" s="17"/>
      <c r="K31" s="15"/>
      <c r="L31" s="15"/>
      <c r="M31" s="27"/>
      <c r="N31" s="27"/>
      <c r="O31" s="17"/>
      <c r="P31" s="17">
        <f t="shared" si="90"/>
        <v>0</v>
      </c>
      <c r="Q31" s="17"/>
      <c r="R31" s="17"/>
      <c r="T31" s="21"/>
      <c r="U31" s="21"/>
      <c r="V31" s="21"/>
      <c r="X31" s="21"/>
      <c r="Y31" s="21"/>
      <c r="Z31" s="91"/>
      <c r="AA31" s="21"/>
      <c r="AB31" s="11"/>
      <c r="AC31" s="94"/>
      <c r="AD31" s="94"/>
      <c r="AE31" s="94"/>
      <c r="AF31" s="85"/>
      <c r="AG31" s="86"/>
      <c r="AH31" s="69"/>
      <c r="AI31" s="70"/>
      <c r="AJ31" s="69"/>
      <c r="AK31" s="69"/>
      <c r="AM31" s="22"/>
      <c r="AN31" s="21"/>
      <c r="AO31" s="29"/>
      <c r="AP31" s="29"/>
      <c r="AQ31" s="29"/>
      <c r="AR31" s="5"/>
      <c r="AS31" s="153"/>
      <c r="AT31" s="153"/>
      <c r="AU31" s="148"/>
      <c r="AV31" s="148"/>
      <c r="AW31" s="148"/>
      <c r="AX31" s="5"/>
      <c r="AY31" s="52" t="s">
        <v>143</v>
      </c>
      <c r="AZ31" s="132">
        <f>SUM(AZ24:AZ30)</f>
        <v>3897566.9642857141</v>
      </c>
      <c r="BA31" s="8">
        <f>SUM(BA24:BA30)</f>
        <v>4174694.7224769006</v>
      </c>
      <c r="BB31" s="92">
        <f t="shared" si="98"/>
        <v>7.1102757369038345</v>
      </c>
      <c r="BC31" s="123">
        <f>(BA31/AZ31)*100</f>
        <v>107.11027573690384</v>
      </c>
      <c r="BD31" s="92"/>
      <c r="BE31" s="132">
        <f>SUM(BE24:BE30)</f>
        <v>249846.81103201909</v>
      </c>
      <c r="BF31" s="8">
        <f>SUM(BF24:BF30)</f>
        <v>257617.68735241197</v>
      </c>
      <c r="BG31" s="92">
        <f t="shared" si="99"/>
        <v>3.1102563560024805</v>
      </c>
      <c r="BH31" s="123">
        <f t="shared" si="85"/>
        <v>103.11025635600248</v>
      </c>
      <c r="BI31" s="92"/>
      <c r="BJ31" s="132">
        <f>SUM(BJ24:BJ30)</f>
        <v>6995710.7088965345</v>
      </c>
      <c r="BK31" s="8">
        <f>SUM(BK24:BK30)</f>
        <v>7213295.2458675345</v>
      </c>
      <c r="BL31" s="123">
        <f t="shared" si="100"/>
        <v>3.1102563560024712</v>
      </c>
      <c r="BM31" s="92"/>
      <c r="BN31" s="122">
        <f>(BJ31/AZ31)</f>
        <v>1.7948917293788178</v>
      </c>
      <c r="BO31" s="98">
        <f>(BK31/BA31)</f>
        <v>1.7278617301117991</v>
      </c>
      <c r="BP31" s="123">
        <f t="shared" si="86"/>
        <v>-3.7344870540027872</v>
      </c>
    </row>
    <row r="32" spans="1:68">
      <c r="A32" s="88" t="s">
        <v>34</v>
      </c>
      <c r="B32" s="34">
        <f>'Adoption model'!P22</f>
        <v>3.2824085750315257</v>
      </c>
      <c r="C32" s="3">
        <f t="shared" si="87"/>
        <v>1.0328240857503153</v>
      </c>
      <c r="D32" s="93">
        <v>1000</v>
      </c>
      <c r="E32" s="15"/>
      <c r="F32" s="15"/>
      <c r="G32" s="27">
        <v>0.25</v>
      </c>
      <c r="H32" s="27">
        <v>1</v>
      </c>
      <c r="I32" s="17">
        <f>(D32/G32)*H32</f>
        <v>4000</v>
      </c>
      <c r="K32" s="15">
        <v>450</v>
      </c>
      <c r="L32" s="15">
        <v>0.6</v>
      </c>
      <c r="M32" s="27">
        <f t="shared" ref="M32" si="107" xml:space="preserve"> ((1.185+(0.00454*K32))-(0.0000026*(K32^2))+(0.315*L32))^2</f>
        <v>8.3549902499999984</v>
      </c>
      <c r="N32" s="27">
        <f>M32*365/1000</f>
        <v>3.049571441249999</v>
      </c>
      <c r="O32" s="17">
        <f>I32</f>
        <v>4000</v>
      </c>
      <c r="P32" s="17">
        <f t="shared" si="90"/>
        <v>12198.285764999997</v>
      </c>
      <c r="Q32" s="17">
        <f>(P32*20.7)/1000</f>
        <v>252.50451533549992</v>
      </c>
      <c r="R32" s="17">
        <f>Q32*28</f>
        <v>7070.1264293939976</v>
      </c>
      <c r="T32" s="21">
        <v>0.6</v>
      </c>
      <c r="U32" s="21">
        <v>0.9</v>
      </c>
      <c r="V32" s="21">
        <f>T32*U32</f>
        <v>0.54</v>
      </c>
      <c r="X32" s="21">
        <v>0.6</v>
      </c>
      <c r="Y32" s="21">
        <f t="shared" ref="Y32" si="108">(X32*1.1)</f>
        <v>0.66</v>
      </c>
      <c r="Z32" s="91">
        <f t="shared" ref="Z32:Z34" si="109">((Y32-X32)*(V32))+X32</f>
        <v>0.63239999999999996</v>
      </c>
      <c r="AA32" s="21"/>
      <c r="AB32" s="11">
        <v>1</v>
      </c>
      <c r="AC32" s="94">
        <f t="shared" ref="AC32:AC34" si="110">I32*(Z32/X32)</f>
        <v>4216</v>
      </c>
      <c r="AD32" s="94">
        <f t="shared" ref="AD32:AD34" si="111">I32*C32</f>
        <v>4131.2963430012614</v>
      </c>
      <c r="AE32" s="94">
        <f t="shared" ref="AE32:AE34" si="112">I32+(AC32-I32)+(AD32-I32)</f>
        <v>4347.2963430012614</v>
      </c>
      <c r="AF32" s="87">
        <f t="shared" ref="AF32:AF34" si="113">AE32/I32</f>
        <v>1.0868240857503153</v>
      </c>
      <c r="AG32" s="86"/>
      <c r="AH32" s="69">
        <v>20.7</v>
      </c>
      <c r="AI32" s="70">
        <v>10</v>
      </c>
      <c r="AJ32" s="69">
        <f>(AI32/100)</f>
        <v>0.1</v>
      </c>
      <c r="AK32" s="69">
        <v>20.7</v>
      </c>
      <c r="AM32" s="22">
        <v>450</v>
      </c>
      <c r="AN32" s="21">
        <f>'Sheep intake'!J$20</f>
        <v>7.16</v>
      </c>
      <c r="AO32" s="29">
        <f t="shared" ref="AO32:AO34" si="114">(AE32*AN32*365)/1000</f>
        <v>11361.224262799498</v>
      </c>
      <c r="AP32" s="29">
        <f t="shared" ref="AP32:AP34" si="115">(AO32*V32)</f>
        <v>6135.0611019117296</v>
      </c>
      <c r="AQ32" s="29">
        <f t="shared" ref="AQ32:AQ34" si="116">(AO32*(1-V32))</f>
        <v>5226.1631608877688</v>
      </c>
      <c r="AR32" s="5"/>
      <c r="AS32" s="153">
        <f t="shared" ref="AS32:AS34" si="117">(AE32*V32)</f>
        <v>2347.5400252206814</v>
      </c>
      <c r="AT32" s="153">
        <f t="shared" ref="AT32:AT34" si="118">AD32*(1-V32)</f>
        <v>1900.3963177805801</v>
      </c>
      <c r="AU32" s="148">
        <f t="shared" ref="AU32:AU34" si="119">(AS32*AN32*365*AK32)/1000000</f>
        <v>126.99576480957278</v>
      </c>
      <c r="AV32" s="148">
        <f t="shared" ref="AV32:AV34" si="120">(AT32*AN32*365*AH32)/1000000</f>
        <v>102.80646175357678</v>
      </c>
      <c r="AW32" s="148">
        <f t="shared" ref="AW32:AW34" si="121">SUM(AU32:AV32)</f>
        <v>229.80222656314956</v>
      </c>
      <c r="AX32" s="5"/>
      <c r="AY32" s="50" t="s">
        <v>34</v>
      </c>
      <c r="AZ32" s="133">
        <f>O32</f>
        <v>4000</v>
      </c>
      <c r="BA32" s="5">
        <f t="shared" ref="BA32:BA34" si="122">AE32</f>
        <v>4347.2963430012614</v>
      </c>
      <c r="BB32" s="76">
        <f>((BA32-AZ32)/AZ32)*100</f>
        <v>8.6824085750315358</v>
      </c>
      <c r="BC32" s="121">
        <f>(BA32/AZ32)*100</f>
        <v>108.68240857503153</v>
      </c>
      <c r="BD32" s="76"/>
      <c r="BE32" s="119">
        <f>Q32</f>
        <v>252.50451533549992</v>
      </c>
      <c r="BF32" s="5">
        <f>AW32</f>
        <v>229.80222656314956</v>
      </c>
      <c r="BG32" s="76">
        <f t="shared" si="99"/>
        <v>-8.9908446754649418</v>
      </c>
      <c r="BH32" s="121">
        <f t="shared" si="85"/>
        <v>91.009155324535058</v>
      </c>
      <c r="BI32" s="76"/>
      <c r="BJ32" s="119">
        <f>Q32*28</f>
        <v>7070.1264293939976</v>
      </c>
      <c r="BK32" s="5">
        <f>AW32*28</f>
        <v>6434.4623437681876</v>
      </c>
      <c r="BL32" s="121">
        <f t="shared" si="100"/>
        <v>-8.9908446754649436</v>
      </c>
      <c r="BM32" s="76"/>
      <c r="BN32" s="120">
        <f>(BJ32/AZ32)</f>
        <v>1.7675316073484995</v>
      </c>
      <c r="BO32" s="90">
        <f>(BK32/BA32)</f>
        <v>1.4801066769066864</v>
      </c>
      <c r="BP32" s="121">
        <f t="shared" si="86"/>
        <v>-16.261374294346197</v>
      </c>
    </row>
    <row r="33" spans="1:68">
      <c r="A33" s="88" t="s">
        <v>35</v>
      </c>
      <c r="B33" s="34">
        <f>'Adoption model'!P23</f>
        <v>2.2612147961328288</v>
      </c>
      <c r="C33" s="3">
        <f t="shared" si="87"/>
        <v>1.0226121479613284</v>
      </c>
      <c r="D33" s="93">
        <v>75000</v>
      </c>
      <c r="E33" s="15">
        <v>10</v>
      </c>
      <c r="F33" s="15">
        <f>E33/8</f>
        <v>1.25</v>
      </c>
      <c r="G33" s="27">
        <f>1/F33</f>
        <v>0.8</v>
      </c>
      <c r="H33" s="27">
        <v>1</v>
      </c>
      <c r="I33" s="17">
        <f>(D33/G33)*H33</f>
        <v>93750</v>
      </c>
      <c r="K33" s="15">
        <v>450</v>
      </c>
      <c r="L33" s="15">
        <v>0.6</v>
      </c>
      <c r="M33" s="27">
        <f>'Sheep intake'!J$19</f>
        <v>5.68</v>
      </c>
      <c r="N33" s="27">
        <f>M33*365/1000</f>
        <v>2.0731999999999999</v>
      </c>
      <c r="O33" s="17">
        <f t="shared" ref="O33" si="123">I33</f>
        <v>93750</v>
      </c>
      <c r="P33" s="17">
        <f>(N33*O33)</f>
        <v>194362.5</v>
      </c>
      <c r="Q33" s="17">
        <f>(P33*20.7)/1000</f>
        <v>4023.30375</v>
      </c>
      <c r="R33" s="17">
        <f>Q33*28</f>
        <v>112652.505</v>
      </c>
      <c r="T33" s="21">
        <v>0.7</v>
      </c>
      <c r="U33" s="21">
        <v>0.3</v>
      </c>
      <c r="V33" s="21">
        <f>T33*U33</f>
        <v>0.21</v>
      </c>
      <c r="X33" s="21">
        <v>0.6</v>
      </c>
      <c r="Y33" s="21">
        <f>(X33*1.1)</f>
        <v>0.66</v>
      </c>
      <c r="Z33" s="91">
        <f>((Y33-X33)*(V33))+X33</f>
        <v>0.61260000000000003</v>
      </c>
      <c r="AA33" s="21"/>
      <c r="AB33" s="11">
        <v>1</v>
      </c>
      <c r="AC33" s="94">
        <f>I33*(Z33/X33)</f>
        <v>95718.750000000015</v>
      </c>
      <c r="AD33" s="94">
        <f>I33*C33</f>
        <v>95869.88887137454</v>
      </c>
      <c r="AE33" s="94">
        <f>I33+(AC33-I33)+(AD33-I33)</f>
        <v>97838.638871374555</v>
      </c>
      <c r="AF33" s="87">
        <f>AE33/I33</f>
        <v>1.0436121479613285</v>
      </c>
      <c r="AG33" s="86"/>
      <c r="AH33" s="69">
        <v>20.7</v>
      </c>
      <c r="AI33" s="70">
        <v>6.9</v>
      </c>
      <c r="AJ33" s="69">
        <f>(AI33/100)</f>
        <v>6.9000000000000006E-2</v>
      </c>
      <c r="AK33" s="69">
        <v>20.7</v>
      </c>
      <c r="AM33" s="22">
        <v>450</v>
      </c>
      <c r="AN33" s="21">
        <f>'Sheep intake'!J$19</f>
        <v>5.68</v>
      </c>
      <c r="AO33" s="29">
        <f>(AE33*AN33*365)/1000</f>
        <v>202839.0661081337</v>
      </c>
      <c r="AP33" s="29">
        <f>(AO33*V33)</f>
        <v>42596.203882708076</v>
      </c>
      <c r="AQ33" s="29">
        <f>(AO33*(1-V33))</f>
        <v>160242.86222542563</v>
      </c>
      <c r="AR33" s="5"/>
      <c r="AS33" s="153">
        <f>(AE33*V33)</f>
        <v>20546.114162988655</v>
      </c>
      <c r="AT33" s="153">
        <f>AD33*(1-V33)</f>
        <v>75737.212208385885</v>
      </c>
      <c r="AU33" s="148">
        <f>(AS33*AN33*365*AK33)/1000000</f>
        <v>881.74142037205718</v>
      </c>
      <c r="AV33" s="148">
        <f>(AT33*AN33*365*AH33)/1000000</f>
        <v>3250.2806388538102</v>
      </c>
      <c r="AW33" s="148">
        <f>SUM(AU33:AV33)</f>
        <v>4132.0220592258675</v>
      </c>
      <c r="AX33" s="5"/>
      <c r="AY33" s="50" t="s">
        <v>35</v>
      </c>
      <c r="AZ33" s="133">
        <f>O33</f>
        <v>93750</v>
      </c>
      <c r="BA33" s="5">
        <f>AE33</f>
        <v>97838.638871374555</v>
      </c>
      <c r="BB33" s="76">
        <f>((BA33-AZ33)/AZ33)*100</f>
        <v>4.3612147961328587</v>
      </c>
      <c r="BC33" s="121">
        <f>(BA33/AZ33)*100</f>
        <v>104.36121479613286</v>
      </c>
      <c r="BD33" s="76"/>
      <c r="BE33" s="119">
        <f>Q33</f>
        <v>4023.30375</v>
      </c>
      <c r="BF33" s="5">
        <f>AW33</f>
        <v>4132.0220592258675</v>
      </c>
      <c r="BG33" s="76">
        <f>((BF33/BE33)*100)-100</f>
        <v>2.7022147961328358</v>
      </c>
      <c r="BH33" s="121">
        <f>(BF33/BE33)*100</f>
        <v>102.70221479613284</v>
      </c>
      <c r="BI33" s="76"/>
      <c r="BJ33" s="119">
        <f>Q33*28</f>
        <v>112652.505</v>
      </c>
      <c r="BK33" s="5">
        <f>AW33*28</f>
        <v>115696.61765832429</v>
      </c>
      <c r="BL33" s="121">
        <f>((BK33-BJ33)/BJ33)*100</f>
        <v>2.7022147961328402</v>
      </c>
      <c r="BM33" s="76"/>
      <c r="BN33" s="120">
        <f>(BJ33/AZ33)</f>
        <v>1.2016267200000001</v>
      </c>
      <c r="BO33" s="90">
        <f>(BK33/BA33)</f>
        <v>1.1825248081223521</v>
      </c>
      <c r="BP33" s="121">
        <f>((BO33-BN33)/BN33)*100</f>
        <v>-1.5896710317533627</v>
      </c>
    </row>
    <row r="34" spans="1:68">
      <c r="A34" s="10" t="s">
        <v>36</v>
      </c>
      <c r="B34" s="34">
        <f>'Adoption model'!P24</f>
        <v>1.5172021857923497</v>
      </c>
      <c r="C34" s="3">
        <f t="shared" si="87"/>
        <v>1.0151720218579234</v>
      </c>
      <c r="D34" s="93">
        <v>1000</v>
      </c>
      <c r="E34" s="15">
        <v>10</v>
      </c>
      <c r="F34" s="15">
        <f t="shared" ref="F34" si="124">E34/8</f>
        <v>1.25</v>
      </c>
      <c r="G34" s="27">
        <f t="shared" ref="G34" si="125">1/F34</f>
        <v>0.8</v>
      </c>
      <c r="H34" s="27">
        <v>1</v>
      </c>
      <c r="I34" s="17">
        <f t="shared" ref="I34" si="126">(D34/G34)*H34</f>
        <v>1250</v>
      </c>
      <c r="K34" s="15">
        <v>450</v>
      </c>
      <c r="L34" s="15">
        <v>0.6</v>
      </c>
      <c r="M34" s="27">
        <f>'Sheep intake'!J$19</f>
        <v>5.68</v>
      </c>
      <c r="N34" s="27">
        <f t="shared" ref="N34" si="127">M34*365/1000</f>
        <v>2.0731999999999999</v>
      </c>
      <c r="O34" s="17">
        <f>I34</f>
        <v>1250</v>
      </c>
      <c r="P34" s="17">
        <f t="shared" si="90"/>
        <v>2591.5</v>
      </c>
      <c r="Q34" s="17">
        <f t="shared" ref="Q34" si="128">(P34*20.7)/1000</f>
        <v>53.644049999999993</v>
      </c>
      <c r="R34" s="17">
        <f t="shared" ref="R34" si="129">Q34*28</f>
        <v>1502.0333999999998</v>
      </c>
      <c r="T34" s="21">
        <v>0.12</v>
      </c>
      <c r="U34" s="21">
        <v>0.5</v>
      </c>
      <c r="V34" s="21">
        <f t="shared" ref="V34" si="130">T34*U34</f>
        <v>0.06</v>
      </c>
      <c r="X34" s="21">
        <v>0.6</v>
      </c>
      <c r="Y34" s="21">
        <f>(X34*1.5)</f>
        <v>0.89999999999999991</v>
      </c>
      <c r="Z34" s="91">
        <f t="shared" si="109"/>
        <v>0.61799999999999999</v>
      </c>
      <c r="AA34" s="21"/>
      <c r="AB34" s="11">
        <v>1</v>
      </c>
      <c r="AC34" s="94">
        <f t="shared" si="110"/>
        <v>1287.5</v>
      </c>
      <c r="AD34" s="94">
        <f t="shared" si="111"/>
        <v>1268.9650273224042</v>
      </c>
      <c r="AE34" s="94">
        <f t="shared" si="112"/>
        <v>1306.4650273224042</v>
      </c>
      <c r="AF34" s="87">
        <f t="shared" si="113"/>
        <v>1.0451720218579235</v>
      </c>
      <c r="AG34" s="86"/>
      <c r="AH34" s="69">
        <v>20.7</v>
      </c>
      <c r="AI34" s="70">
        <v>24</v>
      </c>
      <c r="AJ34" s="69">
        <f t="shared" ref="AJ34" si="131">(AI34/100)</f>
        <v>0.24</v>
      </c>
      <c r="AK34" s="69">
        <v>20.7</v>
      </c>
      <c r="AM34" s="22">
        <v>450</v>
      </c>
      <c r="AN34" s="21">
        <f>'Sheep intake'!J$19</f>
        <v>5.68</v>
      </c>
      <c r="AO34" s="29">
        <f t="shared" si="114"/>
        <v>2708.5632946448086</v>
      </c>
      <c r="AP34" s="29">
        <f t="shared" si="115"/>
        <v>162.51379767868852</v>
      </c>
      <c r="AQ34" s="29">
        <f t="shared" si="116"/>
        <v>2546.0494969661199</v>
      </c>
      <c r="AR34" s="5"/>
      <c r="AS34" s="153">
        <f t="shared" si="117"/>
        <v>78.38790163934425</v>
      </c>
      <c r="AT34" s="153">
        <f t="shared" si="118"/>
        <v>1192.8271256830599</v>
      </c>
      <c r="AU34" s="148">
        <f t="shared" si="119"/>
        <v>3.3640356119488515</v>
      </c>
      <c r="AV34" s="148">
        <f t="shared" si="120"/>
        <v>51.190462377198671</v>
      </c>
      <c r="AW34" s="148">
        <f t="shared" si="121"/>
        <v>54.554497989147521</v>
      </c>
      <c r="AX34" s="5"/>
      <c r="AY34" s="127" t="s">
        <v>36</v>
      </c>
      <c r="AZ34" s="133">
        <f>O34</f>
        <v>1250</v>
      </c>
      <c r="BA34" s="5">
        <f t="shared" si="122"/>
        <v>1306.4650273224042</v>
      </c>
      <c r="BB34" s="76">
        <f t="shared" ref="BB34:BB35" si="132">((BA34-AZ34)/AZ34)*100</f>
        <v>4.517202185792339</v>
      </c>
      <c r="BC34" s="121">
        <f>(BA34/AZ34)*100</f>
        <v>104.51720218579234</v>
      </c>
      <c r="BD34" s="76"/>
      <c r="BE34" s="119">
        <f>Q34</f>
        <v>53.644049999999993</v>
      </c>
      <c r="BF34" s="5">
        <f>AW34</f>
        <v>54.554497989147521</v>
      </c>
      <c r="BG34" s="76">
        <f t="shared" si="99"/>
        <v>1.697202185792321</v>
      </c>
      <c r="BH34" s="121">
        <f t="shared" si="85"/>
        <v>101.69720218579232</v>
      </c>
      <c r="BI34" s="76"/>
      <c r="BJ34" s="119">
        <f>Q34*28</f>
        <v>1502.0333999999998</v>
      </c>
      <c r="BK34" s="5">
        <f>AW34*28</f>
        <v>1527.5259436961305</v>
      </c>
      <c r="BL34" s="121">
        <f t="shared" si="100"/>
        <v>1.6972021857923218</v>
      </c>
      <c r="BM34" s="76"/>
      <c r="BN34" s="120">
        <f>(BJ34/AZ34)</f>
        <v>1.2016267199999999</v>
      </c>
      <c r="BO34" s="90">
        <f>(BK34/BA34)</f>
        <v>1.1692053838033383</v>
      </c>
      <c r="BP34" s="121">
        <f t="shared" si="86"/>
        <v>-2.6981204443141591</v>
      </c>
    </row>
    <row r="35" spans="1:68" ht="15.75" thickBot="1">
      <c r="A35" s="88" t="s">
        <v>143</v>
      </c>
      <c r="B35" s="34"/>
      <c r="C35" s="3"/>
      <c r="D35" s="26"/>
      <c r="E35" s="15"/>
      <c r="F35" s="15"/>
      <c r="G35" s="27"/>
      <c r="H35" s="27"/>
      <c r="I35" s="17"/>
      <c r="K35" s="15"/>
      <c r="L35" s="15"/>
      <c r="M35" s="27"/>
      <c r="N35" s="27"/>
      <c r="O35" s="17"/>
      <c r="P35" s="17"/>
      <c r="Q35" s="17"/>
      <c r="R35" s="17"/>
      <c r="T35" s="21"/>
      <c r="U35" s="21"/>
      <c r="V35" s="21"/>
      <c r="X35" s="21"/>
      <c r="Y35" s="21"/>
      <c r="Z35" s="91">
        <f t="shared" ref="Z35" si="133">(Y35-X35)*(1/0.31)+X35</f>
        <v>0</v>
      </c>
      <c r="AA35" s="21"/>
      <c r="AB35" s="11"/>
      <c r="AC35" s="94"/>
      <c r="AD35" s="94"/>
      <c r="AE35" s="94"/>
      <c r="AF35" s="85"/>
      <c r="AG35" s="86"/>
      <c r="AH35" s="69"/>
      <c r="AI35" s="70"/>
      <c r="AJ35" s="69"/>
      <c r="AK35" s="69"/>
      <c r="AM35" s="22"/>
      <c r="AN35" s="21"/>
      <c r="AO35" s="29"/>
      <c r="AP35" s="29"/>
      <c r="AQ35" s="29"/>
      <c r="AR35" s="5"/>
      <c r="AS35" s="153"/>
      <c r="AT35" s="153"/>
      <c r="AU35" s="148"/>
      <c r="AV35" s="148"/>
      <c r="AW35" s="148"/>
      <c r="AX35" s="5"/>
      <c r="AY35" s="50" t="s">
        <v>143</v>
      </c>
      <c r="AZ35" s="134">
        <f>SUM(AZ32:AZ34)</f>
        <v>99000</v>
      </c>
      <c r="BA35" s="135">
        <f>SUM(BA32:BA34)</f>
        <v>103492.40024169823</v>
      </c>
      <c r="BB35" s="136">
        <f t="shared" si="132"/>
        <v>4.5377780219173998</v>
      </c>
      <c r="BC35" s="137">
        <f>SUM(BC32:BC34)</f>
        <v>317.56082555695673</v>
      </c>
      <c r="BD35" s="8"/>
      <c r="BE35" s="134">
        <f>SUM(BE32:BE34)</f>
        <v>4329.4523153354994</v>
      </c>
      <c r="BF35" s="135">
        <f>SUM(BF32:BF34)</f>
        <v>4416.3787837781647</v>
      </c>
      <c r="BG35" s="136">
        <f t="shared" ref="BG35" si="134">((BF35-BE35)/BE35)*100</f>
        <v>2.0077936448164611</v>
      </c>
      <c r="BH35" s="137">
        <f>SUM(BH32:BH34)</f>
        <v>295.4085723064602</v>
      </c>
      <c r="BI35" s="8"/>
      <c r="BJ35" s="134">
        <f>SUM(BJ32:BJ34)</f>
        <v>121224.66482939401</v>
      </c>
      <c r="BK35" s="135">
        <f>SUM(BK32:BK34)</f>
        <v>123658.60594578861</v>
      </c>
      <c r="BL35" s="137">
        <f>SUM(BL32:BL34)</f>
        <v>-4.5914276935397815</v>
      </c>
      <c r="BM35" s="8"/>
      <c r="BN35" s="124">
        <f>(BJ35/AZ35)</f>
        <v>1.2244915639332727</v>
      </c>
      <c r="BO35" s="125">
        <f>(BK35/BA35)</f>
        <v>1.1948568750651625</v>
      </c>
      <c r="BP35" s="126">
        <f t="shared" si="86"/>
        <v>-2.4201627631405374</v>
      </c>
    </row>
    <row r="36" spans="1:68">
      <c r="B36" s="34"/>
      <c r="C36" s="3"/>
      <c r="D36" s="26"/>
      <c r="E36" s="15"/>
      <c r="F36" s="15"/>
      <c r="G36" s="27"/>
      <c r="H36" s="27"/>
      <c r="I36" s="17"/>
      <c r="K36" s="15"/>
      <c r="L36" s="15"/>
      <c r="M36" s="27"/>
      <c r="N36" s="27"/>
      <c r="O36" s="17"/>
      <c r="P36" s="17"/>
      <c r="Q36" s="17"/>
      <c r="R36" s="17"/>
      <c r="T36" s="21"/>
      <c r="U36" s="21"/>
      <c r="V36" s="21"/>
      <c r="X36" s="21"/>
      <c r="Y36" s="21"/>
      <c r="Z36" s="91"/>
      <c r="AA36" s="21"/>
      <c r="AB36" s="11"/>
      <c r="AC36" s="94"/>
      <c r="AD36" s="94"/>
      <c r="AE36" s="94"/>
      <c r="AF36" s="85"/>
      <c r="AG36" s="86"/>
      <c r="AH36" s="69"/>
      <c r="AI36" s="70"/>
      <c r="AJ36" s="69"/>
      <c r="AK36" s="69"/>
      <c r="AM36" s="22"/>
      <c r="AN36" s="21"/>
      <c r="AO36" s="29"/>
      <c r="AP36" s="29"/>
      <c r="AQ36" s="29"/>
      <c r="AR36" s="5"/>
      <c r="AS36" s="153"/>
      <c r="AT36" s="153"/>
      <c r="AU36" s="148"/>
      <c r="AV36" s="148"/>
      <c r="AW36" s="148"/>
      <c r="AX36" s="5"/>
      <c r="BB36" s="76"/>
      <c r="BG36" s="76"/>
      <c r="BJ36" s="5"/>
      <c r="BK36" s="5"/>
      <c r="BN36" s="90"/>
      <c r="BO36" s="90"/>
      <c r="BP36" s="76"/>
    </row>
  </sheetData>
  <mergeCells count="28">
    <mergeCell ref="BJ3:BL3"/>
    <mergeCell ref="AC3:AF3"/>
    <mergeCell ref="AH3:AK3"/>
    <mergeCell ref="AM3:AQ3"/>
    <mergeCell ref="AS3:AW3"/>
    <mergeCell ref="AZ3:BB3"/>
    <mergeCell ref="AS21:AW21"/>
    <mergeCell ref="B3:C3"/>
    <mergeCell ref="D3:I3"/>
    <mergeCell ref="K3:R3"/>
    <mergeCell ref="T3:V3"/>
    <mergeCell ref="X3:Y3"/>
    <mergeCell ref="BN21:BP21"/>
    <mergeCell ref="BE21:BH21"/>
    <mergeCell ref="BE3:BH3"/>
    <mergeCell ref="BN3:BP3"/>
    <mergeCell ref="A3:A4"/>
    <mergeCell ref="A21:A22"/>
    <mergeCell ref="AZ21:BB21"/>
    <mergeCell ref="BJ21:BL21"/>
    <mergeCell ref="B21:C21"/>
    <mergeCell ref="D21:I21"/>
    <mergeCell ref="K21:R21"/>
    <mergeCell ref="T21:V21"/>
    <mergeCell ref="X21:Y21"/>
    <mergeCell ref="AC21:AF21"/>
    <mergeCell ref="AH21:AK21"/>
    <mergeCell ref="AM21:AQ2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BBC41-8C05-4272-8432-DB124DE5046B}">
  <dimension ref="A1:K25"/>
  <sheetViews>
    <sheetView workbookViewId="0">
      <selection activeCell="D2" sqref="D2:G2"/>
    </sheetView>
  </sheetViews>
  <sheetFormatPr defaultRowHeight="15"/>
  <sheetData>
    <row r="1" spans="1:11">
      <c r="B1" s="176" t="s">
        <v>146</v>
      </c>
      <c r="C1" s="176"/>
      <c r="D1" s="176"/>
      <c r="E1" s="176"/>
      <c r="F1" s="176"/>
      <c r="G1" s="176"/>
      <c r="I1" s="176" t="s">
        <v>147</v>
      </c>
      <c r="J1" s="176"/>
      <c r="K1" s="176"/>
    </row>
    <row r="2" spans="1:11" s="1" customFormat="1" ht="130.5">
      <c r="A2" s="1" t="s">
        <v>148</v>
      </c>
      <c r="B2" s="1" t="s">
        <v>149</v>
      </c>
      <c r="C2" s="1" t="s">
        <v>150</v>
      </c>
      <c r="D2" s="176" t="s">
        <v>151</v>
      </c>
      <c r="E2" s="176"/>
      <c r="F2" s="176"/>
      <c r="G2" s="176"/>
      <c r="H2"/>
      <c r="I2" s="176" t="s">
        <v>152</v>
      </c>
      <c r="J2" s="176"/>
      <c r="K2" s="176"/>
    </row>
    <row r="3" spans="1:11">
      <c r="B3" t="s">
        <v>125</v>
      </c>
      <c r="C3" t="s">
        <v>120</v>
      </c>
      <c r="D3">
        <v>30</v>
      </c>
      <c r="E3">
        <v>40</v>
      </c>
      <c r="F3">
        <v>50</v>
      </c>
      <c r="G3">
        <v>60</v>
      </c>
      <c r="I3">
        <v>30</v>
      </c>
      <c r="J3">
        <v>40</v>
      </c>
      <c r="K3">
        <v>50</v>
      </c>
    </row>
    <row r="4" spans="1:11">
      <c r="A4" t="s">
        <v>76</v>
      </c>
      <c r="B4">
        <v>40</v>
      </c>
      <c r="C4" s="47">
        <v>0.5</v>
      </c>
      <c r="D4" s="48">
        <v>0.57999999999999996</v>
      </c>
      <c r="E4" s="48">
        <v>0.56999999999999995</v>
      </c>
      <c r="F4" s="48"/>
      <c r="G4" s="49"/>
      <c r="I4" s="47">
        <v>0.87</v>
      </c>
      <c r="J4" s="48">
        <v>0.84</v>
      </c>
      <c r="K4" s="49">
        <v>0.8</v>
      </c>
    </row>
    <row r="5" spans="1:11">
      <c r="A5" t="s">
        <v>153</v>
      </c>
      <c r="B5">
        <v>40</v>
      </c>
      <c r="C5" s="50">
        <v>0.6</v>
      </c>
      <c r="D5">
        <v>0.78</v>
      </c>
      <c r="E5">
        <v>0.77</v>
      </c>
      <c r="G5" s="51"/>
      <c r="I5" s="50">
        <v>1.17</v>
      </c>
      <c r="J5">
        <v>1.1399999999999999</v>
      </c>
      <c r="K5" s="51">
        <v>1.07</v>
      </c>
    </row>
    <row r="6" spans="1:11">
      <c r="B6">
        <v>40</v>
      </c>
      <c r="C6" s="50">
        <v>0.7</v>
      </c>
      <c r="D6">
        <v>0.99</v>
      </c>
      <c r="E6">
        <v>0.97</v>
      </c>
      <c r="G6" s="51"/>
      <c r="I6" s="50">
        <v>1.48</v>
      </c>
      <c r="J6">
        <v>1.43</v>
      </c>
      <c r="K6" s="51">
        <v>1.35</v>
      </c>
    </row>
    <row r="7" spans="1:11">
      <c r="B7">
        <v>40</v>
      </c>
      <c r="C7" s="50">
        <v>0.8</v>
      </c>
      <c r="D7">
        <v>1.19</v>
      </c>
      <c r="E7">
        <v>1.17</v>
      </c>
      <c r="G7" s="51"/>
      <c r="I7" s="50">
        <v>1.78</v>
      </c>
      <c r="J7">
        <v>1.32</v>
      </c>
      <c r="K7" s="51">
        <v>1.63</v>
      </c>
    </row>
    <row r="8" spans="1:11">
      <c r="B8">
        <v>50</v>
      </c>
      <c r="C8" s="50">
        <v>0.5</v>
      </c>
      <c r="D8">
        <v>0.67</v>
      </c>
      <c r="E8" s="7">
        <v>0.74</v>
      </c>
      <c r="F8" s="7">
        <v>0.72</v>
      </c>
      <c r="G8" s="51"/>
      <c r="I8" s="52">
        <v>1.0900000000000001</v>
      </c>
      <c r="J8" s="7">
        <v>1.05</v>
      </c>
      <c r="K8" s="53">
        <v>1</v>
      </c>
    </row>
    <row r="9" spans="1:11">
      <c r="B9">
        <v>50</v>
      </c>
      <c r="C9" s="50">
        <v>0.6</v>
      </c>
      <c r="D9">
        <v>0.91</v>
      </c>
      <c r="E9" s="7">
        <v>0.99</v>
      </c>
      <c r="F9" s="7">
        <v>0.96</v>
      </c>
      <c r="G9" s="51"/>
      <c r="I9" s="52">
        <v>1.47</v>
      </c>
      <c r="J9" s="7">
        <v>1.42</v>
      </c>
      <c r="K9" s="53">
        <v>1.34</v>
      </c>
    </row>
    <row r="10" spans="1:11">
      <c r="B10">
        <v>50</v>
      </c>
      <c r="C10" s="50">
        <v>0.7</v>
      </c>
      <c r="D10">
        <v>1.1399999999999999</v>
      </c>
      <c r="E10" s="7">
        <v>1.25</v>
      </c>
      <c r="F10" s="7">
        <v>1.21</v>
      </c>
      <c r="G10" s="51"/>
      <c r="I10" s="52">
        <v>1.84</v>
      </c>
      <c r="J10" s="7">
        <v>1.79</v>
      </c>
      <c r="K10" s="53">
        <v>1.69</v>
      </c>
    </row>
    <row r="11" spans="1:11">
      <c r="B11">
        <v>50</v>
      </c>
      <c r="C11" s="50">
        <v>0.8</v>
      </c>
      <c r="D11">
        <v>1.38</v>
      </c>
      <c r="E11" s="7">
        <v>1.5</v>
      </c>
      <c r="F11" s="7">
        <v>1.46</v>
      </c>
      <c r="G11" s="51"/>
      <c r="I11" s="52">
        <v>2.2200000000000002</v>
      </c>
      <c r="J11" s="7">
        <v>2.15</v>
      </c>
      <c r="K11" s="53">
        <v>2.0299999999999998</v>
      </c>
    </row>
    <row r="12" spans="1:11">
      <c r="B12">
        <v>60</v>
      </c>
      <c r="C12" s="50">
        <v>0.5</v>
      </c>
      <c r="D12">
        <v>0.74</v>
      </c>
      <c r="E12" s="54">
        <v>0.84</v>
      </c>
      <c r="F12" s="54">
        <v>0.89</v>
      </c>
      <c r="G12" s="51">
        <v>0.86</v>
      </c>
      <c r="I12" s="55">
        <v>1.31</v>
      </c>
      <c r="J12" s="54">
        <v>1.26</v>
      </c>
      <c r="K12" s="56">
        <v>1.2</v>
      </c>
    </row>
    <row r="13" spans="1:11">
      <c r="B13">
        <v>60</v>
      </c>
      <c r="C13" s="50">
        <v>0.6</v>
      </c>
      <c r="D13">
        <v>0.99</v>
      </c>
      <c r="E13" s="54">
        <v>1.1399999999999999</v>
      </c>
      <c r="F13" s="54">
        <v>1.19</v>
      </c>
      <c r="G13" s="51">
        <v>1.1599999999999999</v>
      </c>
      <c r="I13" s="55">
        <v>1.76</v>
      </c>
      <c r="J13" s="54">
        <v>1.7</v>
      </c>
      <c r="K13" s="56">
        <v>1.61</v>
      </c>
    </row>
    <row r="14" spans="1:11">
      <c r="B14">
        <v>60</v>
      </c>
      <c r="C14" s="50">
        <v>0.7</v>
      </c>
      <c r="D14">
        <v>1.25</v>
      </c>
      <c r="E14" s="54">
        <v>1.43</v>
      </c>
      <c r="F14" s="54">
        <v>1.5</v>
      </c>
      <c r="G14" s="51">
        <v>1.45</v>
      </c>
      <c r="I14" s="55">
        <v>2.2000000000000002</v>
      </c>
      <c r="J14" s="54">
        <v>2.14</v>
      </c>
      <c r="K14" s="56">
        <v>2.02</v>
      </c>
    </row>
    <row r="15" spans="1:11">
      <c r="B15">
        <v>60</v>
      </c>
      <c r="C15" s="57">
        <v>0.8</v>
      </c>
      <c r="D15" s="58">
        <v>1.5</v>
      </c>
      <c r="E15" s="59">
        <v>1.72</v>
      </c>
      <c r="F15" s="59">
        <v>1.8</v>
      </c>
      <c r="G15" s="60">
        <v>1.75</v>
      </c>
      <c r="I15" s="61">
        <v>2.67</v>
      </c>
      <c r="J15" s="59">
        <v>2.58</v>
      </c>
      <c r="K15" s="62">
        <v>2.44</v>
      </c>
    </row>
    <row r="18" spans="1:11">
      <c r="A18" t="s">
        <v>134</v>
      </c>
      <c r="B18">
        <v>50</v>
      </c>
      <c r="C18" s="47">
        <v>0.5</v>
      </c>
      <c r="D18" s="48">
        <f>D8*4</f>
        <v>2.68</v>
      </c>
      <c r="E18" s="63">
        <f>E8*8.4</f>
        <v>6.2160000000000002</v>
      </c>
      <c r="F18" s="63">
        <f>F8*8.4</f>
        <v>6.048</v>
      </c>
      <c r="G18" s="49"/>
      <c r="I18" s="64">
        <f>I8*8.4</f>
        <v>9.1560000000000006</v>
      </c>
      <c r="J18" s="64">
        <f t="shared" ref="J18:K18" si="0">J8*8.4</f>
        <v>8.82</v>
      </c>
      <c r="K18" s="64">
        <f t="shared" si="0"/>
        <v>8.4</v>
      </c>
    </row>
    <row r="19" spans="1:11">
      <c r="B19">
        <v>50</v>
      </c>
      <c r="C19" s="50">
        <v>0.6</v>
      </c>
      <c r="D19">
        <f t="shared" ref="D19" si="1">D9*4</f>
        <v>3.64</v>
      </c>
      <c r="E19" s="63">
        <f t="shared" ref="E19:F25" si="2">E9*8.4</f>
        <v>8.3160000000000007</v>
      </c>
      <c r="F19" s="63">
        <f t="shared" si="2"/>
        <v>8.0640000000000001</v>
      </c>
      <c r="G19" s="51"/>
      <c r="I19" s="52">
        <f t="shared" ref="I19" si="3">I9*4</f>
        <v>5.88</v>
      </c>
      <c r="J19" s="52">
        <f t="shared" ref="J19:K19" si="4">J9*4</f>
        <v>5.68</v>
      </c>
      <c r="K19" s="52">
        <f t="shared" si="4"/>
        <v>5.36</v>
      </c>
    </row>
    <row r="20" spans="1:11">
      <c r="B20">
        <v>50</v>
      </c>
      <c r="C20" s="50">
        <v>0.7</v>
      </c>
      <c r="D20">
        <f t="shared" ref="D20" si="5">D10*4</f>
        <v>4.5599999999999996</v>
      </c>
      <c r="E20" s="63">
        <f t="shared" si="2"/>
        <v>10.5</v>
      </c>
      <c r="F20" s="63">
        <f t="shared" si="2"/>
        <v>10.164</v>
      </c>
      <c r="G20" s="51"/>
      <c r="I20" s="52">
        <f t="shared" ref="I20" si="6">I10*4</f>
        <v>7.36</v>
      </c>
      <c r="J20" s="52">
        <f t="shared" ref="J20:K20" si="7">J10*4</f>
        <v>7.16</v>
      </c>
      <c r="K20" s="52">
        <f t="shared" si="7"/>
        <v>6.76</v>
      </c>
    </row>
    <row r="21" spans="1:11">
      <c r="B21">
        <v>50</v>
      </c>
      <c r="C21" s="50">
        <v>0.8</v>
      </c>
      <c r="D21">
        <f t="shared" ref="D21" si="8">D11*4</f>
        <v>5.52</v>
      </c>
      <c r="E21" s="63">
        <f t="shared" si="2"/>
        <v>12.600000000000001</v>
      </c>
      <c r="F21" s="63">
        <f t="shared" si="2"/>
        <v>12.263999999999999</v>
      </c>
      <c r="G21" s="51"/>
      <c r="I21" s="52">
        <f t="shared" ref="I21" si="9">I11*4</f>
        <v>8.8800000000000008</v>
      </c>
      <c r="J21" s="52">
        <f t="shared" ref="J21:K21" si="10">J11*4</f>
        <v>8.6</v>
      </c>
      <c r="K21" s="52">
        <f t="shared" si="10"/>
        <v>8.1199999999999992</v>
      </c>
    </row>
    <row r="22" spans="1:11">
      <c r="B22">
        <v>60</v>
      </c>
      <c r="C22" s="50">
        <v>0.5</v>
      </c>
      <c r="D22">
        <f t="shared" ref="D22" si="11">D12*4</f>
        <v>2.96</v>
      </c>
      <c r="E22" s="63">
        <f t="shared" si="2"/>
        <v>7.056</v>
      </c>
      <c r="F22" s="63">
        <f t="shared" si="2"/>
        <v>7.4760000000000009</v>
      </c>
      <c r="G22" s="51">
        <f t="shared" ref="G22:G25" si="12">G12*4</f>
        <v>3.44</v>
      </c>
      <c r="I22" s="50">
        <f t="shared" ref="I22" si="13">I12*4</f>
        <v>5.24</v>
      </c>
      <c r="J22" s="50">
        <f t="shared" ref="J22:K22" si="14">J12*4</f>
        <v>5.04</v>
      </c>
      <c r="K22" s="50">
        <f t="shared" si="14"/>
        <v>4.8</v>
      </c>
    </row>
    <row r="23" spans="1:11">
      <c r="B23">
        <v>60</v>
      </c>
      <c r="C23" s="50">
        <v>0.6</v>
      </c>
      <c r="D23">
        <f t="shared" ref="D23" si="15">D13*4</f>
        <v>3.96</v>
      </c>
      <c r="E23" s="63">
        <f t="shared" si="2"/>
        <v>9.5759999999999987</v>
      </c>
      <c r="F23" s="63">
        <f t="shared" si="2"/>
        <v>9.9960000000000004</v>
      </c>
      <c r="G23" s="51">
        <f t="shared" si="12"/>
        <v>4.6399999999999997</v>
      </c>
      <c r="I23" s="50">
        <f t="shared" ref="I23" si="16">I13*4</f>
        <v>7.04</v>
      </c>
      <c r="J23" s="50">
        <f t="shared" ref="J23:K23" si="17">J13*4</f>
        <v>6.8</v>
      </c>
      <c r="K23" s="50">
        <f t="shared" si="17"/>
        <v>6.44</v>
      </c>
    </row>
    <row r="24" spans="1:11">
      <c r="B24">
        <v>60</v>
      </c>
      <c r="C24" s="50">
        <v>0.7</v>
      </c>
      <c r="D24">
        <f t="shared" ref="D24" si="18">D14*4</f>
        <v>5</v>
      </c>
      <c r="E24" s="63">
        <f t="shared" si="2"/>
        <v>12.012</v>
      </c>
      <c r="F24" s="63">
        <f t="shared" si="2"/>
        <v>12.600000000000001</v>
      </c>
      <c r="G24" s="51">
        <f t="shared" si="12"/>
        <v>5.8</v>
      </c>
      <c r="I24" s="50">
        <f t="shared" ref="I24" si="19">I14*4</f>
        <v>8.8000000000000007</v>
      </c>
      <c r="J24" s="50">
        <f t="shared" ref="J24:K24" si="20">J14*4</f>
        <v>8.56</v>
      </c>
      <c r="K24" s="50">
        <f t="shared" si="20"/>
        <v>8.08</v>
      </c>
    </row>
    <row r="25" spans="1:11">
      <c r="B25">
        <v>60</v>
      </c>
      <c r="C25" s="57">
        <v>0.8</v>
      </c>
      <c r="D25" s="58">
        <f t="shared" ref="D25" si="21">D15*4</f>
        <v>6</v>
      </c>
      <c r="E25" s="63">
        <f t="shared" si="2"/>
        <v>14.448</v>
      </c>
      <c r="F25" s="63">
        <f t="shared" si="2"/>
        <v>15.120000000000001</v>
      </c>
      <c r="G25" s="60">
        <f t="shared" si="12"/>
        <v>7</v>
      </c>
      <c r="I25" s="57">
        <f t="shared" ref="I25" si="22">I15*4</f>
        <v>10.68</v>
      </c>
      <c r="J25" s="57">
        <f t="shared" ref="J25:K25" si="23">J15*4</f>
        <v>10.32</v>
      </c>
      <c r="K25" s="57">
        <f t="shared" si="23"/>
        <v>9.76</v>
      </c>
    </row>
  </sheetData>
  <mergeCells count="4">
    <mergeCell ref="B1:G1"/>
    <mergeCell ref="D2:G2"/>
    <mergeCell ref="I1:K1"/>
    <mergeCell ref="I2:K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1DBBAAFF8F234786F3FE35C2C55285" ma:contentTypeVersion="45" ma:contentTypeDescription="Create a new document." ma:contentTypeScope="" ma:versionID="98953b2435551eed6953e8949348594a">
  <xsd:schema xmlns:xsd="http://www.w3.org/2001/XMLSchema" xmlns:xs="http://www.w3.org/2001/XMLSchema" xmlns:p="http://schemas.microsoft.com/office/2006/metadata/properties" xmlns:ns1="http://schemas.microsoft.com/sharepoint/v3" xmlns:ns2="812f1821-9b08-4c39-99da-29d577233d6f" xmlns:ns3="4b62e893-22f0-4291-b835-e3dda2a89aab" xmlns:ns4="406d9aec-898d-46cb-bf31-c4360018fedc" xmlns:ns5="http://schemas.microsoft.com/sharepoint/v4" targetNamespace="http://schemas.microsoft.com/office/2006/metadata/properties" ma:root="true" ma:fieldsID="6e8ea0c2426fa09f21157384b923eaf6" ns1:_="" ns2:_="" ns3:_="" ns4:_="" ns5:_="">
    <xsd:import namespace="http://schemas.microsoft.com/sharepoint/v3"/>
    <xsd:import namespace="812f1821-9b08-4c39-99da-29d577233d6f"/>
    <xsd:import namespace="4b62e893-22f0-4291-b835-e3dda2a89aab"/>
    <xsd:import namespace="406d9aec-898d-46cb-bf31-c4360018fed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3:Original_x0020_Created" minOccurs="0"/>
                <xsd:element ref="ns3:Original_x0020_Modified" minOccurs="0"/>
                <xsd:element ref="ns3:Attach_x0020_Count" minOccurs="0"/>
                <xsd:element ref="ns3:Original_x0020_Author" minOccurs="0"/>
                <xsd:element ref="ns3:Importance" minOccurs="0"/>
                <xsd:element ref="ns3:Message_x0020_ID" minOccurs="0"/>
                <xsd:element ref="ns3:BCC" minOccurs="0"/>
                <xsd:element ref="ns3:CC" minOccurs="0"/>
                <xsd:element ref="ns3:Original_x0020_Producer" minOccurs="0"/>
                <xsd:element ref="ns3:Received_x0020_Time" minOccurs="0"/>
                <xsd:element ref="ns3:Sensitivity" minOccurs="0"/>
                <xsd:element ref="ns3:Sent_x0020_On" minOccurs="0"/>
                <xsd:element ref="ns3:To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4:SharedWithUsers" minOccurs="0"/>
                <xsd:element ref="ns4:SharedWithDetails" minOccurs="0"/>
                <xsd:element ref="ns2:MediaServiceDateTaken" minOccurs="0"/>
                <xsd:element ref="ns3:Conversation_x0020_Topic" minOccurs="0"/>
                <xsd:element ref="ns3:From1" minOccurs="0"/>
                <xsd:element ref="ns5:IconOverlay" minOccurs="0"/>
                <xsd:element ref="ns1:_vti_ItemDeclaredRecord" minOccurs="0"/>
                <xsd:element ref="ns1:_vti_ItemHoldRecord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TouseinFeedback" minOccurs="0"/>
                <xsd:element ref="ns2:MediaServiceBillingMetadata" minOccurs="0"/>
                <xsd:element ref="ns2:CONFIDENTI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3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f1821-9b08-4c39-99da-29d577233d6f" elementFormDefault="qualified">
    <xsd:import namespace="http://schemas.microsoft.com/office/2006/documentManagement/types"/>
    <xsd:import namespace="http://schemas.microsoft.com/office/infopath/2007/PartnerControls"/>
    <xsd:element name="Notes" ma:index="1" nillable="true" ma:displayName="BSO notes" ma:format="Dropdown" ma:internalName="Notes">
      <xsd:simpleType>
        <xsd:restriction base="dms:Note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7" nillable="true" ma:displayName="Tags" ma:hidden="true" ma:internalName="MediaServiceAutoTags" ma:readOnly="true">
      <xsd:simpleType>
        <xsd:restriction base="dms:Text"/>
      </xsd:simpleType>
    </xsd:element>
    <xsd:element name="MediaServiceOCR" ma:index="3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3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41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4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4" nillable="true" ma:taxonomy="true" ma:internalName="lcf76f155ced4ddcb4097134ff3c332f" ma:taxonomyFieldName="MediaServiceImageTags" ma:displayName="Image Tags" ma:readOnly="false" ma:fieldId="{5cf76f15-5ced-4ddc-b409-7134ff3c332f}" ma:taxonomyMulti="true" ma:sspId="4ee84d0e-6e93-49eb-b9f4-5341c9135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ouseinFeedback" ma:index="48" nillable="true" ma:displayName="To use in Feedback" ma:default="1" ma:format="Dropdown" ma:internalName="TouseinFeedback">
      <xsd:simpleType>
        <xsd:restriction base="dms:Boolean"/>
      </xsd:simpleType>
    </xsd:element>
    <xsd:element name="MediaServiceBillingMetadata" ma:index="49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NFIDENTIAL" ma:index="50" nillable="true" ma:displayName="CONFIDENTIAL" ma:description="This report is confidential and not for publication" ma:format="Dropdown" ma:internalName="CONFIDENTIA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62e893-22f0-4291-b835-e3dda2a89aab" elementFormDefault="qualified">
    <xsd:import namespace="http://schemas.microsoft.com/office/2006/documentManagement/types"/>
    <xsd:import namespace="http://schemas.microsoft.com/office/infopath/2007/PartnerControls"/>
    <xsd:element name="Original_x0020_Created" ma:index="2" nillable="true" ma:displayName="Original Created" ma:format="DateTime" ma:hidden="true" ma:internalName="Original_x0020_Created">
      <xsd:simpleType>
        <xsd:restriction base="dms:DateTime"/>
      </xsd:simpleType>
    </xsd:element>
    <xsd:element name="Original_x0020_Modified" ma:index="3" nillable="true" ma:displayName="Original Modified" ma:format="DateTime" ma:hidden="true" ma:internalName="Original_x0020_Modified">
      <xsd:simpleType>
        <xsd:restriction base="dms:DateTime"/>
      </xsd:simpleType>
    </xsd:element>
    <xsd:element name="Attach_x0020_Count" ma:index="4" nillable="true" ma:displayName="Attach Count" ma:hidden="true" ma:internalName="Attach_x0020_Count">
      <xsd:simpleType>
        <xsd:restriction base="dms:Text">
          <xsd:maxLength value="255"/>
        </xsd:restriction>
      </xsd:simpleType>
    </xsd:element>
    <xsd:element name="Original_x0020_Author" ma:index="5" nillable="true" ma:displayName="Original Author" ma:hidden="true" ma:internalName="Original_x0020_Author">
      <xsd:simpleType>
        <xsd:restriction base="dms:Text">
          <xsd:maxLength value="255"/>
        </xsd:restriction>
      </xsd:simpleType>
    </xsd:element>
    <xsd:element name="Importance" ma:index="6" nillable="true" ma:displayName="Importance" ma:hidden="true" ma:internalName="Importance">
      <xsd:simpleType>
        <xsd:restriction base="dms:Text">
          <xsd:maxLength value="255"/>
        </xsd:restriction>
      </xsd:simpleType>
    </xsd:element>
    <xsd:element name="Message_x0020_ID" ma:index="7" nillable="true" ma:displayName="Message ID" ma:hidden="true" ma:internalName="Message_x0020_ID">
      <xsd:simpleType>
        <xsd:restriction base="dms:Text">
          <xsd:maxLength value="255"/>
        </xsd:restriction>
      </xsd:simpleType>
    </xsd:element>
    <xsd:element name="BCC" ma:index="9" nillable="true" ma:displayName="BCC" ma:hidden="true" ma:internalName="BCC">
      <xsd:simpleType>
        <xsd:restriction base="dms:Text">
          <xsd:maxLength value="255"/>
        </xsd:restriction>
      </xsd:simpleType>
    </xsd:element>
    <xsd:element name="CC" ma:index="10" nillable="true" ma:displayName="CC" ma:hidden="true" ma:internalName="CC">
      <xsd:simpleType>
        <xsd:restriction base="dms:Text">
          <xsd:maxLength value="255"/>
        </xsd:restriction>
      </xsd:simpleType>
    </xsd:element>
    <xsd:element name="Original_x0020_Producer" ma:index="11" nillable="true" ma:displayName="Original Producer" ma:hidden="true" ma:internalName="Original_x0020_Producer">
      <xsd:simpleType>
        <xsd:restriction base="dms:Text">
          <xsd:maxLength value="255"/>
        </xsd:restriction>
      </xsd:simpleType>
    </xsd:element>
    <xsd:element name="Received_x0020_Time" ma:index="12" nillable="true" ma:displayName="Received Time" ma:format="DateTime" ma:hidden="true" ma:internalName="Received_x0020_Time">
      <xsd:simpleType>
        <xsd:restriction base="dms:DateTime"/>
      </xsd:simpleType>
    </xsd:element>
    <xsd:element name="Sensitivity" ma:index="13" nillable="true" ma:displayName="Sensitivity" ma:hidden="true" ma:internalName="Sensitivity">
      <xsd:simpleType>
        <xsd:restriction base="dms:Text">
          <xsd:maxLength value="255"/>
        </xsd:restriction>
      </xsd:simpleType>
    </xsd:element>
    <xsd:element name="Sent_x0020_On" ma:index="14" nillable="true" ma:displayName="Sent On" ma:format="DateTime" ma:hidden="true" ma:internalName="Sent_x0020_On">
      <xsd:simpleType>
        <xsd:restriction base="dms:DateTime"/>
      </xsd:simpleType>
    </xsd:element>
    <xsd:element name="To" ma:index="15" nillable="true" ma:displayName="To" ma:hidden="true" ma:internalName="To">
      <xsd:simpleType>
        <xsd:restriction base="dms:Text">
          <xsd:maxLength value="255"/>
        </xsd:restriction>
      </xsd:simpleType>
    </xsd:element>
    <xsd:element name="Conversation_x0020_Topic" ma:index="32" nillable="true" ma:displayName="Conversation Topic" ma:hidden="true" ma:internalName="Conversation_x0020_Topic">
      <xsd:simpleType>
        <xsd:restriction base="dms:Text">
          <xsd:maxLength value="255"/>
        </xsd:restriction>
      </xsd:simpleType>
    </xsd:element>
    <xsd:element name="From1" ma:index="33" nillable="true" ma:displayName="From" ma:hidden="true" ma:internalName="From1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d9aec-898d-46cb-bf31-c4360018fedc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cument ID Value" ma:description="The value of the document ID assigned to this item." ma:hidden="true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45" nillable="true" ma:displayName="Taxonomy Catch All Column" ma:hidden="true" ma:list="{167c0925-cfb0-47f9-8dd9-fed8b076f1bc}" ma:internalName="TaxCatchAll" ma:showField="CatchAllData" ma:web="406d9aec-898d-46cb-bf31-c4360018fe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iginal_x0020_Created xmlns="4b62e893-22f0-4291-b835-e3dda2a89aab" xsi:nil="true"/>
    <Sent_x0020_On xmlns="4b62e893-22f0-4291-b835-e3dda2a89aab" xsi:nil="true"/>
    <TouseinFeedback xmlns="812f1821-9b08-4c39-99da-29d577233d6f">true</TouseinFeedback>
    <Original_x0020_Author xmlns="4b62e893-22f0-4291-b835-e3dda2a89aab" xsi:nil="true"/>
    <Attach_x0020_Count xmlns="4b62e893-22f0-4291-b835-e3dda2a89aab" xsi:nil="true"/>
    <BCC xmlns="4b62e893-22f0-4291-b835-e3dda2a89aab" xsi:nil="true"/>
    <Sensitivity xmlns="4b62e893-22f0-4291-b835-e3dda2a89aab" xsi:nil="true"/>
    <IconOverlay xmlns="http://schemas.microsoft.com/sharepoint/v4" xsi:nil="true"/>
    <To xmlns="4b62e893-22f0-4291-b835-e3dda2a89aab" xsi:nil="true"/>
    <Conversation_x0020_Topic xmlns="4b62e893-22f0-4291-b835-e3dda2a89aab" xsi:nil="true"/>
    <Original_x0020_Modified xmlns="4b62e893-22f0-4291-b835-e3dda2a89aab" xsi:nil="true"/>
    <CC xmlns="4b62e893-22f0-4291-b835-e3dda2a89aab" xsi:nil="true"/>
    <TaxCatchAll xmlns="406d9aec-898d-46cb-bf31-c4360018fedc" xsi:nil="true"/>
    <Importance xmlns="4b62e893-22f0-4291-b835-e3dda2a89aab" xsi:nil="true"/>
    <CONFIDENTIAL xmlns="812f1821-9b08-4c39-99da-29d577233d6f" xsi:nil="true"/>
    <Original_x0020_Producer xmlns="4b62e893-22f0-4291-b835-e3dda2a89aab" xsi:nil="true"/>
    <lcf76f155ced4ddcb4097134ff3c332f xmlns="812f1821-9b08-4c39-99da-29d577233d6f">
      <Terms xmlns="http://schemas.microsoft.com/office/infopath/2007/PartnerControls"/>
    </lcf76f155ced4ddcb4097134ff3c332f>
    <Notes xmlns="812f1821-9b08-4c39-99da-29d577233d6f" xsi:nil="true"/>
    <Message_x0020_ID xmlns="4b62e893-22f0-4291-b835-e3dda2a89aab" xsi:nil="true"/>
    <Received_x0020_Time xmlns="4b62e893-22f0-4291-b835-e3dda2a89aab" xsi:nil="true"/>
    <From1 xmlns="4b62e893-22f0-4291-b835-e3dda2a89aab" xsi:nil="true"/>
    <_dlc_DocId xmlns="406d9aec-898d-46cb-bf31-c4360018fedc">PCFZEUR3HMRA-582714330-1167958</_dlc_DocId>
    <_dlc_DocIdUrl xmlns="406d9aec-898d-46cb-bf31-c4360018fedc">
      <Url>https://mlaus.sharepoint.com/sites/CRM/_layouts/15/DocIdRedir.aspx?ID=PCFZEUR3HMRA-582714330-1167958</Url>
      <Description>PCFZEUR3HMRA-582714330-1167958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07F1C1-655D-492E-B973-C627FFC030D4}"/>
</file>

<file path=customXml/itemProps2.xml><?xml version="1.0" encoding="utf-8"?>
<ds:datastoreItem xmlns:ds="http://schemas.openxmlformats.org/officeDocument/2006/customXml" ds:itemID="{5DFA09F5-1A9F-410D-AEAA-E3A75A8966F3}"/>
</file>

<file path=customXml/itemProps3.xml><?xml version="1.0" encoding="utf-8"?>
<ds:datastoreItem xmlns:ds="http://schemas.openxmlformats.org/officeDocument/2006/customXml" ds:itemID="{573373DE-0B9A-4E89-9983-1694D6581F35}"/>
</file>

<file path=customXml/itemProps4.xml><?xml version="1.0" encoding="utf-8"?>
<ds:datastoreItem xmlns:ds="http://schemas.openxmlformats.org/officeDocument/2006/customXml" ds:itemID="{4AC21B95-5990-4B0F-9D97-2EA7220CF1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CSIRO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Charmley, Ed (A&amp;F, TownsvilleATSIP)</dc:creator>
  <cp:keywords/>
  <dc:description/>
  <cp:lastModifiedBy/>
  <cp:revision/>
  <dcterms:created xsi:type="dcterms:W3CDTF">2025-05-29T01:34:35Z</dcterms:created>
  <dcterms:modified xsi:type="dcterms:W3CDTF">2025-11-19T01:56:06Z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ad370f1-5840-4c36-bb65-89acaaf849ca_Enabled">
    <vt:lpwstr>true</vt:lpwstr>
  </property>
  <property fmtid="{D5CDD505-2E9C-101B-9397-08002B2CF9AE}" pid="3" name="MSIP_Label_0ad370f1-5840-4c36-bb65-89acaaf849ca_SetDate">
    <vt:lpwstr>2025-09-07T23:04:35Z</vt:lpwstr>
  </property>
  <property fmtid="{D5CDD505-2E9C-101B-9397-08002B2CF9AE}" pid="4" name="MSIP_Label_0ad370f1-5840-4c36-bb65-89acaaf849ca_Method">
    <vt:lpwstr>Privileged</vt:lpwstr>
  </property>
  <property fmtid="{D5CDD505-2E9C-101B-9397-08002B2CF9AE}" pid="5" name="MSIP_Label_0ad370f1-5840-4c36-bb65-89acaaf849ca_Name">
    <vt:lpwstr>OFFICIAL</vt:lpwstr>
  </property>
  <property fmtid="{D5CDD505-2E9C-101B-9397-08002B2CF9AE}" pid="6" name="MSIP_Label_0ad370f1-5840-4c36-bb65-89acaaf849ca_SiteId">
    <vt:lpwstr>0fe05593-19ac-4f98-adbf-0375fce7f160</vt:lpwstr>
  </property>
  <property fmtid="{D5CDD505-2E9C-101B-9397-08002B2CF9AE}" pid="7" name="MSIP_Label_0ad370f1-5840-4c36-bb65-89acaaf849ca_ActionId">
    <vt:lpwstr>8a086da5-7bcc-45a3-bf8e-89f6986249c1</vt:lpwstr>
  </property>
  <property fmtid="{D5CDD505-2E9C-101B-9397-08002B2CF9AE}" pid="8" name="MSIP_Label_0ad370f1-5840-4c36-bb65-89acaaf849ca_ContentBits">
    <vt:lpwstr>3</vt:lpwstr>
  </property>
  <property fmtid="{D5CDD505-2E9C-101B-9397-08002B2CF9AE}" pid="9" name="MSIP_Label_0ad370f1-5840-4c36-bb65-89acaaf849ca_Tag">
    <vt:lpwstr>10, 0, 1, 1</vt:lpwstr>
  </property>
  <property fmtid="{D5CDD505-2E9C-101B-9397-08002B2CF9AE}" pid="10" name="ContentTypeId">
    <vt:lpwstr>0x010100771DBBAAFF8F234786F3FE35C2C55285</vt:lpwstr>
  </property>
  <property fmtid="{D5CDD505-2E9C-101B-9397-08002B2CF9AE}" pid="11" name="_dlc_DocIdItemGuid">
    <vt:lpwstr>38ef25c9-f5d1-4722-a695-f971b8812b91</vt:lpwstr>
  </property>
  <property fmtid="{D5CDD505-2E9C-101B-9397-08002B2CF9AE}" pid="12" name="MediaServiceImageTags">
    <vt:lpwstr/>
  </property>
  <property fmtid="{D5CDD505-2E9C-101B-9397-08002B2CF9AE}" pid="13" name="MSIP_Label_f07ddce7-1591-4a00-8c9f-76632455b2e3_Enabled">
    <vt:lpwstr>true</vt:lpwstr>
  </property>
  <property fmtid="{D5CDD505-2E9C-101B-9397-08002B2CF9AE}" pid="14" name="MSIP_Label_f07ddce7-1591-4a00-8c9f-76632455b2e3_SetDate">
    <vt:lpwstr>2025-11-19T01:56:05Z</vt:lpwstr>
  </property>
  <property fmtid="{D5CDD505-2E9C-101B-9397-08002B2CF9AE}" pid="15" name="MSIP_Label_f07ddce7-1591-4a00-8c9f-76632455b2e3_Method">
    <vt:lpwstr>Standard</vt:lpwstr>
  </property>
  <property fmtid="{D5CDD505-2E9C-101B-9397-08002B2CF9AE}" pid="16" name="MSIP_Label_f07ddce7-1591-4a00-8c9f-76632455b2e3_Name">
    <vt:lpwstr>Internal</vt:lpwstr>
  </property>
  <property fmtid="{D5CDD505-2E9C-101B-9397-08002B2CF9AE}" pid="17" name="MSIP_Label_f07ddce7-1591-4a00-8c9f-76632455b2e3_SiteId">
    <vt:lpwstr>a3829b1c-ecbe-49d4-88e9-4f28f79afa11</vt:lpwstr>
  </property>
  <property fmtid="{D5CDD505-2E9C-101B-9397-08002B2CF9AE}" pid="18" name="MSIP_Label_f07ddce7-1591-4a00-8c9f-76632455b2e3_ActionId">
    <vt:lpwstr>b6abb9dc-1aa9-45c7-8ab1-610174d7bad2</vt:lpwstr>
  </property>
  <property fmtid="{D5CDD505-2E9C-101B-9397-08002B2CF9AE}" pid="19" name="MSIP_Label_f07ddce7-1591-4a00-8c9f-76632455b2e3_ContentBits">
    <vt:lpwstr>0</vt:lpwstr>
  </property>
  <property fmtid="{D5CDD505-2E9C-101B-9397-08002B2CF9AE}" pid="20" name="MSIP_Label_f07ddce7-1591-4a00-8c9f-76632455b2e3_Tag">
    <vt:lpwstr>10, 3, 0, 2</vt:lpwstr>
  </property>
</Properties>
</file>