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0.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charts/chart97.xml" ContentType="application/vnd.openxmlformats-officedocument.drawingml.chart+xml"/>
  <Override PartName="/xl/charts/chart98.xml" ContentType="application/vnd.openxmlformats-officedocument.drawingml.chart+xml"/>
  <Override PartName="/xl/charts/style96.xml" ContentType="application/vnd.ms-office.chartstyle+xml"/>
  <Override PartName="/xl/charts/colors9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09"/>
  <workbookPr codeName="ThisWorkbook" defaultThemeVersion="166925"/>
  <mc:AlternateContent xmlns:mc="http://schemas.openxmlformats.org/markup-compatibility/2006">
    <mc:Choice Requires="x15">
      <x15ac:absPath xmlns:x15ac="http://schemas.microsoft.com/office/spreadsheetml/2010/11/ac" url="C:\Users\emilyking\Dropbox (Australian Wool)\Research\Projects\S1\P523 Reproduction\ON-00589 and ON-00759 Nutritive value of Crop Stubbles\"/>
    </mc:Choice>
  </mc:AlternateContent>
  <xr:revisionPtr revIDLastSave="0" documentId="8_{8ABF517F-CDDB-45B2-A16A-0CC0D6777B87}" xr6:coauthVersionLast="47" xr6:coauthVersionMax="47" xr10:uidLastSave="{00000000-0000-0000-0000-000000000000}"/>
  <bookViews>
    <workbookView xWindow="-28920" yWindow="16125" windowWidth="29040" windowHeight="15840" tabRatio="854" xr2:uid="{4A6020CB-B540-4072-A20F-84E6AB4EFE18}"/>
  </bookViews>
  <sheets>
    <sheet name="Welcome" sheetId="27" r:id="rId1"/>
    <sheet name="Introduction" sheetId="25" r:id="rId2"/>
    <sheet name="Stubble Grazing Calculator" sheetId="21" r:id="rId3"/>
    <sheet name="Case Examples" sheetId="24" r:id="rId4"/>
    <sheet name="Calculator Details" sheetId="23" state="hidden" r:id="rId5"/>
    <sheet name="Calculations" sheetId="12" state="hidden" r:id="rId6"/>
    <sheet name="scatterplots_LWG_grazdays_CS" sheetId="16" state="hidden" r:id="rId7"/>
    <sheet name="Pregnancy" sheetId="26" state="hidden" r:id="rId8"/>
    <sheet name="Lists" sheetId="13" state="hidden" r:id="rId9"/>
    <sheet name="raw_data" sheetId="2" state="hidden" r:id="rId10"/>
    <sheet name="stats_no_init" sheetId="10" state="hidden" r:id="rId11"/>
    <sheet name="scatterplots" sheetId="11" state="hidden" r:id="rId12"/>
    <sheet name="pivot" sheetId="6" state="hidden" r:id="rId13"/>
    <sheet name="pivot_CS" sheetId="15" state="hidden" r:id="rId14"/>
    <sheet name="supplement_LWG" sheetId="20" state="hidden" r:id="rId15"/>
    <sheet name="cumulative_LWG" sheetId="19" state="hidden" r:id="rId16"/>
  </sheets>
  <definedNames>
    <definedName name="_Hlk42086770" localSheetId="1">Introduction!#REF!</definedName>
  </definedNames>
  <calcPr calcId="191028"/>
  <customWorkbookViews>
    <customWorkbookView name="All Sheets" guid="{51F81FF1-EE1A-40FC-8953-32A9F2F33EA5}" maximized="1" xWindow="-11" yWindow="-11" windowWidth="1942" windowHeight="1042" tabRatio="504" activeSheetId="23"/>
  </customWorkbookViews>
  <pivotCaches>
    <pivotCache cacheId="13861" r:id="rId17"/>
    <pivotCache cacheId="13862"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7" i="21" l="1"/>
  <c r="B31" i="12"/>
  <c r="B29" i="12"/>
  <c r="B28" i="12"/>
  <c r="B40" i="12" l="1"/>
  <c r="B4" i="12"/>
  <c r="B6" i="12"/>
  <c r="B9" i="12"/>
  <c r="U3" i="2" l="1"/>
  <c r="C7" i="26" l="1"/>
  <c r="C8" i="26"/>
  <c r="C9" i="26"/>
  <c r="C10" i="26"/>
  <c r="C11" i="26"/>
  <c r="C12" i="26"/>
  <c r="D12" i="26"/>
  <c r="D3" i="26"/>
  <c r="D4" i="26"/>
  <c r="D5" i="26"/>
  <c r="D6" i="26"/>
  <c r="D7" i="26"/>
  <c r="D8" i="26"/>
  <c r="D9" i="26"/>
  <c r="D10" i="26"/>
  <c r="D11" i="26"/>
  <c r="D2" i="26"/>
  <c r="B8" i="12" l="1"/>
  <c r="B36" i="12"/>
  <c r="B32" i="12"/>
  <c r="B5" i="12"/>
  <c r="B7" i="12"/>
  <c r="B3" i="12"/>
  <c r="E9" i="12" s="1"/>
  <c r="B12" i="12" l="1"/>
  <c r="B35" i="12" s="1"/>
  <c r="F9" i="12"/>
  <c r="G9" i="12"/>
  <c r="G24" i="12" s="1"/>
  <c r="H9" i="12"/>
  <c r="H24" i="12" s="1"/>
  <c r="E24" i="12"/>
  <c r="B13" i="12" l="1"/>
  <c r="F24" i="12"/>
  <c r="AC9" i="16"/>
  <c r="AG9" i="16" s="1"/>
  <c r="AD9" i="16"/>
  <c r="AH9" i="16" s="1"/>
  <c r="AE9" i="16"/>
  <c r="AI9" i="16" s="1"/>
  <c r="AF9" i="16"/>
  <c r="AJ9" i="16" s="1"/>
  <c r="AC10" i="16"/>
  <c r="AG10" i="16" s="1"/>
  <c r="AD10" i="16"/>
  <c r="AH10" i="16" s="1"/>
  <c r="AE10" i="16"/>
  <c r="AI10" i="16" s="1"/>
  <c r="AF10" i="16"/>
  <c r="AJ10" i="16" s="1"/>
  <c r="AC11" i="16"/>
  <c r="AG11" i="16" s="1"/>
  <c r="AD11" i="16"/>
  <c r="AH11" i="16" s="1"/>
  <c r="AE11" i="16"/>
  <c r="AI11" i="16" s="1"/>
  <c r="AF11" i="16"/>
  <c r="AJ11" i="16" s="1"/>
  <c r="AC12" i="16"/>
  <c r="AG12" i="16" s="1"/>
  <c r="AD12" i="16"/>
  <c r="AH12" i="16" s="1"/>
  <c r="AE12" i="16"/>
  <c r="AI12" i="16" s="1"/>
  <c r="AF12" i="16"/>
  <c r="AJ12" i="16" s="1"/>
  <c r="AC13" i="16"/>
  <c r="AG13" i="16" s="1"/>
  <c r="AD13" i="16"/>
  <c r="AH13" i="16" s="1"/>
  <c r="AE13" i="16"/>
  <c r="AI13" i="16" s="1"/>
  <c r="AF13" i="16"/>
  <c r="AJ13" i="16" s="1"/>
  <c r="AC14" i="16"/>
  <c r="AG14" i="16" s="1"/>
  <c r="AD14" i="16"/>
  <c r="AH14" i="16" s="1"/>
  <c r="AE14" i="16"/>
  <c r="AI14" i="16" s="1"/>
  <c r="AF14" i="16"/>
  <c r="AJ14" i="16" s="1"/>
  <c r="AC15" i="16"/>
  <c r="AG15" i="16" s="1"/>
  <c r="AD15" i="16"/>
  <c r="AH15" i="16" s="1"/>
  <c r="AE15" i="16"/>
  <c r="AI15" i="16" s="1"/>
  <c r="AF15" i="16"/>
  <c r="AJ15" i="16" s="1"/>
  <c r="AC16" i="16"/>
  <c r="AG16" i="16" s="1"/>
  <c r="AD16" i="16"/>
  <c r="AH16" i="16" s="1"/>
  <c r="AE16" i="16"/>
  <c r="AI16" i="16" s="1"/>
  <c r="AF16" i="16"/>
  <c r="AJ16" i="16" s="1"/>
  <c r="AC17" i="16"/>
  <c r="AG17" i="16" s="1"/>
  <c r="AD17" i="16"/>
  <c r="AH17" i="16" s="1"/>
  <c r="AE17" i="16"/>
  <c r="AI17" i="16" s="1"/>
  <c r="AF17" i="16"/>
  <c r="AJ17" i="16" s="1"/>
  <c r="AC18" i="16"/>
  <c r="AG18" i="16" s="1"/>
  <c r="AD18" i="16"/>
  <c r="AH18" i="16" s="1"/>
  <c r="AE18" i="16"/>
  <c r="AI18" i="16" s="1"/>
  <c r="AF18" i="16"/>
  <c r="AJ18" i="16" s="1"/>
  <c r="AF8" i="16"/>
  <c r="AJ8" i="16" s="1"/>
  <c r="AE8" i="16"/>
  <c r="AI8" i="16" s="1"/>
  <c r="AC8" i="16"/>
  <c r="AG8" i="16" s="1"/>
  <c r="AD8" i="16"/>
  <c r="AH8" i="16" s="1"/>
  <c r="E29" i="12" l="1"/>
  <c r="E23" i="12"/>
  <c r="F29" i="12"/>
  <c r="G29" i="12"/>
  <c r="H29" i="12"/>
  <c r="E28" i="12" l="1"/>
  <c r="N3" i="19"/>
  <c r="AD202" i="20"/>
  <c r="V202" i="20"/>
  <c r="N202" i="20"/>
  <c r="C202" i="20"/>
  <c r="AD201" i="20"/>
  <c r="V201" i="20"/>
  <c r="N201" i="20"/>
  <c r="C201" i="20"/>
  <c r="F201" i="20" s="1"/>
  <c r="AD200" i="20"/>
  <c r="AG200" i="20" s="1"/>
  <c r="V200" i="20"/>
  <c r="Y200" i="20" s="1"/>
  <c r="N200" i="20"/>
  <c r="Q200" i="20" s="1"/>
  <c r="C200" i="20"/>
  <c r="AD199" i="20"/>
  <c r="V199" i="20"/>
  <c r="N199" i="20"/>
  <c r="C199" i="20"/>
  <c r="AD198" i="20"/>
  <c r="V198" i="20"/>
  <c r="N198" i="20"/>
  <c r="C198" i="20"/>
  <c r="AD197" i="20"/>
  <c r="V197" i="20"/>
  <c r="N197" i="20"/>
  <c r="C197" i="20"/>
  <c r="AD196" i="20"/>
  <c r="V196" i="20"/>
  <c r="N196" i="20"/>
  <c r="C196" i="20"/>
  <c r="F196" i="20" s="1"/>
  <c r="AD195" i="20"/>
  <c r="AG195" i="20" s="1"/>
  <c r="V195" i="20"/>
  <c r="Y195" i="20" s="1"/>
  <c r="N195" i="20"/>
  <c r="Q195" i="20" s="1"/>
  <c r="C195" i="20"/>
  <c r="AD194" i="20"/>
  <c r="V194" i="20"/>
  <c r="N194" i="20"/>
  <c r="C194" i="20"/>
  <c r="AD193" i="20"/>
  <c r="V193" i="20"/>
  <c r="N193" i="20"/>
  <c r="C193" i="20"/>
  <c r="F193" i="20" s="1"/>
  <c r="AD192" i="20"/>
  <c r="AG192" i="20" s="1"/>
  <c r="V192" i="20"/>
  <c r="Y192" i="20" s="1"/>
  <c r="N192" i="20"/>
  <c r="Q192" i="20" s="1"/>
  <c r="C192" i="20"/>
  <c r="AD191" i="20"/>
  <c r="V191" i="20"/>
  <c r="N191" i="20"/>
  <c r="C191" i="20"/>
  <c r="AD190" i="20"/>
  <c r="V190" i="20"/>
  <c r="Y190" i="20" s="1"/>
  <c r="N190" i="20"/>
  <c r="Q190" i="20" s="1"/>
  <c r="C190" i="20"/>
  <c r="AD189" i="20"/>
  <c r="V189" i="20"/>
  <c r="N189" i="20"/>
  <c r="C189" i="20"/>
  <c r="AD188" i="20"/>
  <c r="V188" i="20"/>
  <c r="N188" i="20"/>
  <c r="C188" i="20"/>
  <c r="AD187" i="20"/>
  <c r="AE187" i="20" s="1"/>
  <c r="V187" i="20"/>
  <c r="W187" i="20" s="1"/>
  <c r="N187" i="20"/>
  <c r="C187" i="20"/>
  <c r="AD186" i="20"/>
  <c r="AG186" i="20" s="1"/>
  <c r="V186" i="20"/>
  <c r="N186" i="20"/>
  <c r="C186" i="20"/>
  <c r="AD185" i="20"/>
  <c r="V185" i="20"/>
  <c r="Y185" i="20" s="1"/>
  <c r="N185" i="20"/>
  <c r="Q185" i="20" s="1"/>
  <c r="C185" i="20"/>
  <c r="AD184" i="20"/>
  <c r="V184" i="20"/>
  <c r="N184" i="20"/>
  <c r="C184" i="20"/>
  <c r="AD183" i="20"/>
  <c r="V183" i="20"/>
  <c r="N183" i="20"/>
  <c r="C183" i="20"/>
  <c r="AD182" i="20"/>
  <c r="V182" i="20"/>
  <c r="N182" i="20"/>
  <c r="C182" i="20"/>
  <c r="AD181" i="20"/>
  <c r="V181" i="20"/>
  <c r="N181" i="20"/>
  <c r="C181" i="20"/>
  <c r="AD180" i="20"/>
  <c r="AG180" i="20" s="1"/>
  <c r="V180" i="20"/>
  <c r="N180" i="20"/>
  <c r="Q180" i="20" s="1"/>
  <c r="C180" i="20"/>
  <c r="D180" i="20" s="1"/>
  <c r="AD179" i="20"/>
  <c r="V179" i="20"/>
  <c r="N179" i="20"/>
  <c r="P179" i="20" s="1"/>
  <c r="C179" i="20"/>
  <c r="AD178" i="20"/>
  <c r="V178" i="20"/>
  <c r="N178" i="20"/>
  <c r="C178" i="20"/>
  <c r="D178" i="20" s="1"/>
  <c r="AD177" i="20"/>
  <c r="AE177" i="20" s="1"/>
  <c r="V177" i="20"/>
  <c r="N177" i="20"/>
  <c r="C177" i="20"/>
  <c r="F177" i="20" s="1"/>
  <c r="AD176" i="20"/>
  <c r="V176" i="20"/>
  <c r="N176" i="20"/>
  <c r="C176" i="20"/>
  <c r="AD175" i="20"/>
  <c r="V175" i="20"/>
  <c r="N175" i="20"/>
  <c r="C175" i="20"/>
  <c r="AD174" i="20"/>
  <c r="V174" i="20"/>
  <c r="N174" i="20"/>
  <c r="C174" i="20"/>
  <c r="AD173" i="20"/>
  <c r="V173" i="20"/>
  <c r="N173" i="20"/>
  <c r="C173" i="20"/>
  <c r="F173" i="20" s="1"/>
  <c r="AD172" i="20"/>
  <c r="V172" i="20"/>
  <c r="N172" i="20"/>
  <c r="Q172" i="20" s="1"/>
  <c r="C172" i="20"/>
  <c r="AD171" i="20"/>
  <c r="AF171" i="20" s="1"/>
  <c r="V171" i="20"/>
  <c r="N171" i="20"/>
  <c r="C171" i="20"/>
  <c r="AD170" i="20"/>
  <c r="AG170" i="20" s="1"/>
  <c r="V170" i="20"/>
  <c r="N170" i="20"/>
  <c r="C170" i="20"/>
  <c r="AD169" i="20"/>
  <c r="V169" i="20"/>
  <c r="N169" i="20"/>
  <c r="O169" i="20" s="1"/>
  <c r="C169" i="20"/>
  <c r="D169" i="20" s="1"/>
  <c r="AD168" i="20"/>
  <c r="V168" i="20"/>
  <c r="X168" i="20" s="1"/>
  <c r="N168" i="20"/>
  <c r="P168" i="20" s="1"/>
  <c r="C168" i="20"/>
  <c r="AD167" i="20"/>
  <c r="V167" i="20"/>
  <c r="N167" i="20"/>
  <c r="C167" i="20"/>
  <c r="AD166" i="20"/>
  <c r="V166" i="20"/>
  <c r="N166" i="20"/>
  <c r="C166" i="20"/>
  <c r="AD165" i="20"/>
  <c r="AG165" i="20" s="1"/>
  <c r="V165" i="20"/>
  <c r="Y165" i="20" s="1"/>
  <c r="N165" i="20"/>
  <c r="C165" i="20"/>
  <c r="F165" i="20" s="1"/>
  <c r="AD164" i="20"/>
  <c r="V164" i="20"/>
  <c r="Y164" i="20" s="1"/>
  <c r="N164" i="20"/>
  <c r="C164" i="20"/>
  <c r="E164" i="20" s="1"/>
  <c r="AD163" i="20"/>
  <c r="AE163" i="20" s="1"/>
  <c r="V163" i="20"/>
  <c r="N163" i="20"/>
  <c r="O163" i="20" s="1"/>
  <c r="C163" i="20"/>
  <c r="AD162" i="20"/>
  <c r="V162" i="20"/>
  <c r="N162" i="20"/>
  <c r="C162" i="20"/>
  <c r="AD161" i="20"/>
  <c r="V161" i="20"/>
  <c r="N161" i="20"/>
  <c r="C161" i="20"/>
  <c r="AD160" i="20"/>
  <c r="AF160" i="20" s="1"/>
  <c r="V160" i="20"/>
  <c r="N160" i="20"/>
  <c r="O160" i="20" s="1"/>
  <c r="C160" i="20"/>
  <c r="AD159" i="20"/>
  <c r="V159" i="20"/>
  <c r="N159" i="20"/>
  <c r="C159" i="20"/>
  <c r="F159" i="20" s="1"/>
  <c r="AD158" i="20"/>
  <c r="AG158" i="20" s="1"/>
  <c r="V158" i="20"/>
  <c r="Y158" i="20" s="1"/>
  <c r="N158" i="20"/>
  <c r="Q158" i="20" s="1"/>
  <c r="C158" i="20"/>
  <c r="E158" i="20" s="1"/>
  <c r="AD157" i="20"/>
  <c r="V157" i="20"/>
  <c r="N157" i="20"/>
  <c r="C157" i="20"/>
  <c r="AD156" i="20"/>
  <c r="V156" i="20"/>
  <c r="N156" i="20"/>
  <c r="C156" i="20"/>
  <c r="AD155" i="20"/>
  <c r="V155" i="20"/>
  <c r="N155" i="20"/>
  <c r="C155" i="20"/>
  <c r="E155" i="20" s="1"/>
  <c r="AD154" i="20"/>
  <c r="V154" i="20"/>
  <c r="N154" i="20"/>
  <c r="C154" i="20"/>
  <c r="AD153" i="20"/>
  <c r="V153" i="20"/>
  <c r="N153" i="20"/>
  <c r="C153" i="20"/>
  <c r="D153" i="20" s="1"/>
  <c r="AD152" i="20"/>
  <c r="AE152" i="20" s="1"/>
  <c r="V152" i="20"/>
  <c r="N152" i="20"/>
  <c r="P152" i="20" s="1"/>
  <c r="C152" i="20"/>
  <c r="AD151" i="20"/>
  <c r="V151" i="20"/>
  <c r="N151" i="20"/>
  <c r="C151" i="20"/>
  <c r="AD150" i="20"/>
  <c r="V150" i="20"/>
  <c r="N150" i="20"/>
  <c r="C150" i="20"/>
  <c r="E150" i="20" s="1"/>
  <c r="AD149" i="20"/>
  <c r="AF149" i="20" s="1"/>
  <c r="V149" i="20"/>
  <c r="X149" i="20" s="1"/>
  <c r="N149" i="20"/>
  <c r="P149" i="20" s="1"/>
  <c r="C149" i="20"/>
  <c r="AD148" i="20"/>
  <c r="V148" i="20"/>
  <c r="N148" i="20"/>
  <c r="C148" i="20"/>
  <c r="AD147" i="20"/>
  <c r="V147" i="20"/>
  <c r="N147" i="20"/>
  <c r="C147" i="20"/>
  <c r="AD146" i="20"/>
  <c r="AF146" i="20" s="1"/>
  <c r="V146" i="20"/>
  <c r="X146" i="20" s="1"/>
  <c r="N146" i="20"/>
  <c r="C146" i="20"/>
  <c r="AD145" i="20"/>
  <c r="V145" i="20"/>
  <c r="N145" i="20"/>
  <c r="C145" i="20"/>
  <c r="AD144" i="20"/>
  <c r="V144" i="20"/>
  <c r="N144" i="20"/>
  <c r="C144" i="20"/>
  <c r="AD143" i="20"/>
  <c r="V143" i="20"/>
  <c r="N143" i="20"/>
  <c r="Q143" i="20" s="1"/>
  <c r="C143" i="20"/>
  <c r="F143" i="20" s="1"/>
  <c r="AD142" i="20"/>
  <c r="V142" i="20"/>
  <c r="N142" i="20"/>
  <c r="C142" i="20"/>
  <c r="D142" i="20" s="1"/>
  <c r="AD141" i="20"/>
  <c r="AF141" i="20" s="1"/>
  <c r="V141" i="20"/>
  <c r="N141" i="20"/>
  <c r="C141" i="20"/>
  <c r="E141" i="20" s="1"/>
  <c r="AD140" i="20"/>
  <c r="V140" i="20"/>
  <c r="N140" i="20"/>
  <c r="O140" i="20" s="1"/>
  <c r="C140" i="20"/>
  <c r="AD139" i="20"/>
  <c r="V139" i="20"/>
  <c r="N139" i="20"/>
  <c r="C139" i="20"/>
  <c r="AD138" i="20"/>
  <c r="V138" i="20"/>
  <c r="N138" i="20"/>
  <c r="C138" i="20"/>
  <c r="AD137" i="20"/>
  <c r="V137" i="20"/>
  <c r="N137" i="20"/>
  <c r="C137" i="20"/>
  <c r="AD136" i="20"/>
  <c r="V136" i="20"/>
  <c r="N136" i="20"/>
  <c r="C136" i="20"/>
  <c r="AD135" i="20"/>
  <c r="V135" i="20"/>
  <c r="Y135" i="20" s="1"/>
  <c r="N135" i="20"/>
  <c r="Q135" i="20" s="1"/>
  <c r="C135" i="20"/>
  <c r="F135" i="20" s="1"/>
  <c r="AD134" i="20"/>
  <c r="V134" i="20"/>
  <c r="N134" i="20"/>
  <c r="Q134" i="20" s="1"/>
  <c r="C134" i="20"/>
  <c r="AD133" i="20"/>
  <c r="V133" i="20"/>
  <c r="N133" i="20"/>
  <c r="Q133" i="20" s="1"/>
  <c r="C133" i="20"/>
  <c r="AD132" i="20"/>
  <c r="V132" i="20"/>
  <c r="N132" i="20"/>
  <c r="C132" i="20"/>
  <c r="AD131" i="20"/>
  <c r="V131" i="20"/>
  <c r="Y131" i="20" s="1"/>
  <c r="N131" i="20"/>
  <c r="C131" i="20"/>
  <c r="AD130" i="20"/>
  <c r="V130" i="20"/>
  <c r="N130" i="20"/>
  <c r="C130" i="20"/>
  <c r="AD129" i="20"/>
  <c r="V129" i="20"/>
  <c r="N129" i="20"/>
  <c r="C129" i="20"/>
  <c r="AD128" i="20"/>
  <c r="V128" i="20"/>
  <c r="N128" i="20"/>
  <c r="C128" i="20"/>
  <c r="AD127" i="20"/>
  <c r="V127" i="20"/>
  <c r="N127" i="20"/>
  <c r="C127" i="20"/>
  <c r="AD126" i="20"/>
  <c r="V126" i="20"/>
  <c r="N126" i="20"/>
  <c r="C126" i="20"/>
  <c r="AD125" i="20"/>
  <c r="V125" i="20"/>
  <c r="N125" i="20"/>
  <c r="C125" i="20"/>
  <c r="AD124" i="20"/>
  <c r="V124" i="20"/>
  <c r="N124" i="20"/>
  <c r="C124" i="20"/>
  <c r="AD123" i="20"/>
  <c r="V123" i="20"/>
  <c r="W123" i="20" s="1"/>
  <c r="N123" i="20"/>
  <c r="O123" i="20" s="1"/>
  <c r="C123" i="20"/>
  <c r="AD122" i="20"/>
  <c r="V122" i="20"/>
  <c r="N122" i="20"/>
  <c r="C122" i="20"/>
  <c r="AD121" i="20"/>
  <c r="V121" i="20"/>
  <c r="N121" i="20"/>
  <c r="C121" i="20"/>
  <c r="AD120" i="20"/>
  <c r="V120" i="20"/>
  <c r="N120" i="20"/>
  <c r="C120" i="20"/>
  <c r="AD119" i="20"/>
  <c r="V119" i="20"/>
  <c r="N119" i="20"/>
  <c r="C119" i="20"/>
  <c r="D119" i="20" s="1"/>
  <c r="AD118" i="20"/>
  <c r="V118" i="20"/>
  <c r="N118" i="20"/>
  <c r="O118" i="20" s="1"/>
  <c r="C118" i="20"/>
  <c r="AD117" i="20"/>
  <c r="V117" i="20"/>
  <c r="N117" i="20"/>
  <c r="C117" i="20"/>
  <c r="AD116" i="20"/>
  <c r="V116" i="20"/>
  <c r="N116" i="20"/>
  <c r="C116" i="20"/>
  <c r="AD115" i="20"/>
  <c r="AF115" i="20" s="1"/>
  <c r="V115" i="20"/>
  <c r="N115" i="20"/>
  <c r="C115" i="20"/>
  <c r="F115" i="20" s="1"/>
  <c r="AD114" i="20"/>
  <c r="AG114" i="20" s="1"/>
  <c r="V114" i="20"/>
  <c r="Y114" i="20" s="1"/>
  <c r="N114" i="20"/>
  <c r="C114" i="20"/>
  <c r="AD113" i="20"/>
  <c r="V113" i="20"/>
  <c r="X113" i="20" s="1"/>
  <c r="N113" i="20"/>
  <c r="C113" i="20"/>
  <c r="AD112" i="20"/>
  <c r="V112" i="20"/>
  <c r="N112" i="20"/>
  <c r="C112" i="20"/>
  <c r="AD111" i="20"/>
  <c r="AE111" i="20" s="1"/>
  <c r="V111" i="20"/>
  <c r="W111" i="20" s="1"/>
  <c r="N111" i="20"/>
  <c r="O111" i="20" s="1"/>
  <c r="C111" i="20"/>
  <c r="AD110" i="20"/>
  <c r="V110" i="20"/>
  <c r="N110" i="20"/>
  <c r="C110" i="20"/>
  <c r="AD109" i="20"/>
  <c r="V109" i="20"/>
  <c r="N109" i="20"/>
  <c r="C109" i="20"/>
  <c r="AD108" i="20"/>
  <c r="V108" i="20"/>
  <c r="N108" i="20"/>
  <c r="C108" i="20"/>
  <c r="D108" i="20" s="1"/>
  <c r="AD107" i="20"/>
  <c r="V107" i="20"/>
  <c r="N107" i="20"/>
  <c r="C107" i="20"/>
  <c r="AD106" i="20"/>
  <c r="AG106" i="20" s="1"/>
  <c r="V106" i="20"/>
  <c r="Y106" i="20" s="1"/>
  <c r="N106" i="20"/>
  <c r="C106" i="20"/>
  <c r="AD105" i="20"/>
  <c r="V105" i="20"/>
  <c r="N105" i="20"/>
  <c r="C105" i="20"/>
  <c r="AD104" i="20"/>
  <c r="V104" i="20"/>
  <c r="N104" i="20"/>
  <c r="C104" i="20"/>
  <c r="D104" i="20" s="1"/>
  <c r="AD103" i="20"/>
  <c r="V103" i="20"/>
  <c r="W103" i="20" s="1"/>
  <c r="N103" i="20"/>
  <c r="O103" i="20" s="1"/>
  <c r="C103" i="20"/>
  <c r="AD102" i="20"/>
  <c r="AE102" i="20" s="1"/>
  <c r="V102" i="20"/>
  <c r="N102" i="20"/>
  <c r="C102" i="20"/>
  <c r="AD101" i="20"/>
  <c r="V101" i="20"/>
  <c r="N101" i="20"/>
  <c r="C101" i="20"/>
  <c r="AD100" i="20"/>
  <c r="V100" i="20"/>
  <c r="N100" i="20"/>
  <c r="C100" i="20"/>
  <c r="AD99" i="20"/>
  <c r="V99" i="20"/>
  <c r="X99" i="20" s="1"/>
  <c r="N99" i="20"/>
  <c r="C99" i="20"/>
  <c r="AD98" i="20"/>
  <c r="V98" i="20"/>
  <c r="Y98" i="20" s="1"/>
  <c r="N98" i="20"/>
  <c r="Q98" i="20" s="1"/>
  <c r="C98" i="20"/>
  <c r="AD97" i="20"/>
  <c r="V97" i="20"/>
  <c r="N97" i="20"/>
  <c r="C97" i="20"/>
  <c r="AD96" i="20"/>
  <c r="V96" i="20"/>
  <c r="N96" i="20"/>
  <c r="C96" i="20"/>
  <c r="D96" i="20" s="1"/>
  <c r="AD95" i="20"/>
  <c r="V95" i="20"/>
  <c r="N95" i="20"/>
  <c r="C95" i="20"/>
  <c r="AD94" i="20"/>
  <c r="V94" i="20"/>
  <c r="N94" i="20"/>
  <c r="C94" i="20"/>
  <c r="AD93" i="20"/>
  <c r="V93" i="20"/>
  <c r="N93" i="20"/>
  <c r="C93" i="20"/>
  <c r="AD92" i="20"/>
  <c r="V92" i="20"/>
  <c r="N92" i="20"/>
  <c r="C92" i="20"/>
  <c r="AD91" i="20"/>
  <c r="V91" i="20"/>
  <c r="W91" i="20" s="1"/>
  <c r="N91" i="20"/>
  <c r="C91" i="20"/>
  <c r="F91" i="20" s="1"/>
  <c r="AD90" i="20"/>
  <c r="V90" i="20"/>
  <c r="Y90" i="20" s="1"/>
  <c r="N90" i="20"/>
  <c r="Q90" i="20" s="1"/>
  <c r="C90" i="20"/>
  <c r="E90" i="20" s="1"/>
  <c r="AD89" i="20"/>
  <c r="V89" i="20"/>
  <c r="N89" i="20"/>
  <c r="C89" i="20"/>
  <c r="AD88" i="20"/>
  <c r="V88" i="20"/>
  <c r="N88" i="20"/>
  <c r="C88" i="20"/>
  <c r="AD87" i="20"/>
  <c r="AE87" i="20" s="1"/>
  <c r="V87" i="20"/>
  <c r="W87" i="20" s="1"/>
  <c r="N87" i="20"/>
  <c r="O87" i="20" s="1"/>
  <c r="C87" i="20"/>
  <c r="F87" i="20" s="1"/>
  <c r="AD86" i="20"/>
  <c r="V86" i="20"/>
  <c r="Y86" i="20" s="1"/>
  <c r="N86" i="20"/>
  <c r="C86" i="20"/>
  <c r="AD85" i="20"/>
  <c r="V85" i="20"/>
  <c r="N85" i="20"/>
  <c r="C85" i="20"/>
  <c r="AD84" i="20"/>
  <c r="V84" i="20"/>
  <c r="N84" i="20"/>
  <c r="C84" i="20"/>
  <c r="E84" i="20" s="1"/>
  <c r="AD83" i="20"/>
  <c r="V83" i="20"/>
  <c r="N83" i="20"/>
  <c r="C83" i="20"/>
  <c r="AD82" i="20"/>
  <c r="V82" i="20"/>
  <c r="Y82" i="20" s="1"/>
  <c r="N82" i="20"/>
  <c r="Q82" i="20" s="1"/>
  <c r="C82" i="20"/>
  <c r="AD81" i="20"/>
  <c r="V81" i="20"/>
  <c r="N81" i="20"/>
  <c r="C81" i="20"/>
  <c r="E81" i="20" s="1"/>
  <c r="AD80" i="20"/>
  <c r="V80" i="20"/>
  <c r="N80" i="20"/>
  <c r="C80" i="20"/>
  <c r="AD79" i="20"/>
  <c r="AG79" i="20" s="1"/>
  <c r="V79" i="20"/>
  <c r="N79" i="20"/>
  <c r="C79" i="20"/>
  <c r="E79" i="20" s="1"/>
  <c r="AD78" i="20"/>
  <c r="V78" i="20"/>
  <c r="N78" i="20"/>
  <c r="C78" i="20"/>
  <c r="AD77" i="20"/>
  <c r="V77" i="20"/>
  <c r="N77" i="20"/>
  <c r="C77" i="20"/>
  <c r="AD76" i="20"/>
  <c r="V76" i="20"/>
  <c r="N76" i="20"/>
  <c r="P76" i="20" s="1"/>
  <c r="C76" i="20"/>
  <c r="F76" i="20" s="1"/>
  <c r="AD75" i="20"/>
  <c r="V75" i="20"/>
  <c r="Y75" i="20" s="1"/>
  <c r="N75" i="20"/>
  <c r="O75" i="20" s="1"/>
  <c r="C75" i="20"/>
  <c r="AD74" i="20"/>
  <c r="AG74" i="20" s="1"/>
  <c r="V74" i="20"/>
  <c r="N74" i="20"/>
  <c r="C74" i="20"/>
  <c r="AD73" i="20"/>
  <c r="V73" i="20"/>
  <c r="N73" i="20"/>
  <c r="C73" i="20"/>
  <c r="AD72" i="20"/>
  <c r="V72" i="20"/>
  <c r="N72" i="20"/>
  <c r="O72" i="20" s="1"/>
  <c r="C72" i="20"/>
  <c r="D72" i="20" s="1"/>
  <c r="AD71" i="20"/>
  <c r="V71" i="20"/>
  <c r="N71" i="20"/>
  <c r="C71" i="20"/>
  <c r="AD70" i="20"/>
  <c r="V70" i="20"/>
  <c r="N70" i="20"/>
  <c r="C70" i="20"/>
  <c r="AD69" i="20"/>
  <c r="V69" i="20"/>
  <c r="N69" i="20"/>
  <c r="C69" i="20"/>
  <c r="AD68" i="20"/>
  <c r="V68" i="20"/>
  <c r="X68" i="20" s="1"/>
  <c r="N68" i="20"/>
  <c r="O68" i="20" s="1"/>
  <c r="C68" i="20"/>
  <c r="AD67" i="20"/>
  <c r="V67" i="20"/>
  <c r="N67" i="20"/>
  <c r="C67" i="20"/>
  <c r="F67" i="20" s="1"/>
  <c r="AD66" i="20"/>
  <c r="AF66" i="20" s="1"/>
  <c r="V66" i="20"/>
  <c r="N66" i="20"/>
  <c r="Q66" i="20" s="1"/>
  <c r="C66" i="20"/>
  <c r="AD65" i="20"/>
  <c r="V65" i="20"/>
  <c r="N65" i="20"/>
  <c r="C65" i="20"/>
  <c r="AD64" i="20"/>
  <c r="V64" i="20"/>
  <c r="N64" i="20"/>
  <c r="C64" i="20"/>
  <c r="AD63" i="20"/>
  <c r="V63" i="20"/>
  <c r="N63" i="20"/>
  <c r="C63" i="20"/>
  <c r="AD62" i="20"/>
  <c r="V62" i="20"/>
  <c r="N62" i="20"/>
  <c r="C62" i="20"/>
  <c r="AD61" i="20"/>
  <c r="V61" i="20"/>
  <c r="N61" i="20"/>
  <c r="C61" i="20"/>
  <c r="AD60" i="20"/>
  <c r="V60" i="20"/>
  <c r="N60" i="20"/>
  <c r="P60" i="20" s="1"/>
  <c r="C60" i="20"/>
  <c r="AD59" i="20"/>
  <c r="V59" i="20"/>
  <c r="N59" i="20"/>
  <c r="Q59" i="20" s="1"/>
  <c r="C59" i="20"/>
  <c r="F59" i="20" s="1"/>
  <c r="AD58" i="20"/>
  <c r="V58" i="20"/>
  <c r="N58" i="20"/>
  <c r="Q58" i="20" s="1"/>
  <c r="C58" i="20"/>
  <c r="AD57" i="20"/>
  <c r="V57" i="20"/>
  <c r="N57" i="20"/>
  <c r="C57" i="20"/>
  <c r="AD56" i="20"/>
  <c r="V56" i="20"/>
  <c r="N56" i="20"/>
  <c r="P56" i="20" s="1"/>
  <c r="C56" i="20"/>
  <c r="AD55" i="20"/>
  <c r="AG55" i="20" s="1"/>
  <c r="V55" i="20"/>
  <c r="N55" i="20"/>
  <c r="Q55" i="20" s="1"/>
  <c r="C55" i="20"/>
  <c r="F55" i="20" s="1"/>
  <c r="AD54" i="20"/>
  <c r="AF54" i="20" s="1"/>
  <c r="V54" i="20"/>
  <c r="W54" i="20" s="1"/>
  <c r="N54" i="20"/>
  <c r="P54" i="20" s="1"/>
  <c r="C54" i="20"/>
  <c r="AD53" i="20"/>
  <c r="V53" i="20"/>
  <c r="N53" i="20"/>
  <c r="C53" i="20"/>
  <c r="AD52" i="20"/>
  <c r="AE52" i="20" s="1"/>
  <c r="V52" i="20"/>
  <c r="N52" i="20"/>
  <c r="O52" i="20" s="1"/>
  <c r="C52" i="20"/>
  <c r="AD51" i="20"/>
  <c r="V51" i="20"/>
  <c r="N51" i="20"/>
  <c r="O51" i="20" s="1"/>
  <c r="C51" i="20"/>
  <c r="AD50" i="20"/>
  <c r="V50" i="20"/>
  <c r="N50" i="20"/>
  <c r="C50" i="20"/>
  <c r="AD49" i="20"/>
  <c r="V49" i="20"/>
  <c r="N49" i="20"/>
  <c r="C49" i="20"/>
  <c r="AD48" i="20"/>
  <c r="V48" i="20"/>
  <c r="Y48" i="20" s="1"/>
  <c r="N48" i="20"/>
  <c r="C48" i="20"/>
  <c r="F48" i="20" s="1"/>
  <c r="AD47" i="20"/>
  <c r="AG47" i="20" s="1"/>
  <c r="V47" i="20"/>
  <c r="Y47" i="20" s="1"/>
  <c r="N47" i="20"/>
  <c r="C47" i="20"/>
  <c r="AD46" i="20"/>
  <c r="AG46" i="20" s="1"/>
  <c r="V46" i="20"/>
  <c r="N46" i="20"/>
  <c r="P46" i="20" s="1"/>
  <c r="C46" i="20"/>
  <c r="AD45" i="20"/>
  <c r="V45" i="20"/>
  <c r="N45" i="20"/>
  <c r="C45" i="20"/>
  <c r="D45" i="20" s="1"/>
  <c r="AD44" i="20"/>
  <c r="V44" i="20"/>
  <c r="W44" i="20" s="1"/>
  <c r="N44" i="20"/>
  <c r="C44" i="20"/>
  <c r="D44" i="20" s="1"/>
  <c r="AD43" i="20"/>
  <c r="V43" i="20"/>
  <c r="N43" i="20"/>
  <c r="Q43" i="20" s="1"/>
  <c r="C43" i="20"/>
  <c r="AD42" i="20"/>
  <c r="V42" i="20"/>
  <c r="N42" i="20"/>
  <c r="C42" i="20"/>
  <c r="AD41" i="20"/>
  <c r="V41" i="20"/>
  <c r="N41" i="20"/>
  <c r="C41" i="20"/>
  <c r="AD40" i="20"/>
  <c r="V40" i="20"/>
  <c r="N40" i="20"/>
  <c r="C40" i="20"/>
  <c r="AD39" i="20"/>
  <c r="AG39" i="20" s="1"/>
  <c r="V39" i="20"/>
  <c r="N39" i="20"/>
  <c r="Q39" i="20" s="1"/>
  <c r="C39" i="20"/>
  <c r="AD38" i="20"/>
  <c r="V38" i="20"/>
  <c r="N38" i="20"/>
  <c r="C38" i="20"/>
  <c r="AD37" i="20"/>
  <c r="V37" i="20"/>
  <c r="N37" i="20"/>
  <c r="C37" i="20"/>
  <c r="F37" i="20" s="1"/>
  <c r="AD36" i="20"/>
  <c r="V36" i="20"/>
  <c r="N36" i="20"/>
  <c r="C36" i="20"/>
  <c r="AD35" i="20"/>
  <c r="AF35" i="20" s="1"/>
  <c r="V35" i="20"/>
  <c r="N35" i="20"/>
  <c r="C35" i="20"/>
  <c r="AD34" i="20"/>
  <c r="V34" i="20"/>
  <c r="W34" i="20" s="1"/>
  <c r="N34" i="20"/>
  <c r="Q34" i="20" s="1"/>
  <c r="C34" i="20"/>
  <c r="AD33" i="20"/>
  <c r="V33" i="20"/>
  <c r="N33" i="20"/>
  <c r="C33" i="20"/>
  <c r="AD32" i="20"/>
  <c r="V32" i="20"/>
  <c r="N32" i="20"/>
  <c r="C32" i="20"/>
  <c r="AD31" i="20"/>
  <c r="V31" i="20"/>
  <c r="N31" i="20"/>
  <c r="C31" i="20"/>
  <c r="AD30" i="20"/>
  <c r="V30" i="20"/>
  <c r="N30" i="20"/>
  <c r="C30" i="20"/>
  <c r="AD29" i="20"/>
  <c r="V29" i="20"/>
  <c r="N29" i="20"/>
  <c r="C29" i="20"/>
  <c r="AD28" i="20"/>
  <c r="V28" i="20"/>
  <c r="N28" i="20"/>
  <c r="C28" i="20"/>
  <c r="F28" i="20" s="1"/>
  <c r="AD27" i="20"/>
  <c r="V27" i="20"/>
  <c r="N27" i="20"/>
  <c r="C27" i="20"/>
  <c r="AD26" i="20"/>
  <c r="V26" i="20"/>
  <c r="N26" i="20"/>
  <c r="C26" i="20"/>
  <c r="BZ25" i="20"/>
  <c r="BZ27" i="20" s="1"/>
  <c r="AD25" i="20"/>
  <c r="V25" i="20"/>
  <c r="N25" i="20"/>
  <c r="C25" i="20"/>
  <c r="AD24" i="20"/>
  <c r="V24" i="20"/>
  <c r="N24" i="20"/>
  <c r="C24" i="20"/>
  <c r="AD23" i="20"/>
  <c r="V23" i="20"/>
  <c r="N23" i="20"/>
  <c r="C23" i="20"/>
  <c r="AD22" i="20"/>
  <c r="V22" i="20"/>
  <c r="N22" i="20"/>
  <c r="C22" i="20"/>
  <c r="AD21" i="20"/>
  <c r="V21" i="20"/>
  <c r="N21" i="20"/>
  <c r="C21" i="20"/>
  <c r="AD20" i="20"/>
  <c r="V20" i="20"/>
  <c r="N20" i="20"/>
  <c r="C20" i="20"/>
  <c r="AD19" i="20"/>
  <c r="AF19" i="20" s="1"/>
  <c r="V19" i="20"/>
  <c r="N19" i="20"/>
  <c r="C19" i="20"/>
  <c r="AD18" i="20"/>
  <c r="V18" i="20"/>
  <c r="W18" i="20" s="1"/>
  <c r="N18" i="20"/>
  <c r="Q18" i="20" s="1"/>
  <c r="C18" i="20"/>
  <c r="AD17" i="20"/>
  <c r="V17" i="20"/>
  <c r="N17" i="20"/>
  <c r="C17" i="20"/>
  <c r="AD16" i="20"/>
  <c r="V16" i="20"/>
  <c r="N16" i="20"/>
  <c r="O16" i="20" s="1"/>
  <c r="C16" i="20"/>
  <c r="F16" i="20" s="1"/>
  <c r="AD15" i="20"/>
  <c r="AG15" i="20" s="1"/>
  <c r="V15" i="20"/>
  <c r="Y15" i="20" s="1"/>
  <c r="N15" i="20"/>
  <c r="Q15" i="20" s="1"/>
  <c r="C15" i="20"/>
  <c r="CB14" i="20"/>
  <c r="CA14" i="20"/>
  <c r="AD14" i="20"/>
  <c r="V14" i="20"/>
  <c r="N14" i="20"/>
  <c r="O14" i="20" s="1"/>
  <c r="C14" i="20"/>
  <c r="F14" i="20" s="1"/>
  <c r="CB13" i="20"/>
  <c r="CA13" i="20"/>
  <c r="AD13" i="20"/>
  <c r="V13" i="20"/>
  <c r="N13" i="20"/>
  <c r="C13" i="20"/>
  <c r="D13" i="20" s="1"/>
  <c r="CB12" i="20"/>
  <c r="CA12" i="20"/>
  <c r="AD12" i="20"/>
  <c r="V12" i="20"/>
  <c r="N12" i="20"/>
  <c r="C12" i="20"/>
  <c r="AD11" i="20"/>
  <c r="V11" i="20"/>
  <c r="N11" i="20"/>
  <c r="C11" i="20"/>
  <c r="D11" i="20" s="1"/>
  <c r="AD10" i="20"/>
  <c r="V10" i="20"/>
  <c r="N10" i="20"/>
  <c r="O10" i="20" s="1"/>
  <c r="C10" i="20"/>
  <c r="F10" i="20" s="1"/>
  <c r="AD9" i="20"/>
  <c r="AG9" i="20" s="1"/>
  <c r="V9" i="20"/>
  <c r="Y9" i="20" s="1"/>
  <c r="N9" i="20"/>
  <c r="Q9" i="20" s="1"/>
  <c r="C9" i="20"/>
  <c r="AD8" i="20"/>
  <c r="V8" i="20"/>
  <c r="N8" i="20"/>
  <c r="C8" i="20"/>
  <c r="E8" i="20" s="1"/>
  <c r="BJ7" i="20"/>
  <c r="BI7" i="20"/>
  <c r="BH7" i="20"/>
  <c r="BD7" i="20"/>
  <c r="BC7" i="20"/>
  <c r="AY7" i="20"/>
  <c r="AX7" i="20"/>
  <c r="AT7" i="20"/>
  <c r="AD7" i="20"/>
  <c r="V7" i="20"/>
  <c r="N7" i="20"/>
  <c r="C7" i="20"/>
  <c r="BJ6" i="20"/>
  <c r="BI6" i="20"/>
  <c r="BH6" i="20"/>
  <c r="BD6" i="20"/>
  <c r="BC6" i="20"/>
  <c r="AY6" i="20"/>
  <c r="AX6" i="20"/>
  <c r="AT6" i="20"/>
  <c r="AD6" i="20"/>
  <c r="V6" i="20"/>
  <c r="N6" i="20"/>
  <c r="C6" i="20"/>
  <c r="BJ5" i="20"/>
  <c r="BI5" i="20"/>
  <c r="BH5" i="20"/>
  <c r="BD5" i="20"/>
  <c r="BC5" i="20"/>
  <c r="AY5" i="20"/>
  <c r="AX5" i="20"/>
  <c r="AT5" i="20"/>
  <c r="AD5" i="20"/>
  <c r="V5" i="20"/>
  <c r="N5" i="20"/>
  <c r="C5" i="20"/>
  <c r="BJ4" i="20"/>
  <c r="BI4" i="20"/>
  <c r="BC4" i="20"/>
  <c r="AX4" i="20"/>
  <c r="AS4" i="20"/>
  <c r="BH4" i="20" s="1"/>
  <c r="AD4" i="20"/>
  <c r="V4" i="20"/>
  <c r="N4" i="20"/>
  <c r="O4" i="20" s="1"/>
  <c r="C4" i="20"/>
  <c r="F4" i="20" s="1"/>
  <c r="AD3" i="20"/>
  <c r="V3" i="20"/>
  <c r="N3" i="20"/>
  <c r="R3" i="20" s="1"/>
  <c r="C3" i="20"/>
  <c r="K3" i="20" l="1"/>
  <c r="M3" i="20"/>
  <c r="L3" i="20"/>
  <c r="J3" i="20"/>
  <c r="J4" i="20" s="1"/>
  <c r="I3" i="20"/>
  <c r="H3" i="20"/>
  <c r="G3" i="20"/>
  <c r="G4" i="20" s="1"/>
  <c r="G5" i="20" s="1"/>
  <c r="G6" i="20" s="1"/>
  <c r="G7" i="20" s="1"/>
  <c r="G8" i="20" s="1"/>
  <c r="G9" i="20" s="1"/>
  <c r="G10" i="20" s="1"/>
  <c r="G11" i="20" s="1"/>
  <c r="G12" i="20" s="1"/>
  <c r="G13" i="20" s="1"/>
  <c r="G14" i="20" s="1"/>
  <c r="G15" i="20" s="1"/>
  <c r="G16" i="20" s="1"/>
  <c r="G17" i="20" s="1"/>
  <c r="G18" i="20" s="1"/>
  <c r="G19" i="20" s="1"/>
  <c r="G20" i="20" s="1"/>
  <c r="G21" i="20" s="1"/>
  <c r="G22" i="20" s="1"/>
  <c r="G23" i="20" s="1"/>
  <c r="G24" i="20" s="1"/>
  <c r="G25" i="20" s="1"/>
  <c r="G26" i="20" s="1"/>
  <c r="G27" i="20" s="1"/>
  <c r="G28" i="20" s="1"/>
  <c r="G29" i="20" s="1"/>
  <c r="G30" i="20" s="1"/>
  <c r="G31" i="20" s="1"/>
  <c r="G32" i="20" s="1"/>
  <c r="G33" i="20" s="1"/>
  <c r="G34" i="20" s="1"/>
  <c r="G35" i="20" s="1"/>
  <c r="G36" i="20" s="1"/>
  <c r="G37" i="20" s="1"/>
  <c r="G38" i="20" s="1"/>
  <c r="G39" i="20" s="1"/>
  <c r="G40" i="20" s="1"/>
  <c r="G41" i="20" s="1"/>
  <c r="G42" i="20" s="1"/>
  <c r="G43" i="20" s="1"/>
  <c r="G44" i="20" s="1"/>
  <c r="G45" i="20" s="1"/>
  <c r="G46" i="20" s="1"/>
  <c r="G47" i="20" s="1"/>
  <c r="G48" i="20" s="1"/>
  <c r="G49" i="20" s="1"/>
  <c r="G50" i="20" s="1"/>
  <c r="G51" i="20" s="1"/>
  <c r="G52" i="20" s="1"/>
  <c r="G53" i="20" s="1"/>
  <c r="G54" i="20" s="1"/>
  <c r="G55" i="20" s="1"/>
  <c r="G56" i="20" s="1"/>
  <c r="G57" i="20" s="1"/>
  <c r="G58" i="20" s="1"/>
  <c r="G59" i="20" s="1"/>
  <c r="G60" i="20" s="1"/>
  <c r="G61" i="20" s="1"/>
  <c r="G62" i="20" s="1"/>
  <c r="G63" i="20" s="1"/>
  <c r="G64" i="20" s="1"/>
  <c r="G65" i="20" s="1"/>
  <c r="G66" i="20" s="1"/>
  <c r="G67" i="20" s="1"/>
  <c r="G68" i="20" s="1"/>
  <c r="G69" i="20" s="1"/>
  <c r="G70" i="20" s="1"/>
  <c r="G71" i="20" s="1"/>
  <c r="G72" i="20" s="1"/>
  <c r="G73" i="20" s="1"/>
  <c r="G74" i="20" s="1"/>
  <c r="G75" i="20" s="1"/>
  <c r="G76" i="20" s="1"/>
  <c r="G77" i="20" s="1"/>
  <c r="G78" i="20" s="1"/>
  <c r="G79" i="20" s="1"/>
  <c r="G80" i="20" s="1"/>
  <c r="G81" i="20" s="1"/>
  <c r="G82" i="20" s="1"/>
  <c r="G83" i="20" s="1"/>
  <c r="G84" i="20" s="1"/>
  <c r="G85" i="20" s="1"/>
  <c r="G86" i="20" s="1"/>
  <c r="G87" i="20" s="1"/>
  <c r="G88" i="20" s="1"/>
  <c r="G89" i="20" s="1"/>
  <c r="G90" i="20" s="1"/>
  <c r="G91" i="20" s="1"/>
  <c r="G92" i="20" s="1"/>
  <c r="G93" i="20" s="1"/>
  <c r="G94" i="20" s="1"/>
  <c r="G95" i="20" s="1"/>
  <c r="G96" i="20" s="1"/>
  <c r="G97" i="20" s="1"/>
  <c r="G98" i="20" s="1"/>
  <c r="G99" i="20" s="1"/>
  <c r="G100" i="20" s="1"/>
  <c r="G101" i="20" s="1"/>
  <c r="G102" i="20" s="1"/>
  <c r="G103" i="20" s="1"/>
  <c r="G104" i="20" s="1"/>
  <c r="G105" i="20" s="1"/>
  <c r="G106" i="20" s="1"/>
  <c r="G107" i="20" s="1"/>
  <c r="G108" i="20" s="1"/>
  <c r="G109" i="20" s="1"/>
  <c r="G110" i="20" s="1"/>
  <c r="G111" i="20" s="1"/>
  <c r="G112" i="20" s="1"/>
  <c r="G113" i="20" s="1"/>
  <c r="G114" i="20" s="1"/>
  <c r="G115" i="20" s="1"/>
  <c r="G116" i="20" s="1"/>
  <c r="G117" i="20" s="1"/>
  <c r="G118" i="20" s="1"/>
  <c r="G119" i="20" s="1"/>
  <c r="G120" i="20" s="1"/>
  <c r="G121" i="20" s="1"/>
  <c r="G122" i="20" s="1"/>
  <c r="G123" i="20" s="1"/>
  <c r="G124" i="20" s="1"/>
  <c r="G125" i="20" s="1"/>
  <c r="G126" i="20" s="1"/>
  <c r="G127" i="20" s="1"/>
  <c r="G128" i="20" s="1"/>
  <c r="G129" i="20" s="1"/>
  <c r="G130" i="20" s="1"/>
  <c r="G131" i="20" s="1"/>
  <c r="G132" i="20" s="1"/>
  <c r="G133" i="20" s="1"/>
  <c r="G134" i="20" s="1"/>
  <c r="G135" i="20" s="1"/>
  <c r="G136" i="20" s="1"/>
  <c r="G137" i="20" s="1"/>
  <c r="G138" i="20" s="1"/>
  <c r="G139" i="20" s="1"/>
  <c r="G140" i="20" s="1"/>
  <c r="G141" i="20" s="1"/>
  <c r="G142" i="20" s="1"/>
  <c r="G143" i="20" s="1"/>
  <c r="G144" i="20" s="1"/>
  <c r="G145" i="20" s="1"/>
  <c r="G146" i="20" s="1"/>
  <c r="G147" i="20" s="1"/>
  <c r="G148" i="20" s="1"/>
  <c r="G149" i="20" s="1"/>
  <c r="G150" i="20" s="1"/>
  <c r="G151" i="20" s="1"/>
  <c r="G152" i="20" s="1"/>
  <c r="G153" i="20" s="1"/>
  <c r="G154" i="20" s="1"/>
  <c r="G155" i="20" s="1"/>
  <c r="G156" i="20" s="1"/>
  <c r="G157" i="20" s="1"/>
  <c r="G158" i="20" s="1"/>
  <c r="G159" i="20" s="1"/>
  <c r="G160" i="20" s="1"/>
  <c r="G161" i="20" s="1"/>
  <c r="G162" i="20" s="1"/>
  <c r="G163" i="20" s="1"/>
  <c r="G164" i="20" s="1"/>
  <c r="G165" i="20" s="1"/>
  <c r="G166" i="20" s="1"/>
  <c r="G167" i="20" s="1"/>
  <c r="G168" i="20" s="1"/>
  <c r="G169" i="20" s="1"/>
  <c r="G170" i="20" s="1"/>
  <c r="G171" i="20" s="1"/>
  <c r="G172" i="20" s="1"/>
  <c r="G173" i="20" s="1"/>
  <c r="G174" i="20" s="1"/>
  <c r="G175" i="20" s="1"/>
  <c r="G176" i="20" s="1"/>
  <c r="G177" i="20" s="1"/>
  <c r="G178" i="20" s="1"/>
  <c r="G179" i="20" s="1"/>
  <c r="G180" i="20" s="1"/>
  <c r="G181" i="20" s="1"/>
  <c r="G182" i="20" s="1"/>
  <c r="G183" i="20" s="1"/>
  <c r="G184" i="20" s="1"/>
  <c r="G185" i="20" s="1"/>
  <c r="G186" i="20" s="1"/>
  <c r="G187" i="20" s="1"/>
  <c r="G188" i="20" s="1"/>
  <c r="G189" i="20" s="1"/>
  <c r="G190" i="20" s="1"/>
  <c r="G191" i="20" s="1"/>
  <c r="G192" i="20" s="1"/>
  <c r="G193" i="20" s="1"/>
  <c r="G194" i="20" s="1"/>
  <c r="G195" i="20" s="1"/>
  <c r="G196" i="20" s="1"/>
  <c r="G197" i="20" s="1"/>
  <c r="G198" i="20" s="1"/>
  <c r="G199" i="20" s="1"/>
  <c r="G200" i="20" s="1"/>
  <c r="G201" i="20" s="1"/>
  <c r="G202" i="20" s="1"/>
  <c r="F3" i="20"/>
  <c r="E3" i="20"/>
  <c r="D3" i="20"/>
  <c r="Y3" i="20"/>
  <c r="Z3" i="20"/>
  <c r="AG3" i="20"/>
  <c r="AH3" i="20"/>
  <c r="AH4" i="20" s="1"/>
  <c r="Y4" i="20"/>
  <c r="W4" i="20"/>
  <c r="AG4" i="20"/>
  <c r="AE4" i="20"/>
  <c r="F5" i="20"/>
  <c r="E5" i="20"/>
  <c r="D5" i="20"/>
  <c r="O7" i="20"/>
  <c r="P7" i="20"/>
  <c r="W7" i="20"/>
  <c r="X7" i="20"/>
  <c r="AE7" i="20"/>
  <c r="AF7" i="20"/>
  <c r="Q8" i="20"/>
  <c r="P8" i="20"/>
  <c r="O8" i="20"/>
  <c r="Y8" i="20"/>
  <c r="X8" i="20"/>
  <c r="W8" i="20"/>
  <c r="AG8" i="20"/>
  <c r="AF8" i="20"/>
  <c r="AE8" i="20"/>
  <c r="F9" i="20"/>
  <c r="E9" i="20"/>
  <c r="D9" i="20"/>
  <c r="Y10" i="20"/>
  <c r="W10" i="20"/>
  <c r="AG10" i="20"/>
  <c r="AE10" i="20"/>
  <c r="Q11" i="20"/>
  <c r="P11" i="20"/>
  <c r="O11" i="20"/>
  <c r="Y11" i="20"/>
  <c r="X11" i="20"/>
  <c r="W11" i="20"/>
  <c r="AG11" i="20"/>
  <c r="AF11" i="20"/>
  <c r="AE11" i="20"/>
  <c r="F12" i="20"/>
  <c r="E12" i="20"/>
  <c r="D12" i="20"/>
  <c r="Q12" i="20"/>
  <c r="P12" i="20"/>
  <c r="O12" i="20"/>
  <c r="Y12" i="20"/>
  <c r="X12" i="20"/>
  <c r="W12" i="20"/>
  <c r="AG12" i="20"/>
  <c r="AF12" i="20"/>
  <c r="AE12" i="20"/>
  <c r="Q13" i="20"/>
  <c r="P13" i="20"/>
  <c r="O13" i="20"/>
  <c r="Y13" i="20"/>
  <c r="X13" i="20"/>
  <c r="W13" i="20"/>
  <c r="AG13" i="20"/>
  <c r="AF13" i="20"/>
  <c r="AE13" i="20"/>
  <c r="Y14" i="20"/>
  <c r="W14" i="20"/>
  <c r="AG14" i="20"/>
  <c r="AE14" i="20"/>
  <c r="F15" i="20"/>
  <c r="E15" i="20"/>
  <c r="D15" i="20"/>
  <c r="Y16" i="20"/>
  <c r="W16" i="20"/>
  <c r="AG16" i="20"/>
  <c r="AE16" i="20"/>
  <c r="E17" i="20"/>
  <c r="D17" i="20"/>
  <c r="Q17" i="20"/>
  <c r="P17" i="20"/>
  <c r="O17" i="20"/>
  <c r="Y17" i="20"/>
  <c r="X17" i="20"/>
  <c r="W17" i="20"/>
  <c r="AG17" i="20"/>
  <c r="AF17" i="20"/>
  <c r="AE17" i="20"/>
  <c r="F18" i="20"/>
  <c r="E18" i="20"/>
  <c r="D18" i="20"/>
  <c r="AG18" i="20"/>
  <c r="AF18" i="20"/>
  <c r="X19" i="20"/>
  <c r="Y19" i="20"/>
  <c r="F20" i="20"/>
  <c r="D20" i="20"/>
  <c r="P20" i="20"/>
  <c r="O20" i="20"/>
  <c r="AG20" i="20"/>
  <c r="AF20" i="20"/>
  <c r="Q21" i="20"/>
  <c r="P21" i="20"/>
  <c r="O21" i="20"/>
  <c r="Y21" i="20"/>
  <c r="X21" i="20"/>
  <c r="W21" i="20"/>
  <c r="AG21" i="20"/>
  <c r="AF21" i="20"/>
  <c r="AE21" i="20"/>
  <c r="F22" i="20"/>
  <c r="E22" i="20"/>
  <c r="D22" i="20"/>
  <c r="W22" i="20"/>
  <c r="Y22" i="20"/>
  <c r="X22" i="20"/>
  <c r="AG22" i="20"/>
  <c r="AF22" i="20"/>
  <c r="F23" i="20"/>
  <c r="E23" i="20"/>
  <c r="Q23" i="20"/>
  <c r="O23" i="20"/>
  <c r="AF23" i="20"/>
  <c r="AG23" i="20"/>
  <c r="AE23" i="20"/>
  <c r="F24" i="20"/>
  <c r="D24" i="20"/>
  <c r="P24" i="20"/>
  <c r="O24" i="20"/>
  <c r="Y24" i="20"/>
  <c r="X24" i="20"/>
  <c r="W24" i="20"/>
  <c r="F25" i="20"/>
  <c r="E25" i="20"/>
  <c r="D25" i="20"/>
  <c r="Q25" i="20"/>
  <c r="P25" i="20"/>
  <c r="O25" i="20"/>
  <c r="Y25" i="20"/>
  <c r="X25" i="20"/>
  <c r="W25" i="20"/>
  <c r="AG25" i="20"/>
  <c r="AF25" i="20"/>
  <c r="AE25" i="20"/>
  <c r="Q26" i="20"/>
  <c r="P26" i="20"/>
  <c r="O26" i="20"/>
  <c r="Y26" i="20"/>
  <c r="X26" i="20"/>
  <c r="W26" i="20"/>
  <c r="AG26" i="20"/>
  <c r="AF26" i="20"/>
  <c r="AE26" i="20"/>
  <c r="F27" i="20"/>
  <c r="E27" i="20"/>
  <c r="Q27" i="20"/>
  <c r="P27" i="20"/>
  <c r="O27" i="20"/>
  <c r="Y27" i="20"/>
  <c r="X27" i="20"/>
  <c r="W27" i="20"/>
  <c r="AG27" i="20"/>
  <c r="AF27" i="20"/>
  <c r="AE27" i="20"/>
  <c r="Q28" i="20"/>
  <c r="P28" i="20"/>
  <c r="O28" i="20"/>
  <c r="Y28" i="20"/>
  <c r="X28" i="20"/>
  <c r="W28" i="20"/>
  <c r="AG28" i="20"/>
  <c r="AF28" i="20"/>
  <c r="AE28" i="20"/>
  <c r="F29" i="20"/>
  <c r="E29" i="20"/>
  <c r="D29" i="20"/>
  <c r="Q29" i="20"/>
  <c r="P29" i="20"/>
  <c r="O29" i="20"/>
  <c r="Y29" i="20"/>
  <c r="X29" i="20"/>
  <c r="W29" i="20"/>
  <c r="AG29" i="20"/>
  <c r="AF29" i="20"/>
  <c r="AE29" i="20"/>
  <c r="F30" i="20"/>
  <c r="E30" i="20"/>
  <c r="D30" i="20"/>
  <c r="Q30" i="20"/>
  <c r="P30" i="20"/>
  <c r="W30" i="20"/>
  <c r="X30" i="20"/>
  <c r="AG30" i="20"/>
  <c r="AF30" i="20"/>
  <c r="X31" i="20"/>
  <c r="Y31" i="20"/>
  <c r="W31" i="20"/>
  <c r="AF31" i="20"/>
  <c r="AE31" i="20"/>
  <c r="F32" i="20"/>
  <c r="D32" i="20"/>
  <c r="P32" i="20"/>
  <c r="O32" i="20"/>
  <c r="AG32" i="20"/>
  <c r="AF32" i="20"/>
  <c r="AE32" i="20"/>
  <c r="F33" i="20"/>
  <c r="D33" i="20"/>
  <c r="Q33" i="20"/>
  <c r="P33" i="20"/>
  <c r="O33" i="20"/>
  <c r="Y33" i="20"/>
  <c r="X33" i="20"/>
  <c r="W33" i="20"/>
  <c r="AG33" i="20"/>
  <c r="AF33" i="20"/>
  <c r="AE33" i="20"/>
  <c r="F34" i="20"/>
  <c r="E34" i="20"/>
  <c r="D34" i="20"/>
  <c r="AG34" i="20"/>
  <c r="AF34" i="20"/>
  <c r="X35" i="20"/>
  <c r="Y35" i="20"/>
  <c r="F36" i="20"/>
  <c r="D36" i="20"/>
  <c r="P36" i="20"/>
  <c r="O36" i="20"/>
  <c r="AG36" i="20"/>
  <c r="AF36" i="20"/>
  <c r="Q37" i="20"/>
  <c r="P37" i="20"/>
  <c r="O37" i="20"/>
  <c r="Y37" i="20"/>
  <c r="X37" i="20"/>
  <c r="W37" i="20"/>
  <c r="AG37" i="20"/>
  <c r="AF37" i="20"/>
  <c r="AE37" i="20"/>
  <c r="F38" i="20"/>
  <c r="E38" i="20"/>
  <c r="D38" i="20"/>
  <c r="Q38" i="20"/>
  <c r="P38" i="20"/>
  <c r="W38" i="20"/>
  <c r="Y38" i="20"/>
  <c r="Y40" i="20"/>
  <c r="W40" i="20"/>
  <c r="AG40" i="20"/>
  <c r="AF40" i="20"/>
  <c r="E41" i="20"/>
  <c r="D41" i="20"/>
  <c r="Q41" i="20"/>
  <c r="P41" i="20"/>
  <c r="O41" i="20"/>
  <c r="Y41" i="20"/>
  <c r="X41" i="20"/>
  <c r="W41" i="20"/>
  <c r="AG41" i="20"/>
  <c r="AF41" i="20"/>
  <c r="AE41" i="20"/>
  <c r="F42" i="20"/>
  <c r="E42" i="20"/>
  <c r="D42" i="20"/>
  <c r="O42" i="20"/>
  <c r="Q42" i="20"/>
  <c r="P42" i="20"/>
  <c r="W42" i="20"/>
  <c r="Y42" i="20"/>
  <c r="X42" i="20"/>
  <c r="AE42" i="20"/>
  <c r="AG42" i="20"/>
  <c r="AF42" i="20"/>
  <c r="F43" i="20"/>
  <c r="E43" i="20"/>
  <c r="X43" i="20"/>
  <c r="W43" i="20"/>
  <c r="Q45" i="20"/>
  <c r="P45" i="20"/>
  <c r="O45" i="20"/>
  <c r="Y45" i="20"/>
  <c r="X45" i="20"/>
  <c r="W45" i="20"/>
  <c r="AG45" i="20"/>
  <c r="AF45" i="20"/>
  <c r="AE45" i="20"/>
  <c r="F46" i="20"/>
  <c r="E46" i="20"/>
  <c r="D46" i="20"/>
  <c r="W46" i="20"/>
  <c r="X46" i="20"/>
  <c r="F47" i="20"/>
  <c r="E47" i="20"/>
  <c r="P48" i="20"/>
  <c r="O48" i="20"/>
  <c r="AG48" i="20"/>
  <c r="AE48" i="20"/>
  <c r="F49" i="20"/>
  <c r="E49" i="20"/>
  <c r="Q49" i="20"/>
  <c r="P49" i="20"/>
  <c r="O49" i="20"/>
  <c r="Y49" i="20"/>
  <c r="X49" i="20"/>
  <c r="W49" i="20"/>
  <c r="AG49" i="20"/>
  <c r="AF49" i="20"/>
  <c r="AE49" i="20"/>
  <c r="F50" i="20"/>
  <c r="E50" i="20"/>
  <c r="D50" i="20"/>
  <c r="O50" i="20"/>
  <c r="Q50" i="20"/>
  <c r="P50" i="20"/>
  <c r="W50" i="20"/>
  <c r="Y50" i="20"/>
  <c r="X50" i="20"/>
  <c r="AE50" i="20"/>
  <c r="AG50" i="20"/>
  <c r="AF50" i="20"/>
  <c r="F51" i="20"/>
  <c r="E51" i="20"/>
  <c r="X51" i="20"/>
  <c r="Y51" i="20"/>
  <c r="AG51" i="20"/>
  <c r="AE51" i="20"/>
  <c r="Q53" i="20"/>
  <c r="P53" i="20"/>
  <c r="O53" i="20"/>
  <c r="Y53" i="20"/>
  <c r="X53" i="20"/>
  <c r="W53" i="20"/>
  <c r="AG53" i="20"/>
  <c r="AF53" i="20"/>
  <c r="AE53" i="20"/>
  <c r="F54" i="20"/>
  <c r="E54" i="20"/>
  <c r="D54" i="20"/>
  <c r="Y56" i="20"/>
  <c r="W56" i="20"/>
  <c r="AG56" i="20"/>
  <c r="AF56" i="20"/>
  <c r="AE56" i="20"/>
  <c r="F57" i="20"/>
  <c r="E57" i="20"/>
  <c r="Q57" i="20"/>
  <c r="P57" i="20"/>
  <c r="O57" i="20"/>
  <c r="Y57" i="20"/>
  <c r="X57" i="20"/>
  <c r="W57" i="20"/>
  <c r="AG57" i="20"/>
  <c r="AF57" i="20"/>
  <c r="AE57" i="20"/>
  <c r="F58" i="20"/>
  <c r="E58" i="20"/>
  <c r="D58" i="20"/>
  <c r="X59" i="20"/>
  <c r="Y59" i="20"/>
  <c r="Y60" i="20"/>
  <c r="X60" i="20"/>
  <c r="W60" i="20"/>
  <c r="AG60" i="20"/>
  <c r="AF60" i="20"/>
  <c r="Q61" i="20"/>
  <c r="P61" i="20"/>
  <c r="O61" i="20"/>
  <c r="Y61" i="20"/>
  <c r="X61" i="20"/>
  <c r="W61" i="20"/>
  <c r="AG61" i="20"/>
  <c r="AF61" i="20"/>
  <c r="AE61" i="20"/>
  <c r="F62" i="20"/>
  <c r="E62" i="20"/>
  <c r="D62" i="20"/>
  <c r="Q62" i="20"/>
  <c r="P62" i="20"/>
  <c r="W62" i="20"/>
  <c r="X62" i="20"/>
  <c r="AG62" i="20"/>
  <c r="AF62" i="20"/>
  <c r="X63" i="20"/>
  <c r="Y63" i="20"/>
  <c r="W63" i="20"/>
  <c r="AF63" i="20"/>
  <c r="AE63" i="20"/>
  <c r="F64" i="20"/>
  <c r="D64" i="20"/>
  <c r="P64" i="20"/>
  <c r="O64" i="20"/>
  <c r="AG64" i="20"/>
  <c r="AF64" i="20"/>
  <c r="AE64" i="20"/>
  <c r="F65" i="20"/>
  <c r="D65" i="20"/>
  <c r="Q65" i="20"/>
  <c r="P65" i="20"/>
  <c r="O65" i="20"/>
  <c r="Y65" i="20"/>
  <c r="X65" i="20"/>
  <c r="W65" i="20"/>
  <c r="AG65" i="20"/>
  <c r="AF65" i="20"/>
  <c r="AE65" i="20"/>
  <c r="F66" i="20"/>
  <c r="E66" i="20"/>
  <c r="D66" i="20"/>
  <c r="W66" i="20"/>
  <c r="Y66" i="20"/>
  <c r="X67" i="20"/>
  <c r="Y67" i="20"/>
  <c r="AF67" i="20"/>
  <c r="AG67" i="20"/>
  <c r="AG68" i="20"/>
  <c r="AF68" i="20"/>
  <c r="F69" i="20"/>
  <c r="E69" i="20"/>
  <c r="Q69" i="20"/>
  <c r="P69" i="20"/>
  <c r="O69" i="20"/>
  <c r="Y69" i="20"/>
  <c r="X69" i="20"/>
  <c r="W69" i="20"/>
  <c r="AG69" i="20"/>
  <c r="AF69" i="20"/>
  <c r="AE69" i="20"/>
  <c r="F70" i="20"/>
  <c r="E70" i="20"/>
  <c r="D70" i="20"/>
  <c r="W70" i="20"/>
  <c r="Y70" i="20"/>
  <c r="X70" i="20"/>
  <c r="AG70" i="20"/>
  <c r="AF70" i="20"/>
  <c r="F71" i="20"/>
  <c r="E71" i="20"/>
  <c r="Q71" i="20"/>
  <c r="O71" i="20"/>
  <c r="AF71" i="20"/>
  <c r="AG71" i="20"/>
  <c r="AE71" i="20"/>
  <c r="Y72" i="20"/>
  <c r="X72" i="20"/>
  <c r="W72" i="20"/>
  <c r="F73" i="20"/>
  <c r="E73" i="20"/>
  <c r="D73" i="20"/>
  <c r="Q73" i="20"/>
  <c r="P73" i="20"/>
  <c r="O73" i="20"/>
  <c r="Y73" i="20"/>
  <c r="X73" i="20"/>
  <c r="W73" i="20"/>
  <c r="AG73" i="20"/>
  <c r="AF73" i="20"/>
  <c r="AE73" i="20"/>
  <c r="F74" i="20"/>
  <c r="E74" i="20"/>
  <c r="D74" i="20"/>
  <c r="W74" i="20"/>
  <c r="Y74" i="20"/>
  <c r="AF75" i="20"/>
  <c r="AG75" i="20"/>
  <c r="F77" i="20"/>
  <c r="E77" i="20"/>
  <c r="D77" i="20"/>
  <c r="Q77" i="20"/>
  <c r="P77" i="20"/>
  <c r="O77" i="20"/>
  <c r="Y77" i="20"/>
  <c r="X77" i="20"/>
  <c r="W77" i="20"/>
  <c r="AG77" i="20"/>
  <c r="AF77" i="20"/>
  <c r="AE77" i="20"/>
  <c r="F78" i="20"/>
  <c r="E78" i="20"/>
  <c r="D78" i="20"/>
  <c r="Q78" i="20"/>
  <c r="P78" i="20"/>
  <c r="AG78" i="20"/>
  <c r="AF78" i="20"/>
  <c r="Q79" i="20"/>
  <c r="O79" i="20"/>
  <c r="X79" i="20"/>
  <c r="Y79" i="20"/>
  <c r="F80" i="20"/>
  <c r="D80" i="20"/>
  <c r="AG80" i="20"/>
  <c r="AF80" i="20"/>
  <c r="W81" i="20"/>
  <c r="Y81" i="20"/>
  <c r="X81" i="20"/>
  <c r="AG81" i="20"/>
  <c r="AF81" i="20"/>
  <c r="Y83" i="20"/>
  <c r="X83" i="20"/>
  <c r="W83" i="20"/>
  <c r="AF83" i="20"/>
  <c r="AE83" i="20"/>
  <c r="Q84" i="20"/>
  <c r="P84" i="20"/>
  <c r="O84" i="20"/>
  <c r="Y84" i="20"/>
  <c r="X84" i="20"/>
  <c r="W84" i="20"/>
  <c r="AG84" i="20"/>
  <c r="AF84" i="20"/>
  <c r="AE84" i="20"/>
  <c r="F85" i="20"/>
  <c r="E85" i="20"/>
  <c r="D85" i="20"/>
  <c r="Q85" i="20"/>
  <c r="P85" i="20"/>
  <c r="O85" i="20"/>
  <c r="Y85" i="20"/>
  <c r="X85" i="20"/>
  <c r="W85" i="20"/>
  <c r="AG85" i="20"/>
  <c r="AF85" i="20"/>
  <c r="AE85" i="20"/>
  <c r="F86" i="20"/>
  <c r="E86" i="20"/>
  <c r="D86" i="20"/>
  <c r="Q88" i="20"/>
  <c r="P88" i="20"/>
  <c r="O88" i="20"/>
  <c r="Y88" i="20"/>
  <c r="X88" i="20"/>
  <c r="W88" i="20"/>
  <c r="AG88" i="20"/>
  <c r="AF88" i="20"/>
  <c r="AE88" i="20"/>
  <c r="F89" i="20"/>
  <c r="E89" i="20"/>
  <c r="D89" i="20"/>
  <c r="Q89" i="20"/>
  <c r="P89" i="20"/>
  <c r="W89" i="20"/>
  <c r="Y89" i="20"/>
  <c r="X89" i="20"/>
  <c r="AG91" i="20"/>
  <c r="AF91" i="20"/>
  <c r="AE91" i="20"/>
  <c r="Q92" i="20"/>
  <c r="P92" i="20"/>
  <c r="O92" i="20"/>
  <c r="Y92" i="20"/>
  <c r="X92" i="20"/>
  <c r="W92" i="20"/>
  <c r="AG92" i="20"/>
  <c r="AF92" i="20"/>
  <c r="AE92" i="20"/>
  <c r="F93" i="20"/>
  <c r="E93" i="20"/>
  <c r="D93" i="20"/>
  <c r="Q93" i="20"/>
  <c r="P93" i="20"/>
  <c r="O93" i="20"/>
  <c r="Y93" i="20"/>
  <c r="X93" i="20"/>
  <c r="W93" i="20"/>
  <c r="AG93" i="20"/>
  <c r="AF93" i="20"/>
  <c r="AE93" i="20"/>
  <c r="F94" i="20"/>
  <c r="E94" i="20"/>
  <c r="D94" i="20"/>
  <c r="X94" i="20"/>
  <c r="Y94" i="20"/>
  <c r="W94" i="20"/>
  <c r="Q96" i="20"/>
  <c r="P96" i="20"/>
  <c r="O96" i="20"/>
  <c r="Y96" i="20"/>
  <c r="X96" i="20"/>
  <c r="W96" i="20"/>
  <c r="AG96" i="20"/>
  <c r="AF96" i="20"/>
  <c r="AE96" i="20"/>
  <c r="F97" i="20"/>
  <c r="E97" i="20"/>
  <c r="D97" i="20"/>
  <c r="O97" i="20"/>
  <c r="Q97" i="20"/>
  <c r="P97" i="20"/>
  <c r="AE97" i="20"/>
  <c r="AG97" i="20"/>
  <c r="AF97" i="20"/>
  <c r="D98" i="20"/>
  <c r="F98" i="20"/>
  <c r="E98" i="20"/>
  <c r="Q99" i="20"/>
  <c r="P99" i="20"/>
  <c r="O99" i="20"/>
  <c r="Q100" i="20"/>
  <c r="P100" i="20"/>
  <c r="O100" i="20"/>
  <c r="Y100" i="20"/>
  <c r="X100" i="20"/>
  <c r="W100" i="20"/>
  <c r="AG100" i="20"/>
  <c r="AF100" i="20"/>
  <c r="AE100" i="20"/>
  <c r="F101" i="20"/>
  <c r="E101" i="20"/>
  <c r="D101" i="20"/>
  <c r="Q101" i="20"/>
  <c r="P101" i="20"/>
  <c r="O101" i="20"/>
  <c r="Y101" i="20"/>
  <c r="X101" i="20"/>
  <c r="W101" i="20"/>
  <c r="AG101" i="20"/>
  <c r="AF101" i="20"/>
  <c r="AE101" i="20"/>
  <c r="F102" i="20"/>
  <c r="E102" i="20"/>
  <c r="D102" i="20"/>
  <c r="P102" i="20"/>
  <c r="Q102" i="20"/>
  <c r="O102" i="20"/>
  <c r="X102" i="20"/>
  <c r="Y102" i="20"/>
  <c r="W102" i="20"/>
  <c r="E103" i="20"/>
  <c r="D103" i="20"/>
  <c r="Q104" i="20"/>
  <c r="P104" i="20"/>
  <c r="O104" i="20"/>
  <c r="Y104" i="20"/>
  <c r="X104" i="20"/>
  <c r="W104" i="20"/>
  <c r="AG104" i="20"/>
  <c r="AF104" i="20"/>
  <c r="AE104" i="20"/>
  <c r="F105" i="20"/>
  <c r="E105" i="20"/>
  <c r="D105" i="20"/>
  <c r="O105" i="20"/>
  <c r="Q105" i="20"/>
  <c r="P105" i="20"/>
  <c r="D106" i="20"/>
  <c r="F106" i="20"/>
  <c r="E106" i="20"/>
  <c r="Y107" i="20"/>
  <c r="X107" i="20"/>
  <c r="W107" i="20"/>
  <c r="Q108" i="20"/>
  <c r="P108" i="20"/>
  <c r="O108" i="20"/>
  <c r="Y108" i="20"/>
  <c r="X108" i="20"/>
  <c r="W108" i="20"/>
  <c r="AG108" i="20"/>
  <c r="AF108" i="20"/>
  <c r="AE108" i="20"/>
  <c r="F109" i="20"/>
  <c r="E109" i="20"/>
  <c r="D109" i="20"/>
  <c r="Q109" i="20"/>
  <c r="P109" i="20"/>
  <c r="O109" i="20"/>
  <c r="Y109" i="20"/>
  <c r="X109" i="20"/>
  <c r="W109" i="20"/>
  <c r="AG109" i="20"/>
  <c r="AF109" i="20"/>
  <c r="AE109" i="20"/>
  <c r="F110" i="20"/>
  <c r="E110" i="20"/>
  <c r="D110" i="20"/>
  <c r="E111" i="20"/>
  <c r="F111" i="20"/>
  <c r="D111" i="20"/>
  <c r="Q112" i="20"/>
  <c r="P112" i="20"/>
  <c r="O112" i="20"/>
  <c r="Y112" i="20"/>
  <c r="X112" i="20"/>
  <c r="W112" i="20"/>
  <c r="AG112" i="20"/>
  <c r="AF112" i="20"/>
  <c r="AE112" i="20"/>
  <c r="F113" i="20"/>
  <c r="E113" i="20"/>
  <c r="D113" i="20"/>
  <c r="AG113" i="20"/>
  <c r="AF113" i="20"/>
  <c r="AE113" i="20"/>
  <c r="Q115" i="20"/>
  <c r="P115" i="20"/>
  <c r="O115" i="20"/>
  <c r="F116" i="20"/>
  <c r="E116" i="20"/>
  <c r="D116" i="20"/>
  <c r="Q116" i="20"/>
  <c r="P116" i="20"/>
  <c r="O116" i="20"/>
  <c r="Y116" i="20"/>
  <c r="X116" i="20"/>
  <c r="W116" i="20"/>
  <c r="AG116" i="20"/>
  <c r="AF116" i="20"/>
  <c r="AE116" i="20"/>
  <c r="F117" i="20"/>
  <c r="E117" i="20"/>
  <c r="D117" i="20"/>
  <c r="O117" i="20"/>
  <c r="Q117" i="20"/>
  <c r="P117" i="20"/>
  <c r="W117" i="20"/>
  <c r="Y117" i="20"/>
  <c r="X117" i="20"/>
  <c r="AE117" i="20"/>
  <c r="AG117" i="20"/>
  <c r="AF117" i="20"/>
  <c r="D118" i="20"/>
  <c r="F118" i="20"/>
  <c r="E118" i="20"/>
  <c r="Q119" i="20"/>
  <c r="O119" i="20"/>
  <c r="Y119" i="20"/>
  <c r="W119" i="20"/>
  <c r="AG119" i="20"/>
  <c r="AE119" i="20"/>
  <c r="F120" i="20"/>
  <c r="D120" i="20"/>
  <c r="Q120" i="20"/>
  <c r="P120" i="20"/>
  <c r="O120" i="20"/>
  <c r="Y120" i="20"/>
  <c r="X120" i="20"/>
  <c r="W120" i="20"/>
  <c r="AG120" i="20"/>
  <c r="AF120" i="20"/>
  <c r="AE120" i="20"/>
  <c r="F121" i="20"/>
  <c r="E121" i="20"/>
  <c r="D121" i="20"/>
  <c r="P121" i="20"/>
  <c r="Q121" i="20"/>
  <c r="X121" i="20"/>
  <c r="Y121" i="20"/>
  <c r="AF121" i="20"/>
  <c r="AG121" i="20"/>
  <c r="E122" i="20"/>
  <c r="F122" i="20"/>
  <c r="P122" i="20"/>
  <c r="Q122" i="20"/>
  <c r="X122" i="20"/>
  <c r="Y122" i="20"/>
  <c r="AF122" i="20"/>
  <c r="AG122" i="20"/>
  <c r="E123" i="20"/>
  <c r="F123" i="20"/>
  <c r="AG123" i="20"/>
  <c r="AE123" i="20"/>
  <c r="F124" i="20"/>
  <c r="D124" i="20"/>
  <c r="Q124" i="20"/>
  <c r="P124" i="20"/>
  <c r="Y124" i="20"/>
  <c r="X124" i="20"/>
  <c r="AG124" i="20"/>
  <c r="AF124" i="20"/>
  <c r="AE124" i="20"/>
  <c r="F125" i="20"/>
  <c r="E125" i="20"/>
  <c r="D125" i="20"/>
  <c r="O125" i="20"/>
  <c r="Q125" i="20"/>
  <c r="P125" i="20"/>
  <c r="W125" i="20"/>
  <c r="Y125" i="20"/>
  <c r="X125" i="20"/>
  <c r="AE125" i="20"/>
  <c r="AG125" i="20"/>
  <c r="AF125" i="20"/>
  <c r="D126" i="20"/>
  <c r="F126" i="20"/>
  <c r="E126" i="20"/>
  <c r="Q127" i="20"/>
  <c r="O127" i="20"/>
  <c r="Y127" i="20"/>
  <c r="W127" i="20"/>
  <c r="AG127" i="20"/>
  <c r="AE127" i="20"/>
  <c r="F128" i="20"/>
  <c r="D128" i="20"/>
  <c r="Q128" i="20"/>
  <c r="P128" i="20"/>
  <c r="O128" i="20"/>
  <c r="Y128" i="20"/>
  <c r="X128" i="20"/>
  <c r="W128" i="20"/>
  <c r="AG128" i="20"/>
  <c r="AF128" i="20"/>
  <c r="AE128" i="20"/>
  <c r="F129" i="20"/>
  <c r="E129" i="20"/>
  <c r="D129" i="20"/>
  <c r="W129" i="20"/>
  <c r="X129" i="20"/>
  <c r="AE129" i="20"/>
  <c r="AG129" i="20"/>
  <c r="AF129" i="20"/>
  <c r="D130" i="20"/>
  <c r="F130" i="20"/>
  <c r="Q130" i="20"/>
  <c r="P130" i="20"/>
  <c r="O130" i="20"/>
  <c r="W130" i="20"/>
  <c r="Y130" i="20"/>
  <c r="X130" i="20"/>
  <c r="AF130" i="20"/>
  <c r="AG130" i="20"/>
  <c r="F131" i="20"/>
  <c r="D131" i="20"/>
  <c r="Q131" i="20"/>
  <c r="P131" i="20"/>
  <c r="AG131" i="20"/>
  <c r="AE131" i="20"/>
  <c r="F132" i="20"/>
  <c r="E132" i="20"/>
  <c r="Q132" i="20"/>
  <c r="P132" i="20"/>
  <c r="O132" i="20"/>
  <c r="Y132" i="20"/>
  <c r="X132" i="20"/>
  <c r="W132" i="20"/>
  <c r="AG132" i="20"/>
  <c r="AF132" i="20"/>
  <c r="AE132" i="20"/>
  <c r="F133" i="20"/>
  <c r="E133" i="20"/>
  <c r="D133" i="20"/>
  <c r="Y133" i="20"/>
  <c r="X133" i="20"/>
  <c r="F134" i="20"/>
  <c r="E134" i="20"/>
  <c r="D134" i="20"/>
  <c r="AG135" i="20"/>
  <c r="AF135" i="20"/>
  <c r="AE135" i="20"/>
  <c r="F136" i="20"/>
  <c r="D136" i="20"/>
  <c r="Q136" i="20"/>
  <c r="P136" i="20"/>
  <c r="O136" i="20"/>
  <c r="Y136" i="20"/>
  <c r="X136" i="20"/>
  <c r="W136" i="20"/>
  <c r="AG136" i="20"/>
  <c r="AF136" i="20"/>
  <c r="AE136" i="20"/>
  <c r="F137" i="20"/>
  <c r="E137" i="20"/>
  <c r="D137" i="20"/>
  <c r="Q137" i="20"/>
  <c r="P137" i="20"/>
  <c r="O137" i="20"/>
  <c r="Y137" i="20"/>
  <c r="X137" i="20"/>
  <c r="W137" i="20"/>
  <c r="AG137" i="20"/>
  <c r="AF137" i="20"/>
  <c r="AE137" i="20"/>
  <c r="F138" i="20"/>
  <c r="E138" i="20"/>
  <c r="D138" i="20"/>
  <c r="Q138" i="20"/>
  <c r="P138" i="20"/>
  <c r="O138" i="20"/>
  <c r="W138" i="20"/>
  <c r="Y138" i="20"/>
  <c r="X138" i="20"/>
  <c r="P139" i="20"/>
  <c r="Q139" i="20"/>
  <c r="E140" i="20"/>
  <c r="F140" i="20"/>
  <c r="D140" i="20"/>
  <c r="Y140" i="20"/>
  <c r="X140" i="20"/>
  <c r="W140" i="20"/>
  <c r="AE140" i="20"/>
  <c r="AG140" i="20"/>
  <c r="Q141" i="20"/>
  <c r="P141" i="20"/>
  <c r="O141" i="20"/>
  <c r="W141" i="20"/>
  <c r="Y141" i="20"/>
  <c r="AG143" i="20"/>
  <c r="AF143" i="20"/>
  <c r="AE143" i="20"/>
  <c r="Q144" i="20"/>
  <c r="P144" i="20"/>
  <c r="O144" i="20"/>
  <c r="Y144" i="20"/>
  <c r="X144" i="20"/>
  <c r="W144" i="20"/>
  <c r="AG144" i="20"/>
  <c r="AF144" i="20"/>
  <c r="AE144" i="20"/>
  <c r="F145" i="20"/>
  <c r="E145" i="20"/>
  <c r="D145" i="20"/>
  <c r="Q145" i="20"/>
  <c r="P145" i="20"/>
  <c r="O145" i="20"/>
  <c r="Y145" i="20"/>
  <c r="X145" i="20"/>
  <c r="W145" i="20"/>
  <c r="AG145" i="20"/>
  <c r="AF145" i="20"/>
  <c r="AE145" i="20"/>
  <c r="F146" i="20"/>
  <c r="E146" i="20"/>
  <c r="D146" i="20"/>
  <c r="P146" i="20"/>
  <c r="Q146" i="20"/>
  <c r="O146" i="20"/>
  <c r="Q148" i="20"/>
  <c r="P148" i="20"/>
  <c r="O148" i="20"/>
  <c r="Y148" i="20"/>
  <c r="X148" i="20"/>
  <c r="W148" i="20"/>
  <c r="AG148" i="20"/>
  <c r="AF148" i="20"/>
  <c r="AE148" i="20"/>
  <c r="F149" i="20"/>
  <c r="E149" i="20"/>
  <c r="D149" i="20"/>
  <c r="P150" i="20"/>
  <c r="Q150" i="20"/>
  <c r="X150" i="20"/>
  <c r="Y150" i="20"/>
  <c r="AF150" i="20"/>
  <c r="AG150" i="20"/>
  <c r="E151" i="20"/>
  <c r="F151" i="20"/>
  <c r="Q151" i="20"/>
  <c r="P151" i="20"/>
  <c r="O151" i="20"/>
  <c r="Y151" i="20"/>
  <c r="X151" i="20"/>
  <c r="W151" i="20"/>
  <c r="AG151" i="20"/>
  <c r="AF151" i="20"/>
  <c r="AE151" i="20"/>
  <c r="F152" i="20"/>
  <c r="E152" i="20"/>
  <c r="D152" i="20"/>
  <c r="X152" i="20"/>
  <c r="Y152" i="20"/>
  <c r="P153" i="20"/>
  <c r="Q153" i="20"/>
  <c r="O153" i="20"/>
  <c r="X153" i="20"/>
  <c r="Y153" i="20"/>
  <c r="W153" i="20"/>
  <c r="AF153" i="20"/>
  <c r="AG153" i="20"/>
  <c r="AE153" i="20"/>
  <c r="E154" i="20"/>
  <c r="F154" i="20"/>
  <c r="D154" i="20"/>
  <c r="P154" i="20"/>
  <c r="Q154" i="20"/>
  <c r="X154" i="20"/>
  <c r="Y154" i="20"/>
  <c r="W154" i="20"/>
  <c r="AF154" i="20"/>
  <c r="AG154" i="20"/>
  <c r="O156" i="20"/>
  <c r="Q156" i="20"/>
  <c r="P156" i="20"/>
  <c r="W156" i="20"/>
  <c r="Y156" i="20"/>
  <c r="X156" i="20"/>
  <c r="AE156" i="20"/>
  <c r="AG156" i="20"/>
  <c r="AF156" i="20"/>
  <c r="D157" i="20"/>
  <c r="F157" i="20"/>
  <c r="E157" i="20"/>
  <c r="Q157" i="20"/>
  <c r="P157" i="20"/>
  <c r="O157" i="20"/>
  <c r="AG157" i="20"/>
  <c r="AF157" i="20"/>
  <c r="AE157" i="20"/>
  <c r="Q159" i="20"/>
  <c r="P159" i="20"/>
  <c r="O159" i="20"/>
  <c r="Y159" i="20"/>
  <c r="X159" i="20"/>
  <c r="W159" i="20"/>
  <c r="AG159" i="20"/>
  <c r="AF159" i="20"/>
  <c r="AE159" i="20"/>
  <c r="F160" i="20"/>
  <c r="E160" i="20"/>
  <c r="D160" i="20"/>
  <c r="Y160" i="20"/>
  <c r="X160" i="20"/>
  <c r="W160" i="20"/>
  <c r="F161" i="20"/>
  <c r="E161" i="20"/>
  <c r="D161" i="20"/>
  <c r="Q161" i="20"/>
  <c r="P161" i="20"/>
  <c r="O161" i="20"/>
  <c r="Y161" i="20"/>
  <c r="X161" i="20"/>
  <c r="W161" i="20"/>
  <c r="AG161" i="20"/>
  <c r="AF161" i="20"/>
  <c r="AE161" i="20"/>
  <c r="F162" i="20"/>
  <c r="E162" i="20"/>
  <c r="Q162" i="20"/>
  <c r="P162" i="20"/>
  <c r="O162" i="20"/>
  <c r="Y162" i="20"/>
  <c r="X162" i="20"/>
  <c r="W162" i="20"/>
  <c r="AG162" i="20"/>
  <c r="AF162" i="20"/>
  <c r="AE162" i="20"/>
  <c r="F163" i="20"/>
  <c r="E163" i="20"/>
  <c r="D163" i="20"/>
  <c r="W163" i="20"/>
  <c r="Y163" i="20"/>
  <c r="Q165" i="20"/>
  <c r="P165" i="20"/>
  <c r="O165" i="20"/>
  <c r="F166" i="20"/>
  <c r="E166" i="20"/>
  <c r="Q166" i="20"/>
  <c r="P166" i="20"/>
  <c r="O166" i="20"/>
  <c r="Y166" i="20"/>
  <c r="X166" i="20"/>
  <c r="W166" i="20"/>
  <c r="AG166" i="20"/>
  <c r="AF166" i="20"/>
  <c r="AE166" i="20"/>
  <c r="F167" i="20"/>
  <c r="E167" i="20"/>
  <c r="D167" i="20"/>
  <c r="O167" i="20"/>
  <c r="Q167" i="20"/>
  <c r="P167" i="20"/>
  <c r="W167" i="20"/>
  <c r="Y167" i="20"/>
  <c r="X167" i="20"/>
  <c r="AE167" i="20"/>
  <c r="AG167" i="20"/>
  <c r="AF167" i="20"/>
  <c r="D168" i="20"/>
  <c r="F168" i="20"/>
  <c r="E168" i="20"/>
  <c r="AF168" i="20"/>
  <c r="AG168" i="20"/>
  <c r="AF169" i="20"/>
  <c r="AG169" i="20"/>
  <c r="E170" i="20"/>
  <c r="F170" i="20"/>
  <c r="O170" i="20"/>
  <c r="Q170" i="20"/>
  <c r="P170" i="20"/>
  <c r="F171" i="20"/>
  <c r="D171" i="20"/>
  <c r="W171" i="20"/>
  <c r="Y171" i="20"/>
  <c r="X171" i="20"/>
  <c r="AG173" i="20"/>
  <c r="AF173" i="20"/>
  <c r="AE173" i="20"/>
  <c r="Q174" i="20"/>
  <c r="P174" i="20"/>
  <c r="O174" i="20"/>
  <c r="Y174" i="20"/>
  <c r="X174" i="20"/>
  <c r="W174" i="20"/>
  <c r="AG174" i="20"/>
  <c r="AF174" i="20"/>
  <c r="AE174" i="20"/>
  <c r="F175" i="20"/>
  <c r="E175" i="20"/>
  <c r="D175" i="20"/>
  <c r="Q175" i="20"/>
  <c r="P175" i="20"/>
  <c r="O175" i="20"/>
  <c r="Y175" i="20"/>
  <c r="X175" i="20"/>
  <c r="W175" i="20"/>
  <c r="AG175" i="20"/>
  <c r="AF175" i="20"/>
  <c r="AE175" i="20"/>
  <c r="F176" i="20"/>
  <c r="E176" i="20"/>
  <c r="D176" i="20"/>
  <c r="P176" i="20"/>
  <c r="Q176" i="20"/>
  <c r="O176" i="20"/>
  <c r="X176" i="20"/>
  <c r="Y176" i="20"/>
  <c r="W176" i="20"/>
  <c r="Q178" i="20"/>
  <c r="P178" i="20"/>
  <c r="O178" i="20"/>
  <c r="Y178" i="20"/>
  <c r="X178" i="20"/>
  <c r="W178" i="20"/>
  <c r="AG178" i="20"/>
  <c r="AF178" i="20"/>
  <c r="AE178" i="20"/>
  <c r="F179" i="20"/>
  <c r="E179" i="20"/>
  <c r="D179" i="20"/>
  <c r="W179" i="20"/>
  <c r="Y179" i="20"/>
  <c r="AE179" i="20"/>
  <c r="AG179" i="20"/>
  <c r="AF179" i="20"/>
  <c r="AG181" i="20"/>
  <c r="AF181" i="20"/>
  <c r="F182" i="20"/>
  <c r="E182" i="20"/>
  <c r="D182" i="20"/>
  <c r="X182" i="20"/>
  <c r="Y182" i="20"/>
  <c r="AF182" i="20"/>
  <c r="AG182" i="20"/>
  <c r="AE182" i="20"/>
  <c r="E183" i="20"/>
  <c r="F183" i="20"/>
  <c r="D183" i="20"/>
  <c r="Q183" i="20"/>
  <c r="P183" i="20"/>
  <c r="O183" i="20"/>
  <c r="Y183" i="20"/>
  <c r="X183" i="20"/>
  <c r="W183" i="20"/>
  <c r="AG183" i="20"/>
  <c r="AF183" i="20"/>
  <c r="AE183" i="20"/>
  <c r="F184" i="20"/>
  <c r="E184" i="20"/>
  <c r="D184" i="20"/>
  <c r="Y184" i="20"/>
  <c r="X184" i="20"/>
  <c r="W184" i="20"/>
  <c r="F185" i="20"/>
  <c r="E185" i="20"/>
  <c r="D185" i="20"/>
  <c r="P186" i="20"/>
  <c r="Q186" i="20"/>
  <c r="Y186" i="20"/>
  <c r="X186" i="20"/>
  <c r="W186" i="20"/>
  <c r="F187" i="20"/>
  <c r="E187" i="20"/>
  <c r="D187" i="20"/>
  <c r="Q187" i="20"/>
  <c r="P187" i="20"/>
  <c r="O187" i="20"/>
  <c r="Q188" i="20"/>
  <c r="P188" i="20"/>
  <c r="O188" i="20"/>
  <c r="Y188" i="20"/>
  <c r="X188" i="20"/>
  <c r="W188" i="20"/>
  <c r="AG188" i="20"/>
  <c r="AF188" i="20"/>
  <c r="AE188" i="20"/>
  <c r="F189" i="20"/>
  <c r="E189" i="20"/>
  <c r="D189" i="20"/>
  <c r="Q189" i="20"/>
  <c r="P189" i="20"/>
  <c r="O189" i="20"/>
  <c r="Y189" i="20"/>
  <c r="X189" i="20"/>
  <c r="W189" i="20"/>
  <c r="AG189" i="20"/>
  <c r="AF189" i="20"/>
  <c r="AE189" i="20"/>
  <c r="F190" i="20"/>
  <c r="E190" i="20"/>
  <c r="D190" i="20"/>
  <c r="AG190" i="20"/>
  <c r="AE190" i="20"/>
  <c r="F191" i="20"/>
  <c r="D191" i="20"/>
  <c r="Q191" i="20"/>
  <c r="P191" i="20"/>
  <c r="O191" i="20"/>
  <c r="Y191" i="20"/>
  <c r="X191" i="20"/>
  <c r="W191" i="20"/>
  <c r="AG191" i="20"/>
  <c r="AF191" i="20"/>
  <c r="AE191" i="20"/>
  <c r="F192" i="20"/>
  <c r="E192" i="20"/>
  <c r="D192" i="20"/>
  <c r="P193" i="20"/>
  <c r="Q193" i="20"/>
  <c r="X193" i="20"/>
  <c r="Y193" i="20"/>
  <c r="AF193" i="20"/>
  <c r="AG193" i="20"/>
  <c r="E194" i="20"/>
  <c r="F194" i="20"/>
  <c r="Q196" i="20"/>
  <c r="P196" i="20"/>
  <c r="O196" i="20"/>
  <c r="Y196" i="20"/>
  <c r="X196" i="20"/>
  <c r="W196" i="20"/>
  <c r="AG196" i="20"/>
  <c r="AF196" i="20"/>
  <c r="AE196" i="20"/>
  <c r="F197" i="20"/>
  <c r="E197" i="20"/>
  <c r="D197" i="20"/>
  <c r="Q197" i="20"/>
  <c r="O197" i="20"/>
  <c r="Y197" i="20"/>
  <c r="W197" i="20"/>
  <c r="AG197" i="20"/>
  <c r="AE197" i="20"/>
  <c r="F198" i="20"/>
  <c r="D198" i="20"/>
  <c r="Q198" i="20"/>
  <c r="O198" i="20"/>
  <c r="Y198" i="20"/>
  <c r="W198" i="20"/>
  <c r="AG198" i="20"/>
  <c r="AE198" i="20"/>
  <c r="F199" i="20"/>
  <c r="D199" i="20"/>
  <c r="Q199" i="20"/>
  <c r="P199" i="20"/>
  <c r="O199" i="20"/>
  <c r="Y199" i="20"/>
  <c r="X199" i="20"/>
  <c r="W199" i="20"/>
  <c r="AG199" i="20"/>
  <c r="AF199" i="20"/>
  <c r="AE199" i="20"/>
  <c r="F200" i="20"/>
  <c r="E200" i="20"/>
  <c r="D200" i="20"/>
  <c r="P201" i="20"/>
  <c r="Q201" i="20"/>
  <c r="X201" i="20"/>
  <c r="Y201" i="20"/>
  <c r="AF201" i="20"/>
  <c r="AG201" i="20"/>
  <c r="E202" i="20"/>
  <c r="F202" i="20"/>
  <c r="J5" i="20"/>
  <c r="J6" i="20" s="1"/>
  <c r="J7" i="20" s="1"/>
  <c r="J8" i="20" s="1"/>
  <c r="J9" i="20" s="1"/>
  <c r="J10" i="20" s="1"/>
  <c r="J11" i="20" s="1"/>
  <c r="J12" i="20" s="1"/>
  <c r="J13" i="20" s="1"/>
  <c r="J14" i="20" s="1"/>
  <c r="J15" i="20" s="1"/>
  <c r="J16" i="20" s="1"/>
  <c r="J17" i="20" s="1"/>
  <c r="J18" i="20" s="1"/>
  <c r="J19" i="20" s="1"/>
  <c r="J20" i="20" s="1"/>
  <c r="J21" i="20" s="1"/>
  <c r="J22" i="20" s="1"/>
  <c r="I5" i="20"/>
  <c r="F6" i="20"/>
  <c r="F26" i="20"/>
  <c r="E26" i="20"/>
  <c r="D26" i="20"/>
  <c r="P5" i="20"/>
  <c r="O5" i="20"/>
  <c r="D39" i="20"/>
  <c r="F39" i="20"/>
  <c r="E39" i="20"/>
  <c r="Q3" i="20"/>
  <c r="P3" i="20"/>
  <c r="O3" i="20"/>
  <c r="Q5" i="20"/>
  <c r="Q6" i="20"/>
  <c r="P6" i="20"/>
  <c r="O6" i="20"/>
  <c r="P19" i="20"/>
  <c r="Q19" i="20"/>
  <c r="O19" i="20"/>
  <c r="T3" i="20"/>
  <c r="T4" i="20" s="1"/>
  <c r="T5" i="20" s="1"/>
  <c r="T6" i="20" s="1"/>
  <c r="T7" i="20" s="1"/>
  <c r="T8" i="20" s="1"/>
  <c r="T9" i="20" s="1"/>
  <c r="T10" i="20" s="1"/>
  <c r="T11" i="20" s="1"/>
  <c r="T12" i="20" s="1"/>
  <c r="T13" i="20" s="1"/>
  <c r="T14" i="20" s="1"/>
  <c r="T15" i="20" s="1"/>
  <c r="T16" i="20" s="1"/>
  <c r="T17" i="20" s="1"/>
  <c r="T18" i="20" s="1"/>
  <c r="T19" i="20" s="1"/>
  <c r="T20" i="20" s="1"/>
  <c r="T21" i="20" s="1"/>
  <c r="T22" i="20" s="1"/>
  <c r="T23" i="20" s="1"/>
  <c r="T24" i="20" s="1"/>
  <c r="T25" i="20" s="1"/>
  <c r="T26" i="20" s="1"/>
  <c r="T27" i="20" s="1"/>
  <c r="T28" i="20" s="1"/>
  <c r="T29" i="20" s="1"/>
  <c r="T30" i="20" s="1"/>
  <c r="T31" i="20" s="1"/>
  <c r="T32" i="20" s="1"/>
  <c r="T33" i="20" s="1"/>
  <c r="T34" i="20" s="1"/>
  <c r="T35" i="20" s="1"/>
  <c r="T36" i="20" s="1"/>
  <c r="T37" i="20" s="1"/>
  <c r="T38" i="20" s="1"/>
  <c r="T39" i="20" s="1"/>
  <c r="T40" i="20" s="1"/>
  <c r="T41" i="20" s="1"/>
  <c r="T42" i="20" s="1"/>
  <c r="T43" i="20" s="1"/>
  <c r="T44" i="20" s="1"/>
  <c r="T45" i="20" s="1"/>
  <c r="T46" i="20" s="1"/>
  <c r="T47" i="20" s="1"/>
  <c r="T48" i="20" s="1"/>
  <c r="T49" i="20" s="1"/>
  <c r="T50" i="20" s="1"/>
  <c r="T51" i="20" s="1"/>
  <c r="T52" i="20" s="1"/>
  <c r="T53" i="20" s="1"/>
  <c r="T54" i="20" s="1"/>
  <c r="T55" i="20" s="1"/>
  <c r="T56" i="20" s="1"/>
  <c r="T57" i="20" s="1"/>
  <c r="T58" i="20" s="1"/>
  <c r="T59" i="20" s="1"/>
  <c r="T60" i="20" s="1"/>
  <c r="T61" i="20" s="1"/>
  <c r="T62" i="20" s="1"/>
  <c r="T63" i="20" s="1"/>
  <c r="T64" i="20" s="1"/>
  <c r="T65" i="20" s="1"/>
  <c r="T66" i="20" s="1"/>
  <c r="T67" i="20" s="1"/>
  <c r="T68" i="20" s="1"/>
  <c r="T69" i="20" s="1"/>
  <c r="T70" i="20" s="1"/>
  <c r="T71" i="20" s="1"/>
  <c r="T72" i="20" s="1"/>
  <c r="T73" i="20" s="1"/>
  <c r="T74" i="20" s="1"/>
  <c r="T75" i="20" s="1"/>
  <c r="T76" i="20" s="1"/>
  <c r="T77" i="20" s="1"/>
  <c r="T78" i="20" s="1"/>
  <c r="T79" i="20" s="1"/>
  <c r="T80" i="20" s="1"/>
  <c r="T81" i="20" s="1"/>
  <c r="T82" i="20" s="1"/>
  <c r="T83" i="20" s="1"/>
  <c r="T84" i="20" s="1"/>
  <c r="T85" i="20" s="1"/>
  <c r="T86" i="20" s="1"/>
  <c r="T87" i="20" s="1"/>
  <c r="T88" i="20" s="1"/>
  <c r="T89" i="20" s="1"/>
  <c r="T90" i="20" s="1"/>
  <c r="T91" i="20" s="1"/>
  <c r="T92" i="20" s="1"/>
  <c r="S3" i="20"/>
  <c r="S4" i="20" s="1"/>
  <c r="S5" i="20" s="1"/>
  <c r="S6" i="20" s="1"/>
  <c r="S7" i="20" s="1"/>
  <c r="S8" i="20" s="1"/>
  <c r="S9" i="20" s="1"/>
  <c r="S10" i="20" s="1"/>
  <c r="S11" i="20" s="1"/>
  <c r="S12" i="20" s="1"/>
  <c r="S13" i="20" s="1"/>
  <c r="S14" i="20" s="1"/>
  <c r="S15" i="20" s="1"/>
  <c r="S16" i="20" s="1"/>
  <c r="S17" i="20" s="1"/>
  <c r="S18" i="20" s="1"/>
  <c r="S19" i="20" s="1"/>
  <c r="S20" i="20" s="1"/>
  <c r="S21" i="20" s="1"/>
  <c r="S22" i="20" s="1"/>
  <c r="S23" i="20" s="1"/>
  <c r="S24" i="20" s="1"/>
  <c r="S25" i="20" s="1"/>
  <c r="S26" i="20" s="1"/>
  <c r="S27" i="20" s="1"/>
  <c r="S28" i="20" s="1"/>
  <c r="S29" i="20" s="1"/>
  <c r="S30" i="20" s="1"/>
  <c r="S31" i="20" s="1"/>
  <c r="S32" i="20" s="1"/>
  <c r="S33" i="20" s="1"/>
  <c r="S34" i="20" s="1"/>
  <c r="S35" i="20" s="1"/>
  <c r="S36" i="20" s="1"/>
  <c r="S37" i="20" s="1"/>
  <c r="S38" i="20" s="1"/>
  <c r="S39" i="20" s="1"/>
  <c r="S40" i="20" s="1"/>
  <c r="S41" i="20" s="1"/>
  <c r="S42" i="20" s="1"/>
  <c r="S43" i="20" s="1"/>
  <c r="S44" i="20" s="1"/>
  <c r="S45" i="20" s="1"/>
  <c r="S46" i="20" s="1"/>
  <c r="S47" i="20" s="1"/>
  <c r="S48" i="20" s="1"/>
  <c r="S49" i="20" s="1"/>
  <c r="S50" i="20" s="1"/>
  <c r="S51" i="20" s="1"/>
  <c r="S52" i="20" s="1"/>
  <c r="S53" i="20" s="1"/>
  <c r="S54" i="20" s="1"/>
  <c r="S55" i="20" s="1"/>
  <c r="S56" i="20" s="1"/>
  <c r="S57" i="20" s="1"/>
  <c r="S58" i="20" s="1"/>
  <c r="S59" i="20" s="1"/>
  <c r="S60" i="20" s="1"/>
  <c r="S61" i="20" s="1"/>
  <c r="S62" i="20" s="1"/>
  <c r="S63" i="20" s="1"/>
  <c r="S64" i="20" s="1"/>
  <c r="S65" i="20" s="1"/>
  <c r="S66" i="20" s="1"/>
  <c r="S67" i="20" s="1"/>
  <c r="S68" i="20" s="1"/>
  <c r="S69" i="20" s="1"/>
  <c r="S70" i="20" s="1"/>
  <c r="S71" i="20" s="1"/>
  <c r="S72" i="20" s="1"/>
  <c r="S73" i="20" s="1"/>
  <c r="S74" i="20" s="1"/>
  <c r="S75" i="20" s="1"/>
  <c r="S76" i="20" s="1"/>
  <c r="S77" i="20" s="1"/>
  <c r="S78" i="20" s="1"/>
  <c r="S79" i="20" s="1"/>
  <c r="S80" i="20" s="1"/>
  <c r="S81" i="20" s="1"/>
  <c r="S82" i="20" s="1"/>
  <c r="S83" i="20" s="1"/>
  <c r="S84" i="20" s="1"/>
  <c r="S85" i="20" s="1"/>
  <c r="S86" i="20" s="1"/>
  <c r="S87" i="20" s="1"/>
  <c r="S88" i="20" s="1"/>
  <c r="S89" i="20" s="1"/>
  <c r="S90" i="20" s="1"/>
  <c r="S91" i="20" s="1"/>
  <c r="S92" i="20" s="1"/>
  <c r="D35" i="20"/>
  <c r="F35" i="20"/>
  <c r="E35" i="20"/>
  <c r="U3" i="20"/>
  <c r="U4" i="20" s="1"/>
  <c r="U5" i="20" s="1"/>
  <c r="U6" i="20" s="1"/>
  <c r="U7" i="20" s="1"/>
  <c r="U8" i="20" s="1"/>
  <c r="U9" i="20" s="1"/>
  <c r="U10" i="20" s="1"/>
  <c r="U11" i="20" s="1"/>
  <c r="U12" i="20" s="1"/>
  <c r="U13" i="20" s="1"/>
  <c r="U14" i="20" s="1"/>
  <c r="U15" i="20" s="1"/>
  <c r="U16" i="20" s="1"/>
  <c r="U17" i="20" s="1"/>
  <c r="U18" i="20" s="1"/>
  <c r="U19" i="20" s="1"/>
  <c r="U20" i="20" s="1"/>
  <c r="U21" i="20" s="1"/>
  <c r="U22" i="20" s="1"/>
  <c r="U23" i="20" s="1"/>
  <c r="U24" i="20" s="1"/>
  <c r="U25" i="20" s="1"/>
  <c r="U26" i="20" s="1"/>
  <c r="U27" i="20" s="1"/>
  <c r="U28" i="20" s="1"/>
  <c r="U29" i="20" s="1"/>
  <c r="U30" i="20" s="1"/>
  <c r="U31" i="20" s="1"/>
  <c r="U32" i="20" s="1"/>
  <c r="U33" i="20" s="1"/>
  <c r="U34" i="20" s="1"/>
  <c r="U35" i="20" s="1"/>
  <c r="U36" i="20" s="1"/>
  <c r="U37" i="20" s="1"/>
  <c r="U38" i="20" s="1"/>
  <c r="U39" i="20" s="1"/>
  <c r="U40" i="20" s="1"/>
  <c r="U41" i="20" s="1"/>
  <c r="U42" i="20" s="1"/>
  <c r="U43" i="20" s="1"/>
  <c r="U44" i="20" s="1"/>
  <c r="U45" i="20" s="1"/>
  <c r="U46" i="20" s="1"/>
  <c r="U47" i="20" s="1"/>
  <c r="U48" i="20" s="1"/>
  <c r="U49" i="20" s="1"/>
  <c r="U50" i="20" s="1"/>
  <c r="U51" i="20" s="1"/>
  <c r="U52" i="20" s="1"/>
  <c r="U53" i="20" s="1"/>
  <c r="U54" i="20" s="1"/>
  <c r="U55" i="20" s="1"/>
  <c r="U56" i="20" s="1"/>
  <c r="U57" i="20" s="1"/>
  <c r="U58" i="20" s="1"/>
  <c r="U59" i="20" s="1"/>
  <c r="U60" i="20" s="1"/>
  <c r="U61" i="20" s="1"/>
  <c r="U62" i="20" s="1"/>
  <c r="U63" i="20" s="1"/>
  <c r="U64" i="20" s="1"/>
  <c r="U65" i="20" s="1"/>
  <c r="U66" i="20" s="1"/>
  <c r="U67" i="20" s="1"/>
  <c r="U68" i="20" s="1"/>
  <c r="U69" i="20" s="1"/>
  <c r="U70" i="20" s="1"/>
  <c r="U71" i="20" s="1"/>
  <c r="U72" i="20" s="1"/>
  <c r="U73" i="20" s="1"/>
  <c r="U74" i="20" s="1"/>
  <c r="U75" i="20" s="1"/>
  <c r="U76" i="20" s="1"/>
  <c r="U77" i="20" s="1"/>
  <c r="U78" i="20" s="1"/>
  <c r="U79" i="20" s="1"/>
  <c r="U80" i="20" s="1"/>
  <c r="U81" i="20" s="1"/>
  <c r="U82" i="20" s="1"/>
  <c r="U83" i="20" s="1"/>
  <c r="U84" i="20" s="1"/>
  <c r="U85" i="20" s="1"/>
  <c r="U86" i="20" s="1"/>
  <c r="U87" i="20" s="1"/>
  <c r="U88" i="20" s="1"/>
  <c r="U89" i="20" s="1"/>
  <c r="U90" i="20" s="1"/>
  <c r="U91" i="20" s="1"/>
  <c r="U92" i="20" s="1"/>
  <c r="U93" i="20" s="1"/>
  <c r="O22" i="20"/>
  <c r="Q22" i="20"/>
  <c r="P22" i="20"/>
  <c r="X5" i="20"/>
  <c r="W5" i="20"/>
  <c r="Y36" i="20"/>
  <c r="X36" i="20"/>
  <c r="W36" i="20"/>
  <c r="Y5" i="20"/>
  <c r="X23" i="20"/>
  <c r="Y23" i="20"/>
  <c r="W23" i="20"/>
  <c r="Y6" i="20"/>
  <c r="X6" i="20"/>
  <c r="W6" i="20"/>
  <c r="AG24" i="20"/>
  <c r="AF24" i="20"/>
  <c r="AE24" i="20"/>
  <c r="AF5" i="20"/>
  <c r="AE5" i="20"/>
  <c r="D31" i="20"/>
  <c r="F31" i="20"/>
  <c r="E31" i="20"/>
  <c r="P35" i="20"/>
  <c r="Q35" i="20"/>
  <c r="O35" i="20"/>
  <c r="Q44" i="20"/>
  <c r="P44" i="20"/>
  <c r="O44" i="20"/>
  <c r="AB3" i="20"/>
  <c r="AB4" i="20" s="1"/>
  <c r="AB5" i="20" s="1"/>
  <c r="AB6" i="20" s="1"/>
  <c r="AB7" i="20" s="1"/>
  <c r="AB8" i="20" s="1"/>
  <c r="AB9" i="20" s="1"/>
  <c r="AB10" i="20" s="1"/>
  <c r="AB11" i="20" s="1"/>
  <c r="AB12" i="20" s="1"/>
  <c r="AB13" i="20" s="1"/>
  <c r="AB14" i="20" s="1"/>
  <c r="AB15" i="20" s="1"/>
  <c r="AB16" i="20" s="1"/>
  <c r="AB17" i="20" s="1"/>
  <c r="AB18" i="20" s="1"/>
  <c r="AB19" i="20" s="1"/>
  <c r="AB20" i="20" s="1"/>
  <c r="AB21" i="20" s="1"/>
  <c r="AB22" i="20" s="1"/>
  <c r="AB23" i="20" s="1"/>
  <c r="AB24" i="20" s="1"/>
  <c r="AB25" i="20" s="1"/>
  <c r="AB26" i="20" s="1"/>
  <c r="AB27" i="20" s="1"/>
  <c r="AB28" i="20" s="1"/>
  <c r="AB29" i="20" s="1"/>
  <c r="AB30" i="20" s="1"/>
  <c r="AB31" i="20" s="1"/>
  <c r="AB32" i="20" s="1"/>
  <c r="AB33" i="20" s="1"/>
  <c r="AB34" i="20" s="1"/>
  <c r="AB35" i="20" s="1"/>
  <c r="AB36" i="20" s="1"/>
  <c r="AB37" i="20" s="1"/>
  <c r="AB38" i="20" s="1"/>
  <c r="AB39" i="20" s="1"/>
  <c r="AB40" i="20" s="1"/>
  <c r="AB41" i="20" s="1"/>
  <c r="AB42" i="20" s="1"/>
  <c r="AB43" i="20" s="1"/>
  <c r="AB44" i="20" s="1"/>
  <c r="AB45" i="20" s="1"/>
  <c r="AB46" i="20" s="1"/>
  <c r="AB47" i="20" s="1"/>
  <c r="AB48" i="20" s="1"/>
  <c r="AB49" i="20" s="1"/>
  <c r="AB50" i="20" s="1"/>
  <c r="AB51" i="20" s="1"/>
  <c r="AB52" i="20" s="1"/>
  <c r="AB53" i="20" s="1"/>
  <c r="AB54" i="20" s="1"/>
  <c r="AB55" i="20" s="1"/>
  <c r="AB56" i="20" s="1"/>
  <c r="AB57" i="20" s="1"/>
  <c r="AB58" i="20" s="1"/>
  <c r="AB59" i="20" s="1"/>
  <c r="AB60" i="20" s="1"/>
  <c r="AB61" i="20" s="1"/>
  <c r="AB62" i="20" s="1"/>
  <c r="AB63" i="20" s="1"/>
  <c r="AB64" i="20" s="1"/>
  <c r="AB65" i="20" s="1"/>
  <c r="AB66" i="20" s="1"/>
  <c r="AB67" i="20" s="1"/>
  <c r="AB68" i="20" s="1"/>
  <c r="AB69" i="20" s="1"/>
  <c r="AB70" i="20" s="1"/>
  <c r="AB71" i="20" s="1"/>
  <c r="AB72" i="20" s="1"/>
  <c r="AB73" i="20" s="1"/>
  <c r="AB74" i="20" s="1"/>
  <c r="AB75" i="20" s="1"/>
  <c r="AB76" i="20" s="1"/>
  <c r="AB77" i="20" s="1"/>
  <c r="AB78" i="20" s="1"/>
  <c r="AB79" i="20" s="1"/>
  <c r="AB80" i="20" s="1"/>
  <c r="AB81" i="20" s="1"/>
  <c r="AB82" i="20" s="1"/>
  <c r="AB83" i="20" s="1"/>
  <c r="AB84" i="20" s="1"/>
  <c r="AB85" i="20" s="1"/>
  <c r="AB86" i="20" s="1"/>
  <c r="AB87" i="20" s="1"/>
  <c r="AB88" i="20" s="1"/>
  <c r="AB89" i="20" s="1"/>
  <c r="AB90" i="20" s="1"/>
  <c r="AB91" i="20" s="1"/>
  <c r="AB92" i="20" s="1"/>
  <c r="AB93" i="20" s="1"/>
  <c r="AB94" i="20" s="1"/>
  <c r="AA3" i="20"/>
  <c r="AA4" i="20" s="1"/>
  <c r="AA5" i="20" s="1"/>
  <c r="AA6" i="20" s="1"/>
  <c r="AA7" i="20" s="1"/>
  <c r="AA8" i="20" s="1"/>
  <c r="AA9" i="20" s="1"/>
  <c r="AA10" i="20" s="1"/>
  <c r="AA11" i="20" s="1"/>
  <c r="AA12" i="20" s="1"/>
  <c r="AA13" i="20" s="1"/>
  <c r="AA14" i="20" s="1"/>
  <c r="AA15" i="20" s="1"/>
  <c r="AA16" i="20" s="1"/>
  <c r="AA17" i="20" s="1"/>
  <c r="AA18" i="20" s="1"/>
  <c r="AA19" i="20" s="1"/>
  <c r="AA20" i="20" s="1"/>
  <c r="AA21" i="20" s="1"/>
  <c r="AA22" i="20" s="1"/>
  <c r="AA23" i="20" s="1"/>
  <c r="AA24" i="20" s="1"/>
  <c r="AA25" i="20" s="1"/>
  <c r="AA26" i="20" s="1"/>
  <c r="AA27" i="20" s="1"/>
  <c r="AA28" i="20" s="1"/>
  <c r="AA29" i="20" s="1"/>
  <c r="AA30" i="20" s="1"/>
  <c r="AA31" i="20" s="1"/>
  <c r="AA32" i="20" s="1"/>
  <c r="AA33" i="20" s="1"/>
  <c r="AA34" i="20" s="1"/>
  <c r="AA35" i="20" s="1"/>
  <c r="AA36" i="20" s="1"/>
  <c r="AA37" i="20" s="1"/>
  <c r="AA38" i="20" s="1"/>
  <c r="AA39" i="20" s="1"/>
  <c r="AA40" i="20" s="1"/>
  <c r="AA41" i="20" s="1"/>
  <c r="AA42" i="20" s="1"/>
  <c r="AA43" i="20" s="1"/>
  <c r="AA44" i="20" s="1"/>
  <c r="AA45" i="20" s="1"/>
  <c r="AA46" i="20" s="1"/>
  <c r="AA47" i="20" s="1"/>
  <c r="AA48" i="20" s="1"/>
  <c r="AA49" i="20" s="1"/>
  <c r="AA50" i="20" s="1"/>
  <c r="AA51" i="20" s="1"/>
  <c r="AA52" i="20" s="1"/>
  <c r="AA53" i="20" s="1"/>
  <c r="AA54" i="20" s="1"/>
  <c r="AA55" i="20" s="1"/>
  <c r="AA56" i="20" s="1"/>
  <c r="AA57" i="20" s="1"/>
  <c r="AA58" i="20" s="1"/>
  <c r="AA59" i="20" s="1"/>
  <c r="AA60" i="20" s="1"/>
  <c r="AA61" i="20" s="1"/>
  <c r="AA62" i="20" s="1"/>
  <c r="AA63" i="20" s="1"/>
  <c r="AA64" i="20" s="1"/>
  <c r="AA65" i="20" s="1"/>
  <c r="AA66" i="20" s="1"/>
  <c r="AA67" i="20" s="1"/>
  <c r="AA68" i="20" s="1"/>
  <c r="AA69" i="20" s="1"/>
  <c r="AA70" i="20" s="1"/>
  <c r="AA71" i="20" s="1"/>
  <c r="AA72" i="20" s="1"/>
  <c r="AA73" i="20" s="1"/>
  <c r="AA74" i="20" s="1"/>
  <c r="AA75" i="20" s="1"/>
  <c r="AA76" i="20" s="1"/>
  <c r="AA77" i="20" s="1"/>
  <c r="AA78" i="20" s="1"/>
  <c r="AA79" i="20" s="1"/>
  <c r="AA80" i="20" s="1"/>
  <c r="AA81" i="20" s="1"/>
  <c r="AA82" i="20" s="1"/>
  <c r="AA83" i="20" s="1"/>
  <c r="AA84" i="20" s="1"/>
  <c r="AA85" i="20" s="1"/>
  <c r="AA86" i="20" s="1"/>
  <c r="AA87" i="20" s="1"/>
  <c r="AA88" i="20" s="1"/>
  <c r="AA89" i="20" s="1"/>
  <c r="AA90" i="20" s="1"/>
  <c r="AA91" i="20" s="1"/>
  <c r="AA92" i="20" s="1"/>
  <c r="AA93" i="20" s="1"/>
  <c r="AA94" i="20" s="1"/>
  <c r="AG5" i="20"/>
  <c r="AG6" i="20"/>
  <c r="AF6" i="20"/>
  <c r="AE6" i="20"/>
  <c r="R4" i="20"/>
  <c r="R5" i="20" s="1"/>
  <c r="R6" i="20" s="1"/>
  <c r="R7" i="20" s="1"/>
  <c r="R8" i="20" s="1"/>
  <c r="R9" i="20" s="1"/>
  <c r="R10" i="20" s="1"/>
  <c r="R11" i="20" s="1"/>
  <c r="R12" i="20" s="1"/>
  <c r="R13" i="20" s="1"/>
  <c r="R14" i="20" s="1"/>
  <c r="R15" i="20" s="1"/>
  <c r="R16" i="20" s="1"/>
  <c r="R17" i="20" s="1"/>
  <c r="R18" i="20" s="1"/>
  <c r="R19" i="20" s="1"/>
  <c r="R20" i="20" s="1"/>
  <c r="R21" i="20" s="1"/>
  <c r="R22" i="20" s="1"/>
  <c r="R23" i="20" s="1"/>
  <c r="R24" i="20" s="1"/>
  <c r="R25" i="20" s="1"/>
  <c r="R26" i="20" s="1"/>
  <c r="R27" i="20" s="1"/>
  <c r="R28" i="20" s="1"/>
  <c r="R29" i="20" s="1"/>
  <c r="R30" i="20" s="1"/>
  <c r="R31" i="20" s="1"/>
  <c r="R32" i="20" s="1"/>
  <c r="R33" i="20" s="1"/>
  <c r="R34" i="20" s="1"/>
  <c r="R35" i="20" s="1"/>
  <c r="R36" i="20" s="1"/>
  <c r="R37" i="20" s="1"/>
  <c r="R38" i="20" s="1"/>
  <c r="R39" i="20" s="1"/>
  <c r="R40" i="20" s="1"/>
  <c r="R41" i="20" s="1"/>
  <c r="R42" i="20" s="1"/>
  <c r="R43" i="20" s="1"/>
  <c r="R44" i="20" s="1"/>
  <c r="R45" i="20" s="1"/>
  <c r="R46" i="20" s="1"/>
  <c r="R47" i="20" s="1"/>
  <c r="R48" i="20" s="1"/>
  <c r="R49" i="20" s="1"/>
  <c r="R50" i="20" s="1"/>
  <c r="R51" i="20" s="1"/>
  <c r="R52" i="20" s="1"/>
  <c r="R53" i="20" s="1"/>
  <c r="R54" i="20" s="1"/>
  <c r="R55" i="20" s="1"/>
  <c r="R56" i="20" s="1"/>
  <c r="R57" i="20" s="1"/>
  <c r="R58" i="20" s="1"/>
  <c r="R59" i="20" s="1"/>
  <c r="R60" i="20" s="1"/>
  <c r="R61" i="20" s="1"/>
  <c r="R62" i="20" s="1"/>
  <c r="R63" i="20" s="1"/>
  <c r="R64" i="20" s="1"/>
  <c r="R65" i="20" s="1"/>
  <c r="R66" i="20" s="1"/>
  <c r="R67" i="20" s="1"/>
  <c r="R68" i="20" s="1"/>
  <c r="R69" i="20" s="1"/>
  <c r="R70" i="20" s="1"/>
  <c r="R71" i="20" s="1"/>
  <c r="R72" i="20" s="1"/>
  <c r="R73" i="20" s="1"/>
  <c r="R74" i="20" s="1"/>
  <c r="R75" i="20" s="1"/>
  <c r="R76" i="20" s="1"/>
  <c r="R77" i="20" s="1"/>
  <c r="R78" i="20" s="1"/>
  <c r="R79" i="20" s="1"/>
  <c r="R80" i="20" s="1"/>
  <c r="R81" i="20" s="1"/>
  <c r="R82" i="20" s="1"/>
  <c r="R83" i="20" s="1"/>
  <c r="R84" i="20" s="1"/>
  <c r="R85" i="20" s="1"/>
  <c r="R86" i="20" s="1"/>
  <c r="R87" i="20" s="1"/>
  <c r="R88" i="20" s="1"/>
  <c r="R89" i="20" s="1"/>
  <c r="R90" i="20" s="1"/>
  <c r="R91" i="20" s="1"/>
  <c r="R92" i="20" s="1"/>
  <c r="R93" i="20" s="1"/>
  <c r="R94" i="20" s="1"/>
  <c r="R95" i="20" s="1"/>
  <c r="R96" i="20" s="1"/>
  <c r="R97" i="20" s="1"/>
  <c r="R98" i="20" s="1"/>
  <c r="R99" i="20" s="1"/>
  <c r="R100" i="20" s="1"/>
  <c r="R101" i="20" s="1"/>
  <c r="R102" i="20" s="1"/>
  <c r="R103" i="20" s="1"/>
  <c r="R104" i="20" s="1"/>
  <c r="R105" i="20" s="1"/>
  <c r="R106" i="20" s="1"/>
  <c r="R107" i="20" s="1"/>
  <c r="R108" i="20" s="1"/>
  <c r="R109" i="20" s="1"/>
  <c r="R110" i="20" s="1"/>
  <c r="R111" i="20" s="1"/>
  <c r="R112" i="20" s="1"/>
  <c r="R113" i="20" s="1"/>
  <c r="R114" i="20" s="1"/>
  <c r="R115" i="20" s="1"/>
  <c r="R116" i="20" s="1"/>
  <c r="R117" i="20" s="1"/>
  <c r="R118" i="20" s="1"/>
  <c r="R119" i="20" s="1"/>
  <c r="R120" i="20" s="1"/>
  <c r="R121" i="20" s="1"/>
  <c r="R122" i="20" s="1"/>
  <c r="R123" i="20" s="1"/>
  <c r="R124" i="20" s="1"/>
  <c r="R125" i="20" s="1"/>
  <c r="R126" i="20" s="1"/>
  <c r="R127" i="20" s="1"/>
  <c r="R128" i="20" s="1"/>
  <c r="R129" i="20" s="1"/>
  <c r="R130" i="20" s="1"/>
  <c r="R131" i="20" s="1"/>
  <c r="R132" i="20" s="1"/>
  <c r="R133" i="20" s="1"/>
  <c r="R134" i="20" s="1"/>
  <c r="R135" i="20" s="1"/>
  <c r="R136" i="20" s="1"/>
  <c r="R137" i="20" s="1"/>
  <c r="R138" i="20" s="1"/>
  <c r="R139" i="20" s="1"/>
  <c r="R140" i="20" s="1"/>
  <c r="R141" i="20" s="1"/>
  <c r="R142" i="20" s="1"/>
  <c r="R143" i="20" s="1"/>
  <c r="R144" i="20" s="1"/>
  <c r="R145" i="20" s="1"/>
  <c r="R146" i="20" s="1"/>
  <c r="R147" i="20" s="1"/>
  <c r="R148" i="20" s="1"/>
  <c r="R149" i="20" s="1"/>
  <c r="R150" i="20" s="1"/>
  <c r="R151" i="20" s="1"/>
  <c r="R152" i="20" s="1"/>
  <c r="R153" i="20" s="1"/>
  <c r="R154" i="20" s="1"/>
  <c r="R155" i="20" s="1"/>
  <c r="R156" i="20" s="1"/>
  <c r="R157" i="20" s="1"/>
  <c r="R158" i="20" s="1"/>
  <c r="R159" i="20" s="1"/>
  <c r="R160" i="20" s="1"/>
  <c r="R161" i="20" s="1"/>
  <c r="R162" i="20" s="1"/>
  <c r="R163" i="20" s="1"/>
  <c r="R164" i="20" s="1"/>
  <c r="R165" i="20" s="1"/>
  <c r="R166" i="20" s="1"/>
  <c r="R167" i="20" s="1"/>
  <c r="R168" i="20" s="1"/>
  <c r="R169" i="20" s="1"/>
  <c r="R170" i="20" s="1"/>
  <c r="R171" i="20" s="1"/>
  <c r="R172" i="20" s="1"/>
  <c r="R173" i="20" s="1"/>
  <c r="R174" i="20" s="1"/>
  <c r="R175" i="20" s="1"/>
  <c r="R176" i="20" s="1"/>
  <c r="R177" i="20" s="1"/>
  <c r="R178" i="20" s="1"/>
  <c r="R179" i="20" s="1"/>
  <c r="R180" i="20" s="1"/>
  <c r="R181" i="20" s="1"/>
  <c r="R182" i="20" s="1"/>
  <c r="R183" i="20" s="1"/>
  <c r="R184" i="20" s="1"/>
  <c r="R185" i="20" s="1"/>
  <c r="R186" i="20" s="1"/>
  <c r="R187" i="20" s="1"/>
  <c r="R188" i="20" s="1"/>
  <c r="R189" i="20" s="1"/>
  <c r="R190" i="20" s="1"/>
  <c r="R191" i="20" s="1"/>
  <c r="R192" i="20" s="1"/>
  <c r="R193" i="20" s="1"/>
  <c r="R194" i="20" s="1"/>
  <c r="R195" i="20" s="1"/>
  <c r="R196" i="20" s="1"/>
  <c r="R197" i="20" s="1"/>
  <c r="R198" i="20" s="1"/>
  <c r="R199" i="20" s="1"/>
  <c r="R200" i="20" s="1"/>
  <c r="R201" i="20" s="1"/>
  <c r="R202" i="20" s="1"/>
  <c r="F7" i="20"/>
  <c r="E7" i="20"/>
  <c r="D7" i="20"/>
  <c r="D19" i="20"/>
  <c r="F19" i="20"/>
  <c r="E19" i="20"/>
  <c r="Y20" i="20"/>
  <c r="X20" i="20"/>
  <c r="W20" i="20"/>
  <c r="Y32" i="20"/>
  <c r="X32" i="20"/>
  <c r="W32" i="20"/>
  <c r="I6" i="20"/>
  <c r="I7" i="20" s="1"/>
  <c r="I8" i="20" s="1"/>
  <c r="I9" i="20" s="1"/>
  <c r="I10" i="20" s="1"/>
  <c r="I11" i="20" s="1"/>
  <c r="I12" i="20" s="1"/>
  <c r="I13" i="20" s="1"/>
  <c r="I14" i="20" s="1"/>
  <c r="I15" i="20" s="1"/>
  <c r="I16" i="20" s="1"/>
  <c r="I17" i="20" s="1"/>
  <c r="I18" i="20" s="1"/>
  <c r="I19" i="20" s="1"/>
  <c r="I20" i="20" s="1"/>
  <c r="I21" i="20" s="1"/>
  <c r="I22" i="20" s="1"/>
  <c r="I23" i="20" s="1"/>
  <c r="I24" i="20" s="1"/>
  <c r="I25" i="20" s="1"/>
  <c r="I26" i="20" s="1"/>
  <c r="I27" i="20" s="1"/>
  <c r="I28" i="20" s="1"/>
  <c r="I29" i="20" s="1"/>
  <c r="I30" i="20" s="1"/>
  <c r="I31" i="20" s="1"/>
  <c r="I32" i="20" s="1"/>
  <c r="I33" i="20" s="1"/>
  <c r="I34" i="20" s="1"/>
  <c r="I35" i="20" s="1"/>
  <c r="I36" i="20" s="1"/>
  <c r="I37" i="20" s="1"/>
  <c r="I38" i="20" s="1"/>
  <c r="I39" i="20" s="1"/>
  <c r="I40" i="20" s="1"/>
  <c r="I41" i="20" s="1"/>
  <c r="I42" i="20" s="1"/>
  <c r="I43" i="20" s="1"/>
  <c r="I44" i="20" s="1"/>
  <c r="I45" i="20" s="1"/>
  <c r="I46" i="20" s="1"/>
  <c r="E6" i="20"/>
  <c r="D6" i="20"/>
  <c r="P31" i="20"/>
  <c r="Q31" i="20"/>
  <c r="O31" i="20"/>
  <c r="E52" i="20"/>
  <c r="P67" i="20"/>
  <c r="O67" i="20"/>
  <c r="AG72" i="20"/>
  <c r="AF72" i="20"/>
  <c r="AE72" i="20"/>
  <c r="O74" i="20"/>
  <c r="P74" i="20"/>
  <c r="AG76" i="20"/>
  <c r="AE76" i="20"/>
  <c r="E83" i="20"/>
  <c r="D83" i="20"/>
  <c r="F83" i="20"/>
  <c r="P110" i="20"/>
  <c r="Q110" i="20"/>
  <c r="H4" i="20"/>
  <c r="P4" i="20"/>
  <c r="X4" i="20"/>
  <c r="AF4" i="20"/>
  <c r="Q7" i="20"/>
  <c r="Y7" i="20"/>
  <c r="AG7" i="20"/>
  <c r="F8" i="20"/>
  <c r="P10" i="20"/>
  <c r="X10" i="20"/>
  <c r="AF10" i="20"/>
  <c r="E11" i="20"/>
  <c r="E13" i="20"/>
  <c r="P14" i="20"/>
  <c r="X14" i="20"/>
  <c r="AF14" i="20"/>
  <c r="P16" i="20"/>
  <c r="X16" i="20"/>
  <c r="AF16" i="20"/>
  <c r="O30" i="20"/>
  <c r="Y30" i="20"/>
  <c r="AG31" i="20"/>
  <c r="E33" i="20"/>
  <c r="O38" i="20"/>
  <c r="AF39" i="20"/>
  <c r="AE39" i="20"/>
  <c r="Y43" i="20"/>
  <c r="E44" i="20"/>
  <c r="W48" i="20"/>
  <c r="P51" i="20"/>
  <c r="D52" i="20"/>
  <c r="AG52" i="20"/>
  <c r="AF52" i="20"/>
  <c r="Q54" i="20"/>
  <c r="AE54" i="20"/>
  <c r="X56" i="20"/>
  <c r="Q60" i="20"/>
  <c r="O60" i="20"/>
  <c r="Q67" i="20"/>
  <c r="Q74" i="20"/>
  <c r="AF76" i="20"/>
  <c r="D82" i="20"/>
  <c r="F82" i="20"/>
  <c r="E82" i="20"/>
  <c r="F92" i="20"/>
  <c r="D92" i="20"/>
  <c r="E92" i="20"/>
  <c r="F108" i="20"/>
  <c r="E108" i="20"/>
  <c r="O110" i="20"/>
  <c r="O46" i="20"/>
  <c r="AF47" i="20"/>
  <c r="AE47" i="20"/>
  <c r="I4" i="20"/>
  <c r="Q4" i="20"/>
  <c r="H5" i="20"/>
  <c r="H6" i="20" s="1"/>
  <c r="H7" i="20" s="1"/>
  <c r="H8" i="20" s="1"/>
  <c r="H9" i="20" s="1"/>
  <c r="H10" i="20" s="1"/>
  <c r="H11" i="20" s="1"/>
  <c r="H12" i="20" s="1"/>
  <c r="H13" i="20" s="1"/>
  <c r="H14" i="20" s="1"/>
  <c r="H15" i="20" s="1"/>
  <c r="H16" i="20" s="1"/>
  <c r="H17" i="20" s="1"/>
  <c r="H18" i="20" s="1"/>
  <c r="H19" i="20" s="1"/>
  <c r="H20" i="20" s="1"/>
  <c r="H21" i="20" s="1"/>
  <c r="H22" i="20" s="1"/>
  <c r="H23" i="20" s="1"/>
  <c r="H24" i="20" s="1"/>
  <c r="H25" i="20" s="1"/>
  <c r="H26" i="20" s="1"/>
  <c r="H27" i="20" s="1"/>
  <c r="H28" i="20" s="1"/>
  <c r="H29" i="20" s="1"/>
  <c r="H30" i="20" s="1"/>
  <c r="H31" i="20" s="1"/>
  <c r="H32" i="20" s="1"/>
  <c r="H33" i="20" s="1"/>
  <c r="H34" i="20" s="1"/>
  <c r="H35" i="20" s="1"/>
  <c r="H36" i="20" s="1"/>
  <c r="H37" i="20" s="1"/>
  <c r="H38" i="20" s="1"/>
  <c r="H39" i="20" s="1"/>
  <c r="H40" i="20" s="1"/>
  <c r="H41" i="20" s="1"/>
  <c r="H42" i="20" s="1"/>
  <c r="H43" i="20" s="1"/>
  <c r="H44" i="20" s="1"/>
  <c r="H45" i="20" s="1"/>
  <c r="H46" i="20" s="1"/>
  <c r="H47" i="20" s="1"/>
  <c r="H48" i="20" s="1"/>
  <c r="H49" i="20" s="1"/>
  <c r="H50" i="20" s="1"/>
  <c r="H51" i="20" s="1"/>
  <c r="H52" i="20" s="1"/>
  <c r="H53" i="20" s="1"/>
  <c r="H54" i="20" s="1"/>
  <c r="H55" i="20" s="1"/>
  <c r="H56" i="20" s="1"/>
  <c r="H57" i="20" s="1"/>
  <c r="H58" i="20" s="1"/>
  <c r="H59" i="20" s="1"/>
  <c r="H60" i="20" s="1"/>
  <c r="H61" i="20" s="1"/>
  <c r="H62" i="20" s="1"/>
  <c r="H63" i="20" s="1"/>
  <c r="H64" i="20" s="1"/>
  <c r="H65" i="20" s="1"/>
  <c r="H66" i="20" s="1"/>
  <c r="H67" i="20" s="1"/>
  <c r="H68" i="20" s="1"/>
  <c r="H69" i="20" s="1"/>
  <c r="H70" i="20" s="1"/>
  <c r="H71" i="20" s="1"/>
  <c r="H72" i="20" s="1"/>
  <c r="H73" i="20" s="1"/>
  <c r="H74" i="20" s="1"/>
  <c r="H75" i="20" s="1"/>
  <c r="H76" i="20" s="1"/>
  <c r="H77" i="20" s="1"/>
  <c r="H78" i="20" s="1"/>
  <c r="H79" i="20" s="1"/>
  <c r="H80" i="20" s="1"/>
  <c r="H81" i="20" s="1"/>
  <c r="H82" i="20" s="1"/>
  <c r="H83" i="20" s="1"/>
  <c r="H84" i="20" s="1"/>
  <c r="H85" i="20" s="1"/>
  <c r="H86" i="20" s="1"/>
  <c r="H87" i="20" s="1"/>
  <c r="H88" i="20" s="1"/>
  <c r="H89" i="20" s="1"/>
  <c r="H90" i="20" s="1"/>
  <c r="H91" i="20" s="1"/>
  <c r="Q10" i="20"/>
  <c r="F11" i="20"/>
  <c r="F13" i="20"/>
  <c r="Q14" i="20"/>
  <c r="Q16" i="20"/>
  <c r="AE18" i="20"/>
  <c r="E20" i="20"/>
  <c r="Q20" i="20"/>
  <c r="AE34" i="20"/>
  <c r="E36" i="20"/>
  <c r="Q36" i="20"/>
  <c r="P43" i="20"/>
  <c r="AG44" i="20"/>
  <c r="AF44" i="20"/>
  <c r="Q46" i="20"/>
  <c r="AE46" i="20"/>
  <c r="X48" i="20"/>
  <c r="F52" i="20"/>
  <c r="X55" i="20"/>
  <c r="W55" i="20"/>
  <c r="Q56" i="20"/>
  <c r="P63" i="20"/>
  <c r="Q63" i="20"/>
  <c r="O63" i="20"/>
  <c r="E68" i="20"/>
  <c r="F68" i="20"/>
  <c r="O70" i="20"/>
  <c r="Q70" i="20"/>
  <c r="P70" i="20"/>
  <c r="D75" i="20"/>
  <c r="F75" i="20"/>
  <c r="Q83" i="20"/>
  <c r="P83" i="20"/>
  <c r="O83" i="20"/>
  <c r="Q91" i="20"/>
  <c r="P91" i="20"/>
  <c r="O91" i="20"/>
  <c r="AF94" i="20"/>
  <c r="AG94" i="20"/>
  <c r="AE94" i="20"/>
  <c r="AE38" i="20"/>
  <c r="X40" i="20"/>
  <c r="F41" i="20"/>
  <c r="O43" i="20"/>
  <c r="F44" i="20"/>
  <c r="AE44" i="20"/>
  <c r="AF46" i="20"/>
  <c r="X47" i="20"/>
  <c r="W47" i="20"/>
  <c r="Q48" i="20"/>
  <c r="D49" i="20"/>
  <c r="Q51" i="20"/>
  <c r="AF51" i="20"/>
  <c r="AG54" i="20"/>
  <c r="Y55" i="20"/>
  <c r="O56" i="20"/>
  <c r="AE66" i="20"/>
  <c r="AG66" i="20"/>
  <c r="D68" i="20"/>
  <c r="E75" i="20"/>
  <c r="Q87" i="20"/>
  <c r="P87" i="20"/>
  <c r="Y91" i="20"/>
  <c r="X91" i="20"/>
  <c r="F21" i="20"/>
  <c r="AF38" i="20"/>
  <c r="X39" i="20"/>
  <c r="W39" i="20"/>
  <c r="Q40" i="20"/>
  <c r="AF43" i="20"/>
  <c r="Y52" i="20"/>
  <c r="X52" i="20"/>
  <c r="E56" i="20"/>
  <c r="D56" i="20"/>
  <c r="W58" i="20"/>
  <c r="Y58" i="20"/>
  <c r="AF59" i="20"/>
  <c r="AG59" i="20"/>
  <c r="F61" i="20"/>
  <c r="E61" i="20"/>
  <c r="AE89" i="20"/>
  <c r="AG89" i="20"/>
  <c r="AF89" i="20"/>
  <c r="P94" i="20"/>
  <c r="Q94" i="20"/>
  <c r="Q107" i="20"/>
  <c r="P107" i="20"/>
  <c r="O107" i="20"/>
  <c r="AG118" i="20"/>
  <c r="AF118" i="20"/>
  <c r="AE118" i="20"/>
  <c r="W3" i="20"/>
  <c r="AE3" i="20"/>
  <c r="D4" i="20"/>
  <c r="L4" i="20"/>
  <c r="L5" i="20" s="1"/>
  <c r="L6" i="20" s="1"/>
  <c r="L7" i="20" s="1"/>
  <c r="L8" i="20" s="1"/>
  <c r="L9" i="20" s="1"/>
  <c r="L10" i="20" s="1"/>
  <c r="L11" i="20" s="1"/>
  <c r="L12" i="20" s="1"/>
  <c r="L13" i="20" s="1"/>
  <c r="L14" i="20" s="1"/>
  <c r="L15" i="20" s="1"/>
  <c r="L16" i="20" s="1"/>
  <c r="L17" i="20" s="1"/>
  <c r="L18" i="20" s="1"/>
  <c r="L19" i="20" s="1"/>
  <c r="L20" i="20" s="1"/>
  <c r="L21" i="20" s="1"/>
  <c r="L22" i="20" s="1"/>
  <c r="L23" i="20" s="1"/>
  <c r="L24" i="20" s="1"/>
  <c r="L25" i="20" s="1"/>
  <c r="L26" i="20" s="1"/>
  <c r="L27" i="20" s="1"/>
  <c r="L28" i="20" s="1"/>
  <c r="L29" i="20" s="1"/>
  <c r="L30" i="20" s="1"/>
  <c r="L31" i="20" s="1"/>
  <c r="L32" i="20" s="1"/>
  <c r="L33" i="20" s="1"/>
  <c r="L34" i="20" s="1"/>
  <c r="L35" i="20" s="1"/>
  <c r="L36" i="20" s="1"/>
  <c r="L37" i="20" s="1"/>
  <c r="L38" i="20" s="1"/>
  <c r="L39" i="20" s="1"/>
  <c r="L40" i="20" s="1"/>
  <c r="L41" i="20" s="1"/>
  <c r="L42" i="20" s="1"/>
  <c r="L43" i="20" s="1"/>
  <c r="L44" i="20" s="1"/>
  <c r="L45" i="20" s="1"/>
  <c r="L46" i="20" s="1"/>
  <c r="L47" i="20" s="1"/>
  <c r="L48" i="20" s="1"/>
  <c r="L49" i="20" s="1"/>
  <c r="L50" i="20" s="1"/>
  <c r="L51" i="20" s="1"/>
  <c r="L52" i="20" s="1"/>
  <c r="L53" i="20" s="1"/>
  <c r="L54" i="20" s="1"/>
  <c r="L55" i="20" s="1"/>
  <c r="L56" i="20" s="1"/>
  <c r="L57" i="20" s="1"/>
  <c r="L58" i="20" s="1"/>
  <c r="L59" i="20" s="1"/>
  <c r="L60" i="20" s="1"/>
  <c r="L61" i="20" s="1"/>
  <c r="L62" i="20" s="1"/>
  <c r="L63" i="20" s="1"/>
  <c r="L64" i="20" s="1"/>
  <c r="L65" i="20" s="1"/>
  <c r="L66" i="20" s="1"/>
  <c r="L67" i="20" s="1"/>
  <c r="L68" i="20" s="1"/>
  <c r="L69" i="20" s="1"/>
  <c r="L70" i="20" s="1"/>
  <c r="L71" i="20" s="1"/>
  <c r="L72" i="20" s="1"/>
  <c r="L73" i="20" s="1"/>
  <c r="L74" i="20" s="1"/>
  <c r="L75" i="20" s="1"/>
  <c r="L76" i="20" s="1"/>
  <c r="L77" i="20" s="1"/>
  <c r="L78" i="20" s="1"/>
  <c r="L79" i="20" s="1"/>
  <c r="L80" i="20" s="1"/>
  <c r="L81" i="20" s="1"/>
  <c r="L82" i="20" s="1"/>
  <c r="L83" i="20" s="1"/>
  <c r="L84" i="20" s="1"/>
  <c r="L85" i="20" s="1"/>
  <c r="L86" i="20" s="1"/>
  <c r="L87" i="20" s="1"/>
  <c r="L88" i="20" s="1"/>
  <c r="L89" i="20" s="1"/>
  <c r="L90" i="20" s="1"/>
  <c r="L91" i="20" s="1"/>
  <c r="O9" i="20"/>
  <c r="W9" i="20"/>
  <c r="AE9" i="20"/>
  <c r="D10" i="20"/>
  <c r="D14" i="20"/>
  <c r="O15" i="20"/>
  <c r="W15" i="20"/>
  <c r="AE15" i="20"/>
  <c r="D16" i="20"/>
  <c r="X18" i="20"/>
  <c r="AE19" i="20"/>
  <c r="D21" i="20"/>
  <c r="D23" i="20"/>
  <c r="P23" i="20"/>
  <c r="D28" i="20"/>
  <c r="AE30" i="20"/>
  <c r="E32" i="20"/>
  <c r="Q32" i="20"/>
  <c r="X34" i="20"/>
  <c r="AE35" i="20"/>
  <c r="D37" i="20"/>
  <c r="AG38" i="20"/>
  <c r="Y39" i="20"/>
  <c r="O40" i="20"/>
  <c r="AE43" i="20"/>
  <c r="Y44" i="20"/>
  <c r="X44" i="20"/>
  <c r="E48" i="20"/>
  <c r="D48" i="20"/>
  <c r="W52" i="20"/>
  <c r="X54" i="20"/>
  <c r="P55" i="20"/>
  <c r="O55" i="20"/>
  <c r="F56" i="20"/>
  <c r="X58" i="20"/>
  <c r="AE59" i="20"/>
  <c r="D61" i="20"/>
  <c r="D67" i="20"/>
  <c r="E67" i="20"/>
  <c r="Q68" i="20"/>
  <c r="P68" i="20"/>
  <c r="P75" i="20"/>
  <c r="Q75" i="20"/>
  <c r="W78" i="20"/>
  <c r="Y78" i="20"/>
  <c r="X78" i="20"/>
  <c r="Q80" i="20"/>
  <c r="P80" i="20"/>
  <c r="O80" i="20"/>
  <c r="X86" i="20"/>
  <c r="W86" i="20"/>
  <c r="D90" i="20"/>
  <c r="F90" i="20"/>
  <c r="O94" i="20"/>
  <c r="Q95" i="20"/>
  <c r="P95" i="20"/>
  <c r="O95" i="20"/>
  <c r="P106" i="20"/>
  <c r="O106" i="20"/>
  <c r="Q106" i="20"/>
  <c r="K4" i="20"/>
  <c r="K5" i="20" s="1"/>
  <c r="K6" i="20" s="1"/>
  <c r="K7" i="20" s="1"/>
  <c r="K8" i="20" s="1"/>
  <c r="K9" i="20" s="1"/>
  <c r="K10" i="20" s="1"/>
  <c r="K11" i="20" s="1"/>
  <c r="AF3" i="20"/>
  <c r="M4" i="20"/>
  <c r="M5" i="20" s="1"/>
  <c r="M6" i="20" s="1"/>
  <c r="M7" i="20" s="1"/>
  <c r="M8" i="20" s="1"/>
  <c r="M9" i="20" s="1"/>
  <c r="M10" i="20" s="1"/>
  <c r="M11" i="20" s="1"/>
  <c r="M12" i="20" s="1"/>
  <c r="M13" i="20" s="1"/>
  <c r="M14" i="20" s="1"/>
  <c r="M15" i="20" s="1"/>
  <c r="M16" i="20" s="1"/>
  <c r="M17" i="20" s="1"/>
  <c r="M18" i="20" s="1"/>
  <c r="M19" i="20" s="1"/>
  <c r="M20" i="20" s="1"/>
  <c r="M21" i="20" s="1"/>
  <c r="M22" i="20" s="1"/>
  <c r="M23" i="20" s="1"/>
  <c r="M24" i="20" s="1"/>
  <c r="M25" i="20" s="1"/>
  <c r="M26" i="20" s="1"/>
  <c r="M27" i="20" s="1"/>
  <c r="M28" i="20" s="1"/>
  <c r="M29" i="20" s="1"/>
  <c r="M30" i="20" s="1"/>
  <c r="M31" i="20" s="1"/>
  <c r="M32" i="20" s="1"/>
  <c r="M33" i="20" s="1"/>
  <c r="M34" i="20" s="1"/>
  <c r="M35" i="20" s="1"/>
  <c r="M36" i="20" s="1"/>
  <c r="M37" i="20" s="1"/>
  <c r="M38" i="20" s="1"/>
  <c r="M39" i="20" s="1"/>
  <c r="M40" i="20" s="1"/>
  <c r="M41" i="20" s="1"/>
  <c r="M42" i="20" s="1"/>
  <c r="M43" i="20" s="1"/>
  <c r="M44" i="20" s="1"/>
  <c r="M45" i="20" s="1"/>
  <c r="M46" i="20" s="1"/>
  <c r="M47" i="20" s="1"/>
  <c r="M48" i="20" s="1"/>
  <c r="M49" i="20" s="1"/>
  <c r="M50" i="20" s="1"/>
  <c r="M51" i="20" s="1"/>
  <c r="M52" i="20" s="1"/>
  <c r="M53" i="20" s="1"/>
  <c r="M54" i="20" s="1"/>
  <c r="M55" i="20" s="1"/>
  <c r="M56" i="20" s="1"/>
  <c r="M57" i="20" s="1"/>
  <c r="M58" i="20" s="1"/>
  <c r="M59" i="20" s="1"/>
  <c r="M60" i="20" s="1"/>
  <c r="M61" i="20" s="1"/>
  <c r="M62" i="20" s="1"/>
  <c r="M63" i="20" s="1"/>
  <c r="M64" i="20" s="1"/>
  <c r="M65" i="20" s="1"/>
  <c r="M66" i="20" s="1"/>
  <c r="M67" i="20" s="1"/>
  <c r="M68" i="20" s="1"/>
  <c r="M69" i="20" s="1"/>
  <c r="M70" i="20" s="1"/>
  <c r="M71" i="20" s="1"/>
  <c r="M72" i="20" s="1"/>
  <c r="M73" i="20" s="1"/>
  <c r="M74" i="20" s="1"/>
  <c r="M75" i="20" s="1"/>
  <c r="M76" i="20" s="1"/>
  <c r="M77" i="20" s="1"/>
  <c r="M78" i="20" s="1"/>
  <c r="M79" i="20" s="1"/>
  <c r="M80" i="20" s="1"/>
  <c r="M81" i="20" s="1"/>
  <c r="M82" i="20" s="1"/>
  <c r="M83" i="20" s="1"/>
  <c r="M84" i="20" s="1"/>
  <c r="M85" i="20" s="1"/>
  <c r="M86" i="20" s="1"/>
  <c r="M87" i="20" s="1"/>
  <c r="M88" i="20" s="1"/>
  <c r="M89" i="20" s="1"/>
  <c r="M90" i="20" s="1"/>
  <c r="M91" i="20" s="1"/>
  <c r="P9" i="20"/>
  <c r="X9" i="20"/>
  <c r="AF9" i="20"/>
  <c r="E10" i="20"/>
  <c r="E14" i="20"/>
  <c r="P15" i="20"/>
  <c r="X15" i="20"/>
  <c r="AF15" i="20"/>
  <c r="E16" i="20"/>
  <c r="O18" i="20"/>
  <c r="Y18" i="20"/>
  <c r="AG19" i="20"/>
  <c r="E21" i="20"/>
  <c r="E28" i="20"/>
  <c r="O34" i="20"/>
  <c r="Y34" i="20"/>
  <c r="AG35" i="20"/>
  <c r="E37" i="20"/>
  <c r="E40" i="20"/>
  <c r="D40" i="20"/>
  <c r="P40" i="20"/>
  <c r="AG43" i="20"/>
  <c r="P47" i="20"/>
  <c r="O47" i="20"/>
  <c r="F53" i="20"/>
  <c r="E53" i="20"/>
  <c r="Y54" i="20"/>
  <c r="D55" i="20"/>
  <c r="AE58" i="20"/>
  <c r="AF58" i="20"/>
  <c r="E60" i="20"/>
  <c r="D60" i="20"/>
  <c r="Y64" i="20"/>
  <c r="X64" i="20"/>
  <c r="W64" i="20"/>
  <c r="X71" i="20"/>
  <c r="Y71" i="20"/>
  <c r="W71" i="20"/>
  <c r="Y76" i="20"/>
  <c r="X76" i="20"/>
  <c r="W80" i="20"/>
  <c r="X80" i="20"/>
  <c r="F100" i="20"/>
  <c r="D100" i="20"/>
  <c r="E100" i="20"/>
  <c r="X3" i="20"/>
  <c r="E4" i="20"/>
  <c r="D8" i="20"/>
  <c r="F17" i="20"/>
  <c r="P18" i="20"/>
  <c r="W19" i="20"/>
  <c r="AE20" i="20"/>
  <c r="AE22" i="20"/>
  <c r="E24" i="20"/>
  <c r="Q24" i="20"/>
  <c r="D27" i="20"/>
  <c r="P34" i="20"/>
  <c r="W35" i="20"/>
  <c r="AE36" i="20"/>
  <c r="X38" i="20"/>
  <c r="P39" i="20"/>
  <c r="O39" i="20"/>
  <c r="F40" i="20"/>
  <c r="AE40" i="20"/>
  <c r="F45" i="20"/>
  <c r="E45" i="20"/>
  <c r="Y46" i="20"/>
  <c r="D47" i="20"/>
  <c r="Q47" i="20"/>
  <c r="AF48" i="20"/>
  <c r="W51" i="20"/>
  <c r="Q52" i="20"/>
  <c r="P52" i="20"/>
  <c r="D53" i="20"/>
  <c r="O54" i="20"/>
  <c r="E55" i="20"/>
  <c r="AF55" i="20"/>
  <c r="AE55" i="20"/>
  <c r="AG58" i="20"/>
  <c r="F60" i="20"/>
  <c r="D63" i="20"/>
  <c r="F63" i="20"/>
  <c r="E63" i="20"/>
  <c r="Y68" i="20"/>
  <c r="W68" i="20"/>
  <c r="X75" i="20"/>
  <c r="W75" i="20"/>
  <c r="W76" i="20"/>
  <c r="Y80" i="20"/>
  <c r="AE105" i="20"/>
  <c r="AG105" i="20"/>
  <c r="E107" i="20"/>
  <c r="D107" i="20"/>
  <c r="Y118" i="20"/>
  <c r="X118" i="20"/>
  <c r="Y126" i="20"/>
  <c r="X126" i="20"/>
  <c r="W126" i="20"/>
  <c r="BZ26" i="20"/>
  <c r="BZ28" i="20"/>
  <c r="O62" i="20"/>
  <c r="Y62" i="20"/>
  <c r="AG63" i="20"/>
  <c r="E65" i="20"/>
  <c r="F72" i="20"/>
  <c r="P72" i="20"/>
  <c r="AE78" i="20"/>
  <c r="F79" i="20"/>
  <c r="AF79" i="20"/>
  <c r="AE79" i="20"/>
  <c r="F81" i="20"/>
  <c r="D81" i="20"/>
  <c r="X82" i="20"/>
  <c r="W82" i="20"/>
  <c r="W97" i="20"/>
  <c r="Y97" i="20"/>
  <c r="X97" i="20"/>
  <c r="Y99" i="20"/>
  <c r="W99" i="20"/>
  <c r="F103" i="20"/>
  <c r="AF105" i="20"/>
  <c r="F107" i="20"/>
  <c r="Y111" i="20"/>
  <c r="X111" i="20"/>
  <c r="W118" i="20"/>
  <c r="O58" i="20"/>
  <c r="AE74" i="20"/>
  <c r="E76" i="20"/>
  <c r="Q76" i="20"/>
  <c r="AF86" i="20"/>
  <c r="AG86" i="20"/>
  <c r="AE86" i="20"/>
  <c r="E95" i="20"/>
  <c r="F95" i="20"/>
  <c r="AG103" i="20"/>
  <c r="AF103" i="20"/>
  <c r="AE103" i="20"/>
  <c r="X110" i="20"/>
  <c r="Y110" i="20"/>
  <c r="W110" i="20"/>
  <c r="F114" i="20"/>
  <c r="E114" i="20"/>
  <c r="D43" i="20"/>
  <c r="D51" i="20"/>
  <c r="D57" i="20"/>
  <c r="P58" i="20"/>
  <c r="W59" i="20"/>
  <c r="AE60" i="20"/>
  <c r="AE62" i="20"/>
  <c r="E64" i="20"/>
  <c r="Q64" i="20"/>
  <c r="X66" i="20"/>
  <c r="AE67" i="20"/>
  <c r="D69" i="20"/>
  <c r="D71" i="20"/>
  <c r="P71" i="20"/>
  <c r="AF74" i="20"/>
  <c r="D76" i="20"/>
  <c r="O76" i="20"/>
  <c r="O78" i="20"/>
  <c r="W79" i="20"/>
  <c r="E80" i="20"/>
  <c r="AE80" i="20"/>
  <c r="D95" i="20"/>
  <c r="AF102" i="20"/>
  <c r="AG102" i="20"/>
  <c r="Y113" i="20"/>
  <c r="W113" i="20"/>
  <c r="D114" i="20"/>
  <c r="D59" i="20"/>
  <c r="P59" i="20"/>
  <c r="O66" i="20"/>
  <c r="P86" i="20"/>
  <c r="Q86" i="20"/>
  <c r="E87" i="20"/>
  <c r="F88" i="20"/>
  <c r="E88" i="20"/>
  <c r="D88" i="20"/>
  <c r="AF98" i="20"/>
  <c r="AE98" i="20"/>
  <c r="AG98" i="20"/>
  <c r="AF110" i="20"/>
  <c r="AG110" i="20"/>
  <c r="Y115" i="20"/>
  <c r="X115" i="20"/>
  <c r="E59" i="20"/>
  <c r="O59" i="20"/>
  <c r="P66" i="20"/>
  <c r="W67" i="20"/>
  <c r="AE68" i="20"/>
  <c r="AE70" i="20"/>
  <c r="E72" i="20"/>
  <c r="Q72" i="20"/>
  <c r="X74" i="20"/>
  <c r="AE75" i="20"/>
  <c r="D79" i="20"/>
  <c r="P79" i="20"/>
  <c r="O81" i="20"/>
  <c r="Q81" i="20"/>
  <c r="P81" i="20"/>
  <c r="P82" i="20"/>
  <c r="O82" i="20"/>
  <c r="F84" i="20"/>
  <c r="D84" i="20"/>
  <c r="O86" i="20"/>
  <c r="D87" i="20"/>
  <c r="AF90" i="20"/>
  <c r="AE90" i="20"/>
  <c r="AG90" i="20"/>
  <c r="AG95" i="20"/>
  <c r="AF95" i="20"/>
  <c r="AE95" i="20"/>
  <c r="AE110" i="20"/>
  <c r="F112" i="20"/>
  <c r="E112" i="20"/>
  <c r="D112" i="20"/>
  <c r="W115" i="20"/>
  <c r="AE81" i="20"/>
  <c r="AG87" i="20"/>
  <c r="AF87" i="20"/>
  <c r="O89" i="20"/>
  <c r="X90" i="20"/>
  <c r="W90" i="20"/>
  <c r="Y95" i="20"/>
  <c r="X95" i="20"/>
  <c r="W95" i="20"/>
  <c r="AG99" i="20"/>
  <c r="AF99" i="20"/>
  <c r="AE99" i="20"/>
  <c r="Y103" i="20"/>
  <c r="X103" i="20"/>
  <c r="Q123" i="20"/>
  <c r="P123" i="20"/>
  <c r="W105" i="20"/>
  <c r="Y105" i="20"/>
  <c r="AG107" i="20"/>
  <c r="AF107" i="20"/>
  <c r="AG126" i="20"/>
  <c r="AF126" i="20"/>
  <c r="AE126" i="20"/>
  <c r="AG83" i="20"/>
  <c r="X98" i="20"/>
  <c r="W98" i="20"/>
  <c r="E99" i="20"/>
  <c r="D99" i="20"/>
  <c r="F99" i="20"/>
  <c r="X105" i="20"/>
  <c r="AE107" i="20"/>
  <c r="AG111" i="20"/>
  <c r="AF111" i="20"/>
  <c r="AF114" i="20"/>
  <c r="AE114" i="20"/>
  <c r="F127" i="20"/>
  <c r="E127" i="20"/>
  <c r="D127" i="20"/>
  <c r="X106" i="20"/>
  <c r="W106" i="20"/>
  <c r="P113" i="20"/>
  <c r="Q113" i="20"/>
  <c r="O113" i="20"/>
  <c r="P114" i="20"/>
  <c r="O114" i="20"/>
  <c r="Q114" i="20"/>
  <c r="AE115" i="20"/>
  <c r="AG115" i="20"/>
  <c r="AF82" i="20"/>
  <c r="AE82" i="20"/>
  <c r="Y87" i="20"/>
  <c r="X87" i="20"/>
  <c r="E91" i="20"/>
  <c r="D91" i="20"/>
  <c r="P98" i="20"/>
  <c r="O98" i="20"/>
  <c r="F104" i="20"/>
  <c r="E104" i="20"/>
  <c r="Q111" i="20"/>
  <c r="P111" i="20"/>
  <c r="AG133" i="20"/>
  <c r="AF133" i="20"/>
  <c r="AE133" i="20"/>
  <c r="AG82" i="20"/>
  <c r="P90" i="20"/>
  <c r="O90" i="20"/>
  <c r="F96" i="20"/>
  <c r="E96" i="20"/>
  <c r="Q103" i="20"/>
  <c r="P103" i="20"/>
  <c r="AF106" i="20"/>
  <c r="AE106" i="20"/>
  <c r="P118" i="20"/>
  <c r="Q118" i="20"/>
  <c r="F119" i="20"/>
  <c r="E119" i="20"/>
  <c r="O129" i="20"/>
  <c r="Q129" i="20"/>
  <c r="P129" i="20"/>
  <c r="X114" i="20"/>
  <c r="W114" i="20"/>
  <c r="P142" i="20"/>
  <c r="O142" i="20"/>
  <c r="Q142" i="20"/>
  <c r="AF139" i="20"/>
  <c r="AG139" i="20"/>
  <c r="AE139" i="20"/>
  <c r="Y123" i="20"/>
  <c r="X123" i="20"/>
  <c r="E115" i="20"/>
  <c r="D115" i="20"/>
  <c r="Q126" i="20"/>
  <c r="P126" i="20"/>
  <c r="O126" i="20"/>
  <c r="F139" i="20"/>
  <c r="E139" i="20"/>
  <c r="D139" i="20"/>
  <c r="AF123" i="20"/>
  <c r="E124" i="20"/>
  <c r="Y129" i="20"/>
  <c r="AF134" i="20"/>
  <c r="AE134" i="20"/>
  <c r="Y143" i="20"/>
  <c r="W143" i="20"/>
  <c r="E147" i="20"/>
  <c r="D147" i="20"/>
  <c r="F174" i="20"/>
  <c r="E174" i="20"/>
  <c r="D174" i="20"/>
  <c r="P184" i="20"/>
  <c r="O184" i="20"/>
  <c r="Q184" i="20"/>
  <c r="O121" i="20"/>
  <c r="W121" i="20"/>
  <c r="AE121" i="20"/>
  <c r="D122" i="20"/>
  <c r="AG134" i="20"/>
  <c r="W135" i="20"/>
  <c r="D141" i="20"/>
  <c r="AE141" i="20"/>
  <c r="X143" i="20"/>
  <c r="F147" i="20"/>
  <c r="F148" i="20"/>
  <c r="E148" i="20"/>
  <c r="D148" i="20"/>
  <c r="O124" i="20"/>
  <c r="W124" i="20"/>
  <c r="D132" i="20"/>
  <c r="W133" i="20"/>
  <c r="X135" i="20"/>
  <c r="Q140" i="20"/>
  <c r="P140" i="20"/>
  <c r="F141" i="20"/>
  <c r="AG141" i="20"/>
  <c r="W146" i="20"/>
  <c r="Q147" i="20"/>
  <c r="P147" i="20"/>
  <c r="O147" i="20"/>
  <c r="X134" i="20"/>
  <c r="W134" i="20"/>
  <c r="AF138" i="20"/>
  <c r="AE138" i="20"/>
  <c r="X139" i="20"/>
  <c r="Y139" i="20"/>
  <c r="W139" i="20"/>
  <c r="Y146" i="20"/>
  <c r="Q155" i="20"/>
  <c r="P155" i="20"/>
  <c r="O155" i="20"/>
  <c r="P119" i="20"/>
  <c r="X119" i="20"/>
  <c r="AF119" i="20"/>
  <c r="E120" i="20"/>
  <c r="O122" i="20"/>
  <c r="W122" i="20"/>
  <c r="AE122" i="20"/>
  <c r="D123" i="20"/>
  <c r="P127" i="20"/>
  <c r="X127" i="20"/>
  <c r="AF127" i="20"/>
  <c r="E128" i="20"/>
  <c r="AE130" i="20"/>
  <c r="E131" i="20"/>
  <c r="W131" i="20"/>
  <c r="AF131" i="20"/>
  <c r="O133" i="20"/>
  <c r="Y134" i="20"/>
  <c r="O135" i="20"/>
  <c r="E136" i="20"/>
  <c r="AG138" i="20"/>
  <c r="E142" i="20"/>
  <c r="E130" i="20"/>
  <c r="O131" i="20"/>
  <c r="X131" i="20"/>
  <c r="P133" i="20"/>
  <c r="E135" i="20"/>
  <c r="D135" i="20"/>
  <c r="P135" i="20"/>
  <c r="AF140" i="20"/>
  <c r="X141" i="20"/>
  <c r="F142" i="20"/>
  <c r="Y147" i="20"/>
  <c r="X147" i="20"/>
  <c r="W147" i="20"/>
  <c r="W168" i="20"/>
  <c r="P134" i="20"/>
  <c r="O134" i="20"/>
  <c r="AF142" i="20"/>
  <c r="AE142" i="20"/>
  <c r="AG142" i="20"/>
  <c r="F144" i="20"/>
  <c r="E144" i="20"/>
  <c r="D144" i="20"/>
  <c r="AG147" i="20"/>
  <c r="AF147" i="20"/>
  <c r="AE147" i="20"/>
  <c r="AF152" i="20"/>
  <c r="AG152" i="20"/>
  <c r="Y168" i="20"/>
  <c r="Q181" i="20"/>
  <c r="P181" i="20"/>
  <c r="O181" i="20"/>
  <c r="Y149" i="20"/>
  <c r="W149" i="20"/>
  <c r="F150" i="20"/>
  <c r="D150" i="20"/>
  <c r="Q152" i="20"/>
  <c r="O152" i="20"/>
  <c r="Y155" i="20"/>
  <c r="X155" i="20"/>
  <c r="W155" i="20"/>
  <c r="F158" i="20"/>
  <c r="D158" i="20"/>
  <c r="D164" i="20"/>
  <c r="F164" i="20"/>
  <c r="AG155" i="20"/>
  <c r="AF155" i="20"/>
  <c r="AE155" i="20"/>
  <c r="O171" i="20"/>
  <c r="Q171" i="20"/>
  <c r="X142" i="20"/>
  <c r="W142" i="20"/>
  <c r="Y157" i="20"/>
  <c r="W157" i="20"/>
  <c r="AE160" i="20"/>
  <c r="AE165" i="20"/>
  <c r="P171" i="20"/>
  <c r="Q173" i="20"/>
  <c r="P173" i="20"/>
  <c r="O173" i="20"/>
  <c r="P182" i="20"/>
  <c r="Q182" i="20"/>
  <c r="O182" i="20"/>
  <c r="AF184" i="20"/>
  <c r="AE184" i="20"/>
  <c r="Y142" i="20"/>
  <c r="O143" i="20"/>
  <c r="AE146" i="20"/>
  <c r="D155" i="20"/>
  <c r="X157" i="20"/>
  <c r="AG160" i="20"/>
  <c r="AF165" i="20"/>
  <c r="AG184" i="20"/>
  <c r="O139" i="20"/>
  <c r="E143" i="20"/>
  <c r="D143" i="20"/>
  <c r="P143" i="20"/>
  <c r="AG146" i="20"/>
  <c r="Q149" i="20"/>
  <c r="O149" i="20"/>
  <c r="AG149" i="20"/>
  <c r="AE149" i="20"/>
  <c r="W152" i="20"/>
  <c r="F155" i="20"/>
  <c r="F156" i="20"/>
  <c r="E156" i="20"/>
  <c r="D156" i="20"/>
  <c r="AE170" i="20"/>
  <c r="AF170" i="20"/>
  <c r="F188" i="20"/>
  <c r="E188" i="20"/>
  <c r="D188" i="20"/>
  <c r="Q160" i="20"/>
  <c r="P160" i="20"/>
  <c r="P172" i="20"/>
  <c r="O172" i="20"/>
  <c r="E177" i="20"/>
  <c r="D177" i="20"/>
  <c r="P164" i="20"/>
  <c r="O164" i="20"/>
  <c r="X169" i="20"/>
  <c r="W169" i="20"/>
  <c r="Y169" i="20"/>
  <c r="O150" i="20"/>
  <c r="W150" i="20"/>
  <c r="AE150" i="20"/>
  <c r="D151" i="20"/>
  <c r="F153" i="20"/>
  <c r="E153" i="20"/>
  <c r="O154" i="20"/>
  <c r="AE154" i="20"/>
  <c r="P163" i="20"/>
  <c r="Q164" i="20"/>
  <c r="E165" i="20"/>
  <c r="D165" i="20"/>
  <c r="Q163" i="20"/>
  <c r="E169" i="20"/>
  <c r="F169" i="20"/>
  <c r="AE171" i="20"/>
  <c r="AG171" i="20"/>
  <c r="AF172" i="20"/>
  <c r="AE172" i="20"/>
  <c r="AG172" i="20"/>
  <c r="Y173" i="20"/>
  <c r="W173" i="20"/>
  <c r="X173" i="20"/>
  <c r="O179" i="20"/>
  <c r="Q179" i="20"/>
  <c r="AF180" i="20"/>
  <c r="AE180" i="20"/>
  <c r="P185" i="20"/>
  <c r="O185" i="20"/>
  <c r="E186" i="20"/>
  <c r="D186" i="20"/>
  <c r="F186" i="20"/>
  <c r="AF164" i="20"/>
  <c r="AE164" i="20"/>
  <c r="Q177" i="20"/>
  <c r="P177" i="20"/>
  <c r="Y181" i="20"/>
  <c r="X181" i="20"/>
  <c r="AG194" i="20"/>
  <c r="AF194" i="20"/>
  <c r="AE194" i="20"/>
  <c r="O158" i="20"/>
  <c r="W158" i="20"/>
  <c r="AE158" i="20"/>
  <c r="D159" i="20"/>
  <c r="AF163" i="20"/>
  <c r="AG164" i="20"/>
  <c r="W165" i="20"/>
  <c r="Y170" i="20"/>
  <c r="X170" i="20"/>
  <c r="D172" i="20"/>
  <c r="F172" i="20"/>
  <c r="X172" i="20"/>
  <c r="W172" i="20"/>
  <c r="Y172" i="20"/>
  <c r="AF176" i="20"/>
  <c r="AG176" i="20"/>
  <c r="AE176" i="20"/>
  <c r="O177" i="20"/>
  <c r="W181" i="20"/>
  <c r="P158" i="20"/>
  <c r="X158" i="20"/>
  <c r="AF158" i="20"/>
  <c r="E159" i="20"/>
  <c r="AG163" i="20"/>
  <c r="X165" i="20"/>
  <c r="O168" i="20"/>
  <c r="W170" i="20"/>
  <c r="E171" i="20"/>
  <c r="E172" i="20"/>
  <c r="E180" i="20"/>
  <c r="X180" i="20"/>
  <c r="W180" i="20"/>
  <c r="D162" i="20"/>
  <c r="X163" i="20"/>
  <c r="X164" i="20"/>
  <c r="W164" i="20"/>
  <c r="D166" i="20"/>
  <c r="Q168" i="20"/>
  <c r="P169" i="20"/>
  <c r="Q169" i="20"/>
  <c r="AE169" i="20"/>
  <c r="F178" i="20"/>
  <c r="E178" i="20"/>
  <c r="F180" i="20"/>
  <c r="Y180" i="20"/>
  <c r="Y187" i="20"/>
  <c r="X187" i="20"/>
  <c r="Y202" i="20"/>
  <c r="X202" i="20"/>
  <c r="W202" i="20"/>
  <c r="AG202" i="20"/>
  <c r="AF202" i="20"/>
  <c r="AE202" i="20"/>
  <c r="AG177" i="20"/>
  <c r="AF177" i="20"/>
  <c r="Y177" i="20"/>
  <c r="X177" i="20"/>
  <c r="E181" i="20"/>
  <c r="D181" i="20"/>
  <c r="AF185" i="20"/>
  <c r="AE185" i="20"/>
  <c r="Q194" i="20"/>
  <c r="P194" i="20"/>
  <c r="O194" i="20"/>
  <c r="AE168" i="20"/>
  <c r="D170" i="20"/>
  <c r="E173" i="20"/>
  <c r="D173" i="20"/>
  <c r="W177" i="20"/>
  <c r="X179" i="20"/>
  <c r="P180" i="20"/>
  <c r="O180" i="20"/>
  <c r="F181" i="20"/>
  <c r="AE181" i="20"/>
  <c r="W182" i="20"/>
  <c r="AG185" i="20"/>
  <c r="O186" i="20"/>
  <c r="AF186" i="20"/>
  <c r="AE186" i="20"/>
  <c r="AG187" i="20"/>
  <c r="AF187" i="20"/>
  <c r="Y194" i="20"/>
  <c r="X194" i="20"/>
  <c r="W194" i="20"/>
  <c r="F195" i="20"/>
  <c r="E195" i="20"/>
  <c r="D195" i="20"/>
  <c r="X185" i="20"/>
  <c r="W185" i="20"/>
  <c r="Q202" i="20"/>
  <c r="P202" i="20"/>
  <c r="O202" i="20"/>
  <c r="O192" i="20"/>
  <c r="W192" i="20"/>
  <c r="AE192" i="20"/>
  <c r="D193" i="20"/>
  <c r="P197" i="20"/>
  <c r="X197" i="20"/>
  <c r="AF197" i="20"/>
  <c r="E198" i="20"/>
  <c r="O200" i="20"/>
  <c r="W200" i="20"/>
  <c r="AE200" i="20"/>
  <c r="D201" i="20"/>
  <c r="P192" i="20"/>
  <c r="X192" i="20"/>
  <c r="AF192" i="20"/>
  <c r="E193" i="20"/>
  <c r="O195" i="20"/>
  <c r="W195" i="20"/>
  <c r="AE195" i="20"/>
  <c r="D196" i="20"/>
  <c r="P200" i="20"/>
  <c r="X200" i="20"/>
  <c r="AF200" i="20"/>
  <c r="E201" i="20"/>
  <c r="O190" i="20"/>
  <c r="W190" i="20"/>
  <c r="P195" i="20"/>
  <c r="X195" i="20"/>
  <c r="AF195" i="20"/>
  <c r="E196" i="20"/>
  <c r="P190" i="20"/>
  <c r="X190" i="20"/>
  <c r="AF190" i="20"/>
  <c r="E191" i="20"/>
  <c r="O193" i="20"/>
  <c r="W193" i="20"/>
  <c r="AE193" i="20"/>
  <c r="D194" i="20"/>
  <c r="P198" i="20"/>
  <c r="X198" i="20"/>
  <c r="AF198" i="20"/>
  <c r="E199" i="20"/>
  <c r="O201" i="20"/>
  <c r="W201" i="20"/>
  <c r="AE201" i="20"/>
  <c r="D202" i="20"/>
  <c r="C69" i="16"/>
  <c r="C70" i="16"/>
  <c r="C71" i="16"/>
  <c r="C72" i="16"/>
  <c r="C73" i="16"/>
  <c r="C74" i="16"/>
  <c r="C75" i="16"/>
  <c r="C76" i="16"/>
  <c r="C77" i="16"/>
  <c r="C68" i="16"/>
  <c r="C43" i="16"/>
  <c r="C44" i="16"/>
  <c r="C45" i="16"/>
  <c r="C46" i="16"/>
  <c r="C47" i="16"/>
  <c r="C48" i="16"/>
  <c r="C49" i="16"/>
  <c r="C50" i="16"/>
  <c r="C51" i="16"/>
  <c r="C52" i="16"/>
  <c r="C53" i="16"/>
  <c r="C54" i="16"/>
  <c r="C55" i="16"/>
  <c r="C56" i="16"/>
  <c r="C57" i="16"/>
  <c r="C58" i="16"/>
  <c r="C59" i="16"/>
  <c r="C60" i="16"/>
  <c r="C61" i="16"/>
  <c r="C62" i="16"/>
  <c r="C63" i="16"/>
  <c r="C64" i="16"/>
  <c r="C65" i="16"/>
  <c r="C42" i="16"/>
  <c r="C19" i="16"/>
  <c r="C20" i="16"/>
  <c r="C21" i="16"/>
  <c r="C22" i="16"/>
  <c r="C23" i="16"/>
  <c r="C24" i="16"/>
  <c r="C25" i="16"/>
  <c r="C26" i="16"/>
  <c r="C27" i="16"/>
  <c r="C28" i="16"/>
  <c r="C29" i="16"/>
  <c r="C30" i="16"/>
  <c r="C31" i="16"/>
  <c r="C32" i="16"/>
  <c r="C33" i="16"/>
  <c r="C34" i="16"/>
  <c r="C35" i="16"/>
  <c r="C36" i="16"/>
  <c r="C37" i="16"/>
  <c r="C38" i="16"/>
  <c r="C39" i="16"/>
  <c r="C18" i="16"/>
  <c r="C5" i="16"/>
  <c r="C6" i="16"/>
  <c r="C7" i="16"/>
  <c r="C8" i="16"/>
  <c r="C9" i="16"/>
  <c r="C10" i="16"/>
  <c r="C11" i="16"/>
  <c r="C12" i="16"/>
  <c r="C13" i="16"/>
  <c r="C4" i="16"/>
  <c r="D4" i="16" s="1"/>
  <c r="T93" i="20" l="1"/>
  <c r="T94" i="20" s="1"/>
  <c r="T95" i="20" s="1"/>
  <c r="T96" i="20" s="1"/>
  <c r="T97" i="20" s="1"/>
  <c r="T98" i="20" s="1"/>
  <c r="T99" i="20" s="1"/>
  <c r="T100" i="20" s="1"/>
  <c r="T101" i="20" s="1"/>
  <c r="T102" i="20" s="1"/>
  <c r="T103" i="20" s="1"/>
  <c r="T104" i="20" s="1"/>
  <c r="T105" i="20" s="1"/>
  <c r="T106" i="20" s="1"/>
  <c r="T107" i="20" s="1"/>
  <c r="T108" i="20" s="1"/>
  <c r="T109" i="20" s="1"/>
  <c r="T110" i="20" s="1"/>
  <c r="T111" i="20" s="1"/>
  <c r="T112" i="20" s="1"/>
  <c r="T113" i="20" s="1"/>
  <c r="T114" i="20" s="1"/>
  <c r="T115" i="20" s="1"/>
  <c r="T116" i="20" s="1"/>
  <c r="T117" i="20" s="1"/>
  <c r="T118" i="20" s="1"/>
  <c r="T119" i="20" s="1"/>
  <c r="T120" i="20" s="1"/>
  <c r="T121" i="20" s="1"/>
  <c r="T122" i="20" s="1"/>
  <c r="T123" i="20" s="1"/>
  <c r="T124" i="20" s="1"/>
  <c r="T125" i="20" s="1"/>
  <c r="T126" i="20" s="1"/>
  <c r="T127" i="20" s="1"/>
  <c r="T128" i="20" s="1"/>
  <c r="T129" i="20" s="1"/>
  <c r="T130" i="20" s="1"/>
  <c r="T131" i="20" s="1"/>
  <c r="T132" i="20" s="1"/>
  <c r="T133" i="20" s="1"/>
  <c r="T134" i="20" s="1"/>
  <c r="T135" i="20" s="1"/>
  <c r="T136" i="20" s="1"/>
  <c r="T137" i="20" s="1"/>
  <c r="T138" i="20" s="1"/>
  <c r="T139" i="20" s="1"/>
  <c r="T140" i="20" s="1"/>
  <c r="T141" i="20" s="1"/>
  <c r="T142" i="20" s="1"/>
  <c r="T143" i="20" s="1"/>
  <c r="T144" i="20" s="1"/>
  <c r="T145" i="20" s="1"/>
  <c r="T146" i="20" s="1"/>
  <c r="T147" i="20" s="1"/>
  <c r="T148" i="20" s="1"/>
  <c r="T149" i="20" s="1"/>
  <c r="T150" i="20" s="1"/>
  <c r="T151" i="20" s="1"/>
  <c r="T152" i="20" s="1"/>
  <c r="T153" i="20" s="1"/>
  <c r="T154" i="20" s="1"/>
  <c r="T155" i="20" s="1"/>
  <c r="T156" i="20" s="1"/>
  <c r="T157" i="20" s="1"/>
  <c r="T158" i="20" s="1"/>
  <c r="T159" i="20" s="1"/>
  <c r="T160" i="20" s="1"/>
  <c r="T161" i="20" s="1"/>
  <c r="T162" i="20" s="1"/>
  <c r="T163" i="20" s="1"/>
  <c r="T164" i="20" s="1"/>
  <c r="T165" i="20" s="1"/>
  <c r="T166" i="20" s="1"/>
  <c r="T167" i="20" s="1"/>
  <c r="T168" i="20" s="1"/>
  <c r="T169" i="20" s="1"/>
  <c r="T170" i="20" s="1"/>
  <c r="T171" i="20" s="1"/>
  <c r="T172" i="20" s="1"/>
  <c r="T173" i="20" s="1"/>
  <c r="T174" i="20" s="1"/>
  <c r="T175" i="20" s="1"/>
  <c r="T176" i="20" s="1"/>
  <c r="T177" i="20" s="1"/>
  <c r="T178" i="20" s="1"/>
  <c r="T179" i="20" s="1"/>
  <c r="T180" i="20" s="1"/>
  <c r="T181" i="20" s="1"/>
  <c r="T182" i="20" s="1"/>
  <c r="T183" i="20" s="1"/>
  <c r="T184" i="20" s="1"/>
  <c r="T185" i="20" s="1"/>
  <c r="T186" i="20" s="1"/>
  <c r="T187" i="20" s="1"/>
  <c r="T188" i="20" s="1"/>
  <c r="T189" i="20" s="1"/>
  <c r="T190" i="20" s="1"/>
  <c r="T191" i="20" s="1"/>
  <c r="T192" i="20" s="1"/>
  <c r="T193" i="20" s="1"/>
  <c r="T194" i="20" s="1"/>
  <c r="T195" i="20" s="1"/>
  <c r="T196" i="20" s="1"/>
  <c r="T197" i="20" s="1"/>
  <c r="T198" i="20" s="1"/>
  <c r="T199" i="20" s="1"/>
  <c r="T200" i="20" s="1"/>
  <c r="T201" i="20" s="1"/>
  <c r="T202" i="20" s="1"/>
  <c r="AK3" i="20"/>
  <c r="AI3" i="20"/>
  <c r="AI4" i="20" s="1"/>
  <c r="AI5" i="20" s="1"/>
  <c r="AI6" i="20" s="1"/>
  <c r="AI7" i="20" s="1"/>
  <c r="AI8" i="20" s="1"/>
  <c r="AI9" i="20" s="1"/>
  <c r="AI10" i="20" s="1"/>
  <c r="AI11" i="20" s="1"/>
  <c r="AI12" i="20" s="1"/>
  <c r="AI13" i="20" s="1"/>
  <c r="AI14" i="20" s="1"/>
  <c r="AI15" i="20" s="1"/>
  <c r="AI16" i="20" s="1"/>
  <c r="AI17" i="20" s="1"/>
  <c r="AI18" i="20" s="1"/>
  <c r="AI19" i="20" s="1"/>
  <c r="AI20" i="20" s="1"/>
  <c r="AI21" i="20" s="1"/>
  <c r="AI22" i="20" s="1"/>
  <c r="AI23" i="20" s="1"/>
  <c r="AI24" i="20" s="1"/>
  <c r="AI25" i="20" s="1"/>
  <c r="AI26" i="20" s="1"/>
  <c r="AI27" i="20" s="1"/>
  <c r="AI28" i="20" s="1"/>
  <c r="AI29" i="20" s="1"/>
  <c r="AI30" i="20" s="1"/>
  <c r="AI31" i="20" s="1"/>
  <c r="AI32" i="20" s="1"/>
  <c r="AI33" i="20" s="1"/>
  <c r="AI34" i="20" s="1"/>
  <c r="AI35" i="20" s="1"/>
  <c r="AI36" i="20" s="1"/>
  <c r="AI37" i="20" s="1"/>
  <c r="AI38" i="20" s="1"/>
  <c r="AI39" i="20" s="1"/>
  <c r="AI40" i="20" s="1"/>
  <c r="AI41" i="20" s="1"/>
  <c r="AI42" i="20" s="1"/>
  <c r="AI43" i="20" s="1"/>
  <c r="AI44" i="20" s="1"/>
  <c r="AI45" i="20" s="1"/>
  <c r="AI46" i="20" s="1"/>
  <c r="AI47" i="20" s="1"/>
  <c r="AI48" i="20" s="1"/>
  <c r="AI49" i="20" s="1"/>
  <c r="AI50" i="20" s="1"/>
  <c r="AI51" i="20" s="1"/>
  <c r="AI52" i="20" s="1"/>
  <c r="AI53" i="20" s="1"/>
  <c r="AI54" i="20" s="1"/>
  <c r="AI55" i="20" s="1"/>
  <c r="AI56" i="20" s="1"/>
  <c r="AI57" i="20" s="1"/>
  <c r="AI58" i="20" s="1"/>
  <c r="AI59" i="20" s="1"/>
  <c r="AI60" i="20" s="1"/>
  <c r="AI61" i="20" s="1"/>
  <c r="AI62" i="20" s="1"/>
  <c r="AI63" i="20" s="1"/>
  <c r="AI64" i="20" s="1"/>
  <c r="AI65" i="20" s="1"/>
  <c r="AI66" i="20" s="1"/>
  <c r="AI67" i="20" s="1"/>
  <c r="AI68" i="20" s="1"/>
  <c r="AI69" i="20" s="1"/>
  <c r="AI70" i="20" s="1"/>
  <c r="AI71" i="20" s="1"/>
  <c r="AI72" i="20" s="1"/>
  <c r="AI73" i="20" s="1"/>
  <c r="AI74" i="20" s="1"/>
  <c r="AI75" i="20" s="1"/>
  <c r="AI76" i="20" s="1"/>
  <c r="AI77" i="20" s="1"/>
  <c r="AI78" i="20" s="1"/>
  <c r="AI79" i="20" s="1"/>
  <c r="AI80" i="20" s="1"/>
  <c r="AI81" i="20" s="1"/>
  <c r="AI82" i="20" s="1"/>
  <c r="AI83" i="20" s="1"/>
  <c r="AI84" i="20" s="1"/>
  <c r="AI85" i="20" s="1"/>
  <c r="AI86" i="20" s="1"/>
  <c r="AI87" i="20" s="1"/>
  <c r="AI88" i="20" s="1"/>
  <c r="AI89" i="20" s="1"/>
  <c r="AI90" i="20" s="1"/>
  <c r="AI91" i="20" s="1"/>
  <c r="AI92" i="20" s="1"/>
  <c r="AI93" i="20" s="1"/>
  <c r="AI94" i="20" s="1"/>
  <c r="AI95" i="20" s="1"/>
  <c r="AI96" i="20" s="1"/>
  <c r="AI97" i="20" s="1"/>
  <c r="AI98" i="20" s="1"/>
  <c r="AI99" i="20" s="1"/>
  <c r="AI100" i="20" s="1"/>
  <c r="AI101" i="20" s="1"/>
  <c r="AI102" i="20" s="1"/>
  <c r="AI103" i="20" s="1"/>
  <c r="AI104" i="20" s="1"/>
  <c r="AI105" i="20" s="1"/>
  <c r="AI106" i="20" s="1"/>
  <c r="AI107" i="20" s="1"/>
  <c r="AI108" i="20" s="1"/>
  <c r="AI109" i="20" s="1"/>
  <c r="AI110" i="20" s="1"/>
  <c r="AI111" i="20" s="1"/>
  <c r="AI112" i="20" s="1"/>
  <c r="AI113" i="20" s="1"/>
  <c r="AI114" i="20" s="1"/>
  <c r="AI115" i="20" s="1"/>
  <c r="AI116" i="20" s="1"/>
  <c r="AI117" i="20" s="1"/>
  <c r="AI118" i="20" s="1"/>
  <c r="AI119" i="20" s="1"/>
  <c r="AI120" i="20" s="1"/>
  <c r="AI121" i="20" s="1"/>
  <c r="AI122" i="20" s="1"/>
  <c r="AI123" i="20" s="1"/>
  <c r="AI124" i="20" s="1"/>
  <c r="AI125" i="20" s="1"/>
  <c r="AI126" i="20" s="1"/>
  <c r="AI127" i="20" s="1"/>
  <c r="AI128" i="20" s="1"/>
  <c r="AI129" i="20" s="1"/>
  <c r="AI130" i="20" s="1"/>
  <c r="AI131" i="20" s="1"/>
  <c r="AI132" i="20" s="1"/>
  <c r="AI133" i="20" s="1"/>
  <c r="AI134" i="20" s="1"/>
  <c r="AI135" i="20" s="1"/>
  <c r="AI136" i="20" s="1"/>
  <c r="AI137" i="20" s="1"/>
  <c r="AI138" i="20" s="1"/>
  <c r="AI139" i="20" s="1"/>
  <c r="AI140" i="20" s="1"/>
  <c r="AI141" i="20" s="1"/>
  <c r="AI142" i="20" s="1"/>
  <c r="AI143" i="20" s="1"/>
  <c r="AI144" i="20" s="1"/>
  <c r="AI145" i="20" s="1"/>
  <c r="AI146" i="20" s="1"/>
  <c r="AI147" i="20" s="1"/>
  <c r="AI148" i="20" s="1"/>
  <c r="AI149" i="20" s="1"/>
  <c r="AI150" i="20" s="1"/>
  <c r="AI151" i="20" s="1"/>
  <c r="AI152" i="20" s="1"/>
  <c r="AI153" i="20" s="1"/>
  <c r="AI154" i="20" s="1"/>
  <c r="AI155" i="20" s="1"/>
  <c r="AI156" i="20" s="1"/>
  <c r="AI157" i="20" s="1"/>
  <c r="AI158" i="20" s="1"/>
  <c r="AI159" i="20" s="1"/>
  <c r="AI160" i="20" s="1"/>
  <c r="AI161" i="20" s="1"/>
  <c r="AI162" i="20" s="1"/>
  <c r="AI163" i="20" s="1"/>
  <c r="AI164" i="20" s="1"/>
  <c r="AI165" i="20" s="1"/>
  <c r="AI166" i="20" s="1"/>
  <c r="AI167" i="20" s="1"/>
  <c r="AI168" i="20" s="1"/>
  <c r="AI169" i="20" s="1"/>
  <c r="AI170" i="20" s="1"/>
  <c r="AI171" i="20" s="1"/>
  <c r="AI172" i="20" s="1"/>
  <c r="AI173" i="20" s="1"/>
  <c r="AI174" i="20" s="1"/>
  <c r="AI175" i="20" s="1"/>
  <c r="AI176" i="20" s="1"/>
  <c r="AI177" i="20" s="1"/>
  <c r="AI178" i="20" s="1"/>
  <c r="AI179" i="20" s="1"/>
  <c r="AI180" i="20" s="1"/>
  <c r="AI181" i="20" s="1"/>
  <c r="AI182" i="20" s="1"/>
  <c r="AI183" i="20" s="1"/>
  <c r="AI184" i="20" s="1"/>
  <c r="AI185" i="20" s="1"/>
  <c r="AI186" i="20" s="1"/>
  <c r="AI187" i="20" s="1"/>
  <c r="AI188" i="20" s="1"/>
  <c r="AI189" i="20" s="1"/>
  <c r="AI190" i="20" s="1"/>
  <c r="AI191" i="20" s="1"/>
  <c r="AI192" i="20" s="1"/>
  <c r="AI193" i="20" s="1"/>
  <c r="AI194" i="20" s="1"/>
  <c r="AI195" i="20" s="1"/>
  <c r="AI196" i="20" s="1"/>
  <c r="AI197" i="20" s="1"/>
  <c r="AI198" i="20" s="1"/>
  <c r="AI199" i="20" s="1"/>
  <c r="AI200" i="20" s="1"/>
  <c r="AI201" i="20" s="1"/>
  <c r="AI202" i="20" s="1"/>
  <c r="AJ3" i="20"/>
  <c r="K12" i="20"/>
  <c r="K13" i="20" s="1"/>
  <c r="K14" i="20" s="1"/>
  <c r="K15" i="20" s="1"/>
  <c r="K16" i="20" s="1"/>
  <c r="K17" i="20" s="1"/>
  <c r="K18" i="20" s="1"/>
  <c r="K19" i="20" s="1"/>
  <c r="K20" i="20" s="1"/>
  <c r="K21" i="20" s="1"/>
  <c r="K22" i="20" s="1"/>
  <c r="K23" i="20" s="1"/>
  <c r="K24" i="20" s="1"/>
  <c r="K25" i="20" s="1"/>
  <c r="K26" i="20" s="1"/>
  <c r="K27" i="20" s="1"/>
  <c r="K28" i="20" s="1"/>
  <c r="K29" i="20" s="1"/>
  <c r="K30" i="20" s="1"/>
  <c r="K31" i="20" s="1"/>
  <c r="K32" i="20" s="1"/>
  <c r="K33" i="20" s="1"/>
  <c r="K34" i="20" s="1"/>
  <c r="K35" i="20" s="1"/>
  <c r="K36" i="20" s="1"/>
  <c r="K37" i="20" s="1"/>
  <c r="K38" i="20" s="1"/>
  <c r="K39" i="20" s="1"/>
  <c r="K40" i="20" s="1"/>
  <c r="K41" i="20" s="1"/>
  <c r="K42" i="20" s="1"/>
  <c r="K43" i="20" s="1"/>
  <c r="K44" i="20" s="1"/>
  <c r="K45" i="20" s="1"/>
  <c r="K46" i="20" s="1"/>
  <c r="K47" i="20" s="1"/>
  <c r="K48" i="20" s="1"/>
  <c r="K49" i="20" s="1"/>
  <c r="K50" i="20" s="1"/>
  <c r="K51" i="20" s="1"/>
  <c r="K52" i="20" s="1"/>
  <c r="K53" i="20" s="1"/>
  <c r="K54" i="20" s="1"/>
  <c r="K55" i="20" s="1"/>
  <c r="K56" i="20" s="1"/>
  <c r="K57" i="20" s="1"/>
  <c r="K58" i="20" s="1"/>
  <c r="K59" i="20" s="1"/>
  <c r="K60" i="20" s="1"/>
  <c r="K61" i="20" s="1"/>
  <c r="K62" i="20" s="1"/>
  <c r="K63" i="20" s="1"/>
  <c r="K64" i="20" s="1"/>
  <c r="K65" i="20" s="1"/>
  <c r="K66" i="20" s="1"/>
  <c r="K67" i="20" s="1"/>
  <c r="K68" i="20" s="1"/>
  <c r="K69" i="20" s="1"/>
  <c r="K70" i="20" s="1"/>
  <c r="K71" i="20" s="1"/>
  <c r="K72" i="20" s="1"/>
  <c r="K73" i="20" s="1"/>
  <c r="K74" i="20" s="1"/>
  <c r="K75" i="20" s="1"/>
  <c r="K76" i="20" s="1"/>
  <c r="K77" i="20" s="1"/>
  <c r="K78" i="20" s="1"/>
  <c r="K79" i="20" s="1"/>
  <c r="K80" i="20" s="1"/>
  <c r="K81" i="20" s="1"/>
  <c r="K82" i="20" s="1"/>
  <c r="K83" i="20" s="1"/>
  <c r="K84" i="20" s="1"/>
  <c r="K85" i="20" s="1"/>
  <c r="K86" i="20" s="1"/>
  <c r="K87" i="20" s="1"/>
  <c r="K88" i="20" s="1"/>
  <c r="K89" i="20" s="1"/>
  <c r="K90" i="20" s="1"/>
  <c r="K91" i="20" s="1"/>
  <c r="K92" i="20" s="1"/>
  <c r="K93" i="20" s="1"/>
  <c r="K94" i="20" s="1"/>
  <c r="K95" i="20" s="1"/>
  <c r="K96" i="20" s="1"/>
  <c r="K97" i="20" s="1"/>
  <c r="K98" i="20" s="1"/>
  <c r="K99" i="20" s="1"/>
  <c r="K100" i="20" s="1"/>
  <c r="K101" i="20" s="1"/>
  <c r="K102" i="20" s="1"/>
  <c r="K103" i="20" s="1"/>
  <c r="K104" i="20" s="1"/>
  <c r="K105" i="20" s="1"/>
  <c r="K106" i="20" s="1"/>
  <c r="K107" i="20" s="1"/>
  <c r="K108" i="20" s="1"/>
  <c r="K109" i="20" s="1"/>
  <c r="K110" i="20" s="1"/>
  <c r="K111" i="20" s="1"/>
  <c r="K112" i="20" s="1"/>
  <c r="K113" i="20" s="1"/>
  <c r="K114" i="20" s="1"/>
  <c r="K115" i="20" s="1"/>
  <c r="K116" i="20" s="1"/>
  <c r="K117" i="20" s="1"/>
  <c r="K118" i="20" s="1"/>
  <c r="K119" i="20" s="1"/>
  <c r="K120" i="20" s="1"/>
  <c r="K121" i="20" s="1"/>
  <c r="K122" i="20" s="1"/>
  <c r="K123" i="20" s="1"/>
  <c r="K124" i="20" s="1"/>
  <c r="K125" i="20" s="1"/>
  <c r="K126" i="20" s="1"/>
  <c r="K127" i="20" s="1"/>
  <c r="K128" i="20" s="1"/>
  <c r="K129" i="20" s="1"/>
  <c r="K130" i="20" s="1"/>
  <c r="K131" i="20" s="1"/>
  <c r="K132" i="20" s="1"/>
  <c r="K133" i="20" s="1"/>
  <c r="K134" i="20" s="1"/>
  <c r="K135" i="20" s="1"/>
  <c r="K136" i="20" s="1"/>
  <c r="K137" i="20" s="1"/>
  <c r="K138" i="20" s="1"/>
  <c r="K139" i="20" s="1"/>
  <c r="K140" i="20" s="1"/>
  <c r="K141" i="20" s="1"/>
  <c r="K142" i="20" s="1"/>
  <c r="K143" i="20" s="1"/>
  <c r="K144" i="20" s="1"/>
  <c r="K145" i="20" s="1"/>
  <c r="K146" i="20" s="1"/>
  <c r="K147" i="20" s="1"/>
  <c r="K148" i="20" s="1"/>
  <c r="K149" i="20" s="1"/>
  <c r="K150" i="20" s="1"/>
  <c r="K151" i="20" s="1"/>
  <c r="K152" i="20" s="1"/>
  <c r="K153" i="20" s="1"/>
  <c r="K154" i="20" s="1"/>
  <c r="K155" i="20" s="1"/>
  <c r="K156" i="20" s="1"/>
  <c r="K157" i="20" s="1"/>
  <c r="K158" i="20" s="1"/>
  <c r="K159" i="20" s="1"/>
  <c r="K160" i="20" s="1"/>
  <c r="K161" i="20" s="1"/>
  <c r="K162" i="20" s="1"/>
  <c r="K163" i="20" s="1"/>
  <c r="K164" i="20" s="1"/>
  <c r="K165" i="20" s="1"/>
  <c r="K166" i="20" s="1"/>
  <c r="K167" i="20" s="1"/>
  <c r="K168" i="20" s="1"/>
  <c r="K169" i="20" s="1"/>
  <c r="K170" i="20" s="1"/>
  <c r="K171" i="20" s="1"/>
  <c r="K172" i="20" s="1"/>
  <c r="K173" i="20" s="1"/>
  <c r="K174" i="20" s="1"/>
  <c r="K175" i="20" s="1"/>
  <c r="K176" i="20" s="1"/>
  <c r="K177" i="20" s="1"/>
  <c r="K178" i="20" s="1"/>
  <c r="K179" i="20" s="1"/>
  <c r="K180" i="20" s="1"/>
  <c r="K181" i="20" s="1"/>
  <c r="K182" i="20" s="1"/>
  <c r="K183" i="20" s="1"/>
  <c r="K184" i="20" s="1"/>
  <c r="K185" i="20" s="1"/>
  <c r="K186" i="20" s="1"/>
  <c r="K187" i="20" s="1"/>
  <c r="K188" i="20" s="1"/>
  <c r="K189" i="20" s="1"/>
  <c r="K190" i="20" s="1"/>
  <c r="K191" i="20" s="1"/>
  <c r="K192" i="20" s="1"/>
  <c r="K193" i="20" s="1"/>
  <c r="K194" i="20" s="1"/>
  <c r="K195" i="20" s="1"/>
  <c r="K196" i="20" s="1"/>
  <c r="K197" i="20" s="1"/>
  <c r="K198" i="20" s="1"/>
  <c r="K199" i="20" s="1"/>
  <c r="K200" i="20" s="1"/>
  <c r="K201" i="20" s="1"/>
  <c r="K202" i="20" s="1"/>
  <c r="I47" i="20"/>
  <c r="I48" i="20" s="1"/>
  <c r="I49" i="20" s="1"/>
  <c r="I50" i="20" s="1"/>
  <c r="I51" i="20" s="1"/>
  <c r="I52" i="20" s="1"/>
  <c r="I53" i="20" s="1"/>
  <c r="I54" i="20" s="1"/>
  <c r="I55" i="20" s="1"/>
  <c r="I56" i="20" s="1"/>
  <c r="I57" i="20" s="1"/>
  <c r="I58" i="20" s="1"/>
  <c r="I59" i="20" s="1"/>
  <c r="I60" i="20" s="1"/>
  <c r="I61" i="20" s="1"/>
  <c r="I62" i="20" s="1"/>
  <c r="I63" i="20" s="1"/>
  <c r="I64" i="20" s="1"/>
  <c r="I65" i="20" s="1"/>
  <c r="I66" i="20" s="1"/>
  <c r="I67" i="20" s="1"/>
  <c r="I68" i="20" s="1"/>
  <c r="I69" i="20" s="1"/>
  <c r="I70" i="20" s="1"/>
  <c r="I71" i="20" s="1"/>
  <c r="I72" i="20" s="1"/>
  <c r="I73" i="20" s="1"/>
  <c r="I74" i="20" s="1"/>
  <c r="I75" i="20" s="1"/>
  <c r="I76" i="20" s="1"/>
  <c r="I77" i="20" s="1"/>
  <c r="I78" i="20" s="1"/>
  <c r="I79" i="20" s="1"/>
  <c r="I80" i="20" s="1"/>
  <c r="I81" i="20" s="1"/>
  <c r="I82" i="20" s="1"/>
  <c r="I83" i="20" s="1"/>
  <c r="I84" i="20" s="1"/>
  <c r="I85" i="20" s="1"/>
  <c r="I86" i="20" s="1"/>
  <c r="I87" i="20" s="1"/>
  <c r="I88" i="20" s="1"/>
  <c r="I89" i="20" s="1"/>
  <c r="I90" i="20" s="1"/>
  <c r="I91" i="20" s="1"/>
  <c r="I92" i="20" s="1"/>
  <c r="I93" i="20" s="1"/>
  <c r="I94" i="20" s="1"/>
  <c r="I95" i="20" s="1"/>
  <c r="I96" i="20" s="1"/>
  <c r="I97" i="20" s="1"/>
  <c r="I98" i="20" s="1"/>
  <c r="I99" i="20" s="1"/>
  <c r="I100" i="20" s="1"/>
  <c r="I101" i="20" s="1"/>
  <c r="I102" i="20" s="1"/>
  <c r="I103" i="20" s="1"/>
  <c r="I104" i="20" s="1"/>
  <c r="I105" i="20" s="1"/>
  <c r="I106" i="20" s="1"/>
  <c r="I107" i="20" s="1"/>
  <c r="I108" i="20" s="1"/>
  <c r="I109" i="20" s="1"/>
  <c r="I110" i="20" s="1"/>
  <c r="I111" i="20" s="1"/>
  <c r="I112" i="20" s="1"/>
  <c r="I113" i="20" s="1"/>
  <c r="I114" i="20" s="1"/>
  <c r="I115" i="20" s="1"/>
  <c r="I116" i="20" s="1"/>
  <c r="I117" i="20" s="1"/>
  <c r="I118" i="20" s="1"/>
  <c r="I119" i="20" s="1"/>
  <c r="I120" i="20" s="1"/>
  <c r="I121" i="20" s="1"/>
  <c r="I122" i="20" s="1"/>
  <c r="I123" i="20" s="1"/>
  <c r="I124" i="20" s="1"/>
  <c r="I125" i="20" s="1"/>
  <c r="I126" i="20" s="1"/>
  <c r="I127" i="20" s="1"/>
  <c r="I128" i="20" s="1"/>
  <c r="I129" i="20" s="1"/>
  <c r="I130" i="20" s="1"/>
  <c r="I131" i="20" s="1"/>
  <c r="I132" i="20" s="1"/>
  <c r="I133" i="20" s="1"/>
  <c r="I134" i="20" s="1"/>
  <c r="I135" i="20" s="1"/>
  <c r="I136" i="20" s="1"/>
  <c r="I137" i="20" s="1"/>
  <c r="I138" i="20" s="1"/>
  <c r="I139" i="20" s="1"/>
  <c r="I140" i="20" s="1"/>
  <c r="I141" i="20" s="1"/>
  <c r="I142" i="20" s="1"/>
  <c r="I143" i="20" s="1"/>
  <c r="I144" i="20" s="1"/>
  <c r="I145" i="20" s="1"/>
  <c r="I146" i="20" s="1"/>
  <c r="I147" i="20" s="1"/>
  <c r="I148" i="20" s="1"/>
  <c r="I149" i="20" s="1"/>
  <c r="I150" i="20" s="1"/>
  <c r="I151" i="20" s="1"/>
  <c r="I152" i="20" s="1"/>
  <c r="I153" i="20" s="1"/>
  <c r="I154" i="20" s="1"/>
  <c r="I155" i="20" s="1"/>
  <c r="I156" i="20" s="1"/>
  <c r="I157" i="20" s="1"/>
  <c r="I158" i="20" s="1"/>
  <c r="I159" i="20" s="1"/>
  <c r="I160" i="20" s="1"/>
  <c r="I161" i="20" s="1"/>
  <c r="I162" i="20" s="1"/>
  <c r="I163" i="20" s="1"/>
  <c r="I164" i="20" s="1"/>
  <c r="I165" i="20" s="1"/>
  <c r="I166" i="20" s="1"/>
  <c r="I167" i="20" s="1"/>
  <c r="I168" i="20" s="1"/>
  <c r="I169" i="20" s="1"/>
  <c r="I170" i="20" s="1"/>
  <c r="I171" i="20" s="1"/>
  <c r="I172" i="20" s="1"/>
  <c r="I173" i="20" s="1"/>
  <c r="I174" i="20" s="1"/>
  <c r="I175" i="20" s="1"/>
  <c r="I176" i="20" s="1"/>
  <c r="I177" i="20" s="1"/>
  <c r="I178" i="20" s="1"/>
  <c r="I179" i="20" s="1"/>
  <c r="I180" i="20" s="1"/>
  <c r="I181" i="20" s="1"/>
  <c r="I182" i="20" s="1"/>
  <c r="I183" i="20" s="1"/>
  <c r="I184" i="20" s="1"/>
  <c r="I185" i="20" s="1"/>
  <c r="I186" i="20" s="1"/>
  <c r="I187" i="20" s="1"/>
  <c r="I188" i="20" s="1"/>
  <c r="I189" i="20" s="1"/>
  <c r="I190" i="20" s="1"/>
  <c r="I191" i="20" s="1"/>
  <c r="I192" i="20" s="1"/>
  <c r="I193" i="20" s="1"/>
  <c r="I194" i="20" s="1"/>
  <c r="I195" i="20" s="1"/>
  <c r="I196" i="20" s="1"/>
  <c r="I197" i="20" s="1"/>
  <c r="I198" i="20" s="1"/>
  <c r="I199" i="20" s="1"/>
  <c r="I200" i="20" s="1"/>
  <c r="I201" i="20" s="1"/>
  <c r="I202" i="20" s="1"/>
  <c r="S93" i="20"/>
  <c r="S94" i="20" s="1"/>
  <c r="S95" i="20" s="1"/>
  <c r="S96" i="20" s="1"/>
  <c r="S97" i="20" s="1"/>
  <c r="S98" i="20" s="1"/>
  <c r="S99" i="20" s="1"/>
  <c r="S100" i="20" s="1"/>
  <c r="S101" i="20" s="1"/>
  <c r="S102" i="20" s="1"/>
  <c r="S103" i="20" s="1"/>
  <c r="S104" i="20" s="1"/>
  <c r="S105" i="20" s="1"/>
  <c r="S106" i="20" s="1"/>
  <c r="S107" i="20" s="1"/>
  <c r="S108" i="20" s="1"/>
  <c r="S109" i="20" s="1"/>
  <c r="S110" i="20" s="1"/>
  <c r="S111" i="20" s="1"/>
  <c r="S112" i="20" s="1"/>
  <c r="S113" i="20" s="1"/>
  <c r="S114" i="20" s="1"/>
  <c r="S115" i="20" s="1"/>
  <c r="S116" i="20" s="1"/>
  <c r="S117" i="20" s="1"/>
  <c r="S118" i="20" s="1"/>
  <c r="S119" i="20" s="1"/>
  <c r="S120" i="20" s="1"/>
  <c r="S121" i="20" s="1"/>
  <c r="S122" i="20" s="1"/>
  <c r="S123" i="20" s="1"/>
  <c r="S124" i="20" s="1"/>
  <c r="S125" i="20" s="1"/>
  <c r="S126" i="20" s="1"/>
  <c r="S127" i="20" s="1"/>
  <c r="S128" i="20" s="1"/>
  <c r="S129" i="20" s="1"/>
  <c r="S130" i="20" s="1"/>
  <c r="S131" i="20" s="1"/>
  <c r="S132" i="20" s="1"/>
  <c r="S133" i="20" s="1"/>
  <c r="S134" i="20" s="1"/>
  <c r="S135" i="20" s="1"/>
  <c r="S136" i="20" s="1"/>
  <c r="S137" i="20" s="1"/>
  <c r="S138" i="20" s="1"/>
  <c r="S139" i="20" s="1"/>
  <c r="S140" i="20" s="1"/>
  <c r="S141" i="20" s="1"/>
  <c r="S142" i="20" s="1"/>
  <c r="S143" i="20" s="1"/>
  <c r="S144" i="20" s="1"/>
  <c r="S145" i="20" s="1"/>
  <c r="S146" i="20" s="1"/>
  <c r="S147" i="20" s="1"/>
  <c r="S148" i="20" s="1"/>
  <c r="S149" i="20" s="1"/>
  <c r="S150" i="20" s="1"/>
  <c r="S151" i="20" s="1"/>
  <c r="S152" i="20" s="1"/>
  <c r="S153" i="20" s="1"/>
  <c r="S154" i="20" s="1"/>
  <c r="S155" i="20" s="1"/>
  <c r="S156" i="20" s="1"/>
  <c r="S157" i="20" s="1"/>
  <c r="S158" i="20" s="1"/>
  <c r="S159" i="20" s="1"/>
  <c r="S160" i="20" s="1"/>
  <c r="S161" i="20" s="1"/>
  <c r="S162" i="20" s="1"/>
  <c r="S163" i="20" s="1"/>
  <c r="S164" i="20" s="1"/>
  <c r="S165" i="20" s="1"/>
  <c r="S166" i="20" s="1"/>
  <c r="S167" i="20" s="1"/>
  <c r="S168" i="20" s="1"/>
  <c r="S169" i="20" s="1"/>
  <c r="S170" i="20" s="1"/>
  <c r="S171" i="20" s="1"/>
  <c r="S172" i="20" s="1"/>
  <c r="S173" i="20" s="1"/>
  <c r="S174" i="20" s="1"/>
  <c r="S175" i="20" s="1"/>
  <c r="S176" i="20" s="1"/>
  <c r="S177" i="20" s="1"/>
  <c r="S178" i="20" s="1"/>
  <c r="S179" i="20" s="1"/>
  <c r="S180" i="20" s="1"/>
  <c r="S181" i="20" s="1"/>
  <c r="S182" i="20" s="1"/>
  <c r="S183" i="20" s="1"/>
  <c r="S184" i="20" s="1"/>
  <c r="S185" i="20" s="1"/>
  <c r="S186" i="20" s="1"/>
  <c r="S187" i="20" s="1"/>
  <c r="S188" i="20" s="1"/>
  <c r="S189" i="20" s="1"/>
  <c r="S190" i="20" s="1"/>
  <c r="S191" i="20" s="1"/>
  <c r="S192" i="20" s="1"/>
  <c r="S193" i="20" s="1"/>
  <c r="S194" i="20" s="1"/>
  <c r="S195" i="20" s="1"/>
  <c r="S196" i="20" s="1"/>
  <c r="S197" i="20" s="1"/>
  <c r="S198" i="20" s="1"/>
  <c r="S199" i="20" s="1"/>
  <c r="S200" i="20" s="1"/>
  <c r="S201" i="20" s="1"/>
  <c r="S202" i="20" s="1"/>
  <c r="Z4" i="20"/>
  <c r="Z5" i="20" s="1"/>
  <c r="Z6" i="20" s="1"/>
  <c r="Z7" i="20" s="1"/>
  <c r="Z8" i="20" s="1"/>
  <c r="Z9" i="20" s="1"/>
  <c r="Z10" i="20" s="1"/>
  <c r="Z11" i="20" s="1"/>
  <c r="Z12" i="20" s="1"/>
  <c r="Z13" i="20" s="1"/>
  <c r="Z14" i="20" s="1"/>
  <c r="Z15" i="20" s="1"/>
  <c r="Z16" i="20" s="1"/>
  <c r="Z17" i="20" s="1"/>
  <c r="Z18" i="20" s="1"/>
  <c r="Z19" i="20" s="1"/>
  <c r="Z20" i="20" s="1"/>
  <c r="Z21" i="20" s="1"/>
  <c r="Z22" i="20" s="1"/>
  <c r="Z23" i="20" s="1"/>
  <c r="Z24" i="20" s="1"/>
  <c r="Z25" i="20" s="1"/>
  <c r="Z26" i="20" s="1"/>
  <c r="Z27" i="20" s="1"/>
  <c r="Z28" i="20" s="1"/>
  <c r="Z29" i="20" s="1"/>
  <c r="Z30" i="20" s="1"/>
  <c r="Z31" i="20" s="1"/>
  <c r="Z32" i="20" s="1"/>
  <c r="Z33" i="20" s="1"/>
  <c r="Z34" i="20" s="1"/>
  <c r="Z35" i="20" s="1"/>
  <c r="Z36" i="20" s="1"/>
  <c r="Z37" i="20" s="1"/>
  <c r="Z38" i="20" s="1"/>
  <c r="Z39" i="20" s="1"/>
  <c r="Z40" i="20" s="1"/>
  <c r="Z41" i="20" s="1"/>
  <c r="Z42" i="20" s="1"/>
  <c r="Z43" i="20" s="1"/>
  <c r="Z44" i="20" s="1"/>
  <c r="Z45" i="20" s="1"/>
  <c r="Z46" i="20" s="1"/>
  <c r="Z47" i="20" s="1"/>
  <c r="Z48" i="20" s="1"/>
  <c r="Z49" i="20" s="1"/>
  <c r="Z50" i="20" s="1"/>
  <c r="Z51" i="20" s="1"/>
  <c r="Z52" i="20" s="1"/>
  <c r="Z53" i="20" s="1"/>
  <c r="Z54" i="20" s="1"/>
  <c r="Z55" i="20" s="1"/>
  <c r="Z56" i="20" s="1"/>
  <c r="Z57" i="20" s="1"/>
  <c r="Z58" i="20" s="1"/>
  <c r="Z59" i="20" s="1"/>
  <c r="Z60" i="20" s="1"/>
  <c r="Z61" i="20" s="1"/>
  <c r="Z62" i="20" s="1"/>
  <c r="Z63" i="20" s="1"/>
  <c r="Z64" i="20" s="1"/>
  <c r="Z65" i="20" s="1"/>
  <c r="Z66" i="20" s="1"/>
  <c r="Z67" i="20" s="1"/>
  <c r="Z68" i="20" s="1"/>
  <c r="Z69" i="20" s="1"/>
  <c r="Z70" i="20" s="1"/>
  <c r="Z71" i="20" s="1"/>
  <c r="Z72" i="20" s="1"/>
  <c r="Z73" i="20" s="1"/>
  <c r="Z74" i="20" s="1"/>
  <c r="Z75" i="20" s="1"/>
  <c r="Z76" i="20" s="1"/>
  <c r="Z77" i="20" s="1"/>
  <c r="Z78" i="20" s="1"/>
  <c r="Z79" i="20" s="1"/>
  <c r="Z80" i="20" s="1"/>
  <c r="Z81" i="20" s="1"/>
  <c r="Z82" i="20" s="1"/>
  <c r="Z83" i="20" s="1"/>
  <c r="Z84" i="20" s="1"/>
  <c r="Z85" i="20" s="1"/>
  <c r="Z86" i="20" s="1"/>
  <c r="Z87" i="20" s="1"/>
  <c r="Z88" i="20" s="1"/>
  <c r="Z89" i="20" s="1"/>
  <c r="Z90" i="20" s="1"/>
  <c r="Z91" i="20" s="1"/>
  <c r="Z92" i="20" s="1"/>
  <c r="Z93" i="20" s="1"/>
  <c r="Z94" i="20" s="1"/>
  <c r="Z95" i="20" s="1"/>
  <c r="Z96" i="20" s="1"/>
  <c r="Z97" i="20" s="1"/>
  <c r="Z98" i="20" s="1"/>
  <c r="Z99" i="20" s="1"/>
  <c r="Z100" i="20" s="1"/>
  <c r="Z101" i="20" s="1"/>
  <c r="Z102" i="20" s="1"/>
  <c r="Z103" i="20" s="1"/>
  <c r="Z104" i="20" s="1"/>
  <c r="Z105" i="20" s="1"/>
  <c r="Z106" i="20" s="1"/>
  <c r="Z107" i="20" s="1"/>
  <c r="Z108" i="20" s="1"/>
  <c r="Z109" i="20" s="1"/>
  <c r="Z110" i="20" s="1"/>
  <c r="Z111" i="20" s="1"/>
  <c r="Z112" i="20" s="1"/>
  <c r="Z113" i="20" s="1"/>
  <c r="Z114" i="20" s="1"/>
  <c r="Z115" i="20" s="1"/>
  <c r="Z116" i="20" s="1"/>
  <c r="Z117" i="20" s="1"/>
  <c r="Z118" i="20" s="1"/>
  <c r="Z119" i="20" s="1"/>
  <c r="Z120" i="20" s="1"/>
  <c r="Z121" i="20" s="1"/>
  <c r="Z122" i="20" s="1"/>
  <c r="Z123" i="20" s="1"/>
  <c r="Z124" i="20" s="1"/>
  <c r="Z125" i="20" s="1"/>
  <c r="Z126" i="20" s="1"/>
  <c r="Z127" i="20" s="1"/>
  <c r="Z128" i="20" s="1"/>
  <c r="Z129" i="20" s="1"/>
  <c r="Z130" i="20" s="1"/>
  <c r="Z131" i="20" s="1"/>
  <c r="Z132" i="20" s="1"/>
  <c r="Z133" i="20" s="1"/>
  <c r="Z134" i="20" s="1"/>
  <c r="Z135" i="20" s="1"/>
  <c r="Z136" i="20" s="1"/>
  <c r="Z137" i="20" s="1"/>
  <c r="Z138" i="20" s="1"/>
  <c r="Z139" i="20" s="1"/>
  <c r="Z140" i="20" s="1"/>
  <c r="Z141" i="20" s="1"/>
  <c r="Z142" i="20" s="1"/>
  <c r="Z143" i="20" s="1"/>
  <c r="Z144" i="20" s="1"/>
  <c r="Z145" i="20" s="1"/>
  <c r="Z146" i="20" s="1"/>
  <c r="Z147" i="20" s="1"/>
  <c r="Z148" i="20" s="1"/>
  <c r="Z149" i="20" s="1"/>
  <c r="Z150" i="20" s="1"/>
  <c r="Z151" i="20" s="1"/>
  <c r="Z152" i="20" s="1"/>
  <c r="Z153" i="20" s="1"/>
  <c r="Z154" i="20" s="1"/>
  <c r="Z155" i="20" s="1"/>
  <c r="Z156" i="20" s="1"/>
  <c r="Z157" i="20" s="1"/>
  <c r="Z158" i="20" s="1"/>
  <c r="Z159" i="20" s="1"/>
  <c r="Z160" i="20" s="1"/>
  <c r="Z161" i="20" s="1"/>
  <c r="Z162" i="20" s="1"/>
  <c r="Z163" i="20" s="1"/>
  <c r="Z164" i="20" s="1"/>
  <c r="Z165" i="20" s="1"/>
  <c r="Z166" i="20" s="1"/>
  <c r="Z167" i="20" s="1"/>
  <c r="Z168" i="20" s="1"/>
  <c r="Z169" i="20" s="1"/>
  <c r="Z170" i="20" s="1"/>
  <c r="Z171" i="20" s="1"/>
  <c r="Z172" i="20" s="1"/>
  <c r="Z173" i="20" s="1"/>
  <c r="Z174" i="20" s="1"/>
  <c r="Z175" i="20" s="1"/>
  <c r="Z176" i="20" s="1"/>
  <c r="Z177" i="20" s="1"/>
  <c r="Z178" i="20" s="1"/>
  <c r="Z179" i="20" s="1"/>
  <c r="Z180" i="20" s="1"/>
  <c r="Z181" i="20" s="1"/>
  <c r="Z182" i="20" s="1"/>
  <c r="Z183" i="20" s="1"/>
  <c r="Z184" i="20" s="1"/>
  <c r="Z185" i="20" s="1"/>
  <c r="Z186" i="20" s="1"/>
  <c r="Z187" i="20" s="1"/>
  <c r="Z188" i="20" s="1"/>
  <c r="Z189" i="20" s="1"/>
  <c r="Z190" i="20" s="1"/>
  <c r="Z191" i="20" s="1"/>
  <c r="Z192" i="20" s="1"/>
  <c r="Z193" i="20" s="1"/>
  <c r="Z194" i="20" s="1"/>
  <c r="Z195" i="20" s="1"/>
  <c r="Z196" i="20" s="1"/>
  <c r="Z197" i="20" s="1"/>
  <c r="Z198" i="20" s="1"/>
  <c r="Z199" i="20" s="1"/>
  <c r="Z200" i="20" s="1"/>
  <c r="Z201" i="20" s="1"/>
  <c r="Z202" i="20" s="1"/>
  <c r="AC3" i="20"/>
  <c r="AC4" i="20" s="1"/>
  <c r="AC5" i="20" s="1"/>
  <c r="AC6" i="20" s="1"/>
  <c r="AC7" i="20" s="1"/>
  <c r="AC8" i="20" s="1"/>
  <c r="AC9" i="20" s="1"/>
  <c r="AC10" i="20" s="1"/>
  <c r="AC11" i="20" s="1"/>
  <c r="AC12" i="20" s="1"/>
  <c r="AC13" i="20" s="1"/>
  <c r="AC14" i="20" s="1"/>
  <c r="AC15" i="20" s="1"/>
  <c r="AC16" i="20" s="1"/>
  <c r="AC17" i="20" s="1"/>
  <c r="AC18" i="20" s="1"/>
  <c r="AC19" i="20" s="1"/>
  <c r="AC20" i="20" s="1"/>
  <c r="AC21" i="20" s="1"/>
  <c r="AC22" i="20" s="1"/>
  <c r="AC23" i="20" s="1"/>
  <c r="AC24" i="20" s="1"/>
  <c r="AC25" i="20" s="1"/>
  <c r="AC26" i="20" s="1"/>
  <c r="AC27" i="20" s="1"/>
  <c r="AC28" i="20" s="1"/>
  <c r="AC29" i="20" s="1"/>
  <c r="AC30" i="20" s="1"/>
  <c r="AC31" i="20" s="1"/>
  <c r="AC32" i="20" s="1"/>
  <c r="AC33" i="20" s="1"/>
  <c r="AC34" i="20" s="1"/>
  <c r="AC35" i="20" s="1"/>
  <c r="AC36" i="20" s="1"/>
  <c r="AC37" i="20" s="1"/>
  <c r="AC38" i="20" s="1"/>
  <c r="AC39" i="20" s="1"/>
  <c r="AC40" i="20" s="1"/>
  <c r="AC41" i="20" s="1"/>
  <c r="AC42" i="20" s="1"/>
  <c r="AC43" i="20" s="1"/>
  <c r="AC44" i="20" s="1"/>
  <c r="AC45" i="20" s="1"/>
  <c r="AC46" i="20" s="1"/>
  <c r="AC47" i="20" s="1"/>
  <c r="AC48" i="20" s="1"/>
  <c r="AC49" i="20" s="1"/>
  <c r="AC50" i="20" s="1"/>
  <c r="AC51" i="20" s="1"/>
  <c r="AC52" i="20" s="1"/>
  <c r="AC53" i="20" s="1"/>
  <c r="AC54" i="20" s="1"/>
  <c r="AC55" i="20" s="1"/>
  <c r="AC56" i="20" s="1"/>
  <c r="AC57" i="20" s="1"/>
  <c r="AC58" i="20" s="1"/>
  <c r="AC59" i="20" s="1"/>
  <c r="AC60" i="20" s="1"/>
  <c r="AC61" i="20" s="1"/>
  <c r="AC62" i="20" s="1"/>
  <c r="AC63" i="20" s="1"/>
  <c r="AC64" i="20" s="1"/>
  <c r="AC65" i="20" s="1"/>
  <c r="AC66" i="20" s="1"/>
  <c r="AC67" i="20" s="1"/>
  <c r="AC68" i="20" s="1"/>
  <c r="AC69" i="20" s="1"/>
  <c r="AC70" i="20" s="1"/>
  <c r="AC71" i="20" s="1"/>
  <c r="AC72" i="20" s="1"/>
  <c r="AC73" i="20" s="1"/>
  <c r="AC74" i="20" s="1"/>
  <c r="AC75" i="20" s="1"/>
  <c r="AC76" i="20" s="1"/>
  <c r="AC77" i="20" s="1"/>
  <c r="AC78" i="20" s="1"/>
  <c r="AC79" i="20" s="1"/>
  <c r="AC80" i="20" s="1"/>
  <c r="AC81" i="20" s="1"/>
  <c r="AC82" i="20" s="1"/>
  <c r="AC83" i="20" s="1"/>
  <c r="AC84" i="20" s="1"/>
  <c r="AC85" i="20" s="1"/>
  <c r="AC86" i="20" s="1"/>
  <c r="AC87" i="20" s="1"/>
  <c r="AC88" i="20" s="1"/>
  <c r="AC89" i="20" s="1"/>
  <c r="AC90" i="20" s="1"/>
  <c r="AC91" i="20" s="1"/>
  <c r="AC92" i="20" s="1"/>
  <c r="AC93" i="20" s="1"/>
  <c r="AC94" i="20" s="1"/>
  <c r="AC95" i="20" s="1"/>
  <c r="AC96" i="20" s="1"/>
  <c r="AC97" i="20" s="1"/>
  <c r="AC98" i="20" s="1"/>
  <c r="AC99" i="20" s="1"/>
  <c r="AC100" i="20" s="1"/>
  <c r="AC101" i="20" s="1"/>
  <c r="AC102" i="20" s="1"/>
  <c r="AC103" i="20" s="1"/>
  <c r="AC104" i="20" s="1"/>
  <c r="AC105" i="20" s="1"/>
  <c r="AC106" i="20" s="1"/>
  <c r="AC107" i="20" s="1"/>
  <c r="AC108" i="20" s="1"/>
  <c r="AC109" i="20" s="1"/>
  <c r="AC110" i="20" s="1"/>
  <c r="AC111" i="20" s="1"/>
  <c r="AC112" i="20" s="1"/>
  <c r="AC113" i="20" s="1"/>
  <c r="AC114" i="20" s="1"/>
  <c r="AC115" i="20" s="1"/>
  <c r="AC116" i="20" s="1"/>
  <c r="AC117" i="20" s="1"/>
  <c r="AC118" i="20" s="1"/>
  <c r="AC119" i="20" s="1"/>
  <c r="AC120" i="20" s="1"/>
  <c r="AC121" i="20" s="1"/>
  <c r="AC122" i="20" s="1"/>
  <c r="AC123" i="20" s="1"/>
  <c r="AC124" i="20" s="1"/>
  <c r="AC125" i="20" s="1"/>
  <c r="AC126" i="20" s="1"/>
  <c r="AC127" i="20" s="1"/>
  <c r="AC128" i="20" s="1"/>
  <c r="AC129" i="20" s="1"/>
  <c r="AC130" i="20" s="1"/>
  <c r="AC131" i="20" s="1"/>
  <c r="AC132" i="20" s="1"/>
  <c r="AC133" i="20" s="1"/>
  <c r="AC134" i="20" s="1"/>
  <c r="AC135" i="20" s="1"/>
  <c r="AC136" i="20" s="1"/>
  <c r="AC137" i="20" s="1"/>
  <c r="AC138" i="20" s="1"/>
  <c r="AC139" i="20" s="1"/>
  <c r="AC140" i="20" s="1"/>
  <c r="AC141" i="20" s="1"/>
  <c r="AC142" i="20" s="1"/>
  <c r="AC143" i="20" s="1"/>
  <c r="AC144" i="20" s="1"/>
  <c r="AC145" i="20" s="1"/>
  <c r="AC146" i="20" s="1"/>
  <c r="AC147" i="20" s="1"/>
  <c r="AC148" i="20" s="1"/>
  <c r="AC149" i="20" s="1"/>
  <c r="AC150" i="20" s="1"/>
  <c r="AC151" i="20" s="1"/>
  <c r="AC152" i="20" s="1"/>
  <c r="AC153" i="20" s="1"/>
  <c r="AC154" i="20" s="1"/>
  <c r="AC155" i="20" s="1"/>
  <c r="AC156" i="20" s="1"/>
  <c r="AC157" i="20" s="1"/>
  <c r="AC158" i="20" s="1"/>
  <c r="AC159" i="20" s="1"/>
  <c r="AC160" i="20" s="1"/>
  <c r="AC161" i="20" s="1"/>
  <c r="AC162" i="20" s="1"/>
  <c r="AC163" i="20" s="1"/>
  <c r="AC164" i="20" s="1"/>
  <c r="AC165" i="20" s="1"/>
  <c r="AC166" i="20" s="1"/>
  <c r="AC167" i="20" s="1"/>
  <c r="AC168" i="20" s="1"/>
  <c r="AC169" i="20" s="1"/>
  <c r="AC170" i="20" s="1"/>
  <c r="AC171" i="20" s="1"/>
  <c r="AC172" i="20" s="1"/>
  <c r="AC173" i="20" s="1"/>
  <c r="AC174" i="20" s="1"/>
  <c r="AC175" i="20" s="1"/>
  <c r="AC176" i="20" s="1"/>
  <c r="AC177" i="20" s="1"/>
  <c r="AC178" i="20" s="1"/>
  <c r="AC179" i="20" s="1"/>
  <c r="AC180" i="20" s="1"/>
  <c r="AC181" i="20" s="1"/>
  <c r="AC182" i="20" s="1"/>
  <c r="AC183" i="20" s="1"/>
  <c r="AC184" i="20" s="1"/>
  <c r="AC185" i="20" s="1"/>
  <c r="AC186" i="20" s="1"/>
  <c r="AC187" i="20" s="1"/>
  <c r="AC188" i="20" s="1"/>
  <c r="AC189" i="20" s="1"/>
  <c r="AC190" i="20" s="1"/>
  <c r="AC191" i="20" s="1"/>
  <c r="AC192" i="20" s="1"/>
  <c r="AC193" i="20" s="1"/>
  <c r="AC194" i="20" s="1"/>
  <c r="AC195" i="20" s="1"/>
  <c r="AC196" i="20" s="1"/>
  <c r="AC197" i="20" s="1"/>
  <c r="AC198" i="20" s="1"/>
  <c r="AC199" i="20" s="1"/>
  <c r="AC200" i="20" s="1"/>
  <c r="AC201" i="20" s="1"/>
  <c r="AC202" i="20" s="1"/>
  <c r="U94" i="20"/>
  <c r="U95" i="20" s="1"/>
  <c r="U96" i="20" s="1"/>
  <c r="U97" i="20" s="1"/>
  <c r="U98" i="20" s="1"/>
  <c r="U99" i="20" s="1"/>
  <c r="U100" i="20" s="1"/>
  <c r="U101" i="20" s="1"/>
  <c r="U102" i="20" s="1"/>
  <c r="U103" i="20" s="1"/>
  <c r="U104" i="20" s="1"/>
  <c r="U105" i="20" s="1"/>
  <c r="U106" i="20" s="1"/>
  <c r="U107" i="20" s="1"/>
  <c r="U108" i="20" s="1"/>
  <c r="U109" i="20" s="1"/>
  <c r="U110" i="20" s="1"/>
  <c r="U111" i="20" s="1"/>
  <c r="U112" i="20" s="1"/>
  <c r="U113" i="20" s="1"/>
  <c r="U114" i="20" s="1"/>
  <c r="U115" i="20" s="1"/>
  <c r="U116" i="20" s="1"/>
  <c r="U117" i="20" s="1"/>
  <c r="U118" i="20" s="1"/>
  <c r="U119" i="20" s="1"/>
  <c r="U120" i="20" s="1"/>
  <c r="U121" i="20" s="1"/>
  <c r="U122" i="20" s="1"/>
  <c r="U123" i="20" s="1"/>
  <c r="U124" i="20" s="1"/>
  <c r="U125" i="20" s="1"/>
  <c r="U126" i="20" s="1"/>
  <c r="U127" i="20" s="1"/>
  <c r="U128" i="20" s="1"/>
  <c r="U129" i="20" s="1"/>
  <c r="U130" i="20" s="1"/>
  <c r="U131" i="20" s="1"/>
  <c r="U132" i="20" s="1"/>
  <c r="U133" i="20" s="1"/>
  <c r="U134" i="20" s="1"/>
  <c r="U135" i="20" s="1"/>
  <c r="U136" i="20" s="1"/>
  <c r="U137" i="20" s="1"/>
  <c r="U138" i="20" s="1"/>
  <c r="U139" i="20" s="1"/>
  <c r="U140" i="20" s="1"/>
  <c r="U141" i="20" s="1"/>
  <c r="U142" i="20" s="1"/>
  <c r="U143" i="20" s="1"/>
  <c r="U144" i="20" s="1"/>
  <c r="U145" i="20" s="1"/>
  <c r="U146" i="20" s="1"/>
  <c r="U147" i="20" s="1"/>
  <c r="U148" i="20" s="1"/>
  <c r="U149" i="20" s="1"/>
  <c r="U150" i="20" s="1"/>
  <c r="U151" i="20" s="1"/>
  <c r="U152" i="20" s="1"/>
  <c r="U153" i="20" s="1"/>
  <c r="U154" i="20" s="1"/>
  <c r="U155" i="20" s="1"/>
  <c r="U156" i="20" s="1"/>
  <c r="U157" i="20" s="1"/>
  <c r="U158" i="20" s="1"/>
  <c r="U159" i="20" s="1"/>
  <c r="U160" i="20" s="1"/>
  <c r="U161" i="20" s="1"/>
  <c r="U162" i="20" s="1"/>
  <c r="U163" i="20" s="1"/>
  <c r="U164" i="20" s="1"/>
  <c r="U165" i="20" s="1"/>
  <c r="U166" i="20" s="1"/>
  <c r="U167" i="20" s="1"/>
  <c r="U168" i="20" s="1"/>
  <c r="U169" i="20" s="1"/>
  <c r="U170" i="20" s="1"/>
  <c r="U171" i="20" s="1"/>
  <c r="U172" i="20" s="1"/>
  <c r="U173" i="20" s="1"/>
  <c r="U174" i="20" s="1"/>
  <c r="U175" i="20" s="1"/>
  <c r="U176" i="20" s="1"/>
  <c r="U177" i="20" s="1"/>
  <c r="U178" i="20" s="1"/>
  <c r="U179" i="20" s="1"/>
  <c r="U180" i="20" s="1"/>
  <c r="U181" i="20" s="1"/>
  <c r="U182" i="20" s="1"/>
  <c r="U183" i="20" s="1"/>
  <c r="U184" i="20" s="1"/>
  <c r="U185" i="20" s="1"/>
  <c r="U186" i="20" s="1"/>
  <c r="U187" i="20" s="1"/>
  <c r="U188" i="20" s="1"/>
  <c r="U189" i="20" s="1"/>
  <c r="U190" i="20" s="1"/>
  <c r="U191" i="20" s="1"/>
  <c r="U192" i="20" s="1"/>
  <c r="U193" i="20" s="1"/>
  <c r="U194" i="20" s="1"/>
  <c r="U195" i="20" s="1"/>
  <c r="U196" i="20" s="1"/>
  <c r="U197" i="20" s="1"/>
  <c r="U198" i="20" s="1"/>
  <c r="U199" i="20" s="1"/>
  <c r="U200" i="20" s="1"/>
  <c r="U201" i="20" s="1"/>
  <c r="U202" i="20" s="1"/>
  <c r="L92" i="20"/>
  <c r="L93" i="20" s="1"/>
  <c r="L94" i="20" s="1"/>
  <c r="L95" i="20" s="1"/>
  <c r="L96" i="20" s="1"/>
  <c r="L97" i="20" s="1"/>
  <c r="L98" i="20" s="1"/>
  <c r="L99" i="20" s="1"/>
  <c r="L100" i="20" s="1"/>
  <c r="L101" i="20" s="1"/>
  <c r="L102" i="20" s="1"/>
  <c r="L103" i="20" s="1"/>
  <c r="L104" i="20" s="1"/>
  <c r="L105" i="20" s="1"/>
  <c r="L106" i="20" s="1"/>
  <c r="L107" i="20" s="1"/>
  <c r="L108" i="20" s="1"/>
  <c r="L109" i="20" s="1"/>
  <c r="L110" i="20" s="1"/>
  <c r="L111" i="20" s="1"/>
  <c r="L112" i="20" s="1"/>
  <c r="L113" i="20" s="1"/>
  <c r="L114" i="20" s="1"/>
  <c r="L115" i="20" s="1"/>
  <c r="L116" i="20" s="1"/>
  <c r="L117" i="20" s="1"/>
  <c r="L118" i="20" s="1"/>
  <c r="L119" i="20" s="1"/>
  <c r="L120" i="20" s="1"/>
  <c r="L121" i="20" s="1"/>
  <c r="L122" i="20" s="1"/>
  <c r="L123" i="20" s="1"/>
  <c r="L124" i="20" s="1"/>
  <c r="L125" i="20" s="1"/>
  <c r="L126" i="20" s="1"/>
  <c r="L127" i="20" s="1"/>
  <c r="L128" i="20" s="1"/>
  <c r="L129" i="20" s="1"/>
  <c r="L130" i="20" s="1"/>
  <c r="L131" i="20" s="1"/>
  <c r="L132" i="20" s="1"/>
  <c r="L133" i="20" s="1"/>
  <c r="L134" i="20" s="1"/>
  <c r="L135" i="20" s="1"/>
  <c r="L136" i="20" s="1"/>
  <c r="L137" i="20" s="1"/>
  <c r="L138" i="20" s="1"/>
  <c r="L139" i="20" s="1"/>
  <c r="L140" i="20" s="1"/>
  <c r="L141" i="20" s="1"/>
  <c r="L142" i="20" s="1"/>
  <c r="L143" i="20" s="1"/>
  <c r="L144" i="20" s="1"/>
  <c r="L145" i="20" s="1"/>
  <c r="L146" i="20" s="1"/>
  <c r="L147" i="20" s="1"/>
  <c r="L148" i="20" s="1"/>
  <c r="L149" i="20" s="1"/>
  <c r="L150" i="20" s="1"/>
  <c r="L151" i="20" s="1"/>
  <c r="L152" i="20" s="1"/>
  <c r="L153" i="20" s="1"/>
  <c r="L154" i="20" s="1"/>
  <c r="L155" i="20" s="1"/>
  <c r="L156" i="20" s="1"/>
  <c r="L157" i="20" s="1"/>
  <c r="L158" i="20" s="1"/>
  <c r="L159" i="20" s="1"/>
  <c r="L160" i="20" s="1"/>
  <c r="L161" i="20" s="1"/>
  <c r="L162" i="20" s="1"/>
  <c r="L163" i="20" s="1"/>
  <c r="L164" i="20" s="1"/>
  <c r="L165" i="20" s="1"/>
  <c r="L166" i="20" s="1"/>
  <c r="L167" i="20" s="1"/>
  <c r="L168" i="20" s="1"/>
  <c r="L169" i="20" s="1"/>
  <c r="L170" i="20" s="1"/>
  <c r="L171" i="20" s="1"/>
  <c r="L172" i="20" s="1"/>
  <c r="L173" i="20" s="1"/>
  <c r="L174" i="20" s="1"/>
  <c r="L175" i="20" s="1"/>
  <c r="L176" i="20" s="1"/>
  <c r="L177" i="20" s="1"/>
  <c r="L178" i="20" s="1"/>
  <c r="L179" i="20" s="1"/>
  <c r="L180" i="20" s="1"/>
  <c r="L181" i="20" s="1"/>
  <c r="L182" i="20" s="1"/>
  <c r="L183" i="20" s="1"/>
  <c r="L184" i="20" s="1"/>
  <c r="L185" i="20" s="1"/>
  <c r="L186" i="20" s="1"/>
  <c r="L187" i="20" s="1"/>
  <c r="L188" i="20" s="1"/>
  <c r="L189" i="20" s="1"/>
  <c r="L190" i="20" s="1"/>
  <c r="L191" i="20" s="1"/>
  <c r="L192" i="20" s="1"/>
  <c r="L193" i="20" s="1"/>
  <c r="L194" i="20" s="1"/>
  <c r="L195" i="20" s="1"/>
  <c r="L196" i="20" s="1"/>
  <c r="L197" i="20" s="1"/>
  <c r="L198" i="20" s="1"/>
  <c r="L199" i="20" s="1"/>
  <c r="L200" i="20" s="1"/>
  <c r="L201" i="20" s="1"/>
  <c r="L202" i="20" s="1"/>
  <c r="H92" i="20"/>
  <c r="H93" i="20" s="1"/>
  <c r="H94" i="20" s="1"/>
  <c r="H95" i="20"/>
  <c r="H96" i="20" s="1"/>
  <c r="H97" i="20" s="1"/>
  <c r="H98" i="20" s="1"/>
  <c r="H99" i="20" s="1"/>
  <c r="H100" i="20" s="1"/>
  <c r="H101" i="20" s="1"/>
  <c r="H102" i="20" s="1"/>
  <c r="H103" i="20" s="1"/>
  <c r="H104" i="20" s="1"/>
  <c r="H105" i="20" s="1"/>
  <c r="H106" i="20" s="1"/>
  <c r="H107" i="20" s="1"/>
  <c r="H108" i="20" s="1"/>
  <c r="H109" i="20" s="1"/>
  <c r="H110" i="20" s="1"/>
  <c r="H111" i="20" s="1"/>
  <c r="H112" i="20" s="1"/>
  <c r="H113" i="20" s="1"/>
  <c r="H114" i="20" s="1"/>
  <c r="H115" i="20" s="1"/>
  <c r="H116" i="20" s="1"/>
  <c r="H117" i="20" s="1"/>
  <c r="H118" i="20" s="1"/>
  <c r="H119" i="20" s="1"/>
  <c r="H120" i="20" s="1"/>
  <c r="H121" i="20" s="1"/>
  <c r="H122" i="20" s="1"/>
  <c r="H123" i="20" s="1"/>
  <c r="H124" i="20" s="1"/>
  <c r="H125" i="20" s="1"/>
  <c r="H126" i="20" s="1"/>
  <c r="H127" i="20" s="1"/>
  <c r="H128" i="20" s="1"/>
  <c r="H129" i="20" s="1"/>
  <c r="H130" i="20" s="1"/>
  <c r="H131" i="20" s="1"/>
  <c r="H132" i="20" s="1"/>
  <c r="H133" i="20" s="1"/>
  <c r="H134" i="20" s="1"/>
  <c r="H135" i="20" s="1"/>
  <c r="H136" i="20" s="1"/>
  <c r="H137" i="20" s="1"/>
  <c r="H138" i="20" s="1"/>
  <c r="H139" i="20" s="1"/>
  <c r="H140" i="20" s="1"/>
  <c r="H141" i="20" s="1"/>
  <c r="H142" i="20" s="1"/>
  <c r="H143" i="20" s="1"/>
  <c r="H144" i="20" s="1"/>
  <c r="H145" i="20" s="1"/>
  <c r="H146" i="20" s="1"/>
  <c r="H147" i="20" s="1"/>
  <c r="H148" i="20" s="1"/>
  <c r="H149" i="20" s="1"/>
  <c r="H150" i="20" s="1"/>
  <c r="H151" i="20" s="1"/>
  <c r="H152" i="20" s="1"/>
  <c r="H153" i="20" s="1"/>
  <c r="H154" i="20" s="1"/>
  <c r="H155" i="20" s="1"/>
  <c r="H156" i="20" s="1"/>
  <c r="H157" i="20" s="1"/>
  <c r="H158" i="20" s="1"/>
  <c r="H159" i="20" s="1"/>
  <c r="H160" i="20" s="1"/>
  <c r="H161" i="20" s="1"/>
  <c r="H162" i="20" s="1"/>
  <c r="H163" i="20" s="1"/>
  <c r="H164" i="20" s="1"/>
  <c r="H165" i="20" s="1"/>
  <c r="H166" i="20" s="1"/>
  <c r="H167" i="20" s="1"/>
  <c r="H168" i="20" s="1"/>
  <c r="H169" i="20" s="1"/>
  <c r="H170" i="20" s="1"/>
  <c r="H171" i="20" s="1"/>
  <c r="H172" i="20" s="1"/>
  <c r="H173" i="20" s="1"/>
  <c r="H174" i="20" s="1"/>
  <c r="H175" i="20" s="1"/>
  <c r="H176" i="20" s="1"/>
  <c r="H177" i="20" s="1"/>
  <c r="H178" i="20" s="1"/>
  <c r="H179" i="20" s="1"/>
  <c r="H180" i="20" s="1"/>
  <c r="H181" i="20" s="1"/>
  <c r="H182" i="20" s="1"/>
  <c r="H183" i="20" s="1"/>
  <c r="H184" i="20" s="1"/>
  <c r="H185" i="20" s="1"/>
  <c r="H186" i="20" s="1"/>
  <c r="H187" i="20" s="1"/>
  <c r="H188" i="20" s="1"/>
  <c r="H189" i="20" s="1"/>
  <c r="H190" i="20" s="1"/>
  <c r="H191" i="20" s="1"/>
  <c r="H192" i="20" s="1"/>
  <c r="H193" i="20" s="1"/>
  <c r="H194" i="20" s="1"/>
  <c r="H195" i="20" s="1"/>
  <c r="H196" i="20" s="1"/>
  <c r="H197" i="20" s="1"/>
  <c r="H198" i="20" s="1"/>
  <c r="H199" i="20" s="1"/>
  <c r="H200" i="20" s="1"/>
  <c r="H201" i="20" s="1"/>
  <c r="H202" i="20" s="1"/>
  <c r="M92" i="20"/>
  <c r="M93" i="20" s="1"/>
  <c r="M94" i="20" s="1"/>
  <c r="M95" i="20" s="1"/>
  <c r="M96" i="20" s="1"/>
  <c r="M97" i="20" s="1"/>
  <c r="M98" i="20" s="1"/>
  <c r="M99" i="20" s="1"/>
  <c r="M100" i="20" s="1"/>
  <c r="M101" i="20" s="1"/>
  <c r="M102" i="20" s="1"/>
  <c r="M103" i="20" s="1"/>
  <c r="M104" i="20" s="1"/>
  <c r="M105" i="20" s="1"/>
  <c r="M106" i="20" s="1"/>
  <c r="M107" i="20" s="1"/>
  <c r="M108" i="20" s="1"/>
  <c r="M109" i="20" s="1"/>
  <c r="M110" i="20" s="1"/>
  <c r="M111" i="20" s="1"/>
  <c r="M112" i="20" s="1"/>
  <c r="M113" i="20" s="1"/>
  <c r="M114" i="20" s="1"/>
  <c r="M115" i="20" s="1"/>
  <c r="M116" i="20" s="1"/>
  <c r="M117" i="20" s="1"/>
  <c r="M118" i="20" s="1"/>
  <c r="M119" i="20" s="1"/>
  <c r="M120" i="20" s="1"/>
  <c r="M121" i="20" s="1"/>
  <c r="M122" i="20" s="1"/>
  <c r="M123" i="20" s="1"/>
  <c r="M124" i="20" s="1"/>
  <c r="M125" i="20" s="1"/>
  <c r="M126" i="20" s="1"/>
  <c r="M127" i="20" s="1"/>
  <c r="M128" i="20" s="1"/>
  <c r="M129" i="20" s="1"/>
  <c r="M130" i="20" s="1"/>
  <c r="M131" i="20" s="1"/>
  <c r="M132" i="20" s="1"/>
  <c r="M133" i="20" s="1"/>
  <c r="M134" i="20" s="1"/>
  <c r="M135" i="20" s="1"/>
  <c r="M136" i="20" s="1"/>
  <c r="M137" i="20" s="1"/>
  <c r="M138" i="20" s="1"/>
  <c r="M139" i="20" s="1"/>
  <c r="M140" i="20" s="1"/>
  <c r="M141" i="20" s="1"/>
  <c r="M142" i="20" s="1"/>
  <c r="M143" i="20" s="1"/>
  <c r="M144" i="20" s="1"/>
  <c r="M145" i="20" s="1"/>
  <c r="M146" i="20" s="1"/>
  <c r="M147" i="20" s="1"/>
  <c r="M148" i="20" s="1"/>
  <c r="M149" i="20" s="1"/>
  <c r="M150" i="20" s="1"/>
  <c r="M151" i="20" s="1"/>
  <c r="M152" i="20" s="1"/>
  <c r="M153" i="20" s="1"/>
  <c r="M154" i="20" s="1"/>
  <c r="M155" i="20" s="1"/>
  <c r="M156" i="20" s="1"/>
  <c r="M157" i="20" s="1"/>
  <c r="M158" i="20" s="1"/>
  <c r="M159" i="20" s="1"/>
  <c r="M160" i="20" s="1"/>
  <c r="M161" i="20" s="1"/>
  <c r="M162" i="20" s="1"/>
  <c r="M163" i="20" s="1"/>
  <c r="M164" i="20" s="1"/>
  <c r="M165" i="20" s="1"/>
  <c r="M166" i="20" s="1"/>
  <c r="M167" i="20" s="1"/>
  <c r="M168" i="20" s="1"/>
  <c r="M169" i="20" s="1"/>
  <c r="M170" i="20" s="1"/>
  <c r="M171" i="20" s="1"/>
  <c r="M172" i="20" s="1"/>
  <c r="M173" i="20" s="1"/>
  <c r="M174" i="20" s="1"/>
  <c r="M175" i="20" s="1"/>
  <c r="M176" i="20" s="1"/>
  <c r="M177" i="20" s="1"/>
  <c r="M178" i="20" s="1"/>
  <c r="M179" i="20" s="1"/>
  <c r="M180" i="20" s="1"/>
  <c r="M181" i="20" s="1"/>
  <c r="M182" i="20" s="1"/>
  <c r="M183" i="20" s="1"/>
  <c r="M184" i="20" s="1"/>
  <c r="M185" i="20" s="1"/>
  <c r="M186" i="20" s="1"/>
  <c r="M187" i="20" s="1"/>
  <c r="M188" i="20" s="1"/>
  <c r="M189" i="20" s="1"/>
  <c r="M190" i="20" s="1"/>
  <c r="M191" i="20" s="1"/>
  <c r="M192" i="20" s="1"/>
  <c r="M193" i="20" s="1"/>
  <c r="M194" i="20" s="1"/>
  <c r="M195" i="20" s="1"/>
  <c r="M196" i="20" s="1"/>
  <c r="M197" i="20" s="1"/>
  <c r="M198" i="20" s="1"/>
  <c r="M199" i="20" s="1"/>
  <c r="M200" i="20" s="1"/>
  <c r="M201" i="20" s="1"/>
  <c r="M202" i="20" s="1"/>
  <c r="AK4" i="20"/>
  <c r="AJ4" i="20"/>
  <c r="AH5" i="20"/>
  <c r="AA95" i="20"/>
  <c r="AA96" i="20" s="1"/>
  <c r="AA97" i="20" s="1"/>
  <c r="AA98" i="20" s="1"/>
  <c r="AA99" i="20" s="1"/>
  <c r="AA100" i="20" s="1"/>
  <c r="AA101" i="20" s="1"/>
  <c r="AA102" i="20" s="1"/>
  <c r="AA103" i="20" s="1"/>
  <c r="AA104" i="20" s="1"/>
  <c r="AA105" i="20" s="1"/>
  <c r="AA106" i="20" s="1"/>
  <c r="AA107" i="20" s="1"/>
  <c r="AA108" i="20" s="1"/>
  <c r="AA109" i="20" s="1"/>
  <c r="AA110" i="20" s="1"/>
  <c r="AA111" i="20" s="1"/>
  <c r="AA112" i="20" s="1"/>
  <c r="AA113" i="20" s="1"/>
  <c r="AA114" i="20" s="1"/>
  <c r="AA115" i="20" s="1"/>
  <c r="AA116" i="20" s="1"/>
  <c r="AA117" i="20" s="1"/>
  <c r="AA118" i="20" s="1"/>
  <c r="AA119" i="20" s="1"/>
  <c r="AA120" i="20" s="1"/>
  <c r="AA121" i="20" s="1"/>
  <c r="AA122" i="20" s="1"/>
  <c r="AA123" i="20" s="1"/>
  <c r="AA124" i="20" s="1"/>
  <c r="AA125" i="20" s="1"/>
  <c r="AA126" i="20" s="1"/>
  <c r="AA127" i="20" s="1"/>
  <c r="AA128" i="20" s="1"/>
  <c r="AA129" i="20" s="1"/>
  <c r="AA130" i="20" s="1"/>
  <c r="AA131" i="20" s="1"/>
  <c r="AA132" i="20" s="1"/>
  <c r="AA133" i="20" s="1"/>
  <c r="AA134" i="20" s="1"/>
  <c r="AA135" i="20" s="1"/>
  <c r="AA136" i="20" s="1"/>
  <c r="AA137" i="20" s="1"/>
  <c r="AA138" i="20" s="1"/>
  <c r="AA139" i="20" s="1"/>
  <c r="AA140" i="20" s="1"/>
  <c r="AA141" i="20" s="1"/>
  <c r="AA142" i="20" s="1"/>
  <c r="AA143" i="20" s="1"/>
  <c r="AA144" i="20" s="1"/>
  <c r="AA145" i="20" s="1"/>
  <c r="AA146" i="20" s="1"/>
  <c r="AA147" i="20" s="1"/>
  <c r="AA148" i="20" s="1"/>
  <c r="AA149" i="20" s="1"/>
  <c r="AA150" i="20" s="1"/>
  <c r="AA151" i="20" s="1"/>
  <c r="AA152" i="20" s="1"/>
  <c r="AA153" i="20" s="1"/>
  <c r="AA154" i="20" s="1"/>
  <c r="AA155" i="20" s="1"/>
  <c r="AA156" i="20" s="1"/>
  <c r="AA157" i="20" s="1"/>
  <c r="AA158" i="20" s="1"/>
  <c r="AA159" i="20" s="1"/>
  <c r="AA160" i="20" s="1"/>
  <c r="AA161" i="20" s="1"/>
  <c r="AA162" i="20" s="1"/>
  <c r="AA163" i="20" s="1"/>
  <c r="AA164" i="20" s="1"/>
  <c r="AA165" i="20" s="1"/>
  <c r="AA166" i="20" s="1"/>
  <c r="AA167" i="20" s="1"/>
  <c r="AA168" i="20" s="1"/>
  <c r="AA169" i="20" s="1"/>
  <c r="AA170" i="20" s="1"/>
  <c r="AA171" i="20" s="1"/>
  <c r="AA172" i="20" s="1"/>
  <c r="AA173" i="20" s="1"/>
  <c r="AA174" i="20" s="1"/>
  <c r="AA175" i="20" s="1"/>
  <c r="AA176" i="20" s="1"/>
  <c r="AA177" i="20" s="1"/>
  <c r="AA178" i="20" s="1"/>
  <c r="AA179" i="20" s="1"/>
  <c r="AA180" i="20" s="1"/>
  <c r="AA181" i="20" s="1"/>
  <c r="AA182" i="20" s="1"/>
  <c r="AA183" i="20" s="1"/>
  <c r="AA184" i="20" s="1"/>
  <c r="AA185" i="20" s="1"/>
  <c r="AA186" i="20" s="1"/>
  <c r="AA187" i="20" s="1"/>
  <c r="AA188" i="20" s="1"/>
  <c r="AA189" i="20" s="1"/>
  <c r="AA190" i="20" s="1"/>
  <c r="AA191" i="20" s="1"/>
  <c r="AA192" i="20" s="1"/>
  <c r="AA193" i="20" s="1"/>
  <c r="AA194" i="20" s="1"/>
  <c r="AA195" i="20" s="1"/>
  <c r="AA196" i="20" s="1"/>
  <c r="AA197" i="20" s="1"/>
  <c r="AA198" i="20" s="1"/>
  <c r="AA199" i="20" s="1"/>
  <c r="AA200" i="20" s="1"/>
  <c r="AA201" i="20" s="1"/>
  <c r="AA202" i="20" s="1"/>
  <c r="J23" i="20"/>
  <c r="J24" i="20" s="1"/>
  <c r="J25" i="20" s="1"/>
  <c r="AB95" i="20"/>
  <c r="AB96" i="20" s="1"/>
  <c r="AB97" i="20" s="1"/>
  <c r="AB98" i="20" s="1"/>
  <c r="AB99" i="20" s="1"/>
  <c r="AB100" i="20" s="1"/>
  <c r="AB101" i="20" s="1"/>
  <c r="AB102" i="20" s="1"/>
  <c r="AB103" i="20" s="1"/>
  <c r="AB104" i="20" s="1"/>
  <c r="AB105" i="20" s="1"/>
  <c r="AB106" i="20" s="1"/>
  <c r="AB107" i="20" s="1"/>
  <c r="AB108" i="20" s="1"/>
  <c r="AB109" i="20" s="1"/>
  <c r="AB110" i="20" s="1"/>
  <c r="AB111" i="20" s="1"/>
  <c r="AB112" i="20" s="1"/>
  <c r="AB113" i="20" s="1"/>
  <c r="AB114" i="20" s="1"/>
  <c r="AB115" i="20" s="1"/>
  <c r="AB116" i="20" s="1"/>
  <c r="AB117" i="20" s="1"/>
  <c r="AB118" i="20" s="1"/>
  <c r="AB119" i="20" s="1"/>
  <c r="AB120" i="20" s="1"/>
  <c r="AB121" i="20" s="1"/>
  <c r="AB122" i="20" s="1"/>
  <c r="AB123" i="20" s="1"/>
  <c r="AB124" i="20" s="1"/>
  <c r="AB125" i="20" s="1"/>
  <c r="AB126" i="20" s="1"/>
  <c r="AB127" i="20" s="1"/>
  <c r="AB128" i="20" s="1"/>
  <c r="AB129" i="20" s="1"/>
  <c r="AB130" i="20" s="1"/>
  <c r="AB131" i="20" s="1"/>
  <c r="AB132" i="20" s="1"/>
  <c r="AB133" i="20" s="1"/>
  <c r="AB134" i="20" s="1"/>
  <c r="AB135" i="20" s="1"/>
  <c r="AB136" i="20" s="1"/>
  <c r="AB137" i="20" s="1"/>
  <c r="AB138" i="20" s="1"/>
  <c r="AB139" i="20" s="1"/>
  <c r="AB140" i="20" s="1"/>
  <c r="AB141" i="20" s="1"/>
  <c r="AB142" i="20" s="1"/>
  <c r="AB143" i="20" s="1"/>
  <c r="AB144" i="20" s="1"/>
  <c r="AB145" i="20" s="1"/>
  <c r="AB146" i="20" s="1"/>
  <c r="AB147" i="20" s="1"/>
  <c r="AB148" i="20" s="1"/>
  <c r="AB149" i="20" s="1"/>
  <c r="AB150" i="20" s="1"/>
  <c r="AB151" i="20" s="1"/>
  <c r="AB152" i="20" s="1"/>
  <c r="AB153" i="20" s="1"/>
  <c r="AB154" i="20" s="1"/>
  <c r="AB155" i="20" s="1"/>
  <c r="AB156" i="20" s="1"/>
  <c r="AB157" i="20" s="1"/>
  <c r="AB158" i="20" s="1"/>
  <c r="AB159" i="20" s="1"/>
  <c r="AB160" i="20" s="1"/>
  <c r="AB161" i="20" s="1"/>
  <c r="AB162" i="20" s="1"/>
  <c r="AB163" i="20" s="1"/>
  <c r="AB164" i="20" s="1"/>
  <c r="AB165" i="20" s="1"/>
  <c r="AB166" i="20" s="1"/>
  <c r="AB167" i="20" s="1"/>
  <c r="AB168" i="20" s="1"/>
  <c r="AB169" i="20" s="1"/>
  <c r="AB170" i="20" s="1"/>
  <c r="AB171" i="20" s="1"/>
  <c r="AB172" i="20" s="1"/>
  <c r="AB173" i="20" s="1"/>
  <c r="AB174" i="20" s="1"/>
  <c r="AB175" i="20" s="1"/>
  <c r="AB176" i="20" s="1"/>
  <c r="AB177" i="20" s="1"/>
  <c r="AB178" i="20" s="1"/>
  <c r="AB179" i="20" s="1"/>
  <c r="AB180" i="20" s="1"/>
  <c r="AB181" i="20" s="1"/>
  <c r="AB182" i="20" s="1"/>
  <c r="AB183" i="20" s="1"/>
  <c r="AB184" i="20" s="1"/>
  <c r="AB185" i="20" s="1"/>
  <c r="AB186" i="20" s="1"/>
  <c r="AB187" i="20" s="1"/>
  <c r="AB188" i="20" s="1"/>
  <c r="AB189" i="20" s="1"/>
  <c r="AB190" i="20" s="1"/>
  <c r="AB191" i="20" s="1"/>
  <c r="AB192" i="20" s="1"/>
  <c r="AB193" i="20" s="1"/>
  <c r="AB194" i="20" s="1"/>
  <c r="AB195" i="20" s="1"/>
  <c r="AB196" i="20" s="1"/>
  <c r="AB197" i="20" s="1"/>
  <c r="AB198" i="20" s="1"/>
  <c r="AB199" i="20" s="1"/>
  <c r="AB200" i="20" s="1"/>
  <c r="AB201" i="20" s="1"/>
  <c r="AB202" i="20" s="1"/>
  <c r="J26" i="20"/>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C119" i="19"/>
  <c r="BZ25" i="19"/>
  <c r="BZ26" i="19" s="1"/>
  <c r="AH6" i="20" l="1"/>
  <c r="AK5" i="20"/>
  <c r="AJ5" i="20"/>
  <c r="BZ27" i="19"/>
  <c r="BZ28" i="19"/>
  <c r="CA13" i="19"/>
  <c r="CB13" i="19"/>
  <c r="CA14" i="19"/>
  <c r="CB14" i="19"/>
  <c r="CB12" i="19"/>
  <c r="CA12" i="19"/>
  <c r="H8" i="12"/>
  <c r="G8" i="12"/>
  <c r="B15" i="12" s="1"/>
  <c r="F8" i="12"/>
  <c r="E8" i="12"/>
  <c r="B37" i="12" l="1"/>
  <c r="AH7" i="20"/>
  <c r="AK6" i="20"/>
  <c r="AJ6" i="20"/>
  <c r="H23" i="12"/>
  <c r="H28" i="12" s="1"/>
  <c r="G23" i="12"/>
  <c r="F23" i="12"/>
  <c r="BJ5" i="19"/>
  <c r="BJ6" i="19"/>
  <c r="BJ7" i="19"/>
  <c r="BJ4" i="19"/>
  <c r="BI5" i="19"/>
  <c r="BI6" i="19"/>
  <c r="BI7" i="19"/>
  <c r="BI4" i="19"/>
  <c r="BD6" i="19"/>
  <c r="BD7" i="19"/>
  <c r="AY6" i="19"/>
  <c r="AY7" i="19"/>
  <c r="AT6" i="19"/>
  <c r="AT7" i="19"/>
  <c r="BD5" i="19"/>
  <c r="AY5" i="19"/>
  <c r="AT5" i="19"/>
  <c r="B16" i="12" l="1"/>
  <c r="B19" i="12" s="1"/>
  <c r="B23" i="12" s="1"/>
  <c r="B14" i="12"/>
  <c r="B18" i="12" s="1"/>
  <c r="B50" i="12" s="1"/>
  <c r="E14" i="21" s="1"/>
  <c r="B17" i="12"/>
  <c r="E4" i="21" s="1"/>
  <c r="G28" i="12"/>
  <c r="B22" i="12"/>
  <c r="E3" i="21" s="1"/>
  <c r="F28" i="12"/>
  <c r="AH8" i="20"/>
  <c r="AK7" i="20"/>
  <c r="AJ7" i="20"/>
  <c r="BH5" i="19"/>
  <c r="BH6" i="19"/>
  <c r="BH7" i="19"/>
  <c r="AJ8" i="20" l="1"/>
  <c r="AK8" i="20"/>
  <c r="AH9" i="20"/>
  <c r="V3" i="19"/>
  <c r="X3" i="19" s="1"/>
  <c r="BC5" i="19"/>
  <c r="BC6" i="19"/>
  <c r="BC7" i="19"/>
  <c r="AX5" i="19"/>
  <c r="AX6" i="19"/>
  <c r="AX7" i="19"/>
  <c r="BC4" i="19"/>
  <c r="AX4" i="19"/>
  <c r="AS4" i="19"/>
  <c r="BH4" i="19" s="1"/>
  <c r="AD202" i="19"/>
  <c r="V202" i="19"/>
  <c r="N202" i="19"/>
  <c r="O202" i="19" s="1"/>
  <c r="C202" i="19"/>
  <c r="D202" i="19" s="1"/>
  <c r="AD201" i="19"/>
  <c r="V201" i="19"/>
  <c r="X201" i="19" s="1"/>
  <c r="N201" i="19"/>
  <c r="O201" i="19" s="1"/>
  <c r="C201" i="19"/>
  <c r="D201" i="19" s="1"/>
  <c r="AD200" i="19"/>
  <c r="V200" i="19"/>
  <c r="N200" i="19"/>
  <c r="O200" i="19" s="1"/>
  <c r="C200" i="19"/>
  <c r="D200" i="19" s="1"/>
  <c r="AD199" i="19"/>
  <c r="V199" i="19"/>
  <c r="Y199" i="19" s="1"/>
  <c r="N199" i="19"/>
  <c r="O199" i="19" s="1"/>
  <c r="C199" i="19"/>
  <c r="D199" i="19" s="1"/>
  <c r="AD198" i="19"/>
  <c r="V198" i="19"/>
  <c r="N198" i="19"/>
  <c r="O198" i="19" s="1"/>
  <c r="C198" i="19"/>
  <c r="E198" i="19" s="1"/>
  <c r="AD197" i="19"/>
  <c r="V197" i="19"/>
  <c r="N197" i="19"/>
  <c r="O197" i="19" s="1"/>
  <c r="C197" i="19"/>
  <c r="D197" i="19" s="1"/>
  <c r="AD196" i="19"/>
  <c r="V196" i="19"/>
  <c r="N196" i="19"/>
  <c r="O196" i="19" s="1"/>
  <c r="C196" i="19"/>
  <c r="D196" i="19" s="1"/>
  <c r="AD195" i="19"/>
  <c r="V195" i="19"/>
  <c r="Y195" i="19" s="1"/>
  <c r="N195" i="19"/>
  <c r="O195" i="19" s="1"/>
  <c r="C195" i="19"/>
  <c r="F195" i="19" s="1"/>
  <c r="AD194" i="19"/>
  <c r="V194" i="19"/>
  <c r="N194" i="19"/>
  <c r="O194" i="19" s="1"/>
  <c r="C194" i="19"/>
  <c r="D194" i="19" s="1"/>
  <c r="AD193" i="19"/>
  <c r="V193" i="19"/>
  <c r="N193" i="19"/>
  <c r="O193" i="19" s="1"/>
  <c r="C193" i="19"/>
  <c r="D193" i="19" s="1"/>
  <c r="AD192" i="19"/>
  <c r="V192" i="19"/>
  <c r="N192" i="19"/>
  <c r="O192" i="19" s="1"/>
  <c r="C192" i="19"/>
  <c r="D192" i="19" s="1"/>
  <c r="AD191" i="19"/>
  <c r="V191" i="19"/>
  <c r="Y191" i="19" s="1"/>
  <c r="N191" i="19"/>
  <c r="O191" i="19" s="1"/>
  <c r="C191" i="19"/>
  <c r="D191" i="19" s="1"/>
  <c r="AD190" i="19"/>
  <c r="V190" i="19"/>
  <c r="N190" i="19"/>
  <c r="O190" i="19" s="1"/>
  <c r="C190" i="19"/>
  <c r="E190" i="19" s="1"/>
  <c r="AD189" i="19"/>
  <c r="V189" i="19"/>
  <c r="X189" i="19" s="1"/>
  <c r="N189" i="19"/>
  <c r="O189" i="19" s="1"/>
  <c r="C189" i="19"/>
  <c r="D189" i="19" s="1"/>
  <c r="AD188" i="19"/>
  <c r="V188" i="19"/>
  <c r="N188" i="19"/>
  <c r="O188" i="19" s="1"/>
  <c r="C188" i="19"/>
  <c r="D188" i="19" s="1"/>
  <c r="AD187" i="19"/>
  <c r="V187" i="19"/>
  <c r="Y187" i="19" s="1"/>
  <c r="N187" i="19"/>
  <c r="O187" i="19" s="1"/>
  <c r="C187" i="19"/>
  <c r="F187" i="19" s="1"/>
  <c r="AD186" i="19"/>
  <c r="V186" i="19"/>
  <c r="N186" i="19"/>
  <c r="O186" i="19" s="1"/>
  <c r="C186" i="19"/>
  <c r="D186" i="19" s="1"/>
  <c r="AD185" i="19"/>
  <c r="V185" i="19"/>
  <c r="X185" i="19" s="1"/>
  <c r="N185" i="19"/>
  <c r="O185" i="19" s="1"/>
  <c r="C185" i="19"/>
  <c r="D185" i="19" s="1"/>
  <c r="AD184" i="19"/>
  <c r="V184" i="19"/>
  <c r="N184" i="19"/>
  <c r="O184" i="19" s="1"/>
  <c r="C184" i="19"/>
  <c r="D184" i="19" s="1"/>
  <c r="AD183" i="19"/>
  <c r="V183" i="19"/>
  <c r="Y183" i="19" s="1"/>
  <c r="N183" i="19"/>
  <c r="O183" i="19" s="1"/>
  <c r="C183" i="19"/>
  <c r="D183" i="19" s="1"/>
  <c r="AD182" i="19"/>
  <c r="V182" i="19"/>
  <c r="N182" i="19"/>
  <c r="O182" i="19" s="1"/>
  <c r="C182" i="19"/>
  <c r="E182" i="19" s="1"/>
  <c r="AD181" i="19"/>
  <c r="V181" i="19"/>
  <c r="N181" i="19"/>
  <c r="O181" i="19" s="1"/>
  <c r="C181" i="19"/>
  <c r="D181" i="19" s="1"/>
  <c r="AD180" i="19"/>
  <c r="V180" i="19"/>
  <c r="N180" i="19"/>
  <c r="O180" i="19" s="1"/>
  <c r="C180" i="19"/>
  <c r="D180" i="19" s="1"/>
  <c r="AD179" i="19"/>
  <c r="V179" i="19"/>
  <c r="Y179" i="19" s="1"/>
  <c r="N179" i="19"/>
  <c r="O179" i="19" s="1"/>
  <c r="C179" i="19"/>
  <c r="F179" i="19" s="1"/>
  <c r="AD178" i="19"/>
  <c r="V178" i="19"/>
  <c r="N178" i="19"/>
  <c r="O178" i="19" s="1"/>
  <c r="C178" i="19"/>
  <c r="D178" i="19" s="1"/>
  <c r="AD177" i="19"/>
  <c r="V177" i="19"/>
  <c r="N177" i="19"/>
  <c r="O177" i="19" s="1"/>
  <c r="C177" i="19"/>
  <c r="D177" i="19" s="1"/>
  <c r="AD176" i="19"/>
  <c r="V176" i="19"/>
  <c r="N176" i="19"/>
  <c r="O176" i="19" s="1"/>
  <c r="C176" i="19"/>
  <c r="D176" i="19" s="1"/>
  <c r="AD175" i="19"/>
  <c r="V175" i="19"/>
  <c r="Y175" i="19" s="1"/>
  <c r="N175" i="19"/>
  <c r="O175" i="19" s="1"/>
  <c r="C175" i="19"/>
  <c r="D175" i="19" s="1"/>
  <c r="AD174" i="19"/>
  <c r="V174" i="19"/>
  <c r="N174" i="19"/>
  <c r="O174" i="19" s="1"/>
  <c r="C174" i="19"/>
  <c r="E174" i="19" s="1"/>
  <c r="AD173" i="19"/>
  <c r="V173" i="19"/>
  <c r="X173" i="19" s="1"/>
  <c r="N173" i="19"/>
  <c r="O173" i="19" s="1"/>
  <c r="C173" i="19"/>
  <c r="D173" i="19" s="1"/>
  <c r="AD172" i="19"/>
  <c r="V172" i="19"/>
  <c r="N172" i="19"/>
  <c r="O172" i="19" s="1"/>
  <c r="C172" i="19"/>
  <c r="D172" i="19" s="1"/>
  <c r="AD171" i="19"/>
  <c r="V171" i="19"/>
  <c r="Y171" i="19" s="1"/>
  <c r="N171" i="19"/>
  <c r="O171" i="19" s="1"/>
  <c r="C171" i="19"/>
  <c r="F171" i="19" s="1"/>
  <c r="AD170" i="19"/>
  <c r="V170" i="19"/>
  <c r="N170" i="19"/>
  <c r="O170" i="19" s="1"/>
  <c r="C170" i="19"/>
  <c r="D170" i="19" s="1"/>
  <c r="AD169" i="19"/>
  <c r="V169" i="19"/>
  <c r="X169" i="19" s="1"/>
  <c r="N169" i="19"/>
  <c r="O169" i="19" s="1"/>
  <c r="C169" i="19"/>
  <c r="D169" i="19" s="1"/>
  <c r="AD168" i="19"/>
  <c r="V168" i="19"/>
  <c r="N168" i="19"/>
  <c r="O168" i="19" s="1"/>
  <c r="C168" i="19"/>
  <c r="D168" i="19" s="1"/>
  <c r="AD167" i="19"/>
  <c r="V167" i="19"/>
  <c r="Y167" i="19" s="1"/>
  <c r="N167" i="19"/>
  <c r="O167" i="19" s="1"/>
  <c r="C167" i="19"/>
  <c r="D167" i="19" s="1"/>
  <c r="AD166" i="19"/>
  <c r="V166" i="19"/>
  <c r="N166" i="19"/>
  <c r="O166" i="19" s="1"/>
  <c r="C166" i="19"/>
  <c r="E166" i="19" s="1"/>
  <c r="AD165" i="19"/>
  <c r="V165" i="19"/>
  <c r="N165" i="19"/>
  <c r="O165" i="19" s="1"/>
  <c r="C165" i="19"/>
  <c r="D165" i="19" s="1"/>
  <c r="AD164" i="19"/>
  <c r="V164" i="19"/>
  <c r="N164" i="19"/>
  <c r="O164" i="19" s="1"/>
  <c r="C164" i="19"/>
  <c r="D164" i="19" s="1"/>
  <c r="AD163" i="19"/>
  <c r="V163" i="19"/>
  <c r="Y163" i="19" s="1"/>
  <c r="N163" i="19"/>
  <c r="O163" i="19" s="1"/>
  <c r="C163" i="19"/>
  <c r="F163" i="19" s="1"/>
  <c r="AD162" i="19"/>
  <c r="AG162" i="19" s="1"/>
  <c r="V162" i="19"/>
  <c r="N162" i="19"/>
  <c r="O162" i="19" s="1"/>
  <c r="C162" i="19"/>
  <c r="D162" i="19" s="1"/>
  <c r="AD161" i="19"/>
  <c r="V161" i="19"/>
  <c r="N161" i="19"/>
  <c r="O161" i="19" s="1"/>
  <c r="C161" i="19"/>
  <c r="D161" i="19" s="1"/>
  <c r="AD160" i="19"/>
  <c r="V160" i="19"/>
  <c r="N160" i="19"/>
  <c r="O160" i="19" s="1"/>
  <c r="C160" i="19"/>
  <c r="D160" i="19" s="1"/>
  <c r="AD159" i="19"/>
  <c r="V159" i="19"/>
  <c r="Y159" i="19" s="1"/>
  <c r="N159" i="19"/>
  <c r="O159" i="19" s="1"/>
  <c r="C159" i="19"/>
  <c r="D159" i="19" s="1"/>
  <c r="AD158" i="19"/>
  <c r="V158" i="19"/>
  <c r="N158" i="19"/>
  <c r="O158" i="19" s="1"/>
  <c r="C158" i="19"/>
  <c r="E158" i="19" s="1"/>
  <c r="AD157" i="19"/>
  <c r="V157" i="19"/>
  <c r="X157" i="19" s="1"/>
  <c r="N157" i="19"/>
  <c r="O157" i="19" s="1"/>
  <c r="C157" i="19"/>
  <c r="D157" i="19" s="1"/>
  <c r="AD156" i="19"/>
  <c r="V156" i="19"/>
  <c r="N156" i="19"/>
  <c r="O156" i="19" s="1"/>
  <c r="C156" i="19"/>
  <c r="D156" i="19" s="1"/>
  <c r="AD155" i="19"/>
  <c r="V155" i="19"/>
  <c r="Y155" i="19" s="1"/>
  <c r="N155" i="19"/>
  <c r="O155" i="19" s="1"/>
  <c r="C155" i="19"/>
  <c r="F155" i="19" s="1"/>
  <c r="AD154" i="19"/>
  <c r="V154" i="19"/>
  <c r="N154" i="19"/>
  <c r="O154" i="19" s="1"/>
  <c r="C154" i="19"/>
  <c r="D154" i="19" s="1"/>
  <c r="AD153" i="19"/>
  <c r="V153" i="19"/>
  <c r="X153" i="19" s="1"/>
  <c r="N153" i="19"/>
  <c r="O153" i="19" s="1"/>
  <c r="C153" i="19"/>
  <c r="D153" i="19" s="1"/>
  <c r="AD152" i="19"/>
  <c r="AG152" i="19" s="1"/>
  <c r="V152" i="19"/>
  <c r="N152" i="19"/>
  <c r="O152" i="19" s="1"/>
  <c r="C152" i="19"/>
  <c r="D152" i="19" s="1"/>
  <c r="AD151" i="19"/>
  <c r="V151" i="19"/>
  <c r="Y151" i="19" s="1"/>
  <c r="N151" i="19"/>
  <c r="O151" i="19" s="1"/>
  <c r="C151" i="19"/>
  <c r="D151" i="19" s="1"/>
  <c r="AD150" i="19"/>
  <c r="V150" i="19"/>
  <c r="N150" i="19"/>
  <c r="O150" i="19" s="1"/>
  <c r="C150" i="19"/>
  <c r="E150" i="19" s="1"/>
  <c r="AD149" i="19"/>
  <c r="V149" i="19"/>
  <c r="N149" i="19"/>
  <c r="O149" i="19" s="1"/>
  <c r="C149" i="19"/>
  <c r="D149" i="19" s="1"/>
  <c r="AD148" i="19"/>
  <c r="V148" i="19"/>
  <c r="N148" i="19"/>
  <c r="O148" i="19" s="1"/>
  <c r="C148" i="19"/>
  <c r="D148" i="19" s="1"/>
  <c r="AD147" i="19"/>
  <c r="V147" i="19"/>
  <c r="Y147" i="19" s="1"/>
  <c r="N147" i="19"/>
  <c r="O147" i="19" s="1"/>
  <c r="C147" i="19"/>
  <c r="F147" i="19" s="1"/>
  <c r="AD146" i="19"/>
  <c r="V146" i="19"/>
  <c r="N146" i="19"/>
  <c r="O146" i="19" s="1"/>
  <c r="C146" i="19"/>
  <c r="D146" i="19" s="1"/>
  <c r="AD145" i="19"/>
  <c r="V145" i="19"/>
  <c r="N145" i="19"/>
  <c r="O145" i="19" s="1"/>
  <c r="C145" i="19"/>
  <c r="D145" i="19" s="1"/>
  <c r="AD144" i="19"/>
  <c r="V144" i="19"/>
  <c r="N144" i="19"/>
  <c r="O144" i="19" s="1"/>
  <c r="C144" i="19"/>
  <c r="D144" i="19" s="1"/>
  <c r="AD143" i="19"/>
  <c r="V143" i="19"/>
  <c r="Y143" i="19" s="1"/>
  <c r="N143" i="19"/>
  <c r="O143" i="19" s="1"/>
  <c r="C143" i="19"/>
  <c r="D143" i="19" s="1"/>
  <c r="AD142" i="19"/>
  <c r="V142" i="19"/>
  <c r="N142" i="19"/>
  <c r="O142" i="19" s="1"/>
  <c r="C142" i="19"/>
  <c r="E142" i="19" s="1"/>
  <c r="AD141" i="19"/>
  <c r="V141" i="19"/>
  <c r="X141" i="19" s="1"/>
  <c r="N141" i="19"/>
  <c r="O141" i="19" s="1"/>
  <c r="C141" i="19"/>
  <c r="D141" i="19" s="1"/>
  <c r="AD140" i="19"/>
  <c r="V140" i="19"/>
  <c r="N140" i="19"/>
  <c r="O140" i="19" s="1"/>
  <c r="C140" i="19"/>
  <c r="D140" i="19" s="1"/>
  <c r="AD139" i="19"/>
  <c r="V139" i="19"/>
  <c r="Y139" i="19" s="1"/>
  <c r="N139" i="19"/>
  <c r="O139" i="19" s="1"/>
  <c r="C139" i="19"/>
  <c r="F139" i="19" s="1"/>
  <c r="AD138" i="19"/>
  <c r="V138" i="19"/>
  <c r="N138" i="19"/>
  <c r="O138" i="19" s="1"/>
  <c r="C138" i="19"/>
  <c r="D138" i="19" s="1"/>
  <c r="AD137" i="19"/>
  <c r="V137" i="19"/>
  <c r="X137" i="19" s="1"/>
  <c r="N137" i="19"/>
  <c r="O137" i="19" s="1"/>
  <c r="C137" i="19"/>
  <c r="D137" i="19" s="1"/>
  <c r="AD136" i="19"/>
  <c r="V136" i="19"/>
  <c r="N136" i="19"/>
  <c r="O136" i="19" s="1"/>
  <c r="C136" i="19"/>
  <c r="D136" i="19" s="1"/>
  <c r="AD135" i="19"/>
  <c r="V135" i="19"/>
  <c r="Y135" i="19" s="1"/>
  <c r="N135" i="19"/>
  <c r="O135" i="19" s="1"/>
  <c r="C135" i="19"/>
  <c r="D135" i="19" s="1"/>
  <c r="AD134" i="19"/>
  <c r="V134" i="19"/>
  <c r="N134" i="19"/>
  <c r="O134" i="19" s="1"/>
  <c r="C134" i="19"/>
  <c r="E134" i="19" s="1"/>
  <c r="AD133" i="19"/>
  <c r="V133" i="19"/>
  <c r="N133" i="19"/>
  <c r="O133" i="19" s="1"/>
  <c r="C133" i="19"/>
  <c r="D133" i="19" s="1"/>
  <c r="AD132" i="19"/>
  <c r="V132" i="19"/>
  <c r="N132" i="19"/>
  <c r="O132" i="19" s="1"/>
  <c r="C132" i="19"/>
  <c r="D132" i="19" s="1"/>
  <c r="AD131" i="19"/>
  <c r="V131" i="19"/>
  <c r="N131" i="19"/>
  <c r="O131" i="19" s="1"/>
  <c r="C131" i="19"/>
  <c r="F131" i="19" s="1"/>
  <c r="AD130" i="19"/>
  <c r="V130" i="19"/>
  <c r="N130" i="19"/>
  <c r="O130" i="19" s="1"/>
  <c r="C130" i="19"/>
  <c r="D130" i="19" s="1"/>
  <c r="AD129" i="19"/>
  <c r="V129" i="19"/>
  <c r="N129" i="19"/>
  <c r="O129" i="19" s="1"/>
  <c r="C129" i="19"/>
  <c r="D129" i="19" s="1"/>
  <c r="AD128" i="19"/>
  <c r="V128" i="19"/>
  <c r="N128" i="19"/>
  <c r="O128" i="19" s="1"/>
  <c r="C128" i="19"/>
  <c r="D128" i="19" s="1"/>
  <c r="AD127" i="19"/>
  <c r="V127" i="19"/>
  <c r="Y127" i="19" s="1"/>
  <c r="N127" i="19"/>
  <c r="O127" i="19" s="1"/>
  <c r="C127" i="19"/>
  <c r="D127" i="19" s="1"/>
  <c r="AD126" i="19"/>
  <c r="V126" i="19"/>
  <c r="N126" i="19"/>
  <c r="O126" i="19" s="1"/>
  <c r="C126" i="19"/>
  <c r="E126" i="19" s="1"/>
  <c r="AD125" i="19"/>
  <c r="V125" i="19"/>
  <c r="X125" i="19" s="1"/>
  <c r="N125" i="19"/>
  <c r="O125" i="19" s="1"/>
  <c r="C125" i="19"/>
  <c r="D125" i="19" s="1"/>
  <c r="AD124" i="19"/>
  <c r="V124" i="19"/>
  <c r="N124" i="19"/>
  <c r="O124" i="19" s="1"/>
  <c r="C124" i="19"/>
  <c r="D124" i="19" s="1"/>
  <c r="AD123" i="19"/>
  <c r="V123" i="19"/>
  <c r="Y123" i="19" s="1"/>
  <c r="N123" i="19"/>
  <c r="O123" i="19" s="1"/>
  <c r="C123" i="19"/>
  <c r="F123" i="19" s="1"/>
  <c r="AD122" i="19"/>
  <c r="V122" i="19"/>
  <c r="N122" i="19"/>
  <c r="C122" i="19"/>
  <c r="D122" i="19" s="1"/>
  <c r="AD121" i="19"/>
  <c r="V121" i="19"/>
  <c r="X121" i="19" s="1"/>
  <c r="N121" i="19"/>
  <c r="C121" i="19"/>
  <c r="D121" i="19" s="1"/>
  <c r="AD120" i="19"/>
  <c r="V120" i="19"/>
  <c r="N120" i="19"/>
  <c r="C120" i="19"/>
  <c r="D120" i="19" s="1"/>
  <c r="AD119" i="19"/>
  <c r="V119" i="19"/>
  <c r="Y119" i="19" s="1"/>
  <c r="N119" i="19"/>
  <c r="D119" i="19"/>
  <c r="AD118" i="19"/>
  <c r="V118" i="19"/>
  <c r="N118" i="19"/>
  <c r="C118" i="19"/>
  <c r="E118" i="19" s="1"/>
  <c r="AD117" i="19"/>
  <c r="V117" i="19"/>
  <c r="N117" i="19"/>
  <c r="C117" i="19"/>
  <c r="D117" i="19" s="1"/>
  <c r="AD116" i="19"/>
  <c r="V116" i="19"/>
  <c r="N116" i="19"/>
  <c r="C116" i="19"/>
  <c r="D116" i="19" s="1"/>
  <c r="AD115" i="19"/>
  <c r="V115" i="19"/>
  <c r="N115" i="19"/>
  <c r="C115" i="19"/>
  <c r="F115" i="19" s="1"/>
  <c r="AD114" i="19"/>
  <c r="V114" i="19"/>
  <c r="N114" i="19"/>
  <c r="C114" i="19"/>
  <c r="D114" i="19" s="1"/>
  <c r="AD113" i="19"/>
  <c r="V113" i="19"/>
  <c r="N113" i="19"/>
  <c r="P113" i="19" s="1"/>
  <c r="C113" i="19"/>
  <c r="D113" i="19" s="1"/>
  <c r="AD112" i="19"/>
  <c r="V112" i="19"/>
  <c r="N112" i="19"/>
  <c r="C112" i="19"/>
  <c r="D112" i="19" s="1"/>
  <c r="AD111" i="19"/>
  <c r="V111" i="19"/>
  <c r="Y111" i="19" s="1"/>
  <c r="N111" i="19"/>
  <c r="C111" i="19"/>
  <c r="D111" i="19" s="1"/>
  <c r="AD110" i="19"/>
  <c r="V110" i="19"/>
  <c r="N110" i="19"/>
  <c r="C110" i="19"/>
  <c r="E110" i="19" s="1"/>
  <c r="AD109" i="19"/>
  <c r="V109" i="19"/>
  <c r="X109" i="19" s="1"/>
  <c r="N109" i="19"/>
  <c r="P109" i="19" s="1"/>
  <c r="C109" i="19"/>
  <c r="D109" i="19" s="1"/>
  <c r="AD108" i="19"/>
  <c r="V108" i="19"/>
  <c r="N108" i="19"/>
  <c r="C108" i="19"/>
  <c r="D108" i="19" s="1"/>
  <c r="AD107" i="19"/>
  <c r="V107" i="19"/>
  <c r="Y107" i="19" s="1"/>
  <c r="N107" i="19"/>
  <c r="C107" i="19"/>
  <c r="F107" i="19" s="1"/>
  <c r="AD106" i="19"/>
  <c r="V106" i="19"/>
  <c r="N106" i="19"/>
  <c r="C106" i="19"/>
  <c r="D106" i="19" s="1"/>
  <c r="AD105" i="19"/>
  <c r="V105" i="19"/>
  <c r="X105" i="19" s="1"/>
  <c r="N105" i="19"/>
  <c r="C105" i="19"/>
  <c r="D105" i="19" s="1"/>
  <c r="AD104" i="19"/>
  <c r="V104" i="19"/>
  <c r="N104" i="19"/>
  <c r="C104" i="19"/>
  <c r="D104" i="19" s="1"/>
  <c r="AD103" i="19"/>
  <c r="V103" i="19"/>
  <c r="Y103" i="19" s="1"/>
  <c r="N103" i="19"/>
  <c r="C103" i="19"/>
  <c r="D103" i="19" s="1"/>
  <c r="AD102" i="19"/>
  <c r="V102" i="19"/>
  <c r="N102" i="19"/>
  <c r="C102" i="19"/>
  <c r="E102" i="19" s="1"/>
  <c r="AD101" i="19"/>
  <c r="V101" i="19"/>
  <c r="N101" i="19"/>
  <c r="C101" i="19"/>
  <c r="D101" i="19" s="1"/>
  <c r="AD100" i="19"/>
  <c r="V100" i="19"/>
  <c r="N100" i="19"/>
  <c r="C100" i="19"/>
  <c r="D100" i="19" s="1"/>
  <c r="AD99" i="19"/>
  <c r="V99" i="19"/>
  <c r="N99" i="19"/>
  <c r="C99" i="19"/>
  <c r="F99" i="19" s="1"/>
  <c r="AD98" i="19"/>
  <c r="AG98" i="19" s="1"/>
  <c r="V98" i="19"/>
  <c r="N98" i="19"/>
  <c r="C98" i="19"/>
  <c r="D98" i="19" s="1"/>
  <c r="AD97" i="19"/>
  <c r="V97" i="19"/>
  <c r="N97" i="19"/>
  <c r="P97" i="19" s="1"/>
  <c r="C97" i="19"/>
  <c r="D97" i="19" s="1"/>
  <c r="AD96" i="19"/>
  <c r="V96" i="19"/>
  <c r="N96" i="19"/>
  <c r="C96" i="19"/>
  <c r="D96" i="19" s="1"/>
  <c r="AD95" i="19"/>
  <c r="V95" i="19"/>
  <c r="Y95" i="19" s="1"/>
  <c r="N95" i="19"/>
  <c r="C95" i="19"/>
  <c r="D95" i="19" s="1"/>
  <c r="AD94" i="19"/>
  <c r="V94" i="19"/>
  <c r="N94" i="19"/>
  <c r="C94" i="19"/>
  <c r="AD93" i="19"/>
  <c r="V93" i="19"/>
  <c r="X93" i="19" s="1"/>
  <c r="N93" i="19"/>
  <c r="P93" i="19" s="1"/>
  <c r="C93" i="19"/>
  <c r="D93" i="19" s="1"/>
  <c r="AD92" i="19"/>
  <c r="V92" i="19"/>
  <c r="N92" i="19"/>
  <c r="C92" i="19"/>
  <c r="D92" i="19" s="1"/>
  <c r="AD91" i="19"/>
  <c r="V91" i="19"/>
  <c r="Y91" i="19" s="1"/>
  <c r="N91" i="19"/>
  <c r="C91" i="19"/>
  <c r="AD90" i="19"/>
  <c r="V90" i="19"/>
  <c r="N90" i="19"/>
  <c r="C90" i="19"/>
  <c r="AD89" i="19"/>
  <c r="V89" i="19"/>
  <c r="X89" i="19" s="1"/>
  <c r="N89" i="19"/>
  <c r="C89" i="19"/>
  <c r="D89" i="19" s="1"/>
  <c r="AD88" i="19"/>
  <c r="AG88" i="19" s="1"/>
  <c r="V88" i="19"/>
  <c r="N88" i="19"/>
  <c r="C88" i="19"/>
  <c r="D88" i="19" s="1"/>
  <c r="AD87" i="19"/>
  <c r="V87" i="19"/>
  <c r="Y87" i="19" s="1"/>
  <c r="N87" i="19"/>
  <c r="C87" i="19"/>
  <c r="D87" i="19" s="1"/>
  <c r="AD86" i="19"/>
  <c r="V86" i="19"/>
  <c r="N86" i="19"/>
  <c r="P86" i="19" s="1"/>
  <c r="C86" i="19"/>
  <c r="AD85" i="19"/>
  <c r="V85" i="19"/>
  <c r="N85" i="19"/>
  <c r="C85" i="19"/>
  <c r="D85" i="19" s="1"/>
  <c r="AD84" i="19"/>
  <c r="V84" i="19"/>
  <c r="N84" i="19"/>
  <c r="C84" i="19"/>
  <c r="D84" i="19" s="1"/>
  <c r="AD83" i="19"/>
  <c r="V83" i="19"/>
  <c r="N83" i="19"/>
  <c r="C83" i="19"/>
  <c r="F83" i="19" s="1"/>
  <c r="AD82" i="19"/>
  <c r="V82" i="19"/>
  <c r="N82" i="19"/>
  <c r="C82" i="19"/>
  <c r="D82" i="19" s="1"/>
  <c r="AD81" i="19"/>
  <c r="V81" i="19"/>
  <c r="N81" i="19"/>
  <c r="P81" i="19" s="1"/>
  <c r="C81" i="19"/>
  <c r="D81" i="19" s="1"/>
  <c r="AD80" i="19"/>
  <c r="V80" i="19"/>
  <c r="N80" i="19"/>
  <c r="C80" i="19"/>
  <c r="D80" i="19" s="1"/>
  <c r="AD79" i="19"/>
  <c r="V79" i="19"/>
  <c r="Y79" i="19" s="1"/>
  <c r="N79" i="19"/>
  <c r="C79" i="19"/>
  <c r="D79" i="19" s="1"/>
  <c r="AD78" i="19"/>
  <c r="V78" i="19"/>
  <c r="N78" i="19"/>
  <c r="C78" i="19"/>
  <c r="E78" i="19" s="1"/>
  <c r="AD77" i="19"/>
  <c r="V77" i="19"/>
  <c r="X77" i="19" s="1"/>
  <c r="N77" i="19"/>
  <c r="P77" i="19" s="1"/>
  <c r="C77" i="19"/>
  <c r="D77" i="19" s="1"/>
  <c r="AD76" i="19"/>
  <c r="V76" i="19"/>
  <c r="N76" i="19"/>
  <c r="C76" i="19"/>
  <c r="D76" i="19" s="1"/>
  <c r="AD75" i="19"/>
  <c r="V75" i="19"/>
  <c r="Y75" i="19" s="1"/>
  <c r="N75" i="19"/>
  <c r="C75" i="19"/>
  <c r="F75" i="19" s="1"/>
  <c r="AD74" i="19"/>
  <c r="V74" i="19"/>
  <c r="N74" i="19"/>
  <c r="C74" i="19"/>
  <c r="D74" i="19" s="1"/>
  <c r="AD73" i="19"/>
  <c r="V73" i="19"/>
  <c r="X73" i="19" s="1"/>
  <c r="N73" i="19"/>
  <c r="C73" i="19"/>
  <c r="D73" i="19" s="1"/>
  <c r="AD72" i="19"/>
  <c r="V72" i="19"/>
  <c r="N72" i="19"/>
  <c r="C72" i="19"/>
  <c r="D72" i="19" s="1"/>
  <c r="AD71" i="19"/>
  <c r="V71" i="19"/>
  <c r="Y71" i="19" s="1"/>
  <c r="N71" i="19"/>
  <c r="C71" i="19"/>
  <c r="D71" i="19" s="1"/>
  <c r="AD70" i="19"/>
  <c r="V70" i="19"/>
  <c r="N70" i="19"/>
  <c r="C70" i="19"/>
  <c r="E70" i="19" s="1"/>
  <c r="AD69" i="19"/>
  <c r="V69" i="19"/>
  <c r="N69" i="19"/>
  <c r="C69" i="19"/>
  <c r="D69" i="19" s="1"/>
  <c r="AD68" i="19"/>
  <c r="V68" i="19"/>
  <c r="N68" i="19"/>
  <c r="C68" i="19"/>
  <c r="D68" i="19" s="1"/>
  <c r="AD67" i="19"/>
  <c r="V67" i="19"/>
  <c r="N67" i="19"/>
  <c r="C67" i="19"/>
  <c r="F67" i="19" s="1"/>
  <c r="AD66" i="19"/>
  <c r="V66" i="19"/>
  <c r="N66" i="19"/>
  <c r="C66" i="19"/>
  <c r="D66" i="19" s="1"/>
  <c r="AD65" i="19"/>
  <c r="V65" i="19"/>
  <c r="N65" i="19"/>
  <c r="P65" i="19" s="1"/>
  <c r="C65" i="19"/>
  <c r="D65" i="19" s="1"/>
  <c r="AD64" i="19"/>
  <c r="V64" i="19"/>
  <c r="N64" i="19"/>
  <c r="C64" i="19"/>
  <c r="D64" i="19" s="1"/>
  <c r="AD63" i="19"/>
  <c r="V63" i="19"/>
  <c r="Y63" i="19" s="1"/>
  <c r="N63" i="19"/>
  <c r="C63" i="19"/>
  <c r="D63" i="19" s="1"/>
  <c r="AD62" i="19"/>
  <c r="V62" i="19"/>
  <c r="N62" i="19"/>
  <c r="C62" i="19"/>
  <c r="E62" i="19" s="1"/>
  <c r="AD61" i="19"/>
  <c r="V61" i="19"/>
  <c r="X61" i="19" s="1"/>
  <c r="N61" i="19"/>
  <c r="P61" i="19" s="1"/>
  <c r="C61" i="19"/>
  <c r="D61" i="19" s="1"/>
  <c r="AD60" i="19"/>
  <c r="V60" i="19"/>
  <c r="N60" i="19"/>
  <c r="C60" i="19"/>
  <c r="D60" i="19" s="1"/>
  <c r="AD59" i="19"/>
  <c r="V59" i="19"/>
  <c r="Y59" i="19" s="1"/>
  <c r="N59" i="19"/>
  <c r="C59" i="19"/>
  <c r="F59" i="19" s="1"/>
  <c r="AD58" i="19"/>
  <c r="V58" i="19"/>
  <c r="N58" i="19"/>
  <c r="C58" i="19"/>
  <c r="D58" i="19" s="1"/>
  <c r="AD57" i="19"/>
  <c r="V57" i="19"/>
  <c r="X57" i="19" s="1"/>
  <c r="N57" i="19"/>
  <c r="Q57" i="19" s="1"/>
  <c r="C57" i="19"/>
  <c r="D57" i="19" s="1"/>
  <c r="AD56" i="19"/>
  <c r="V56" i="19"/>
  <c r="N56" i="19"/>
  <c r="C56" i="19"/>
  <c r="D56" i="19" s="1"/>
  <c r="AD55" i="19"/>
  <c r="V55" i="19"/>
  <c r="Y55" i="19" s="1"/>
  <c r="N55" i="19"/>
  <c r="C55" i="19"/>
  <c r="D55" i="19" s="1"/>
  <c r="AD54" i="19"/>
  <c r="V54" i="19"/>
  <c r="N54" i="19"/>
  <c r="C54" i="19"/>
  <c r="E54" i="19" s="1"/>
  <c r="AD53" i="19"/>
  <c r="V53" i="19"/>
  <c r="N53" i="19"/>
  <c r="C53" i="19"/>
  <c r="D53" i="19" s="1"/>
  <c r="AD52" i="19"/>
  <c r="V52" i="19"/>
  <c r="N52" i="19"/>
  <c r="C52" i="19"/>
  <c r="D52" i="19" s="1"/>
  <c r="AD51" i="19"/>
  <c r="V51" i="19"/>
  <c r="N51" i="19"/>
  <c r="C51" i="19"/>
  <c r="F51" i="19" s="1"/>
  <c r="AD50" i="19"/>
  <c r="V50" i="19"/>
  <c r="N50" i="19"/>
  <c r="C50" i="19"/>
  <c r="D50" i="19" s="1"/>
  <c r="AD49" i="19"/>
  <c r="V49" i="19"/>
  <c r="N49" i="19"/>
  <c r="P49" i="19" s="1"/>
  <c r="C49" i="19"/>
  <c r="D49" i="19" s="1"/>
  <c r="AD48" i="19"/>
  <c r="V48" i="19"/>
  <c r="N48" i="19"/>
  <c r="C48" i="19"/>
  <c r="D48" i="19" s="1"/>
  <c r="AD47" i="19"/>
  <c r="V47" i="19"/>
  <c r="Y47" i="19" s="1"/>
  <c r="N47" i="19"/>
  <c r="C47" i="19"/>
  <c r="AD46" i="19"/>
  <c r="V46" i="19"/>
  <c r="N46" i="19"/>
  <c r="C46" i="19"/>
  <c r="AD45" i="19"/>
  <c r="V45" i="19"/>
  <c r="X45" i="19" s="1"/>
  <c r="N45" i="19"/>
  <c r="P45" i="19" s="1"/>
  <c r="C45" i="19"/>
  <c r="AD44" i="19"/>
  <c r="V44" i="19"/>
  <c r="N44" i="19"/>
  <c r="C44" i="19"/>
  <c r="AD43" i="19"/>
  <c r="V43" i="19"/>
  <c r="Y43" i="19" s="1"/>
  <c r="N43" i="19"/>
  <c r="C43" i="19"/>
  <c r="AD42" i="19"/>
  <c r="V42" i="19"/>
  <c r="N42" i="19"/>
  <c r="C42" i="19"/>
  <c r="AD41" i="19"/>
  <c r="V41" i="19"/>
  <c r="X41" i="19" s="1"/>
  <c r="N41" i="19"/>
  <c r="C41" i="19"/>
  <c r="AD40" i="19"/>
  <c r="V40" i="19"/>
  <c r="N40" i="19"/>
  <c r="C40" i="19"/>
  <c r="AD39" i="19"/>
  <c r="V39" i="19"/>
  <c r="Y39" i="19" s="1"/>
  <c r="N39" i="19"/>
  <c r="C39" i="19"/>
  <c r="D39" i="19" s="1"/>
  <c r="AD38" i="19"/>
  <c r="V38" i="19"/>
  <c r="N38" i="19"/>
  <c r="C38" i="19"/>
  <c r="E38" i="19" s="1"/>
  <c r="AD37" i="19"/>
  <c r="V37" i="19"/>
  <c r="N37" i="19"/>
  <c r="C37" i="19"/>
  <c r="D37" i="19" s="1"/>
  <c r="AD36" i="19"/>
  <c r="V36" i="19"/>
  <c r="N36" i="19"/>
  <c r="C36" i="19"/>
  <c r="D36" i="19" s="1"/>
  <c r="AD35" i="19"/>
  <c r="V35" i="19"/>
  <c r="N35" i="19"/>
  <c r="C35" i="19"/>
  <c r="F35" i="19" s="1"/>
  <c r="AD34" i="19"/>
  <c r="V34" i="19"/>
  <c r="N34" i="19"/>
  <c r="C34" i="19"/>
  <c r="D34" i="19" s="1"/>
  <c r="AD33" i="19"/>
  <c r="V33" i="19"/>
  <c r="N33" i="19"/>
  <c r="P33" i="19" s="1"/>
  <c r="C33" i="19"/>
  <c r="D33" i="19" s="1"/>
  <c r="AD32" i="19"/>
  <c r="V32" i="19"/>
  <c r="N32" i="19"/>
  <c r="C32" i="19"/>
  <c r="D32" i="19" s="1"/>
  <c r="AD31" i="19"/>
  <c r="V31" i="19"/>
  <c r="N31" i="19"/>
  <c r="C31" i="19"/>
  <c r="D31" i="19" s="1"/>
  <c r="AD30" i="19"/>
  <c r="V30" i="19"/>
  <c r="N30" i="19"/>
  <c r="C30" i="19"/>
  <c r="E30" i="19" s="1"/>
  <c r="AD29" i="19"/>
  <c r="V29" i="19"/>
  <c r="N29" i="19"/>
  <c r="P29" i="19" s="1"/>
  <c r="C29" i="19"/>
  <c r="D29" i="19" s="1"/>
  <c r="AD28" i="19"/>
  <c r="V28" i="19"/>
  <c r="N28" i="19"/>
  <c r="C28" i="19"/>
  <c r="D28" i="19" s="1"/>
  <c r="AD27" i="19"/>
  <c r="V27" i="19"/>
  <c r="N27" i="19"/>
  <c r="C27" i="19"/>
  <c r="F27" i="19" s="1"/>
  <c r="AD26" i="19"/>
  <c r="V26" i="19"/>
  <c r="X26" i="19" s="1"/>
  <c r="N26" i="19"/>
  <c r="C26" i="19"/>
  <c r="D26" i="19" s="1"/>
  <c r="AD25" i="19"/>
  <c r="V25" i="19"/>
  <c r="N25" i="19"/>
  <c r="C25" i="19"/>
  <c r="D25" i="19" s="1"/>
  <c r="AD24" i="19"/>
  <c r="V24" i="19"/>
  <c r="N24" i="19"/>
  <c r="C24" i="19"/>
  <c r="D24" i="19" s="1"/>
  <c r="AD23" i="19"/>
  <c r="V23" i="19"/>
  <c r="N23" i="19"/>
  <c r="C23" i="19"/>
  <c r="D23" i="19" s="1"/>
  <c r="AD22" i="19"/>
  <c r="V22" i="19"/>
  <c r="N22" i="19"/>
  <c r="C22" i="19"/>
  <c r="E22" i="19" s="1"/>
  <c r="AD21" i="19"/>
  <c r="V21" i="19"/>
  <c r="N21" i="19"/>
  <c r="C21" i="19"/>
  <c r="AD20" i="19"/>
  <c r="V20" i="19"/>
  <c r="N20" i="19"/>
  <c r="C20" i="19"/>
  <c r="AD19" i="19"/>
  <c r="V19" i="19"/>
  <c r="N19" i="19"/>
  <c r="C19" i="19"/>
  <c r="AD18" i="19"/>
  <c r="V18" i="19"/>
  <c r="N18" i="19"/>
  <c r="C18" i="19"/>
  <c r="AD17" i="19"/>
  <c r="V17" i="19"/>
  <c r="N17" i="19"/>
  <c r="P17" i="19" s="1"/>
  <c r="C17" i="19"/>
  <c r="AD16" i="19"/>
  <c r="V16" i="19"/>
  <c r="N16" i="19"/>
  <c r="C16" i="19"/>
  <c r="D16" i="19" s="1"/>
  <c r="AD15" i="19"/>
  <c r="V15" i="19"/>
  <c r="N15" i="19"/>
  <c r="C15" i="19"/>
  <c r="D15" i="19" s="1"/>
  <c r="AD14" i="19"/>
  <c r="V14" i="19"/>
  <c r="N14" i="19"/>
  <c r="C14" i="19"/>
  <c r="E14" i="19" s="1"/>
  <c r="AD13" i="19"/>
  <c r="V13" i="19"/>
  <c r="N13" i="19"/>
  <c r="P13" i="19" s="1"/>
  <c r="C13" i="19"/>
  <c r="D13" i="19" s="1"/>
  <c r="AD12" i="19"/>
  <c r="V12" i="19"/>
  <c r="N12" i="19"/>
  <c r="C12" i="19"/>
  <c r="D12" i="19" s="1"/>
  <c r="AD11" i="19"/>
  <c r="V11" i="19"/>
  <c r="N11" i="19"/>
  <c r="C11" i="19"/>
  <c r="AD10" i="19"/>
  <c r="V10" i="19"/>
  <c r="N10" i="19"/>
  <c r="C10" i="19"/>
  <c r="AD9" i="19"/>
  <c r="V9" i="19"/>
  <c r="N9" i="19"/>
  <c r="C9" i="19"/>
  <c r="AD8" i="19"/>
  <c r="V8" i="19"/>
  <c r="N8" i="19"/>
  <c r="C8" i="19"/>
  <c r="AD7" i="19"/>
  <c r="V7" i="19"/>
  <c r="N7" i="19"/>
  <c r="C7" i="19"/>
  <c r="AD6" i="19"/>
  <c r="V6" i="19"/>
  <c r="N6" i="19"/>
  <c r="C6" i="19"/>
  <c r="AD5" i="19"/>
  <c r="V5" i="19"/>
  <c r="N5" i="19"/>
  <c r="C5" i="19"/>
  <c r="AD4" i="19"/>
  <c r="V4" i="19"/>
  <c r="N4" i="19"/>
  <c r="C4" i="19"/>
  <c r="AD3" i="19"/>
  <c r="Q3" i="19"/>
  <c r="C3" i="19"/>
  <c r="AJ9" i="20" l="1"/>
  <c r="AK9" i="20"/>
  <c r="AH10" i="20"/>
  <c r="F11" i="19"/>
  <c r="J3" i="19"/>
  <c r="J4" i="19" s="1"/>
  <c r="K3" i="19"/>
  <c r="K4" i="19" s="1"/>
  <c r="K5" i="19" s="1"/>
  <c r="K6" i="19" s="1"/>
  <c r="K7" i="19" s="1"/>
  <c r="K8" i="19" s="1"/>
  <c r="K9" i="19" s="1"/>
  <c r="K10" i="19" s="1"/>
  <c r="K11" i="19" s="1"/>
  <c r="K12" i="19" s="1"/>
  <c r="K13" i="19" s="1"/>
  <c r="E6" i="19"/>
  <c r="D8" i="19"/>
  <c r="D10" i="19"/>
  <c r="D18" i="19"/>
  <c r="D20" i="19"/>
  <c r="D40" i="19"/>
  <c r="D42" i="19"/>
  <c r="D44" i="19"/>
  <c r="E46" i="19"/>
  <c r="E86" i="19"/>
  <c r="D86" i="19"/>
  <c r="D90" i="19"/>
  <c r="E94" i="19"/>
  <c r="D94" i="19"/>
  <c r="D7" i="19"/>
  <c r="D9" i="19"/>
  <c r="D17" i="19"/>
  <c r="F19" i="19"/>
  <c r="D21" i="19"/>
  <c r="D41" i="19"/>
  <c r="F43" i="19"/>
  <c r="D45" i="19"/>
  <c r="D47" i="19"/>
  <c r="F91" i="19"/>
  <c r="D91" i="19"/>
  <c r="D4" i="19"/>
  <c r="D5" i="19"/>
  <c r="D3" i="19"/>
  <c r="H3" i="19"/>
  <c r="I3" i="19"/>
  <c r="H4" i="19" s="1"/>
  <c r="Z3" i="19"/>
  <c r="Z4" i="19" s="1"/>
  <c r="Z5" i="19" s="1"/>
  <c r="Z6" i="19" s="1"/>
  <c r="Z7" i="19" s="1"/>
  <c r="Z8" i="19" s="1"/>
  <c r="Z9" i="19" s="1"/>
  <c r="Z10" i="19" s="1"/>
  <c r="Z11" i="19" s="1"/>
  <c r="Z12" i="19" s="1"/>
  <c r="Z13" i="19" s="1"/>
  <c r="Z14" i="19" s="1"/>
  <c r="Z15" i="19" s="1"/>
  <c r="Z16" i="19" s="1"/>
  <c r="Z17" i="19" s="1"/>
  <c r="Z18" i="19" s="1"/>
  <c r="Z19" i="19" s="1"/>
  <c r="Z20" i="19" s="1"/>
  <c r="Z21" i="19" s="1"/>
  <c r="Z22" i="19" s="1"/>
  <c r="Z23" i="19" s="1"/>
  <c r="Z24" i="19" s="1"/>
  <c r="Z25" i="19" s="1"/>
  <c r="Z26" i="19" s="1"/>
  <c r="Z27" i="19" s="1"/>
  <c r="Z28" i="19" s="1"/>
  <c r="Z29" i="19" s="1"/>
  <c r="Z30" i="19" s="1"/>
  <c r="Z31" i="19" s="1"/>
  <c r="Z32" i="19" s="1"/>
  <c r="Z33" i="19" s="1"/>
  <c r="Z34" i="19" s="1"/>
  <c r="Z35" i="19" s="1"/>
  <c r="Z36" i="19" s="1"/>
  <c r="Z37" i="19" s="1"/>
  <c r="Z38" i="19" s="1"/>
  <c r="Z39" i="19" s="1"/>
  <c r="Z40" i="19" s="1"/>
  <c r="Z41" i="19" s="1"/>
  <c r="Z42" i="19" s="1"/>
  <c r="Z43" i="19" s="1"/>
  <c r="Z44" i="19" s="1"/>
  <c r="Z45" i="19" s="1"/>
  <c r="Z46" i="19" s="1"/>
  <c r="Z47" i="19" s="1"/>
  <c r="Z48" i="19" s="1"/>
  <c r="Z49" i="19" s="1"/>
  <c r="Z50" i="19" s="1"/>
  <c r="Z51" i="19" s="1"/>
  <c r="Z52" i="19" s="1"/>
  <c r="Z53" i="19" s="1"/>
  <c r="Z54" i="19" s="1"/>
  <c r="Z55" i="19" s="1"/>
  <c r="Z56" i="19" s="1"/>
  <c r="Z57" i="19" s="1"/>
  <c r="Z58" i="19" s="1"/>
  <c r="Z59" i="19" s="1"/>
  <c r="Z60" i="19" s="1"/>
  <c r="Z61" i="19" s="1"/>
  <c r="Z62" i="19" s="1"/>
  <c r="Z63" i="19" s="1"/>
  <c r="Z64" i="19" s="1"/>
  <c r="Z65" i="19" s="1"/>
  <c r="Z66" i="19" s="1"/>
  <c r="Z67" i="19" s="1"/>
  <c r="Z68" i="19" s="1"/>
  <c r="Z69" i="19" s="1"/>
  <c r="Z70" i="19" s="1"/>
  <c r="Z71" i="19" s="1"/>
  <c r="Z72" i="19" s="1"/>
  <c r="Z73" i="19" s="1"/>
  <c r="Z74" i="19" s="1"/>
  <c r="Z75" i="19" s="1"/>
  <c r="Z76" i="19" s="1"/>
  <c r="Z77" i="19" s="1"/>
  <c r="Z78" i="19" s="1"/>
  <c r="Z79" i="19" s="1"/>
  <c r="Z80" i="19" s="1"/>
  <c r="Z81" i="19" s="1"/>
  <c r="Z82" i="19" s="1"/>
  <c r="Z83" i="19" s="1"/>
  <c r="Z84" i="19" s="1"/>
  <c r="Z85" i="19" s="1"/>
  <c r="Z86" i="19" s="1"/>
  <c r="Z87" i="19" s="1"/>
  <c r="Z88" i="19" s="1"/>
  <c r="Z89" i="19" s="1"/>
  <c r="Z90" i="19" s="1"/>
  <c r="Z91" i="19" s="1"/>
  <c r="Z92" i="19" s="1"/>
  <c r="Z93" i="19" s="1"/>
  <c r="Z94" i="19" s="1"/>
  <c r="Z95" i="19" s="1"/>
  <c r="Z96" i="19" s="1"/>
  <c r="Z97" i="19" s="1"/>
  <c r="Z98" i="19" s="1"/>
  <c r="Z99" i="19" s="1"/>
  <c r="Z100" i="19" s="1"/>
  <c r="Z101" i="19" s="1"/>
  <c r="Z102" i="19" s="1"/>
  <c r="Z103" i="19" s="1"/>
  <c r="Z104" i="19" s="1"/>
  <c r="Z105" i="19" s="1"/>
  <c r="Z106" i="19" s="1"/>
  <c r="Z107" i="19" s="1"/>
  <c r="Z108" i="19" s="1"/>
  <c r="Z109" i="19" s="1"/>
  <c r="Z110" i="19" s="1"/>
  <c r="Z111" i="19" s="1"/>
  <c r="Z112" i="19" s="1"/>
  <c r="Z113" i="19" s="1"/>
  <c r="Z114" i="19" s="1"/>
  <c r="Z115" i="19" s="1"/>
  <c r="Z116" i="19" s="1"/>
  <c r="Z117" i="19" s="1"/>
  <c r="Z118" i="19" s="1"/>
  <c r="Z119" i="19" s="1"/>
  <c r="Z120" i="19" s="1"/>
  <c r="Z121" i="19" s="1"/>
  <c r="Z122" i="19" s="1"/>
  <c r="Z123" i="19" s="1"/>
  <c r="Z124" i="19" s="1"/>
  <c r="Z125" i="19" s="1"/>
  <c r="Z126" i="19" s="1"/>
  <c r="Z127" i="19" s="1"/>
  <c r="Z128" i="19" s="1"/>
  <c r="Z129" i="19" s="1"/>
  <c r="Z130" i="19" s="1"/>
  <c r="Z131" i="19" s="1"/>
  <c r="Z132" i="19" s="1"/>
  <c r="Z133" i="19" s="1"/>
  <c r="Z134" i="19" s="1"/>
  <c r="Z135" i="19" s="1"/>
  <c r="Z136" i="19" s="1"/>
  <c r="Z137" i="19" s="1"/>
  <c r="Z138" i="19" s="1"/>
  <c r="Z139" i="19" s="1"/>
  <c r="Z140" i="19" s="1"/>
  <c r="Z141" i="19" s="1"/>
  <c r="Z142" i="19" s="1"/>
  <c r="Z143" i="19" s="1"/>
  <c r="Z144" i="19" s="1"/>
  <c r="Z145" i="19" s="1"/>
  <c r="Z146" i="19" s="1"/>
  <c r="Z147" i="19" s="1"/>
  <c r="Z148" i="19" s="1"/>
  <c r="Z149" i="19" s="1"/>
  <c r="Z150" i="19" s="1"/>
  <c r="Z151" i="19" s="1"/>
  <c r="Z152" i="19" s="1"/>
  <c r="Z153" i="19" s="1"/>
  <c r="Z154" i="19" s="1"/>
  <c r="Z155" i="19" s="1"/>
  <c r="Z156" i="19" s="1"/>
  <c r="Z157" i="19" s="1"/>
  <c r="Z158" i="19" s="1"/>
  <c r="Z159" i="19" s="1"/>
  <c r="Z160" i="19" s="1"/>
  <c r="Z161" i="19" s="1"/>
  <c r="Z162" i="19" s="1"/>
  <c r="Z163" i="19" s="1"/>
  <c r="Z164" i="19" s="1"/>
  <c r="Z165" i="19" s="1"/>
  <c r="Z166" i="19" s="1"/>
  <c r="Z167" i="19" s="1"/>
  <c r="Z168" i="19" s="1"/>
  <c r="Z169" i="19" s="1"/>
  <c r="Z170" i="19" s="1"/>
  <c r="Z171" i="19" s="1"/>
  <c r="Z172" i="19" s="1"/>
  <c r="Z173" i="19" s="1"/>
  <c r="Z174" i="19" s="1"/>
  <c r="Z175" i="19" s="1"/>
  <c r="Z176" i="19" s="1"/>
  <c r="Z177" i="19" s="1"/>
  <c r="Z178" i="19" s="1"/>
  <c r="Z179" i="19" s="1"/>
  <c r="Z180" i="19" s="1"/>
  <c r="Z181" i="19" s="1"/>
  <c r="Z182" i="19" s="1"/>
  <c r="Z183" i="19" s="1"/>
  <c r="Z184" i="19" s="1"/>
  <c r="Z185" i="19" s="1"/>
  <c r="Z186" i="19" s="1"/>
  <c r="Z187" i="19" s="1"/>
  <c r="Z188" i="19" s="1"/>
  <c r="Z189" i="19" s="1"/>
  <c r="Z190" i="19" s="1"/>
  <c r="Z191" i="19" s="1"/>
  <c r="Z192" i="19" s="1"/>
  <c r="Z193" i="19" s="1"/>
  <c r="Z194" i="19" s="1"/>
  <c r="Z195" i="19" s="1"/>
  <c r="Z196" i="19" s="1"/>
  <c r="Z197" i="19" s="1"/>
  <c r="Z198" i="19" s="1"/>
  <c r="Z199" i="19" s="1"/>
  <c r="Z200" i="19" s="1"/>
  <c r="Z201" i="19" s="1"/>
  <c r="Z202" i="19" s="1"/>
  <c r="Q151" i="19"/>
  <c r="Q195" i="19"/>
  <c r="Q199" i="19"/>
  <c r="Q187" i="19"/>
  <c r="Q183" i="19"/>
  <c r="Q167" i="19"/>
  <c r="Q197" i="19"/>
  <c r="Q181" i="19"/>
  <c r="Q165" i="19"/>
  <c r="Q149" i="19"/>
  <c r="Q179" i="19"/>
  <c r="Q163" i="19"/>
  <c r="Q147" i="19"/>
  <c r="Q193" i="19"/>
  <c r="Q177" i="19"/>
  <c r="Q161" i="19"/>
  <c r="Q145" i="19"/>
  <c r="Q191" i="19"/>
  <c r="Q175" i="19"/>
  <c r="Q159" i="19"/>
  <c r="Q143" i="19"/>
  <c r="Q189" i="19"/>
  <c r="Q173" i="19"/>
  <c r="Q157" i="19"/>
  <c r="Q139" i="19"/>
  <c r="Q171" i="19"/>
  <c r="Q155" i="19"/>
  <c r="Q201" i="19"/>
  <c r="Q185" i="19"/>
  <c r="Q169" i="19"/>
  <c r="Q153" i="19"/>
  <c r="Y3" i="19"/>
  <c r="AE9" i="19"/>
  <c r="AF9" i="19"/>
  <c r="AG9" i="19"/>
  <c r="O4" i="19"/>
  <c r="P4" i="19"/>
  <c r="Q4" i="19"/>
  <c r="O6" i="19"/>
  <c r="P6" i="19"/>
  <c r="O8" i="19"/>
  <c r="P8" i="19"/>
  <c r="Q8" i="19"/>
  <c r="O10" i="19"/>
  <c r="P10" i="19"/>
  <c r="O12" i="19"/>
  <c r="P12" i="19"/>
  <c r="Q12" i="19"/>
  <c r="O14" i="19"/>
  <c r="P14" i="19"/>
  <c r="O16" i="19"/>
  <c r="P16" i="19"/>
  <c r="Q16" i="19"/>
  <c r="O18" i="19"/>
  <c r="P18" i="19"/>
  <c r="O20" i="19"/>
  <c r="P20" i="19"/>
  <c r="Q20" i="19"/>
  <c r="O22" i="19"/>
  <c r="P22" i="19"/>
  <c r="O24" i="19"/>
  <c r="P24" i="19"/>
  <c r="Q24" i="19"/>
  <c r="O26" i="19"/>
  <c r="P26" i="19"/>
  <c r="O28" i="19"/>
  <c r="P28" i="19"/>
  <c r="Q28" i="19"/>
  <c r="O30" i="19"/>
  <c r="P30" i="19"/>
  <c r="O32" i="19"/>
  <c r="P32" i="19"/>
  <c r="Q32" i="19"/>
  <c r="O34" i="19"/>
  <c r="P34" i="19"/>
  <c r="O36" i="19"/>
  <c r="P36" i="19"/>
  <c r="Q36" i="19"/>
  <c r="O38" i="19"/>
  <c r="P38" i="19"/>
  <c r="O40" i="19"/>
  <c r="P40" i="19"/>
  <c r="Q40" i="19"/>
  <c r="O42" i="19"/>
  <c r="P42" i="19"/>
  <c r="O44" i="19"/>
  <c r="P44" i="19"/>
  <c r="Q44" i="19"/>
  <c r="O46" i="19"/>
  <c r="P46" i="19"/>
  <c r="O48" i="19"/>
  <c r="P48" i="19"/>
  <c r="Q48" i="19"/>
  <c r="O50" i="19"/>
  <c r="P50" i="19"/>
  <c r="O52" i="19"/>
  <c r="P52" i="19"/>
  <c r="Q52" i="19"/>
  <c r="O54" i="19"/>
  <c r="P54" i="19"/>
  <c r="O56" i="19"/>
  <c r="P56" i="19"/>
  <c r="Q56" i="19"/>
  <c r="O58" i="19"/>
  <c r="P58" i="19"/>
  <c r="O60" i="19"/>
  <c r="P60" i="19"/>
  <c r="Q60" i="19"/>
  <c r="O62" i="19"/>
  <c r="P62" i="19"/>
  <c r="O64" i="19"/>
  <c r="P64" i="19"/>
  <c r="Q64" i="19"/>
  <c r="O66" i="19"/>
  <c r="P66" i="19"/>
  <c r="O68" i="19"/>
  <c r="P68" i="19"/>
  <c r="Q68" i="19"/>
  <c r="O70" i="19"/>
  <c r="P70" i="19"/>
  <c r="O72" i="19"/>
  <c r="P72" i="19"/>
  <c r="Q72" i="19"/>
  <c r="O74" i="19"/>
  <c r="P74" i="19"/>
  <c r="O76" i="19"/>
  <c r="P76" i="19"/>
  <c r="Q76" i="19"/>
  <c r="O78" i="19"/>
  <c r="P78" i="19"/>
  <c r="O80" i="19"/>
  <c r="P80" i="19"/>
  <c r="Q80" i="19"/>
  <c r="O82" i="19"/>
  <c r="P82" i="19"/>
  <c r="O84" i="19"/>
  <c r="P84" i="19"/>
  <c r="Q84" i="19"/>
  <c r="O88" i="19"/>
  <c r="P88" i="19"/>
  <c r="Q88" i="19"/>
  <c r="O90" i="19"/>
  <c r="P90" i="19"/>
  <c r="O92" i="19"/>
  <c r="P92" i="19"/>
  <c r="Q92" i="19"/>
  <c r="O94" i="19"/>
  <c r="P94" i="19"/>
  <c r="O96" i="19"/>
  <c r="P96" i="19"/>
  <c r="Q96" i="19"/>
  <c r="O98" i="19"/>
  <c r="P98" i="19"/>
  <c r="O100" i="19"/>
  <c r="P100" i="19"/>
  <c r="Q100" i="19"/>
  <c r="O102" i="19"/>
  <c r="P102" i="19"/>
  <c r="O104" i="19"/>
  <c r="P104" i="19"/>
  <c r="Q104" i="19"/>
  <c r="O106" i="19"/>
  <c r="P106" i="19"/>
  <c r="O108" i="19"/>
  <c r="P108" i="19"/>
  <c r="Q108" i="19"/>
  <c r="O110" i="19"/>
  <c r="P110" i="19"/>
  <c r="O112" i="19"/>
  <c r="P112" i="19"/>
  <c r="Q112" i="19"/>
  <c r="O114" i="19"/>
  <c r="P114" i="19"/>
  <c r="O116" i="19"/>
  <c r="P116" i="19"/>
  <c r="Q116" i="19"/>
  <c r="O118" i="19"/>
  <c r="P118" i="19"/>
  <c r="O120" i="19"/>
  <c r="P120" i="19"/>
  <c r="Q120" i="19"/>
  <c r="O122" i="19"/>
  <c r="P122" i="19"/>
  <c r="Q200" i="19"/>
  <c r="Q196" i="19"/>
  <c r="Q192" i="19"/>
  <c r="Q188" i="19"/>
  <c r="Q184" i="19"/>
  <c r="Q180" i="19"/>
  <c r="Q176" i="19"/>
  <c r="Q172" i="19"/>
  <c r="Q168" i="19"/>
  <c r="Q164" i="19"/>
  <c r="Q160" i="19"/>
  <c r="Q156" i="19"/>
  <c r="Q152" i="19"/>
  <c r="Q148" i="19"/>
  <c r="Q144" i="19"/>
  <c r="Q140" i="19"/>
  <c r="Q136" i="19"/>
  <c r="Q132" i="19"/>
  <c r="Q128" i="19"/>
  <c r="Q124" i="19"/>
  <c r="Q114" i="19"/>
  <c r="Q98" i="19"/>
  <c r="Q82" i="19"/>
  <c r="Q66" i="19"/>
  <c r="Q50" i="19"/>
  <c r="Q34" i="19"/>
  <c r="Q18" i="19"/>
  <c r="AE7" i="19"/>
  <c r="AF7" i="19"/>
  <c r="AG7" i="19"/>
  <c r="W4" i="19"/>
  <c r="Y4" i="19"/>
  <c r="X4" i="19"/>
  <c r="W6" i="19"/>
  <c r="Y6" i="19"/>
  <c r="X6" i="19"/>
  <c r="W8" i="19"/>
  <c r="Y8" i="19"/>
  <c r="X8" i="19"/>
  <c r="W10" i="19"/>
  <c r="Y10" i="19"/>
  <c r="W12" i="19"/>
  <c r="Y12" i="19"/>
  <c r="X12" i="19"/>
  <c r="W14" i="19"/>
  <c r="Y14" i="19"/>
  <c r="X14" i="19"/>
  <c r="W16" i="19"/>
  <c r="Y16" i="19"/>
  <c r="W18" i="19"/>
  <c r="Y18" i="19"/>
  <c r="X18" i="19"/>
  <c r="W20" i="19"/>
  <c r="Y20" i="19"/>
  <c r="X20" i="19"/>
  <c r="W22" i="19"/>
  <c r="Y22" i="19"/>
  <c r="X22" i="19"/>
  <c r="W24" i="19"/>
  <c r="Y24" i="19"/>
  <c r="X24" i="19"/>
  <c r="W26" i="19"/>
  <c r="Y26" i="19"/>
  <c r="W28" i="19"/>
  <c r="Y28" i="19"/>
  <c r="X28" i="19"/>
  <c r="W30" i="19"/>
  <c r="Y30" i="19"/>
  <c r="X30" i="19"/>
  <c r="W32" i="19"/>
  <c r="Y32" i="19"/>
  <c r="W34" i="19"/>
  <c r="X34" i="19"/>
  <c r="Y34" i="19"/>
  <c r="W36" i="19"/>
  <c r="X36" i="19"/>
  <c r="Y36" i="19"/>
  <c r="W38" i="19"/>
  <c r="X38" i="19"/>
  <c r="Y38" i="19"/>
  <c r="W40" i="19"/>
  <c r="X40" i="19"/>
  <c r="Y40" i="19"/>
  <c r="W42" i="19"/>
  <c r="X42" i="19"/>
  <c r="Y42" i="19"/>
  <c r="W44" i="19"/>
  <c r="X44" i="19"/>
  <c r="Y44" i="19"/>
  <c r="W46" i="19"/>
  <c r="X46" i="19"/>
  <c r="Y46" i="19"/>
  <c r="W48" i="19"/>
  <c r="X48" i="19"/>
  <c r="Y48" i="19"/>
  <c r="W50" i="19"/>
  <c r="X50" i="19"/>
  <c r="Y50" i="19"/>
  <c r="W52" i="19"/>
  <c r="X52" i="19"/>
  <c r="Y52" i="19"/>
  <c r="W54" i="19"/>
  <c r="X54" i="19"/>
  <c r="Y54" i="19"/>
  <c r="W56" i="19"/>
  <c r="X56" i="19"/>
  <c r="Y56" i="19"/>
  <c r="W58" i="19"/>
  <c r="X58" i="19"/>
  <c r="Y58" i="19"/>
  <c r="W60" i="19"/>
  <c r="X60" i="19"/>
  <c r="Y60" i="19"/>
  <c r="W62" i="19"/>
  <c r="X62" i="19"/>
  <c r="Y62" i="19"/>
  <c r="W64" i="19"/>
  <c r="X64" i="19"/>
  <c r="Y64" i="19"/>
  <c r="W66" i="19"/>
  <c r="X66" i="19"/>
  <c r="Y66" i="19"/>
  <c r="W68" i="19"/>
  <c r="X68" i="19"/>
  <c r="Y68" i="19"/>
  <c r="W70" i="19"/>
  <c r="X70" i="19"/>
  <c r="Y70" i="19"/>
  <c r="W72" i="19"/>
  <c r="X72" i="19"/>
  <c r="Y72" i="19"/>
  <c r="W74" i="19"/>
  <c r="X74" i="19"/>
  <c r="Y74" i="19"/>
  <c r="W76" i="19"/>
  <c r="X76" i="19"/>
  <c r="Y76" i="19"/>
  <c r="W78" i="19"/>
  <c r="X78" i="19"/>
  <c r="Y78" i="19"/>
  <c r="W80" i="19"/>
  <c r="X80" i="19"/>
  <c r="Y80" i="19"/>
  <c r="W82" i="19"/>
  <c r="X82" i="19"/>
  <c r="Y82" i="19"/>
  <c r="W84" i="19"/>
  <c r="X84" i="19"/>
  <c r="Y84" i="19"/>
  <c r="W86" i="19"/>
  <c r="X86" i="19"/>
  <c r="Y86" i="19"/>
  <c r="W88" i="19"/>
  <c r="X88" i="19"/>
  <c r="Y88" i="19"/>
  <c r="W90" i="19"/>
  <c r="X90" i="19"/>
  <c r="Y90" i="19"/>
  <c r="W92" i="19"/>
  <c r="X92" i="19"/>
  <c r="Y92" i="19"/>
  <c r="W94" i="19"/>
  <c r="X94" i="19"/>
  <c r="Y94" i="19"/>
  <c r="W96" i="19"/>
  <c r="X96" i="19"/>
  <c r="Y96" i="19"/>
  <c r="W98" i="19"/>
  <c r="X98" i="19"/>
  <c r="Y98" i="19"/>
  <c r="W100" i="19"/>
  <c r="X100" i="19"/>
  <c r="Y100" i="19"/>
  <c r="W102" i="19"/>
  <c r="X102" i="19"/>
  <c r="Y102" i="19"/>
  <c r="W104" i="19"/>
  <c r="X104" i="19"/>
  <c r="Y104" i="19"/>
  <c r="W106" i="19"/>
  <c r="X106" i="19"/>
  <c r="Y106" i="19"/>
  <c r="W108" i="19"/>
  <c r="X108" i="19"/>
  <c r="Y108" i="19"/>
  <c r="W110" i="19"/>
  <c r="X110" i="19"/>
  <c r="Y110" i="19"/>
  <c r="W112" i="19"/>
  <c r="X112" i="19"/>
  <c r="Y112" i="19"/>
  <c r="W114" i="19"/>
  <c r="X114" i="19"/>
  <c r="Y114" i="19"/>
  <c r="W116" i="19"/>
  <c r="X116" i="19"/>
  <c r="Y116" i="19"/>
  <c r="W118" i="19"/>
  <c r="X118" i="19"/>
  <c r="Y118" i="19"/>
  <c r="W120" i="19"/>
  <c r="X120" i="19"/>
  <c r="Y120" i="19"/>
  <c r="W122" i="19"/>
  <c r="X122" i="19"/>
  <c r="Y122" i="19"/>
  <c r="W124" i="19"/>
  <c r="X124" i="19"/>
  <c r="Y124" i="19"/>
  <c r="W126" i="19"/>
  <c r="X126" i="19"/>
  <c r="Y126" i="19"/>
  <c r="W128" i="19"/>
  <c r="X128" i="19"/>
  <c r="Y128" i="19"/>
  <c r="W130" i="19"/>
  <c r="X130" i="19"/>
  <c r="Y130" i="19"/>
  <c r="W132" i="19"/>
  <c r="X132" i="19"/>
  <c r="Y132" i="19"/>
  <c r="W134" i="19"/>
  <c r="X134" i="19"/>
  <c r="Y134" i="19"/>
  <c r="W136" i="19"/>
  <c r="X136" i="19"/>
  <c r="Y136" i="19"/>
  <c r="W138" i="19"/>
  <c r="X138" i="19"/>
  <c r="Y138" i="19"/>
  <c r="W140" i="19"/>
  <c r="X140" i="19"/>
  <c r="Y140" i="19"/>
  <c r="W142" i="19"/>
  <c r="X142" i="19"/>
  <c r="Y142" i="19"/>
  <c r="W144" i="19"/>
  <c r="X144" i="19"/>
  <c r="Y144" i="19"/>
  <c r="W146" i="19"/>
  <c r="X146" i="19"/>
  <c r="Y146" i="19"/>
  <c r="W148" i="19"/>
  <c r="X148" i="19"/>
  <c r="Y148" i="19"/>
  <c r="W150" i="19"/>
  <c r="X150" i="19"/>
  <c r="Y150" i="19"/>
  <c r="W152" i="19"/>
  <c r="X152" i="19"/>
  <c r="Y152" i="19"/>
  <c r="W154" i="19"/>
  <c r="X154" i="19"/>
  <c r="Y154" i="19"/>
  <c r="W156" i="19"/>
  <c r="X156" i="19"/>
  <c r="Y156" i="19"/>
  <c r="W158" i="19"/>
  <c r="X158" i="19"/>
  <c r="Y158" i="19"/>
  <c r="W160" i="19"/>
  <c r="X160" i="19"/>
  <c r="Y160" i="19"/>
  <c r="W162" i="19"/>
  <c r="X162" i="19"/>
  <c r="Y162" i="19"/>
  <c r="W164" i="19"/>
  <c r="X164" i="19"/>
  <c r="Y164" i="19"/>
  <c r="W166" i="19"/>
  <c r="X166" i="19"/>
  <c r="Y166" i="19"/>
  <c r="W168" i="19"/>
  <c r="X168" i="19"/>
  <c r="Y168" i="19"/>
  <c r="W170" i="19"/>
  <c r="X170" i="19"/>
  <c r="Y170" i="19"/>
  <c r="W172" i="19"/>
  <c r="X172" i="19"/>
  <c r="Y172" i="19"/>
  <c r="W174" i="19"/>
  <c r="X174" i="19"/>
  <c r="Y174" i="19"/>
  <c r="W176" i="19"/>
  <c r="X176" i="19"/>
  <c r="Y176" i="19"/>
  <c r="W178" i="19"/>
  <c r="X178" i="19"/>
  <c r="Y178" i="19"/>
  <c r="W180" i="19"/>
  <c r="X180" i="19"/>
  <c r="Y180" i="19"/>
  <c r="W182" i="19"/>
  <c r="X182" i="19"/>
  <c r="Y182" i="19"/>
  <c r="W184" i="19"/>
  <c r="X184" i="19"/>
  <c r="Y184" i="19"/>
  <c r="W186" i="19"/>
  <c r="X186" i="19"/>
  <c r="Y186" i="19"/>
  <c r="W188" i="19"/>
  <c r="X188" i="19"/>
  <c r="Y188" i="19"/>
  <c r="W190" i="19"/>
  <c r="X190" i="19"/>
  <c r="Y190" i="19"/>
  <c r="W192" i="19"/>
  <c r="X192" i="19"/>
  <c r="Y192" i="19"/>
  <c r="W194" i="19"/>
  <c r="X194" i="19"/>
  <c r="Y194" i="19"/>
  <c r="W196" i="19"/>
  <c r="X196" i="19"/>
  <c r="Y196" i="19"/>
  <c r="W198" i="19"/>
  <c r="X198" i="19"/>
  <c r="Y198" i="19"/>
  <c r="W200" i="19"/>
  <c r="X200" i="19"/>
  <c r="Y200" i="19"/>
  <c r="W202" i="19"/>
  <c r="X202" i="19"/>
  <c r="Y202" i="19"/>
  <c r="P200" i="19"/>
  <c r="P196" i="19"/>
  <c r="P192" i="19"/>
  <c r="P188" i="19"/>
  <c r="P184" i="19"/>
  <c r="P180" i="19"/>
  <c r="P176" i="19"/>
  <c r="P172" i="19"/>
  <c r="P168" i="19"/>
  <c r="P164" i="19"/>
  <c r="P160" i="19"/>
  <c r="P156" i="19"/>
  <c r="P152" i="19"/>
  <c r="P148" i="19"/>
  <c r="P144" i="19"/>
  <c r="P140" i="19"/>
  <c r="P136" i="19"/>
  <c r="P132" i="19"/>
  <c r="P128" i="19"/>
  <c r="P124" i="19"/>
  <c r="X16" i="19"/>
  <c r="AF4" i="19"/>
  <c r="AG4" i="19"/>
  <c r="AE6" i="19"/>
  <c r="AF6" i="19"/>
  <c r="AG6" i="19"/>
  <c r="AE8" i="19"/>
  <c r="AF8" i="19"/>
  <c r="AG8" i="19"/>
  <c r="AE10" i="19"/>
  <c r="AF10" i="19"/>
  <c r="AG10" i="19"/>
  <c r="AE12" i="19"/>
  <c r="AF12" i="19"/>
  <c r="AG12" i="19"/>
  <c r="AE14" i="19"/>
  <c r="AF14" i="19"/>
  <c r="AG14" i="19"/>
  <c r="AE16" i="19"/>
  <c r="AF16" i="19"/>
  <c r="AG16" i="19"/>
  <c r="AE18" i="19"/>
  <c r="AF18" i="19"/>
  <c r="AG18" i="19"/>
  <c r="AE20" i="19"/>
  <c r="AF20" i="19"/>
  <c r="AG20" i="19"/>
  <c r="AE22" i="19"/>
  <c r="AF22" i="19"/>
  <c r="AG22" i="19"/>
  <c r="AE24" i="19"/>
  <c r="AF24" i="19"/>
  <c r="AG24" i="19"/>
  <c r="AE26" i="19"/>
  <c r="AF26" i="19"/>
  <c r="AG26" i="19"/>
  <c r="AE28" i="19"/>
  <c r="AF28" i="19"/>
  <c r="AG28" i="19"/>
  <c r="AE30" i="19"/>
  <c r="AF30" i="19"/>
  <c r="AG30" i="19"/>
  <c r="AE32" i="19"/>
  <c r="AF32" i="19"/>
  <c r="AG32" i="19"/>
  <c r="AE34" i="19"/>
  <c r="AF34" i="19"/>
  <c r="AG34" i="19"/>
  <c r="AE36" i="19"/>
  <c r="AF36" i="19"/>
  <c r="AG36" i="19"/>
  <c r="AE38" i="19"/>
  <c r="AF38" i="19"/>
  <c r="AG38" i="19"/>
  <c r="AE40" i="19"/>
  <c r="AF40" i="19"/>
  <c r="AE42" i="19"/>
  <c r="AF42" i="19"/>
  <c r="AG42" i="19"/>
  <c r="AE44" i="19"/>
  <c r="AF44" i="19"/>
  <c r="AG44" i="19"/>
  <c r="AE46" i="19"/>
  <c r="AF46" i="19"/>
  <c r="AG46" i="19"/>
  <c r="AE48" i="19"/>
  <c r="AF48" i="19"/>
  <c r="AG48" i="19"/>
  <c r="AE50" i="19"/>
  <c r="AF50" i="19"/>
  <c r="AE52" i="19"/>
  <c r="AF52" i="19"/>
  <c r="AG52" i="19"/>
  <c r="AE54" i="19"/>
  <c r="AF54" i="19"/>
  <c r="AG54" i="19"/>
  <c r="AE56" i="19"/>
  <c r="AF56" i="19"/>
  <c r="AE58" i="19"/>
  <c r="AF58" i="19"/>
  <c r="AG58" i="19"/>
  <c r="AE60" i="19"/>
  <c r="AF60" i="19"/>
  <c r="AG60" i="19"/>
  <c r="AE62" i="19"/>
  <c r="AF62" i="19"/>
  <c r="AG62" i="19"/>
  <c r="AE64" i="19"/>
  <c r="AF64" i="19"/>
  <c r="AG64" i="19"/>
  <c r="AE66" i="19"/>
  <c r="AF66" i="19"/>
  <c r="AE68" i="19"/>
  <c r="AF68" i="19"/>
  <c r="AG68" i="19"/>
  <c r="AE70" i="19"/>
  <c r="AF70" i="19"/>
  <c r="AG70" i="19"/>
  <c r="AE72" i="19"/>
  <c r="AF72" i="19"/>
  <c r="AE74" i="19"/>
  <c r="AF74" i="19"/>
  <c r="AG74" i="19"/>
  <c r="AE76" i="19"/>
  <c r="AF76" i="19"/>
  <c r="AG76" i="19"/>
  <c r="AE78" i="19"/>
  <c r="AF78" i="19"/>
  <c r="AG78" i="19"/>
  <c r="AE80" i="19"/>
  <c r="AF80" i="19"/>
  <c r="AG80" i="19"/>
  <c r="AE82" i="19"/>
  <c r="AF82" i="19"/>
  <c r="AE84" i="19"/>
  <c r="AF84" i="19"/>
  <c r="AG84" i="19"/>
  <c r="AE86" i="19"/>
  <c r="AF86" i="19"/>
  <c r="AG86" i="19"/>
  <c r="AE88" i="19"/>
  <c r="AF88" i="19"/>
  <c r="AE90" i="19"/>
  <c r="AF90" i="19"/>
  <c r="AG90" i="19"/>
  <c r="AE92" i="19"/>
  <c r="AF92" i="19"/>
  <c r="AG92" i="19"/>
  <c r="AE94" i="19"/>
  <c r="AF94" i="19"/>
  <c r="AG94" i="19"/>
  <c r="AE96" i="19"/>
  <c r="AF96" i="19"/>
  <c r="AG96" i="19"/>
  <c r="AE98" i="19"/>
  <c r="AF98" i="19"/>
  <c r="AE100" i="19"/>
  <c r="AF100" i="19"/>
  <c r="AG100" i="19"/>
  <c r="AE102" i="19"/>
  <c r="AF102" i="19"/>
  <c r="AG102" i="19"/>
  <c r="AE104" i="19"/>
  <c r="AF104" i="19"/>
  <c r="AE106" i="19"/>
  <c r="AF106" i="19"/>
  <c r="AG106" i="19"/>
  <c r="AE108" i="19"/>
  <c r="AF108" i="19"/>
  <c r="AG108" i="19"/>
  <c r="AE110" i="19"/>
  <c r="AF110" i="19"/>
  <c r="AG110" i="19"/>
  <c r="AE112" i="19"/>
  <c r="AF112" i="19"/>
  <c r="AG112" i="19"/>
  <c r="AE114" i="19"/>
  <c r="AF114" i="19"/>
  <c r="AE116" i="19"/>
  <c r="AF116" i="19"/>
  <c r="AG116" i="19"/>
  <c r="AE118" i="19"/>
  <c r="AF118" i="19"/>
  <c r="AG118" i="19"/>
  <c r="AE120" i="19"/>
  <c r="AF120" i="19"/>
  <c r="AE122" i="19"/>
  <c r="AF122" i="19"/>
  <c r="AG122" i="19"/>
  <c r="AE124" i="19"/>
  <c r="AF124" i="19"/>
  <c r="AG124" i="19"/>
  <c r="AE126" i="19"/>
  <c r="AF126" i="19"/>
  <c r="AG126" i="19"/>
  <c r="AE128" i="19"/>
  <c r="AF128" i="19"/>
  <c r="AG128" i="19"/>
  <c r="AE130" i="19"/>
  <c r="AF130" i="19"/>
  <c r="AE132" i="19"/>
  <c r="AF132" i="19"/>
  <c r="AG132" i="19"/>
  <c r="AE134" i="19"/>
  <c r="AF134" i="19"/>
  <c r="AG134" i="19"/>
  <c r="AE136" i="19"/>
  <c r="AF136" i="19"/>
  <c r="AE138" i="19"/>
  <c r="AF138" i="19"/>
  <c r="AG138" i="19"/>
  <c r="AE140" i="19"/>
  <c r="AF140" i="19"/>
  <c r="AG140" i="19"/>
  <c r="AE142" i="19"/>
  <c r="AF142" i="19"/>
  <c r="AG142" i="19"/>
  <c r="AE144" i="19"/>
  <c r="AF144" i="19"/>
  <c r="AG144" i="19"/>
  <c r="AE146" i="19"/>
  <c r="AF146" i="19"/>
  <c r="AE148" i="19"/>
  <c r="AF148" i="19"/>
  <c r="AG148" i="19"/>
  <c r="AE150" i="19"/>
  <c r="AF150" i="19"/>
  <c r="AG150" i="19"/>
  <c r="AE152" i="19"/>
  <c r="AF152" i="19"/>
  <c r="AE154" i="19"/>
  <c r="AF154" i="19"/>
  <c r="AG154" i="19"/>
  <c r="AE156" i="19"/>
  <c r="AF156" i="19"/>
  <c r="AG156" i="19"/>
  <c r="AE158" i="19"/>
  <c r="AF158" i="19"/>
  <c r="AG158" i="19"/>
  <c r="AE160" i="19"/>
  <c r="AF160" i="19"/>
  <c r="AG160" i="19"/>
  <c r="AE162" i="19"/>
  <c r="AF162" i="19"/>
  <c r="AE164" i="19"/>
  <c r="AF164" i="19"/>
  <c r="AG164" i="19"/>
  <c r="AE166" i="19"/>
  <c r="AF166" i="19"/>
  <c r="AG166" i="19"/>
  <c r="AE168" i="19"/>
  <c r="AF168" i="19"/>
  <c r="AE170" i="19"/>
  <c r="AF170" i="19"/>
  <c r="AG170" i="19"/>
  <c r="AE172" i="19"/>
  <c r="AF172" i="19"/>
  <c r="AG172" i="19"/>
  <c r="AE174" i="19"/>
  <c r="AF174" i="19"/>
  <c r="AG174" i="19"/>
  <c r="AE176" i="19"/>
  <c r="AF176" i="19"/>
  <c r="AG176" i="19"/>
  <c r="AE178" i="19"/>
  <c r="AF178" i="19"/>
  <c r="AE180" i="19"/>
  <c r="AF180" i="19"/>
  <c r="AG180" i="19"/>
  <c r="AE182" i="19"/>
  <c r="AF182" i="19"/>
  <c r="AG182" i="19"/>
  <c r="AE184" i="19"/>
  <c r="AF184" i="19"/>
  <c r="AE186" i="19"/>
  <c r="AF186" i="19"/>
  <c r="AG186" i="19"/>
  <c r="AE188" i="19"/>
  <c r="AF188" i="19"/>
  <c r="AG188" i="19"/>
  <c r="AE190" i="19"/>
  <c r="AF190" i="19"/>
  <c r="AG190" i="19"/>
  <c r="AE192" i="19"/>
  <c r="AF192" i="19"/>
  <c r="AG192" i="19"/>
  <c r="AE194" i="19"/>
  <c r="AF194" i="19"/>
  <c r="AE196" i="19"/>
  <c r="AF196" i="19"/>
  <c r="AG196" i="19"/>
  <c r="AE198" i="19"/>
  <c r="AF198" i="19"/>
  <c r="AG198" i="19"/>
  <c r="AE200" i="19"/>
  <c r="AF200" i="19"/>
  <c r="AE202" i="19"/>
  <c r="AF202" i="19"/>
  <c r="AG202" i="19"/>
  <c r="Q135" i="19"/>
  <c r="Q131" i="19"/>
  <c r="Q127" i="19"/>
  <c r="Q123" i="19"/>
  <c r="Q110" i="19"/>
  <c r="Q94" i="19"/>
  <c r="Q78" i="19"/>
  <c r="Q62" i="19"/>
  <c r="Q46" i="19"/>
  <c r="Q30" i="19"/>
  <c r="Q14" i="19"/>
  <c r="X10" i="19"/>
  <c r="AG146" i="19"/>
  <c r="AG82" i="19"/>
  <c r="P199" i="19"/>
  <c r="P195" i="19"/>
  <c r="P191" i="19"/>
  <c r="P187" i="19"/>
  <c r="P183" i="19"/>
  <c r="P179" i="19"/>
  <c r="P175" i="19"/>
  <c r="P171" i="19"/>
  <c r="P167" i="19"/>
  <c r="P163" i="19"/>
  <c r="P159" i="19"/>
  <c r="P155" i="19"/>
  <c r="P151" i="19"/>
  <c r="P147" i="19"/>
  <c r="P143" i="19"/>
  <c r="P139" i="19"/>
  <c r="P135" i="19"/>
  <c r="P131" i="19"/>
  <c r="P127" i="19"/>
  <c r="P123" i="19"/>
  <c r="AG200" i="19"/>
  <c r="AG136" i="19"/>
  <c r="AG72" i="19"/>
  <c r="R3" i="19"/>
  <c r="P3" i="19"/>
  <c r="O3" i="19"/>
  <c r="O5" i="19"/>
  <c r="Q5" i="19"/>
  <c r="O9" i="19"/>
  <c r="Q9" i="19"/>
  <c r="O11" i="19"/>
  <c r="P11" i="19"/>
  <c r="Q11" i="19"/>
  <c r="O13" i="19"/>
  <c r="Q13" i="19"/>
  <c r="O15" i="19"/>
  <c r="P15" i="19"/>
  <c r="Q15" i="19"/>
  <c r="O17" i="19"/>
  <c r="Q17" i="19"/>
  <c r="O19" i="19"/>
  <c r="P19" i="19"/>
  <c r="Q19" i="19"/>
  <c r="O21" i="19"/>
  <c r="Q21" i="19"/>
  <c r="O23" i="19"/>
  <c r="P23" i="19"/>
  <c r="Q23" i="19"/>
  <c r="O25" i="19"/>
  <c r="Q25" i="19"/>
  <c r="O27" i="19"/>
  <c r="P27" i="19"/>
  <c r="Q27" i="19"/>
  <c r="O29" i="19"/>
  <c r="Q29" i="19"/>
  <c r="O31" i="19"/>
  <c r="P31" i="19"/>
  <c r="Q31" i="19"/>
  <c r="O33" i="19"/>
  <c r="Q33" i="19"/>
  <c r="O35" i="19"/>
  <c r="P35" i="19"/>
  <c r="Q35" i="19"/>
  <c r="O37" i="19"/>
  <c r="Q37" i="19"/>
  <c r="O39" i="19"/>
  <c r="P39" i="19"/>
  <c r="Q39" i="19"/>
  <c r="O41" i="19"/>
  <c r="Q41" i="19"/>
  <c r="O43" i="19"/>
  <c r="P43" i="19"/>
  <c r="Q43" i="19"/>
  <c r="O45" i="19"/>
  <c r="Q45" i="19"/>
  <c r="O47" i="19"/>
  <c r="P47" i="19"/>
  <c r="Q47" i="19"/>
  <c r="O49" i="19"/>
  <c r="Q49" i="19"/>
  <c r="O51" i="19"/>
  <c r="P51" i="19"/>
  <c r="Q51" i="19"/>
  <c r="O53" i="19"/>
  <c r="Q53" i="19"/>
  <c r="O55" i="19"/>
  <c r="P55" i="19"/>
  <c r="Q55" i="19"/>
  <c r="O59" i="19"/>
  <c r="P59" i="19"/>
  <c r="Q59" i="19"/>
  <c r="O61" i="19"/>
  <c r="Q61" i="19"/>
  <c r="O63" i="19"/>
  <c r="P63" i="19"/>
  <c r="Q63" i="19"/>
  <c r="O65" i="19"/>
  <c r="Q65" i="19"/>
  <c r="O67" i="19"/>
  <c r="P67" i="19"/>
  <c r="Q67" i="19"/>
  <c r="O69" i="19"/>
  <c r="Q69" i="19"/>
  <c r="O71" i="19"/>
  <c r="P71" i="19"/>
  <c r="Q71" i="19"/>
  <c r="O73" i="19"/>
  <c r="Q73" i="19"/>
  <c r="O75" i="19"/>
  <c r="P75" i="19"/>
  <c r="Q75" i="19"/>
  <c r="O77" i="19"/>
  <c r="Q77" i="19"/>
  <c r="O79" i="19"/>
  <c r="P79" i="19"/>
  <c r="Q79" i="19"/>
  <c r="O81" i="19"/>
  <c r="Q81" i="19"/>
  <c r="O83" i="19"/>
  <c r="P83" i="19"/>
  <c r="Q83" i="19"/>
  <c r="O85" i="19"/>
  <c r="Q85" i="19"/>
  <c r="O87" i="19"/>
  <c r="P87" i="19"/>
  <c r="Q87" i="19"/>
  <c r="O89" i="19"/>
  <c r="Q89" i="19"/>
  <c r="O91" i="19"/>
  <c r="P91" i="19"/>
  <c r="Q91" i="19"/>
  <c r="O93" i="19"/>
  <c r="Q93" i="19"/>
  <c r="O95" i="19"/>
  <c r="P95" i="19"/>
  <c r="Q95" i="19"/>
  <c r="O97" i="19"/>
  <c r="Q97" i="19"/>
  <c r="O99" i="19"/>
  <c r="P99" i="19"/>
  <c r="Q99" i="19"/>
  <c r="O101" i="19"/>
  <c r="Q101" i="19"/>
  <c r="O103" i="19"/>
  <c r="P103" i="19"/>
  <c r="Q103" i="19"/>
  <c r="O105" i="19"/>
  <c r="Q105" i="19"/>
  <c r="O107" i="19"/>
  <c r="P107" i="19"/>
  <c r="Q107" i="19"/>
  <c r="O109" i="19"/>
  <c r="Q109" i="19"/>
  <c r="O111" i="19"/>
  <c r="P111" i="19"/>
  <c r="Q111" i="19"/>
  <c r="O113" i="19"/>
  <c r="Q113" i="19"/>
  <c r="O115" i="19"/>
  <c r="P115" i="19"/>
  <c r="Q115" i="19"/>
  <c r="O117" i="19"/>
  <c r="Q117" i="19"/>
  <c r="O119" i="19"/>
  <c r="P119" i="19"/>
  <c r="Q119" i="19"/>
  <c r="O121" i="19"/>
  <c r="Q121" i="19"/>
  <c r="Q202" i="19"/>
  <c r="Q198" i="19"/>
  <c r="Q194" i="19"/>
  <c r="Q190" i="19"/>
  <c r="Q186" i="19"/>
  <c r="Q182" i="19"/>
  <c r="Q178" i="19"/>
  <c r="Q174" i="19"/>
  <c r="Q170" i="19"/>
  <c r="Q166" i="19"/>
  <c r="Q162" i="19"/>
  <c r="Q158" i="19"/>
  <c r="Q154" i="19"/>
  <c r="Q150" i="19"/>
  <c r="Q146" i="19"/>
  <c r="Q142" i="19"/>
  <c r="Q138" i="19"/>
  <c r="Q134" i="19"/>
  <c r="Q130" i="19"/>
  <c r="Q126" i="19"/>
  <c r="Q122" i="19"/>
  <c r="Q106" i="19"/>
  <c r="Q90" i="19"/>
  <c r="Q74" i="19"/>
  <c r="Q58" i="19"/>
  <c r="Q42" i="19"/>
  <c r="Q26" i="19"/>
  <c r="Q10" i="19"/>
  <c r="AG194" i="19"/>
  <c r="AG130" i="19"/>
  <c r="AG66" i="19"/>
  <c r="O7" i="19"/>
  <c r="P7" i="19"/>
  <c r="Q7" i="19"/>
  <c r="W5" i="19"/>
  <c r="Y5" i="19"/>
  <c r="X5" i="19"/>
  <c r="W7" i="19"/>
  <c r="X7" i="19"/>
  <c r="Y7" i="19"/>
  <c r="W9" i="19"/>
  <c r="Y9" i="19"/>
  <c r="X9" i="19"/>
  <c r="W11" i="19"/>
  <c r="X11" i="19"/>
  <c r="Y11" i="19"/>
  <c r="W13" i="19"/>
  <c r="Y13" i="19"/>
  <c r="X13" i="19"/>
  <c r="W15" i="19"/>
  <c r="X15" i="19"/>
  <c r="Y15" i="19"/>
  <c r="W17" i="19"/>
  <c r="Y17" i="19"/>
  <c r="X17" i="19"/>
  <c r="W19" i="19"/>
  <c r="X19" i="19"/>
  <c r="Y19" i="19"/>
  <c r="W21" i="19"/>
  <c r="Y21" i="19"/>
  <c r="X21" i="19"/>
  <c r="W23" i="19"/>
  <c r="X23" i="19"/>
  <c r="Y23" i="19"/>
  <c r="W25" i="19"/>
  <c r="Y25" i="19"/>
  <c r="X25" i="19"/>
  <c r="W27" i="19"/>
  <c r="X27" i="19"/>
  <c r="Y27" i="19"/>
  <c r="W29" i="19"/>
  <c r="Y29" i="19"/>
  <c r="X29" i="19"/>
  <c r="W31" i="19"/>
  <c r="X31" i="19"/>
  <c r="Y31" i="19"/>
  <c r="W33" i="19"/>
  <c r="X33" i="19"/>
  <c r="Y33" i="19"/>
  <c r="W35" i="19"/>
  <c r="X35" i="19"/>
  <c r="W37" i="19"/>
  <c r="Y37" i="19"/>
  <c r="W39" i="19"/>
  <c r="X39" i="19"/>
  <c r="W41" i="19"/>
  <c r="Y41" i="19"/>
  <c r="W43" i="19"/>
  <c r="X43" i="19"/>
  <c r="W45" i="19"/>
  <c r="Y45" i="19"/>
  <c r="W47" i="19"/>
  <c r="X47" i="19"/>
  <c r="W49" i="19"/>
  <c r="Y49" i="19"/>
  <c r="W51" i="19"/>
  <c r="X51" i="19"/>
  <c r="W53" i="19"/>
  <c r="Y53" i="19"/>
  <c r="W55" i="19"/>
  <c r="X55" i="19"/>
  <c r="W57" i="19"/>
  <c r="Y57" i="19"/>
  <c r="W59" i="19"/>
  <c r="X59" i="19"/>
  <c r="W61" i="19"/>
  <c r="Y61" i="19"/>
  <c r="W63" i="19"/>
  <c r="X63" i="19"/>
  <c r="W65" i="19"/>
  <c r="Y65" i="19"/>
  <c r="W67" i="19"/>
  <c r="X67" i="19"/>
  <c r="W69" i="19"/>
  <c r="Y69" i="19"/>
  <c r="W71" i="19"/>
  <c r="X71" i="19"/>
  <c r="W73" i="19"/>
  <c r="Y73" i="19"/>
  <c r="W75" i="19"/>
  <c r="X75" i="19"/>
  <c r="W77" i="19"/>
  <c r="Y77" i="19"/>
  <c r="W79" i="19"/>
  <c r="X79" i="19"/>
  <c r="W81" i="19"/>
  <c r="Y81" i="19"/>
  <c r="W83" i="19"/>
  <c r="X83" i="19"/>
  <c r="W85" i="19"/>
  <c r="Y85" i="19"/>
  <c r="W87" i="19"/>
  <c r="X87" i="19"/>
  <c r="W89" i="19"/>
  <c r="Y89" i="19"/>
  <c r="W91" i="19"/>
  <c r="X91" i="19"/>
  <c r="W93" i="19"/>
  <c r="Y93" i="19"/>
  <c r="W95" i="19"/>
  <c r="X95" i="19"/>
  <c r="W97" i="19"/>
  <c r="Y97" i="19"/>
  <c r="W99" i="19"/>
  <c r="X99" i="19"/>
  <c r="W101" i="19"/>
  <c r="Y101" i="19"/>
  <c r="W103" i="19"/>
  <c r="X103" i="19"/>
  <c r="W105" i="19"/>
  <c r="Y105" i="19"/>
  <c r="W107" i="19"/>
  <c r="X107" i="19"/>
  <c r="W109" i="19"/>
  <c r="Y109" i="19"/>
  <c r="W111" i="19"/>
  <c r="X111" i="19"/>
  <c r="W113" i="19"/>
  <c r="Y113" i="19"/>
  <c r="W115" i="19"/>
  <c r="X115" i="19"/>
  <c r="W117" i="19"/>
  <c r="Y117" i="19"/>
  <c r="W119" i="19"/>
  <c r="X119" i="19"/>
  <c r="W121" i="19"/>
  <c r="Y121" i="19"/>
  <c r="W123" i="19"/>
  <c r="X123" i="19"/>
  <c r="W125" i="19"/>
  <c r="Y125" i="19"/>
  <c r="W127" i="19"/>
  <c r="X127" i="19"/>
  <c r="W129" i="19"/>
  <c r="Y129" i="19"/>
  <c r="W131" i="19"/>
  <c r="X131" i="19"/>
  <c r="W133" i="19"/>
  <c r="Y133" i="19"/>
  <c r="W135" i="19"/>
  <c r="X135" i="19"/>
  <c r="W137" i="19"/>
  <c r="Y137" i="19"/>
  <c r="W139" i="19"/>
  <c r="X139" i="19"/>
  <c r="W141" i="19"/>
  <c r="Y141" i="19"/>
  <c r="W143" i="19"/>
  <c r="X143" i="19"/>
  <c r="W145" i="19"/>
  <c r="Y145" i="19"/>
  <c r="W147" i="19"/>
  <c r="X147" i="19"/>
  <c r="W149" i="19"/>
  <c r="Y149" i="19"/>
  <c r="W151" i="19"/>
  <c r="X151" i="19"/>
  <c r="W153" i="19"/>
  <c r="Y153" i="19"/>
  <c r="W155" i="19"/>
  <c r="X155" i="19"/>
  <c r="W157" i="19"/>
  <c r="Y157" i="19"/>
  <c r="W159" i="19"/>
  <c r="X159" i="19"/>
  <c r="W161" i="19"/>
  <c r="Y161" i="19"/>
  <c r="W163" i="19"/>
  <c r="X163" i="19"/>
  <c r="W165" i="19"/>
  <c r="Y165" i="19"/>
  <c r="W167" i="19"/>
  <c r="X167" i="19"/>
  <c r="W169" i="19"/>
  <c r="Y169" i="19"/>
  <c r="W171" i="19"/>
  <c r="X171" i="19"/>
  <c r="W173" i="19"/>
  <c r="Y173" i="19"/>
  <c r="W175" i="19"/>
  <c r="X175" i="19"/>
  <c r="W177" i="19"/>
  <c r="Y177" i="19"/>
  <c r="W179" i="19"/>
  <c r="X179" i="19"/>
  <c r="W181" i="19"/>
  <c r="Y181" i="19"/>
  <c r="W183" i="19"/>
  <c r="X183" i="19"/>
  <c r="W185" i="19"/>
  <c r="Y185" i="19"/>
  <c r="W187" i="19"/>
  <c r="X187" i="19"/>
  <c r="W189" i="19"/>
  <c r="Y189" i="19"/>
  <c r="W191" i="19"/>
  <c r="X191" i="19"/>
  <c r="W193" i="19"/>
  <c r="Y193" i="19"/>
  <c r="W195" i="19"/>
  <c r="X195" i="19"/>
  <c r="W197" i="19"/>
  <c r="Y197" i="19"/>
  <c r="W199" i="19"/>
  <c r="X199" i="19"/>
  <c r="W201" i="19"/>
  <c r="Y201" i="19"/>
  <c r="P202" i="19"/>
  <c r="P198" i="19"/>
  <c r="P194" i="19"/>
  <c r="P190" i="19"/>
  <c r="P186" i="19"/>
  <c r="P182" i="19"/>
  <c r="P178" i="19"/>
  <c r="P174" i="19"/>
  <c r="P170" i="19"/>
  <c r="P166" i="19"/>
  <c r="P162" i="19"/>
  <c r="P158" i="19"/>
  <c r="P154" i="19"/>
  <c r="P150" i="19"/>
  <c r="P146" i="19"/>
  <c r="P142" i="19"/>
  <c r="P138" i="19"/>
  <c r="P134" i="19"/>
  <c r="P130" i="19"/>
  <c r="P126" i="19"/>
  <c r="P121" i="19"/>
  <c r="P105" i="19"/>
  <c r="P89" i="19"/>
  <c r="P73" i="19"/>
  <c r="P57" i="19"/>
  <c r="P41" i="19"/>
  <c r="P25" i="19"/>
  <c r="P9" i="19"/>
  <c r="X197" i="19"/>
  <c r="X181" i="19"/>
  <c r="X165" i="19"/>
  <c r="X149" i="19"/>
  <c r="X133" i="19"/>
  <c r="X117" i="19"/>
  <c r="X101" i="19"/>
  <c r="X85" i="19"/>
  <c r="X69" i="19"/>
  <c r="X53" i="19"/>
  <c r="X37" i="19"/>
  <c r="AG184" i="19"/>
  <c r="AG120" i="19"/>
  <c r="AG56" i="19"/>
  <c r="AH3" i="19"/>
  <c r="AH4" i="19" s="1"/>
  <c r="AF3" i="19"/>
  <c r="AG3" i="19"/>
  <c r="AE3" i="19"/>
  <c r="AF5" i="19"/>
  <c r="AG5" i="19"/>
  <c r="AE11" i="19"/>
  <c r="AF11" i="19"/>
  <c r="AG11" i="19"/>
  <c r="AE13" i="19"/>
  <c r="AF13" i="19"/>
  <c r="AG13" i="19"/>
  <c r="AE15" i="19"/>
  <c r="AF15" i="19"/>
  <c r="AG15" i="19"/>
  <c r="AE17" i="19"/>
  <c r="AF17" i="19"/>
  <c r="AG17" i="19"/>
  <c r="AE19" i="19"/>
  <c r="AF19" i="19"/>
  <c r="AG19" i="19"/>
  <c r="AE21" i="19"/>
  <c r="AF21" i="19"/>
  <c r="AG21" i="19"/>
  <c r="AE23" i="19"/>
  <c r="AF23" i="19"/>
  <c r="AG23" i="19"/>
  <c r="AE25" i="19"/>
  <c r="AF25" i="19"/>
  <c r="AG25" i="19"/>
  <c r="AE27" i="19"/>
  <c r="AF27" i="19"/>
  <c r="AG27" i="19"/>
  <c r="AE29" i="19"/>
  <c r="AF29" i="19"/>
  <c r="AG29" i="19"/>
  <c r="AE31" i="19"/>
  <c r="AF31" i="19"/>
  <c r="AG31" i="19"/>
  <c r="AE33" i="19"/>
  <c r="AF33" i="19"/>
  <c r="AG33" i="19"/>
  <c r="AE35" i="19"/>
  <c r="AF35" i="19"/>
  <c r="AG35" i="19"/>
  <c r="AE37" i="19"/>
  <c r="AF37" i="19"/>
  <c r="AG37" i="19"/>
  <c r="AE39" i="19"/>
  <c r="AF39" i="19"/>
  <c r="AG39" i="19"/>
  <c r="AE41" i="19"/>
  <c r="AF41" i="19"/>
  <c r="AG41" i="19"/>
  <c r="AE43" i="19"/>
  <c r="AF43" i="19"/>
  <c r="AG43" i="19"/>
  <c r="AE45" i="19"/>
  <c r="AF45" i="19"/>
  <c r="AG45" i="19"/>
  <c r="AE47" i="19"/>
  <c r="AF47" i="19"/>
  <c r="AG47" i="19"/>
  <c r="AE49" i="19"/>
  <c r="AF49" i="19"/>
  <c r="AG49" i="19"/>
  <c r="AE51" i="19"/>
  <c r="AF51" i="19"/>
  <c r="AG51" i="19"/>
  <c r="AE53" i="19"/>
  <c r="AF53" i="19"/>
  <c r="AG53" i="19"/>
  <c r="AE55" i="19"/>
  <c r="AF55" i="19"/>
  <c r="AG55" i="19"/>
  <c r="AE57" i="19"/>
  <c r="AF57" i="19"/>
  <c r="AG57" i="19"/>
  <c r="AE59" i="19"/>
  <c r="AF59" i="19"/>
  <c r="AG59" i="19"/>
  <c r="AE61" i="19"/>
  <c r="AF61" i="19"/>
  <c r="AG61" i="19"/>
  <c r="AE63" i="19"/>
  <c r="AF63" i="19"/>
  <c r="AG63" i="19"/>
  <c r="AE65" i="19"/>
  <c r="AF65" i="19"/>
  <c r="AG65" i="19"/>
  <c r="AE67" i="19"/>
  <c r="AF67" i="19"/>
  <c r="AG67" i="19"/>
  <c r="AE69" i="19"/>
  <c r="AF69" i="19"/>
  <c r="AG69" i="19"/>
  <c r="AE71" i="19"/>
  <c r="AF71" i="19"/>
  <c r="AG71" i="19"/>
  <c r="AE73" i="19"/>
  <c r="AF73" i="19"/>
  <c r="AG73" i="19"/>
  <c r="AE75" i="19"/>
  <c r="AF75" i="19"/>
  <c r="AG75" i="19"/>
  <c r="AE77" i="19"/>
  <c r="AF77" i="19"/>
  <c r="AG77" i="19"/>
  <c r="AE79" i="19"/>
  <c r="AF79" i="19"/>
  <c r="AG79" i="19"/>
  <c r="AE81" i="19"/>
  <c r="AF81" i="19"/>
  <c r="AG81" i="19"/>
  <c r="AE83" i="19"/>
  <c r="AF83" i="19"/>
  <c r="AG83" i="19"/>
  <c r="AE85" i="19"/>
  <c r="AF85" i="19"/>
  <c r="AG85" i="19"/>
  <c r="AE87" i="19"/>
  <c r="AF87" i="19"/>
  <c r="AG87" i="19"/>
  <c r="AE89" i="19"/>
  <c r="AF89" i="19"/>
  <c r="AG89" i="19"/>
  <c r="AE91" i="19"/>
  <c r="AF91" i="19"/>
  <c r="AG91" i="19"/>
  <c r="AE93" i="19"/>
  <c r="AF93" i="19"/>
  <c r="AG93" i="19"/>
  <c r="AE95" i="19"/>
  <c r="AF95" i="19"/>
  <c r="AG95" i="19"/>
  <c r="AE97" i="19"/>
  <c r="AF97" i="19"/>
  <c r="AG97" i="19"/>
  <c r="AE99" i="19"/>
  <c r="AF99" i="19"/>
  <c r="AG99" i="19"/>
  <c r="AE101" i="19"/>
  <c r="AF101" i="19"/>
  <c r="AG101" i="19"/>
  <c r="AE103" i="19"/>
  <c r="AF103" i="19"/>
  <c r="AG103" i="19"/>
  <c r="AE105" i="19"/>
  <c r="AF105" i="19"/>
  <c r="AG105" i="19"/>
  <c r="AE107" i="19"/>
  <c r="AF107" i="19"/>
  <c r="AG107" i="19"/>
  <c r="AE109" i="19"/>
  <c r="AF109" i="19"/>
  <c r="AG109" i="19"/>
  <c r="AE111" i="19"/>
  <c r="AF111" i="19"/>
  <c r="AG111" i="19"/>
  <c r="AE113" i="19"/>
  <c r="AF113" i="19"/>
  <c r="AG113" i="19"/>
  <c r="AE115" i="19"/>
  <c r="AF115" i="19"/>
  <c r="AG115" i="19"/>
  <c r="AE117" i="19"/>
  <c r="AF117" i="19"/>
  <c r="AG117" i="19"/>
  <c r="AE119" i="19"/>
  <c r="AF119" i="19"/>
  <c r="AG119" i="19"/>
  <c r="AE121" i="19"/>
  <c r="AF121" i="19"/>
  <c r="AG121" i="19"/>
  <c r="AE123" i="19"/>
  <c r="AF123" i="19"/>
  <c r="AG123" i="19"/>
  <c r="AE125" i="19"/>
  <c r="AF125" i="19"/>
  <c r="AG125" i="19"/>
  <c r="AE127" i="19"/>
  <c r="AF127" i="19"/>
  <c r="AG127" i="19"/>
  <c r="AE129" i="19"/>
  <c r="AF129" i="19"/>
  <c r="AG129" i="19"/>
  <c r="AE131" i="19"/>
  <c r="AF131" i="19"/>
  <c r="AG131" i="19"/>
  <c r="AE133" i="19"/>
  <c r="AF133" i="19"/>
  <c r="AG133" i="19"/>
  <c r="AE135" i="19"/>
  <c r="AF135" i="19"/>
  <c r="AG135" i="19"/>
  <c r="AE137" i="19"/>
  <c r="AF137" i="19"/>
  <c r="AG137" i="19"/>
  <c r="AE139" i="19"/>
  <c r="AF139" i="19"/>
  <c r="AG139" i="19"/>
  <c r="AE141" i="19"/>
  <c r="AF141" i="19"/>
  <c r="AG141" i="19"/>
  <c r="AE143" i="19"/>
  <c r="AF143" i="19"/>
  <c r="AG143" i="19"/>
  <c r="AE145" i="19"/>
  <c r="AF145" i="19"/>
  <c r="AG145" i="19"/>
  <c r="AE147" i="19"/>
  <c r="AF147" i="19"/>
  <c r="AG147" i="19"/>
  <c r="AE149" i="19"/>
  <c r="AF149" i="19"/>
  <c r="AG149" i="19"/>
  <c r="AE151" i="19"/>
  <c r="AF151" i="19"/>
  <c r="AG151" i="19"/>
  <c r="AE153" i="19"/>
  <c r="AF153" i="19"/>
  <c r="AG153" i="19"/>
  <c r="AE155" i="19"/>
  <c r="AF155" i="19"/>
  <c r="AG155" i="19"/>
  <c r="AE157" i="19"/>
  <c r="AF157" i="19"/>
  <c r="AG157" i="19"/>
  <c r="AE159" i="19"/>
  <c r="AF159" i="19"/>
  <c r="AG159" i="19"/>
  <c r="AE161" i="19"/>
  <c r="AF161" i="19"/>
  <c r="AG161" i="19"/>
  <c r="AE163" i="19"/>
  <c r="AF163" i="19"/>
  <c r="AG163" i="19"/>
  <c r="AE165" i="19"/>
  <c r="AF165" i="19"/>
  <c r="AG165" i="19"/>
  <c r="AE167" i="19"/>
  <c r="AF167" i="19"/>
  <c r="AG167" i="19"/>
  <c r="AE169" i="19"/>
  <c r="AF169" i="19"/>
  <c r="AG169" i="19"/>
  <c r="AE171" i="19"/>
  <c r="AF171" i="19"/>
  <c r="AG171" i="19"/>
  <c r="AE173" i="19"/>
  <c r="AF173" i="19"/>
  <c r="AG173" i="19"/>
  <c r="AE175" i="19"/>
  <c r="AF175" i="19"/>
  <c r="AG175" i="19"/>
  <c r="AE177" i="19"/>
  <c r="AF177" i="19"/>
  <c r="AG177" i="19"/>
  <c r="AE179" i="19"/>
  <c r="AF179" i="19"/>
  <c r="AG179" i="19"/>
  <c r="AE181" i="19"/>
  <c r="AF181" i="19"/>
  <c r="AG181" i="19"/>
  <c r="AE183" i="19"/>
  <c r="AF183" i="19"/>
  <c r="AG183" i="19"/>
  <c r="AE185" i="19"/>
  <c r="AF185" i="19"/>
  <c r="AG185" i="19"/>
  <c r="AE187" i="19"/>
  <c r="AF187" i="19"/>
  <c r="AG187" i="19"/>
  <c r="AE189" i="19"/>
  <c r="AF189" i="19"/>
  <c r="AG189" i="19"/>
  <c r="AE191" i="19"/>
  <c r="AF191" i="19"/>
  <c r="AG191" i="19"/>
  <c r="AE193" i="19"/>
  <c r="AF193" i="19"/>
  <c r="AG193" i="19"/>
  <c r="AE195" i="19"/>
  <c r="AF195" i="19"/>
  <c r="AG195" i="19"/>
  <c r="AE197" i="19"/>
  <c r="AF197" i="19"/>
  <c r="AG197" i="19"/>
  <c r="AE199" i="19"/>
  <c r="AF199" i="19"/>
  <c r="AG199" i="19"/>
  <c r="AE201" i="19"/>
  <c r="AF201" i="19"/>
  <c r="AG201" i="19"/>
  <c r="Q141" i="19"/>
  <c r="Q137" i="19"/>
  <c r="Q133" i="19"/>
  <c r="Q129" i="19"/>
  <c r="Q125" i="19"/>
  <c r="Q118" i="19"/>
  <c r="Q102" i="19"/>
  <c r="Q86" i="19"/>
  <c r="Q70" i="19"/>
  <c r="Q54" i="19"/>
  <c r="Q38" i="19"/>
  <c r="Q22" i="19"/>
  <c r="Q6" i="19"/>
  <c r="Y131" i="19"/>
  <c r="Y115" i="19"/>
  <c r="Y99" i="19"/>
  <c r="Y83" i="19"/>
  <c r="Y67" i="19"/>
  <c r="Y51" i="19"/>
  <c r="Y35" i="19"/>
  <c r="AG178" i="19"/>
  <c r="AG114" i="19"/>
  <c r="AG50" i="19"/>
  <c r="P201" i="19"/>
  <c r="P197" i="19"/>
  <c r="P193" i="19"/>
  <c r="P189" i="19"/>
  <c r="P185" i="19"/>
  <c r="P181" i="19"/>
  <c r="P177" i="19"/>
  <c r="P173" i="19"/>
  <c r="P169" i="19"/>
  <c r="P165" i="19"/>
  <c r="P161" i="19"/>
  <c r="P157" i="19"/>
  <c r="P153" i="19"/>
  <c r="P149" i="19"/>
  <c r="P145" i="19"/>
  <c r="P141" i="19"/>
  <c r="P137" i="19"/>
  <c r="P133" i="19"/>
  <c r="P129" i="19"/>
  <c r="P125" i="19"/>
  <c r="P117" i="19"/>
  <c r="P101" i="19"/>
  <c r="P85" i="19"/>
  <c r="P69" i="19"/>
  <c r="P53" i="19"/>
  <c r="P37" i="19"/>
  <c r="P21" i="19"/>
  <c r="P5" i="19"/>
  <c r="X193" i="19"/>
  <c r="X177" i="19"/>
  <c r="X161" i="19"/>
  <c r="X145" i="19"/>
  <c r="X129" i="19"/>
  <c r="X113" i="19"/>
  <c r="X97" i="19"/>
  <c r="X81" i="19"/>
  <c r="X65" i="19"/>
  <c r="X49" i="19"/>
  <c r="X32" i="19"/>
  <c r="AG168" i="19"/>
  <c r="AG104" i="19"/>
  <c r="AG40" i="19"/>
  <c r="W3" i="19"/>
  <c r="AE5" i="19"/>
  <c r="AE4" i="19"/>
  <c r="O57" i="19"/>
  <c r="O86" i="19"/>
  <c r="L3" i="19"/>
  <c r="L4" i="19" s="1"/>
  <c r="L5" i="19" s="1"/>
  <c r="L6" i="19" s="1"/>
  <c r="L7" i="19" s="1"/>
  <c r="L8" i="19" s="1"/>
  <c r="L9" i="19" s="1"/>
  <c r="L10" i="19" s="1"/>
  <c r="L11" i="19" s="1"/>
  <c r="L12" i="19" s="1"/>
  <c r="L13" i="19" s="1"/>
  <c r="L14" i="19" s="1"/>
  <c r="L15" i="19" s="1"/>
  <c r="L16" i="19" s="1"/>
  <c r="L17" i="19" s="1"/>
  <c r="L18" i="19" s="1"/>
  <c r="L19" i="19" s="1"/>
  <c r="L20" i="19" s="1"/>
  <c r="L21" i="19" s="1"/>
  <c r="L22" i="19" s="1"/>
  <c r="L23" i="19" s="1"/>
  <c r="L24" i="19" s="1"/>
  <c r="L25" i="19" s="1"/>
  <c r="L26" i="19" s="1"/>
  <c r="L27" i="19" s="1"/>
  <c r="L28" i="19" s="1"/>
  <c r="L29" i="19" s="1"/>
  <c r="L30" i="19" s="1"/>
  <c r="L31" i="19" s="1"/>
  <c r="L32" i="19" s="1"/>
  <c r="L33" i="19" s="1"/>
  <c r="L34" i="19" s="1"/>
  <c r="L35" i="19" s="1"/>
  <c r="L36" i="19" s="1"/>
  <c r="L37" i="19" s="1"/>
  <c r="L38" i="19" s="1"/>
  <c r="L39" i="19" s="1"/>
  <c r="L40" i="19" s="1"/>
  <c r="L41" i="19" s="1"/>
  <c r="L42" i="19" s="1"/>
  <c r="L43" i="19" s="1"/>
  <c r="L44" i="19" s="1"/>
  <c r="L45" i="19" s="1"/>
  <c r="L46" i="19" s="1"/>
  <c r="L47" i="19" s="1"/>
  <c r="L48" i="19" s="1"/>
  <c r="L49" i="19" s="1"/>
  <c r="L50" i="19" s="1"/>
  <c r="L51" i="19" s="1"/>
  <c r="L52" i="19" s="1"/>
  <c r="L53" i="19" s="1"/>
  <c r="L54" i="19" s="1"/>
  <c r="L55" i="19" s="1"/>
  <c r="L56" i="19" s="1"/>
  <c r="L57" i="19" s="1"/>
  <c r="L58" i="19" s="1"/>
  <c r="L59" i="19" s="1"/>
  <c r="L60" i="19" s="1"/>
  <c r="L61" i="19" s="1"/>
  <c r="L62" i="19" s="1"/>
  <c r="L63" i="19" s="1"/>
  <c r="L64" i="19" s="1"/>
  <c r="L65" i="19" s="1"/>
  <c r="L66" i="19" s="1"/>
  <c r="L67" i="19" s="1"/>
  <c r="L68" i="19" s="1"/>
  <c r="L69" i="19" s="1"/>
  <c r="L70" i="19" s="1"/>
  <c r="L71" i="19" s="1"/>
  <c r="L72" i="19" s="1"/>
  <c r="L73" i="19" s="1"/>
  <c r="L74" i="19" s="1"/>
  <c r="L75" i="19" s="1"/>
  <c r="L76" i="19" s="1"/>
  <c r="L77" i="19" s="1"/>
  <c r="L78" i="19" s="1"/>
  <c r="L79" i="19" s="1"/>
  <c r="L80" i="19" s="1"/>
  <c r="L81" i="19" s="1"/>
  <c r="L82" i="19" s="1"/>
  <c r="L83" i="19" s="1"/>
  <c r="L84" i="19" s="1"/>
  <c r="L85" i="19" s="1"/>
  <c r="L86" i="19" s="1"/>
  <c r="L87" i="19" s="1"/>
  <c r="L88" i="19" s="1"/>
  <c r="L89" i="19" s="1"/>
  <c r="L90" i="19" s="1"/>
  <c r="L91" i="19" s="1"/>
  <c r="M3" i="19"/>
  <c r="M4" i="19" s="1"/>
  <c r="M5" i="19" s="1"/>
  <c r="M6" i="19" s="1"/>
  <c r="M7" i="19" s="1"/>
  <c r="M8" i="19" s="1"/>
  <c r="M9" i="19" s="1"/>
  <c r="M10" i="19" s="1"/>
  <c r="M11" i="19" s="1"/>
  <c r="M12" i="19" s="1"/>
  <c r="M13" i="19" s="1"/>
  <c r="M14" i="19" s="1"/>
  <c r="M15" i="19" s="1"/>
  <c r="M16" i="19" s="1"/>
  <c r="M17" i="19" s="1"/>
  <c r="M18" i="19" s="1"/>
  <c r="M19" i="19" s="1"/>
  <c r="M20" i="19" s="1"/>
  <c r="M21" i="19" s="1"/>
  <c r="M22" i="19" s="1"/>
  <c r="M23" i="19" s="1"/>
  <c r="M24" i="19" s="1"/>
  <c r="M25" i="19" s="1"/>
  <c r="M26" i="19" s="1"/>
  <c r="M27" i="19" s="1"/>
  <c r="M28" i="19" s="1"/>
  <c r="M29" i="19" s="1"/>
  <c r="M30" i="19" s="1"/>
  <c r="M31" i="19" s="1"/>
  <c r="M32" i="19" s="1"/>
  <c r="M33" i="19" s="1"/>
  <c r="M34" i="19" s="1"/>
  <c r="M35" i="19" s="1"/>
  <c r="M36" i="19" s="1"/>
  <c r="M37" i="19" s="1"/>
  <c r="M38" i="19" s="1"/>
  <c r="M39" i="19" s="1"/>
  <c r="M40" i="19" s="1"/>
  <c r="M41" i="19" s="1"/>
  <c r="M42" i="19" s="1"/>
  <c r="M43" i="19" s="1"/>
  <c r="M44" i="19" s="1"/>
  <c r="M45" i="19" s="1"/>
  <c r="M46" i="19" s="1"/>
  <c r="M47" i="19" s="1"/>
  <c r="M48" i="19" s="1"/>
  <c r="M49" i="19" s="1"/>
  <c r="M50" i="19" s="1"/>
  <c r="M51" i="19" s="1"/>
  <c r="M52" i="19" s="1"/>
  <c r="M53" i="19" s="1"/>
  <c r="M54" i="19" s="1"/>
  <c r="M55" i="19" s="1"/>
  <c r="M56" i="19" s="1"/>
  <c r="M57" i="19" s="1"/>
  <c r="M58" i="19" s="1"/>
  <c r="M59" i="19" s="1"/>
  <c r="M60" i="19" s="1"/>
  <c r="M61" i="19" s="1"/>
  <c r="M62" i="19" s="1"/>
  <c r="M63" i="19" s="1"/>
  <c r="M64" i="19" s="1"/>
  <c r="M65" i="19" s="1"/>
  <c r="M66" i="19" s="1"/>
  <c r="M67" i="19" s="1"/>
  <c r="M68" i="19" s="1"/>
  <c r="M69" i="19" s="1"/>
  <c r="M70" i="19" s="1"/>
  <c r="M71" i="19" s="1"/>
  <c r="M72" i="19" s="1"/>
  <c r="M73" i="19" s="1"/>
  <c r="M74" i="19" s="1"/>
  <c r="M75" i="19" s="1"/>
  <c r="M76" i="19" s="1"/>
  <c r="M77" i="19" s="1"/>
  <c r="M78" i="19" s="1"/>
  <c r="M79" i="19" s="1"/>
  <c r="M80" i="19" s="1"/>
  <c r="M81" i="19" s="1"/>
  <c r="M82" i="19" s="1"/>
  <c r="M83" i="19" s="1"/>
  <c r="M84" i="19" s="1"/>
  <c r="M85" i="19" s="1"/>
  <c r="M86" i="19" s="1"/>
  <c r="M87" i="19" s="1"/>
  <c r="M88" i="19" s="1"/>
  <c r="M89" i="19" s="1"/>
  <c r="M90" i="19" s="1"/>
  <c r="M91" i="19" s="1"/>
  <c r="D150" i="19"/>
  <c r="F192" i="19"/>
  <c r="F128" i="19"/>
  <c r="E107" i="19"/>
  <c r="F64" i="19"/>
  <c r="E43" i="19"/>
  <c r="D22" i="19"/>
  <c r="E171" i="19"/>
  <c r="D190" i="19"/>
  <c r="F168" i="19"/>
  <c r="E147" i="19"/>
  <c r="D126" i="19"/>
  <c r="F104" i="19"/>
  <c r="E83" i="19"/>
  <c r="D62" i="19"/>
  <c r="F40" i="19"/>
  <c r="E19" i="19"/>
  <c r="E187" i="19"/>
  <c r="D166" i="19"/>
  <c r="F144" i="19"/>
  <c r="E123" i="19"/>
  <c r="D102" i="19"/>
  <c r="F80" i="19"/>
  <c r="E59" i="19"/>
  <c r="D38" i="19"/>
  <c r="F16" i="19"/>
  <c r="E3" i="19"/>
  <c r="F184" i="19"/>
  <c r="E163" i="19"/>
  <c r="D142" i="19"/>
  <c r="F120" i="19"/>
  <c r="E99" i="19"/>
  <c r="D78" i="19"/>
  <c r="F56" i="19"/>
  <c r="E35" i="19"/>
  <c r="D14" i="19"/>
  <c r="F202" i="19"/>
  <c r="D182" i="19"/>
  <c r="F160" i="19"/>
  <c r="E139" i="19"/>
  <c r="D118" i="19"/>
  <c r="F96" i="19"/>
  <c r="E75" i="19"/>
  <c r="D54" i="19"/>
  <c r="F32" i="19"/>
  <c r="E11" i="19"/>
  <c r="F200" i="19"/>
  <c r="E179" i="19"/>
  <c r="D158" i="19"/>
  <c r="F136" i="19"/>
  <c r="E115" i="19"/>
  <c r="F72" i="19"/>
  <c r="E51" i="19"/>
  <c r="D30" i="19"/>
  <c r="F8" i="19"/>
  <c r="D198" i="19"/>
  <c r="F176" i="19"/>
  <c r="E155" i="19"/>
  <c r="D134" i="19"/>
  <c r="F112" i="19"/>
  <c r="E91" i="19"/>
  <c r="D70" i="19"/>
  <c r="F48" i="19"/>
  <c r="E27" i="19"/>
  <c r="D6" i="19"/>
  <c r="E195" i="19"/>
  <c r="D174" i="19"/>
  <c r="F152" i="19"/>
  <c r="E131" i="19"/>
  <c r="D110" i="19"/>
  <c r="F88" i="19"/>
  <c r="E67" i="19"/>
  <c r="D46" i="19"/>
  <c r="F24" i="19"/>
  <c r="E200" i="19"/>
  <c r="F197" i="19"/>
  <c r="D195" i="19"/>
  <c r="E192" i="19"/>
  <c r="F189" i="19"/>
  <c r="D187" i="19"/>
  <c r="E184" i="19"/>
  <c r="F181" i="19"/>
  <c r="D179" i="19"/>
  <c r="E176" i="19"/>
  <c r="F173" i="19"/>
  <c r="D171" i="19"/>
  <c r="E168" i="19"/>
  <c r="F165" i="19"/>
  <c r="D163" i="19"/>
  <c r="E160" i="19"/>
  <c r="F157" i="19"/>
  <c r="D155" i="19"/>
  <c r="E152" i="19"/>
  <c r="F149" i="19"/>
  <c r="D147" i="19"/>
  <c r="E144" i="19"/>
  <c r="F141" i="19"/>
  <c r="D139" i="19"/>
  <c r="E136" i="19"/>
  <c r="F133" i="19"/>
  <c r="D131" i="19"/>
  <c r="E128" i="19"/>
  <c r="F125" i="19"/>
  <c r="D123" i="19"/>
  <c r="E120" i="19"/>
  <c r="F117" i="19"/>
  <c r="D115" i="19"/>
  <c r="E112" i="19"/>
  <c r="F109" i="19"/>
  <c r="D107" i="19"/>
  <c r="E104" i="19"/>
  <c r="F101" i="19"/>
  <c r="D99" i="19"/>
  <c r="E96" i="19"/>
  <c r="F93" i="19"/>
  <c r="E88" i="19"/>
  <c r="F85" i="19"/>
  <c r="D83" i="19"/>
  <c r="E80" i="19"/>
  <c r="F77" i="19"/>
  <c r="D75" i="19"/>
  <c r="E72" i="19"/>
  <c r="F69" i="19"/>
  <c r="D67" i="19"/>
  <c r="E64" i="19"/>
  <c r="F61" i="19"/>
  <c r="D59" i="19"/>
  <c r="E56" i="19"/>
  <c r="F53" i="19"/>
  <c r="D51" i="19"/>
  <c r="E48" i="19"/>
  <c r="F45" i="19"/>
  <c r="D43" i="19"/>
  <c r="E40" i="19"/>
  <c r="F37" i="19"/>
  <c r="D35" i="19"/>
  <c r="E32" i="19"/>
  <c r="F29" i="19"/>
  <c r="D27" i="19"/>
  <c r="E24" i="19"/>
  <c r="F21" i="19"/>
  <c r="D19" i="19"/>
  <c r="E16" i="19"/>
  <c r="F13" i="19"/>
  <c r="D11" i="19"/>
  <c r="E8" i="19"/>
  <c r="F5" i="19"/>
  <c r="E197" i="19"/>
  <c r="F194" i="19"/>
  <c r="E189" i="19"/>
  <c r="F186" i="19"/>
  <c r="E181" i="19"/>
  <c r="F178" i="19"/>
  <c r="E173" i="19"/>
  <c r="F170" i="19"/>
  <c r="E165" i="19"/>
  <c r="F162" i="19"/>
  <c r="E157" i="19"/>
  <c r="F154" i="19"/>
  <c r="E149" i="19"/>
  <c r="F146" i="19"/>
  <c r="E141" i="19"/>
  <c r="F138" i="19"/>
  <c r="E133" i="19"/>
  <c r="F130" i="19"/>
  <c r="E125" i="19"/>
  <c r="F122" i="19"/>
  <c r="E117" i="19"/>
  <c r="F114" i="19"/>
  <c r="E109" i="19"/>
  <c r="F106" i="19"/>
  <c r="E101" i="19"/>
  <c r="F98" i="19"/>
  <c r="E93" i="19"/>
  <c r="F90" i="19"/>
  <c r="E85" i="19"/>
  <c r="F82" i="19"/>
  <c r="E77" i="19"/>
  <c r="F74" i="19"/>
  <c r="E69" i="19"/>
  <c r="F66" i="19"/>
  <c r="E61" i="19"/>
  <c r="F58" i="19"/>
  <c r="E53" i="19"/>
  <c r="F50" i="19"/>
  <c r="E45" i="19"/>
  <c r="F42" i="19"/>
  <c r="E37" i="19"/>
  <c r="F34" i="19"/>
  <c r="E29" i="19"/>
  <c r="F26" i="19"/>
  <c r="E21" i="19"/>
  <c r="F18" i="19"/>
  <c r="E13" i="19"/>
  <c r="F10" i="19"/>
  <c r="E5" i="19"/>
  <c r="E202" i="19"/>
  <c r="F199" i="19"/>
  <c r="E194" i="19"/>
  <c r="F191" i="19"/>
  <c r="E186" i="19"/>
  <c r="F183" i="19"/>
  <c r="E178" i="19"/>
  <c r="F175" i="19"/>
  <c r="E170" i="19"/>
  <c r="F167" i="19"/>
  <c r="E162" i="19"/>
  <c r="F159" i="19"/>
  <c r="E154" i="19"/>
  <c r="F151" i="19"/>
  <c r="E146" i="19"/>
  <c r="F143" i="19"/>
  <c r="E138" i="19"/>
  <c r="F135" i="19"/>
  <c r="E130" i="19"/>
  <c r="F127" i="19"/>
  <c r="E122" i="19"/>
  <c r="F119" i="19"/>
  <c r="E114" i="19"/>
  <c r="F111" i="19"/>
  <c r="E106" i="19"/>
  <c r="F103" i="19"/>
  <c r="E98" i="19"/>
  <c r="F95" i="19"/>
  <c r="E90" i="19"/>
  <c r="F87" i="19"/>
  <c r="E82" i="19"/>
  <c r="F79" i="19"/>
  <c r="E74" i="19"/>
  <c r="F71" i="19"/>
  <c r="E66" i="19"/>
  <c r="F63" i="19"/>
  <c r="E58" i="19"/>
  <c r="F55" i="19"/>
  <c r="E50" i="19"/>
  <c r="F47" i="19"/>
  <c r="E42" i="19"/>
  <c r="F39" i="19"/>
  <c r="E34" i="19"/>
  <c r="F31" i="19"/>
  <c r="E26" i="19"/>
  <c r="F23" i="19"/>
  <c r="E18" i="19"/>
  <c r="F15" i="19"/>
  <c r="E10" i="19"/>
  <c r="F7" i="19"/>
  <c r="E199" i="19"/>
  <c r="F196" i="19"/>
  <c r="E191" i="19"/>
  <c r="F188" i="19"/>
  <c r="E183" i="19"/>
  <c r="F180" i="19"/>
  <c r="E175" i="19"/>
  <c r="F172" i="19"/>
  <c r="E167" i="19"/>
  <c r="F164" i="19"/>
  <c r="E159" i="19"/>
  <c r="F156" i="19"/>
  <c r="E151" i="19"/>
  <c r="F148" i="19"/>
  <c r="E143" i="19"/>
  <c r="F140" i="19"/>
  <c r="E135" i="19"/>
  <c r="F132" i="19"/>
  <c r="E127" i="19"/>
  <c r="F124" i="19"/>
  <c r="E119" i="19"/>
  <c r="F116" i="19"/>
  <c r="E111" i="19"/>
  <c r="F108" i="19"/>
  <c r="E103" i="19"/>
  <c r="F100" i="19"/>
  <c r="E95" i="19"/>
  <c r="F92" i="19"/>
  <c r="E87" i="19"/>
  <c r="F84" i="19"/>
  <c r="E79" i="19"/>
  <c r="F76" i="19"/>
  <c r="E71" i="19"/>
  <c r="F68" i="19"/>
  <c r="E63" i="19"/>
  <c r="F60" i="19"/>
  <c r="E55" i="19"/>
  <c r="F52" i="19"/>
  <c r="E47" i="19"/>
  <c r="F44" i="19"/>
  <c r="E39" i="19"/>
  <c r="F36" i="19"/>
  <c r="E31" i="19"/>
  <c r="F28" i="19"/>
  <c r="E23" i="19"/>
  <c r="F20" i="19"/>
  <c r="E15" i="19"/>
  <c r="F12" i="19"/>
  <c r="E7" i="19"/>
  <c r="F4" i="19"/>
  <c r="F201" i="19"/>
  <c r="E196" i="19"/>
  <c r="F193" i="19"/>
  <c r="E188" i="19"/>
  <c r="F185" i="19"/>
  <c r="E180" i="19"/>
  <c r="F177" i="19"/>
  <c r="E172" i="19"/>
  <c r="F169" i="19"/>
  <c r="E164" i="19"/>
  <c r="F161" i="19"/>
  <c r="E156" i="19"/>
  <c r="F153" i="19"/>
  <c r="E148" i="19"/>
  <c r="F145" i="19"/>
  <c r="E140" i="19"/>
  <c r="F137" i="19"/>
  <c r="E132" i="19"/>
  <c r="F129" i="19"/>
  <c r="E124" i="19"/>
  <c r="F121" i="19"/>
  <c r="E116" i="19"/>
  <c r="F113" i="19"/>
  <c r="E108" i="19"/>
  <c r="F105" i="19"/>
  <c r="E100" i="19"/>
  <c r="F97" i="19"/>
  <c r="E92" i="19"/>
  <c r="F89" i="19"/>
  <c r="E84" i="19"/>
  <c r="F81" i="19"/>
  <c r="E76" i="19"/>
  <c r="F73" i="19"/>
  <c r="E68" i="19"/>
  <c r="F65" i="19"/>
  <c r="E60" i="19"/>
  <c r="F57" i="19"/>
  <c r="E52" i="19"/>
  <c r="F49" i="19"/>
  <c r="E44" i="19"/>
  <c r="F41" i="19"/>
  <c r="E36" i="19"/>
  <c r="F33" i="19"/>
  <c r="E28" i="19"/>
  <c r="F25" i="19"/>
  <c r="E20" i="19"/>
  <c r="F17" i="19"/>
  <c r="E12" i="19"/>
  <c r="F9" i="19"/>
  <c r="E4" i="19"/>
  <c r="E201" i="19"/>
  <c r="F198" i="19"/>
  <c r="E193" i="19"/>
  <c r="F190" i="19"/>
  <c r="E185" i="19"/>
  <c r="F182" i="19"/>
  <c r="E177" i="19"/>
  <c r="F174" i="19"/>
  <c r="E169" i="19"/>
  <c r="F166" i="19"/>
  <c r="E161" i="19"/>
  <c r="F158" i="19"/>
  <c r="E153" i="19"/>
  <c r="F150" i="19"/>
  <c r="E145" i="19"/>
  <c r="F142" i="19"/>
  <c r="E137" i="19"/>
  <c r="F134" i="19"/>
  <c r="E129" i="19"/>
  <c r="F126" i="19"/>
  <c r="E121" i="19"/>
  <c r="F118" i="19"/>
  <c r="E113" i="19"/>
  <c r="F110" i="19"/>
  <c r="E105" i="19"/>
  <c r="F102" i="19"/>
  <c r="E97" i="19"/>
  <c r="F94" i="19"/>
  <c r="E89" i="19"/>
  <c r="F86" i="19"/>
  <c r="E81" i="19"/>
  <c r="F78" i="19"/>
  <c r="E73" i="19"/>
  <c r="F70" i="19"/>
  <c r="E65" i="19"/>
  <c r="F62" i="19"/>
  <c r="E57" i="19"/>
  <c r="F54" i="19"/>
  <c r="E49" i="19"/>
  <c r="F46" i="19"/>
  <c r="E41" i="19"/>
  <c r="F38" i="19"/>
  <c r="E33" i="19"/>
  <c r="F30" i="19"/>
  <c r="E25" i="19"/>
  <c r="F22" i="19"/>
  <c r="E17" i="19"/>
  <c r="F14" i="19"/>
  <c r="E9" i="19"/>
  <c r="F6" i="19"/>
  <c r="F3" i="19"/>
  <c r="G3" i="19"/>
  <c r="G4" i="19" s="1"/>
  <c r="BE20" i="11"/>
  <c r="BE21" i="11"/>
  <c r="BE19" i="11"/>
  <c r="AV4" i="11"/>
  <c r="AV5" i="11"/>
  <c r="AV6" i="11"/>
  <c r="AV7" i="11"/>
  <c r="AV8" i="11"/>
  <c r="AV9" i="11"/>
  <c r="AV10" i="11"/>
  <c r="AV11" i="11"/>
  <c r="AV12" i="11"/>
  <c r="AV13" i="11"/>
  <c r="AV14" i="11"/>
  <c r="AV15" i="11"/>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3" i="11"/>
  <c r="AU3" i="11"/>
  <c r="AU118" i="11"/>
  <c r="AU119" i="11"/>
  <c r="AU120" i="11"/>
  <c r="AU121" i="11"/>
  <c r="AU122" i="11"/>
  <c r="AU123" i="11"/>
  <c r="AU124" i="11"/>
  <c r="AU125" i="11"/>
  <c r="AU126" i="11"/>
  <c r="AU127" i="11"/>
  <c r="AU128" i="11"/>
  <c r="AU129" i="11"/>
  <c r="AU130" i="11"/>
  <c r="AU131" i="11"/>
  <c r="AU132" i="11"/>
  <c r="AU133" i="11"/>
  <c r="AU134" i="11"/>
  <c r="AU135" i="11"/>
  <c r="AU136" i="11"/>
  <c r="AU137" i="11"/>
  <c r="AU138" i="11"/>
  <c r="AU139" i="11"/>
  <c r="AU140" i="11"/>
  <c r="AU141" i="11"/>
  <c r="AU142" i="11"/>
  <c r="AU143" i="11"/>
  <c r="AU144" i="11"/>
  <c r="AU145" i="11"/>
  <c r="AU146" i="11"/>
  <c r="AU147" i="11"/>
  <c r="AU148" i="11"/>
  <c r="AU149" i="11"/>
  <c r="AU150" i="11"/>
  <c r="AU151" i="11"/>
  <c r="AU152" i="11"/>
  <c r="AU153" i="11"/>
  <c r="AU154" i="11"/>
  <c r="AU155" i="11"/>
  <c r="AU156" i="11"/>
  <c r="AU157" i="11"/>
  <c r="AU158" i="11"/>
  <c r="AU159" i="11"/>
  <c r="AU160" i="11"/>
  <c r="AU161" i="11"/>
  <c r="AU162" i="11"/>
  <c r="AU163" i="11"/>
  <c r="AU164" i="11"/>
  <c r="AU165" i="11"/>
  <c r="AU166" i="11"/>
  <c r="AU167" i="11"/>
  <c r="AU168" i="11"/>
  <c r="AU169" i="11"/>
  <c r="AU170" i="11"/>
  <c r="AU171" i="11"/>
  <c r="AU172" i="11"/>
  <c r="AU173" i="11"/>
  <c r="AU174" i="11"/>
  <c r="AU175" i="11"/>
  <c r="AU176" i="11"/>
  <c r="AU177" i="11"/>
  <c r="AU178" i="11"/>
  <c r="AU179" i="11"/>
  <c r="AU180" i="11"/>
  <c r="AU181" i="11"/>
  <c r="AU182" i="11"/>
  <c r="AU183" i="11"/>
  <c r="AU184" i="11"/>
  <c r="AU185" i="11"/>
  <c r="AU186" i="11"/>
  <c r="AU187" i="11"/>
  <c r="AU188" i="11"/>
  <c r="AU189" i="11"/>
  <c r="AU190" i="11"/>
  <c r="AU191" i="11"/>
  <c r="AU192" i="11"/>
  <c r="AU193" i="11"/>
  <c r="AU194" i="11"/>
  <c r="AU195" i="11"/>
  <c r="AU196" i="11"/>
  <c r="AU197" i="11"/>
  <c r="AU198" i="11"/>
  <c r="AU199" i="11"/>
  <c r="AU200" i="11"/>
  <c r="AU201" i="11"/>
  <c r="AU202" i="11"/>
  <c r="AX3" i="11"/>
  <c r="AW3" i="11"/>
  <c r="AW4" i="11" s="1"/>
  <c r="AW5" i="11" s="1"/>
  <c r="AW6" i="11" s="1"/>
  <c r="AW7" i="11" s="1"/>
  <c r="AW8" i="11" s="1"/>
  <c r="AW9" i="11" s="1"/>
  <c r="AW10" i="11" s="1"/>
  <c r="AW11" i="11" s="1"/>
  <c r="AW12" i="11" s="1"/>
  <c r="AW13" i="11" s="1"/>
  <c r="AW14" i="11" s="1"/>
  <c r="AW15" i="11" s="1"/>
  <c r="AW16" i="11" s="1"/>
  <c r="AW17" i="11" s="1"/>
  <c r="AW18" i="11" s="1"/>
  <c r="AW19" i="11" s="1"/>
  <c r="AW20" i="11" s="1"/>
  <c r="AW21" i="11" s="1"/>
  <c r="AW22" i="11" s="1"/>
  <c r="AW23" i="11" s="1"/>
  <c r="AW24" i="11" s="1"/>
  <c r="AW25" i="11" s="1"/>
  <c r="AW26" i="11" s="1"/>
  <c r="AW27" i="11" s="1"/>
  <c r="AW28" i="11" s="1"/>
  <c r="AW29" i="11" s="1"/>
  <c r="AW30" i="11" s="1"/>
  <c r="AW31" i="11" s="1"/>
  <c r="AW32" i="11" s="1"/>
  <c r="AW33" i="11" s="1"/>
  <c r="AW34" i="11" s="1"/>
  <c r="AW35" i="11" s="1"/>
  <c r="AW36" i="11" s="1"/>
  <c r="AW37" i="11" s="1"/>
  <c r="AW38" i="11" s="1"/>
  <c r="AW39" i="11" s="1"/>
  <c r="AW40" i="11" s="1"/>
  <c r="AW41" i="11" s="1"/>
  <c r="AW42" i="11" s="1"/>
  <c r="AW43" i="11" s="1"/>
  <c r="AW44" i="11" s="1"/>
  <c r="AW45" i="11" s="1"/>
  <c r="AW46" i="11" s="1"/>
  <c r="AW47" i="11" s="1"/>
  <c r="AW48" i="11" s="1"/>
  <c r="AW49" i="11" s="1"/>
  <c r="AW50" i="11" s="1"/>
  <c r="AW51" i="11" s="1"/>
  <c r="AW52" i="11" s="1"/>
  <c r="AW53" i="11" s="1"/>
  <c r="AW54" i="11" s="1"/>
  <c r="AW55" i="11" s="1"/>
  <c r="AW56" i="11" s="1"/>
  <c r="AW57" i="11" s="1"/>
  <c r="AW58" i="11" s="1"/>
  <c r="AW59" i="11" s="1"/>
  <c r="AW60" i="11" s="1"/>
  <c r="AW61" i="11" s="1"/>
  <c r="AW62" i="11" s="1"/>
  <c r="AW63" i="11" s="1"/>
  <c r="AW64" i="11" s="1"/>
  <c r="AW65" i="11" s="1"/>
  <c r="AW66" i="11" s="1"/>
  <c r="AW67" i="11" s="1"/>
  <c r="AW68" i="11" s="1"/>
  <c r="AW69" i="11" s="1"/>
  <c r="AW70" i="11" s="1"/>
  <c r="AW71" i="11" s="1"/>
  <c r="AW72" i="11" s="1"/>
  <c r="AW73" i="11" s="1"/>
  <c r="AW74" i="11" s="1"/>
  <c r="AW75" i="11" s="1"/>
  <c r="AW76" i="11" s="1"/>
  <c r="AW77" i="11" s="1"/>
  <c r="AW78" i="11" s="1"/>
  <c r="AW79" i="11" s="1"/>
  <c r="AW80" i="11" s="1"/>
  <c r="AW81" i="11" s="1"/>
  <c r="AW82" i="11" s="1"/>
  <c r="AW83" i="11" s="1"/>
  <c r="AW84" i="11" s="1"/>
  <c r="AW85" i="11" s="1"/>
  <c r="AW86" i="11" s="1"/>
  <c r="AW87" i="11" s="1"/>
  <c r="AW88" i="11" s="1"/>
  <c r="AW89" i="11" s="1"/>
  <c r="AW90" i="11" s="1"/>
  <c r="AW91" i="11" s="1"/>
  <c r="AW92" i="11" s="1"/>
  <c r="AW93" i="11" s="1"/>
  <c r="AW94" i="11" s="1"/>
  <c r="AW95" i="11" s="1"/>
  <c r="AW96" i="11" s="1"/>
  <c r="AW97" i="11" s="1"/>
  <c r="AW98" i="11" s="1"/>
  <c r="AW99" i="11" s="1"/>
  <c r="AW100" i="11" s="1"/>
  <c r="AW101" i="11" s="1"/>
  <c r="AW102" i="11" s="1"/>
  <c r="AW103" i="11" s="1"/>
  <c r="AW104" i="11" s="1"/>
  <c r="AW105" i="11" s="1"/>
  <c r="AW106" i="11" s="1"/>
  <c r="AW107" i="11" s="1"/>
  <c r="AW108" i="11" s="1"/>
  <c r="AW109" i="11" s="1"/>
  <c r="AW110" i="11" s="1"/>
  <c r="AW111" i="11" s="1"/>
  <c r="AW112" i="11" s="1"/>
  <c r="AW113" i="11" s="1"/>
  <c r="AW114" i="11" s="1"/>
  <c r="AW115" i="11" s="1"/>
  <c r="AW116" i="11" s="1"/>
  <c r="AW117" i="11" s="1"/>
  <c r="AW118" i="11" s="1"/>
  <c r="AW119" i="11" s="1"/>
  <c r="AW120" i="11" s="1"/>
  <c r="AW121" i="11" s="1"/>
  <c r="AW122" i="11" s="1"/>
  <c r="AW123" i="11" s="1"/>
  <c r="AW124" i="11" s="1"/>
  <c r="AW125" i="11" s="1"/>
  <c r="AW126" i="11" s="1"/>
  <c r="AW127" i="11" s="1"/>
  <c r="AW128" i="11" s="1"/>
  <c r="AW129" i="11" s="1"/>
  <c r="AW130" i="11" s="1"/>
  <c r="AW131" i="11" s="1"/>
  <c r="AW132" i="11" s="1"/>
  <c r="AW133" i="11" s="1"/>
  <c r="AW134" i="11" s="1"/>
  <c r="AW135" i="11" s="1"/>
  <c r="AW136" i="11" s="1"/>
  <c r="AW137" i="11" s="1"/>
  <c r="AW138" i="11" s="1"/>
  <c r="AW139" i="11" s="1"/>
  <c r="AW140" i="11" s="1"/>
  <c r="AW141" i="11" s="1"/>
  <c r="AW142" i="11" s="1"/>
  <c r="AW143" i="11" s="1"/>
  <c r="AW144" i="11" s="1"/>
  <c r="AW145" i="11" s="1"/>
  <c r="AW146" i="11" s="1"/>
  <c r="AW147" i="11" s="1"/>
  <c r="AW148" i="11" s="1"/>
  <c r="AW149" i="11" s="1"/>
  <c r="AW150" i="11" s="1"/>
  <c r="AW151" i="11" s="1"/>
  <c r="AW152" i="11" s="1"/>
  <c r="AW153" i="11" s="1"/>
  <c r="AW154" i="11" s="1"/>
  <c r="AW155" i="11" s="1"/>
  <c r="AW156" i="11" s="1"/>
  <c r="AW157" i="11" s="1"/>
  <c r="AW158" i="11" s="1"/>
  <c r="AW159" i="11" s="1"/>
  <c r="AW160" i="11" s="1"/>
  <c r="AW161" i="11" s="1"/>
  <c r="AW162" i="11" s="1"/>
  <c r="AW163" i="11" s="1"/>
  <c r="AW164" i="11" s="1"/>
  <c r="AW165" i="11" s="1"/>
  <c r="AW166" i="11" s="1"/>
  <c r="AW167" i="11" s="1"/>
  <c r="AW168" i="11" s="1"/>
  <c r="AW169" i="11" s="1"/>
  <c r="AW170" i="11" s="1"/>
  <c r="AW171" i="11" s="1"/>
  <c r="AW172" i="11" s="1"/>
  <c r="AW173" i="11" s="1"/>
  <c r="AW174" i="11" s="1"/>
  <c r="AW175" i="11" s="1"/>
  <c r="AW176" i="11" s="1"/>
  <c r="AW177" i="11" s="1"/>
  <c r="AW178" i="11" s="1"/>
  <c r="AW179" i="11" s="1"/>
  <c r="AW180" i="11" s="1"/>
  <c r="AW181" i="11" s="1"/>
  <c r="AW182" i="11" s="1"/>
  <c r="AW183" i="11" s="1"/>
  <c r="AW184" i="11" s="1"/>
  <c r="AW185" i="11" s="1"/>
  <c r="AW186" i="11" s="1"/>
  <c r="AW187" i="11" s="1"/>
  <c r="AW188" i="11" s="1"/>
  <c r="AW189" i="11" s="1"/>
  <c r="AW190" i="11" s="1"/>
  <c r="AW191" i="11" s="1"/>
  <c r="AW192" i="11" s="1"/>
  <c r="AW193" i="11" s="1"/>
  <c r="AW194" i="11" s="1"/>
  <c r="AW195" i="11" s="1"/>
  <c r="AW196" i="11" s="1"/>
  <c r="AW197" i="11" s="1"/>
  <c r="AW198" i="11" s="1"/>
  <c r="AW199" i="11" s="1"/>
  <c r="AW200" i="11" s="1"/>
  <c r="AW201" i="11" s="1"/>
  <c r="AW202" i="11" s="1"/>
  <c r="AU117" i="11"/>
  <c r="AU116" i="11"/>
  <c r="AU115" i="11"/>
  <c r="AU114" i="11"/>
  <c r="AU113" i="11"/>
  <c r="AU112" i="11"/>
  <c r="AU111" i="11"/>
  <c r="AU110" i="11"/>
  <c r="AU109" i="11"/>
  <c r="AU108" i="11"/>
  <c r="AU107" i="11"/>
  <c r="AU106" i="11"/>
  <c r="AU105" i="11"/>
  <c r="AU104" i="11"/>
  <c r="AU103" i="11"/>
  <c r="AU102" i="11"/>
  <c r="AU101" i="11"/>
  <c r="AU100" i="11"/>
  <c r="AU99" i="11"/>
  <c r="AU98" i="11"/>
  <c r="AU97" i="11"/>
  <c r="AU96" i="11"/>
  <c r="AU95" i="11"/>
  <c r="AU94" i="11"/>
  <c r="AU93" i="11"/>
  <c r="AU92" i="11"/>
  <c r="AU91" i="11"/>
  <c r="AU90" i="11"/>
  <c r="AU89" i="11"/>
  <c r="AU88" i="11"/>
  <c r="AU87" i="11"/>
  <c r="AU86" i="11"/>
  <c r="AU85" i="11"/>
  <c r="AU84" i="11"/>
  <c r="AU83" i="11"/>
  <c r="AU82" i="11"/>
  <c r="AU81" i="11"/>
  <c r="AU80" i="11"/>
  <c r="AU79" i="11"/>
  <c r="AU78" i="11"/>
  <c r="AU77" i="11"/>
  <c r="AU76" i="11"/>
  <c r="AU75" i="11"/>
  <c r="AU74" i="11"/>
  <c r="AU73" i="11"/>
  <c r="AU72" i="11"/>
  <c r="AU71" i="11"/>
  <c r="AU70" i="11"/>
  <c r="AU69" i="11"/>
  <c r="AU68" i="11"/>
  <c r="AU67" i="11"/>
  <c r="AU66" i="11"/>
  <c r="AU65" i="11"/>
  <c r="AU64" i="11"/>
  <c r="AU63" i="11"/>
  <c r="AU62" i="11"/>
  <c r="AU61" i="11"/>
  <c r="AU60" i="11"/>
  <c r="AU59" i="11"/>
  <c r="AU58" i="11"/>
  <c r="AU57" i="11"/>
  <c r="AU56" i="11"/>
  <c r="AU55" i="11"/>
  <c r="AU54" i="11"/>
  <c r="AU53" i="11"/>
  <c r="AU52" i="11"/>
  <c r="AU51" i="11"/>
  <c r="AU50" i="11"/>
  <c r="AU49" i="11"/>
  <c r="AU48" i="11"/>
  <c r="AU47" i="11"/>
  <c r="AU46" i="11"/>
  <c r="AU45" i="11"/>
  <c r="AU44" i="11"/>
  <c r="AU43" i="11"/>
  <c r="AU42" i="11"/>
  <c r="AU41" i="11"/>
  <c r="AU40" i="11"/>
  <c r="AU39" i="11"/>
  <c r="AU38" i="11"/>
  <c r="AU37" i="11"/>
  <c r="AU36" i="11"/>
  <c r="AU35" i="11"/>
  <c r="AU34" i="11"/>
  <c r="AU33" i="11"/>
  <c r="AU32" i="11"/>
  <c r="AU31" i="11"/>
  <c r="AU30" i="11"/>
  <c r="AU29" i="11"/>
  <c r="AU28" i="11"/>
  <c r="AU27" i="11"/>
  <c r="AU26" i="11"/>
  <c r="AU25" i="11"/>
  <c r="AU24" i="11"/>
  <c r="AU23" i="11"/>
  <c r="AU22" i="11"/>
  <c r="AU21" i="11"/>
  <c r="AU20" i="11"/>
  <c r="AU19" i="11"/>
  <c r="AU18" i="11"/>
  <c r="AU17" i="11"/>
  <c r="AU16" i="11"/>
  <c r="AU15" i="11"/>
  <c r="AU14" i="11"/>
  <c r="AU13" i="11"/>
  <c r="AU12" i="11"/>
  <c r="AU11" i="11"/>
  <c r="AU10" i="11"/>
  <c r="AU9" i="11"/>
  <c r="AU8" i="11"/>
  <c r="AU7" i="11"/>
  <c r="AU6" i="11"/>
  <c r="AU5" i="11"/>
  <c r="AU4" i="11"/>
  <c r="AX4" i="11" s="1"/>
  <c r="AX5" i="11" l="1"/>
  <c r="AX6" i="11" s="1"/>
  <c r="AX7" i="11" s="1"/>
  <c r="AX8" i="11" s="1"/>
  <c r="AX9" i="11" s="1"/>
  <c r="AX10" i="11" s="1"/>
  <c r="AX11" i="11" s="1"/>
  <c r="AX12" i="11" s="1"/>
  <c r="AX13" i="11" s="1"/>
  <c r="AX14" i="11" s="1"/>
  <c r="AX15" i="11" s="1"/>
  <c r="AX16" i="11" s="1"/>
  <c r="AH11" i="20"/>
  <c r="AK10" i="20"/>
  <c r="AJ10" i="20"/>
  <c r="J5" i="19"/>
  <c r="J6" i="19" s="1"/>
  <c r="J7" i="19" s="1"/>
  <c r="J8" i="19" s="1"/>
  <c r="J9" i="19" s="1"/>
  <c r="J10" i="19" s="1"/>
  <c r="J11" i="19" s="1"/>
  <c r="J12" i="19" s="1"/>
  <c r="J13" i="19" s="1"/>
  <c r="J14" i="19" s="1"/>
  <c r="J15" i="19" s="1"/>
  <c r="J16" i="19" s="1"/>
  <c r="J17" i="19" s="1"/>
  <c r="J18" i="19" s="1"/>
  <c r="J19" i="19" s="1"/>
  <c r="J20" i="19" s="1"/>
  <c r="J21" i="19" s="1"/>
  <c r="J22" i="19" s="1"/>
  <c r="J23" i="19" s="1"/>
  <c r="J24" i="19" s="1"/>
  <c r="J25" i="19" s="1"/>
  <c r="J26" i="19" s="1"/>
  <c r="J27" i="19" s="1"/>
  <c r="J28" i="19" s="1"/>
  <c r="J29" i="19" s="1"/>
  <c r="J30" i="19" s="1"/>
  <c r="J31" i="19" s="1"/>
  <c r="J32" i="19" s="1"/>
  <c r="J33" i="19" s="1"/>
  <c r="J34" i="19" s="1"/>
  <c r="J35" i="19" s="1"/>
  <c r="J36" i="19" s="1"/>
  <c r="J37" i="19" s="1"/>
  <c r="J38" i="19" s="1"/>
  <c r="J39" i="19" s="1"/>
  <c r="J40" i="19" s="1"/>
  <c r="J41" i="19" s="1"/>
  <c r="J42" i="19" s="1"/>
  <c r="J43" i="19" s="1"/>
  <c r="I5" i="19"/>
  <c r="I6" i="19" s="1"/>
  <c r="H5" i="19"/>
  <c r="H6" i="19" s="1"/>
  <c r="H7" i="19" s="1"/>
  <c r="H8" i="19" s="1"/>
  <c r="H9" i="19" s="1"/>
  <c r="H10" i="19" s="1"/>
  <c r="H11" i="19" s="1"/>
  <c r="H12" i="19" s="1"/>
  <c r="H13" i="19" s="1"/>
  <c r="H14" i="19" s="1"/>
  <c r="H15" i="19" s="1"/>
  <c r="H16" i="19" s="1"/>
  <c r="H17" i="19" s="1"/>
  <c r="H18" i="19" s="1"/>
  <c r="H19" i="19" s="1"/>
  <c r="H20" i="19" s="1"/>
  <c r="H21" i="19" s="1"/>
  <c r="H22" i="19" s="1"/>
  <c r="H23" i="19" s="1"/>
  <c r="H24" i="19" s="1"/>
  <c r="H25" i="19" s="1"/>
  <c r="H26" i="19" s="1"/>
  <c r="H27" i="19" s="1"/>
  <c r="H28" i="19" s="1"/>
  <c r="H29" i="19" s="1"/>
  <c r="H30" i="19" s="1"/>
  <c r="H31" i="19" s="1"/>
  <c r="H32" i="19" s="1"/>
  <c r="H33" i="19" s="1"/>
  <c r="H34" i="19" s="1"/>
  <c r="H35" i="19" s="1"/>
  <c r="H36" i="19" s="1"/>
  <c r="H37" i="19" s="1"/>
  <c r="H38" i="19" s="1"/>
  <c r="H39" i="19" s="1"/>
  <c r="H40" i="19" s="1"/>
  <c r="H41" i="19" s="1"/>
  <c r="H42" i="19" s="1"/>
  <c r="H43" i="19" s="1"/>
  <c r="H44" i="19" s="1"/>
  <c r="H45" i="19" s="1"/>
  <c r="H46" i="19" s="1"/>
  <c r="H47" i="19" s="1"/>
  <c r="H48" i="19" s="1"/>
  <c r="H49" i="19" s="1"/>
  <c r="H50" i="19" s="1"/>
  <c r="H51" i="19" s="1"/>
  <c r="H52" i="19" s="1"/>
  <c r="H53" i="19" s="1"/>
  <c r="H54" i="19" s="1"/>
  <c r="H55" i="19" s="1"/>
  <c r="H56" i="19" s="1"/>
  <c r="H57" i="19" s="1"/>
  <c r="H58" i="19" s="1"/>
  <c r="H59" i="19" s="1"/>
  <c r="H60" i="19" s="1"/>
  <c r="H61" i="19" s="1"/>
  <c r="H62" i="19" s="1"/>
  <c r="H63" i="19" s="1"/>
  <c r="H64" i="19" s="1"/>
  <c r="H65" i="19" s="1"/>
  <c r="H66" i="19" s="1"/>
  <c r="H67" i="19" s="1"/>
  <c r="H68" i="19" s="1"/>
  <c r="H69" i="19" s="1"/>
  <c r="H70" i="19" s="1"/>
  <c r="H71" i="19" s="1"/>
  <c r="H72" i="19" s="1"/>
  <c r="H73" i="19" s="1"/>
  <c r="H74" i="19" s="1"/>
  <c r="H75" i="19" s="1"/>
  <c r="H76" i="19" s="1"/>
  <c r="H77" i="19" s="1"/>
  <c r="H78" i="19" s="1"/>
  <c r="H79" i="19" s="1"/>
  <c r="H80" i="19" s="1"/>
  <c r="H81" i="19" s="1"/>
  <c r="H82" i="19" s="1"/>
  <c r="H83" i="19" s="1"/>
  <c r="H84" i="19" s="1"/>
  <c r="H85" i="19" s="1"/>
  <c r="H86" i="19" s="1"/>
  <c r="H87" i="19" s="1"/>
  <c r="H88" i="19" s="1"/>
  <c r="H89" i="19" s="1"/>
  <c r="H90" i="19" s="1"/>
  <c r="H91" i="19" s="1"/>
  <c r="H92" i="19" s="1"/>
  <c r="H93" i="19" s="1"/>
  <c r="H94" i="19" s="1"/>
  <c r="H95" i="19" s="1"/>
  <c r="H96" i="19" s="1"/>
  <c r="K14" i="19"/>
  <c r="K15" i="19" s="1"/>
  <c r="K16" i="19" s="1"/>
  <c r="K17" i="19" s="1"/>
  <c r="K18" i="19" s="1"/>
  <c r="K19" i="19" s="1"/>
  <c r="K20" i="19" s="1"/>
  <c r="K21" i="19" s="1"/>
  <c r="K22" i="19" s="1"/>
  <c r="K23" i="19" s="1"/>
  <c r="K24" i="19" s="1"/>
  <c r="K25" i="19" s="1"/>
  <c r="K26" i="19" s="1"/>
  <c r="K27" i="19" s="1"/>
  <c r="K28" i="19" s="1"/>
  <c r="K29" i="19" s="1"/>
  <c r="K30" i="19" s="1"/>
  <c r="K31" i="19" s="1"/>
  <c r="K32" i="19" s="1"/>
  <c r="K33" i="19" s="1"/>
  <c r="K34" i="19" s="1"/>
  <c r="K35" i="19" s="1"/>
  <c r="K36" i="19" s="1"/>
  <c r="K37" i="19" s="1"/>
  <c r="K38" i="19" s="1"/>
  <c r="K39" i="19" s="1"/>
  <c r="K40" i="19" s="1"/>
  <c r="K41" i="19" s="1"/>
  <c r="K42" i="19" s="1"/>
  <c r="K43" i="19" s="1"/>
  <c r="K44" i="19" s="1"/>
  <c r="K45" i="19" s="1"/>
  <c r="K46" i="19" s="1"/>
  <c r="K47" i="19" s="1"/>
  <c r="K48" i="19" s="1"/>
  <c r="K49" i="19" s="1"/>
  <c r="K50" i="19" s="1"/>
  <c r="K51" i="19" s="1"/>
  <c r="K52" i="19" s="1"/>
  <c r="K53" i="19" s="1"/>
  <c r="K54" i="19" s="1"/>
  <c r="K55" i="19" s="1"/>
  <c r="K56" i="19" s="1"/>
  <c r="K57" i="19" s="1"/>
  <c r="K58" i="19" s="1"/>
  <c r="K59" i="19" s="1"/>
  <c r="K60" i="19" s="1"/>
  <c r="K61" i="19" s="1"/>
  <c r="K62" i="19" s="1"/>
  <c r="K63" i="19" s="1"/>
  <c r="K64" i="19" s="1"/>
  <c r="K65" i="19" s="1"/>
  <c r="K66" i="19" s="1"/>
  <c r="K67" i="19" s="1"/>
  <c r="K68" i="19" s="1"/>
  <c r="K69" i="19" s="1"/>
  <c r="K70" i="19" s="1"/>
  <c r="K71" i="19" s="1"/>
  <c r="K72" i="19" s="1"/>
  <c r="K73" i="19" s="1"/>
  <c r="K74" i="19" s="1"/>
  <c r="K75" i="19" s="1"/>
  <c r="K76" i="19" s="1"/>
  <c r="K77" i="19" s="1"/>
  <c r="K78" i="19" s="1"/>
  <c r="K79" i="19" s="1"/>
  <c r="K80" i="19" s="1"/>
  <c r="K81" i="19" s="1"/>
  <c r="K82" i="19" s="1"/>
  <c r="K83" i="19" s="1"/>
  <c r="K84" i="19" s="1"/>
  <c r="K85" i="19" s="1"/>
  <c r="K86" i="19" s="1"/>
  <c r="K87" i="19" s="1"/>
  <c r="K88" i="19" s="1"/>
  <c r="K89" i="19" s="1"/>
  <c r="K90" i="19" s="1"/>
  <c r="K91" i="19" s="1"/>
  <c r="K92" i="19" s="1"/>
  <c r="K93" i="19" s="1"/>
  <c r="K94" i="19" s="1"/>
  <c r="K95" i="19" s="1"/>
  <c r="K96" i="19" s="1"/>
  <c r="K97" i="19" s="1"/>
  <c r="K98" i="19" s="1"/>
  <c r="K99" i="19" s="1"/>
  <c r="K100" i="19" s="1"/>
  <c r="K101" i="19" s="1"/>
  <c r="K102" i="19" s="1"/>
  <c r="K103" i="19" s="1"/>
  <c r="K104" i="19" s="1"/>
  <c r="K105" i="19" s="1"/>
  <c r="K106" i="19" s="1"/>
  <c r="K107" i="19" s="1"/>
  <c r="K108" i="19" s="1"/>
  <c r="K109" i="19" s="1"/>
  <c r="K110" i="19" s="1"/>
  <c r="K111" i="19" s="1"/>
  <c r="K112" i="19" s="1"/>
  <c r="K113" i="19" s="1"/>
  <c r="K114" i="19" s="1"/>
  <c r="K115" i="19" s="1"/>
  <c r="K116" i="19" s="1"/>
  <c r="K117" i="19" s="1"/>
  <c r="K118" i="19" s="1"/>
  <c r="K119" i="19" s="1"/>
  <c r="K120" i="19" s="1"/>
  <c r="K121" i="19" s="1"/>
  <c r="K122" i="19" s="1"/>
  <c r="K123" i="19" s="1"/>
  <c r="K124" i="19" s="1"/>
  <c r="K125" i="19" s="1"/>
  <c r="K126" i="19" s="1"/>
  <c r="K127" i="19" s="1"/>
  <c r="K128" i="19" s="1"/>
  <c r="K129" i="19" s="1"/>
  <c r="K130" i="19" s="1"/>
  <c r="K131" i="19" s="1"/>
  <c r="K132" i="19" s="1"/>
  <c r="K133" i="19" s="1"/>
  <c r="K134" i="19" s="1"/>
  <c r="K135" i="19" s="1"/>
  <c r="K136" i="19" s="1"/>
  <c r="K137" i="19" s="1"/>
  <c r="K138" i="19" s="1"/>
  <c r="K139" i="19" s="1"/>
  <c r="K140" i="19" s="1"/>
  <c r="K141" i="19" s="1"/>
  <c r="K142" i="19" s="1"/>
  <c r="K143" i="19" s="1"/>
  <c r="K144" i="19" s="1"/>
  <c r="K145" i="19" s="1"/>
  <c r="K146" i="19" s="1"/>
  <c r="K147" i="19" s="1"/>
  <c r="K148" i="19" s="1"/>
  <c r="K149" i="19" s="1"/>
  <c r="K150" i="19" s="1"/>
  <c r="K151" i="19" s="1"/>
  <c r="K152" i="19" s="1"/>
  <c r="K153" i="19" s="1"/>
  <c r="K154" i="19" s="1"/>
  <c r="K155" i="19" s="1"/>
  <c r="K156" i="19" s="1"/>
  <c r="K157" i="19" s="1"/>
  <c r="K158" i="19" s="1"/>
  <c r="K159" i="19" s="1"/>
  <c r="K160" i="19" s="1"/>
  <c r="K161" i="19" s="1"/>
  <c r="K162" i="19" s="1"/>
  <c r="K163" i="19" s="1"/>
  <c r="K164" i="19" s="1"/>
  <c r="K165" i="19" s="1"/>
  <c r="K166" i="19" s="1"/>
  <c r="K167" i="19" s="1"/>
  <c r="K168" i="19" s="1"/>
  <c r="K169" i="19" s="1"/>
  <c r="K170" i="19" s="1"/>
  <c r="K171" i="19" s="1"/>
  <c r="K172" i="19" s="1"/>
  <c r="K173" i="19" s="1"/>
  <c r="K174" i="19" s="1"/>
  <c r="K175" i="19" s="1"/>
  <c r="K176" i="19" s="1"/>
  <c r="K177" i="19" s="1"/>
  <c r="K178" i="19" s="1"/>
  <c r="K179" i="19" s="1"/>
  <c r="K180" i="19" s="1"/>
  <c r="K181" i="19" s="1"/>
  <c r="K182" i="19" s="1"/>
  <c r="K183" i="19" s="1"/>
  <c r="K184" i="19" s="1"/>
  <c r="K185" i="19" s="1"/>
  <c r="K186" i="19" s="1"/>
  <c r="K187" i="19" s="1"/>
  <c r="K188" i="19" s="1"/>
  <c r="K189" i="19" s="1"/>
  <c r="K190" i="19" s="1"/>
  <c r="K191" i="19" s="1"/>
  <c r="K192" i="19" s="1"/>
  <c r="K193" i="19" s="1"/>
  <c r="K194" i="19" s="1"/>
  <c r="K195" i="19" s="1"/>
  <c r="K196" i="19" s="1"/>
  <c r="K197" i="19" s="1"/>
  <c r="K198" i="19" s="1"/>
  <c r="K199" i="19" s="1"/>
  <c r="K200" i="19" s="1"/>
  <c r="K201" i="19" s="1"/>
  <c r="K202" i="19" s="1"/>
  <c r="I4" i="19"/>
  <c r="AC3" i="19"/>
  <c r="AC4" i="19" s="1"/>
  <c r="AC5" i="19" s="1"/>
  <c r="AC6" i="19" s="1"/>
  <c r="AC7" i="19" s="1"/>
  <c r="AC8" i="19" s="1"/>
  <c r="AC9" i="19" s="1"/>
  <c r="AC10" i="19" s="1"/>
  <c r="AC11" i="19" s="1"/>
  <c r="AC12" i="19" s="1"/>
  <c r="AC13" i="19" s="1"/>
  <c r="AC14" i="19" s="1"/>
  <c r="AC15" i="19" s="1"/>
  <c r="AC16" i="19" s="1"/>
  <c r="AC17" i="19" s="1"/>
  <c r="AC18" i="19" s="1"/>
  <c r="AC19" i="19" s="1"/>
  <c r="AC20" i="19" s="1"/>
  <c r="AC21" i="19" s="1"/>
  <c r="AC22" i="19" s="1"/>
  <c r="AC23" i="19" s="1"/>
  <c r="AC24" i="19" s="1"/>
  <c r="AC25" i="19" s="1"/>
  <c r="AC26" i="19" s="1"/>
  <c r="AC27" i="19" s="1"/>
  <c r="AC28" i="19" s="1"/>
  <c r="AC29" i="19" s="1"/>
  <c r="AC30" i="19" s="1"/>
  <c r="AC31" i="19" s="1"/>
  <c r="AC32" i="19" s="1"/>
  <c r="AC33" i="19" s="1"/>
  <c r="AC34" i="19" s="1"/>
  <c r="AC35" i="19" s="1"/>
  <c r="AC36" i="19" s="1"/>
  <c r="AC37" i="19" s="1"/>
  <c r="AC38" i="19" s="1"/>
  <c r="AC39" i="19" s="1"/>
  <c r="AC40" i="19" s="1"/>
  <c r="AC41" i="19" s="1"/>
  <c r="AC42" i="19" s="1"/>
  <c r="AC43" i="19" s="1"/>
  <c r="AC44" i="19" s="1"/>
  <c r="AC45" i="19" s="1"/>
  <c r="AC46" i="19" s="1"/>
  <c r="AC47" i="19" s="1"/>
  <c r="AC48" i="19" s="1"/>
  <c r="AC49" i="19" s="1"/>
  <c r="AC50" i="19" s="1"/>
  <c r="AC51" i="19" s="1"/>
  <c r="AC52" i="19" s="1"/>
  <c r="AC53" i="19" s="1"/>
  <c r="AC54" i="19" s="1"/>
  <c r="AC55" i="19" s="1"/>
  <c r="AC56" i="19" s="1"/>
  <c r="AC57" i="19" s="1"/>
  <c r="AC58" i="19" s="1"/>
  <c r="AC59" i="19" s="1"/>
  <c r="AC60" i="19" s="1"/>
  <c r="AC61" i="19" s="1"/>
  <c r="AC62" i="19" s="1"/>
  <c r="AC63" i="19" s="1"/>
  <c r="AC64" i="19" s="1"/>
  <c r="AC65" i="19" s="1"/>
  <c r="AC66" i="19" s="1"/>
  <c r="AC67" i="19" s="1"/>
  <c r="AC68" i="19" s="1"/>
  <c r="AC69" i="19" s="1"/>
  <c r="AC70" i="19" s="1"/>
  <c r="AC71" i="19" s="1"/>
  <c r="AC72" i="19" s="1"/>
  <c r="AC73" i="19" s="1"/>
  <c r="AC74" i="19" s="1"/>
  <c r="AC75" i="19" s="1"/>
  <c r="AC76" i="19" s="1"/>
  <c r="AC77" i="19" s="1"/>
  <c r="AC78" i="19" s="1"/>
  <c r="AC79" i="19" s="1"/>
  <c r="AC80" i="19" s="1"/>
  <c r="AC81" i="19" s="1"/>
  <c r="AC82" i="19" s="1"/>
  <c r="AC83" i="19" s="1"/>
  <c r="AC84" i="19" s="1"/>
  <c r="AC85" i="19" s="1"/>
  <c r="AC86" i="19" s="1"/>
  <c r="AC87" i="19" s="1"/>
  <c r="AC88" i="19" s="1"/>
  <c r="AC89" i="19" s="1"/>
  <c r="AC90" i="19" s="1"/>
  <c r="AC91" i="19" s="1"/>
  <c r="AC92" i="19" s="1"/>
  <c r="AC93" i="19" s="1"/>
  <c r="AC94" i="19" s="1"/>
  <c r="AC95" i="19" s="1"/>
  <c r="AC96" i="19" s="1"/>
  <c r="AC97" i="19" s="1"/>
  <c r="AC98" i="19" s="1"/>
  <c r="AC99" i="19" s="1"/>
  <c r="AC100" i="19" s="1"/>
  <c r="AC101" i="19" s="1"/>
  <c r="AC102" i="19" s="1"/>
  <c r="AC103" i="19" s="1"/>
  <c r="AC104" i="19" s="1"/>
  <c r="AC105" i="19" s="1"/>
  <c r="AC106" i="19" s="1"/>
  <c r="AC107" i="19" s="1"/>
  <c r="AC108" i="19" s="1"/>
  <c r="AC109" i="19" s="1"/>
  <c r="AC110" i="19" s="1"/>
  <c r="AC111" i="19" s="1"/>
  <c r="AC112" i="19" s="1"/>
  <c r="AC113" i="19" s="1"/>
  <c r="AC114" i="19" s="1"/>
  <c r="AC115" i="19" s="1"/>
  <c r="AC116" i="19" s="1"/>
  <c r="AC117" i="19" s="1"/>
  <c r="AC118" i="19" s="1"/>
  <c r="AC119" i="19" s="1"/>
  <c r="AC120" i="19" s="1"/>
  <c r="AC121" i="19" s="1"/>
  <c r="AC122" i="19" s="1"/>
  <c r="AC123" i="19" s="1"/>
  <c r="AC124" i="19" s="1"/>
  <c r="AC125" i="19" s="1"/>
  <c r="AC126" i="19" s="1"/>
  <c r="AC127" i="19" s="1"/>
  <c r="AC128" i="19" s="1"/>
  <c r="AC129" i="19" s="1"/>
  <c r="AC130" i="19" s="1"/>
  <c r="AC131" i="19" s="1"/>
  <c r="AC132" i="19" s="1"/>
  <c r="AC133" i="19" s="1"/>
  <c r="AC134" i="19" s="1"/>
  <c r="AC135" i="19" s="1"/>
  <c r="AC136" i="19" s="1"/>
  <c r="AC137" i="19" s="1"/>
  <c r="AC138" i="19" s="1"/>
  <c r="AC139" i="19" s="1"/>
  <c r="AC140" i="19" s="1"/>
  <c r="AC141" i="19" s="1"/>
  <c r="AC142" i="19" s="1"/>
  <c r="AC143" i="19" s="1"/>
  <c r="AC144" i="19" s="1"/>
  <c r="AC145" i="19" s="1"/>
  <c r="AC146" i="19" s="1"/>
  <c r="AC147" i="19" s="1"/>
  <c r="AC148" i="19" s="1"/>
  <c r="AC149" i="19" s="1"/>
  <c r="AC150" i="19" s="1"/>
  <c r="AC151" i="19" s="1"/>
  <c r="AC152" i="19" s="1"/>
  <c r="AC153" i="19" s="1"/>
  <c r="AC154" i="19" s="1"/>
  <c r="AC155" i="19" s="1"/>
  <c r="AC156" i="19" s="1"/>
  <c r="AC157" i="19" s="1"/>
  <c r="AC158" i="19" s="1"/>
  <c r="AC159" i="19" s="1"/>
  <c r="AC160" i="19" s="1"/>
  <c r="AC161" i="19" s="1"/>
  <c r="AC162" i="19" s="1"/>
  <c r="AC163" i="19" s="1"/>
  <c r="AC164" i="19" s="1"/>
  <c r="AC165" i="19" s="1"/>
  <c r="AC166" i="19" s="1"/>
  <c r="AC167" i="19" s="1"/>
  <c r="AC168" i="19" s="1"/>
  <c r="AC169" i="19" s="1"/>
  <c r="AC170" i="19" s="1"/>
  <c r="AC171" i="19" s="1"/>
  <c r="AC172" i="19" s="1"/>
  <c r="AC173" i="19" s="1"/>
  <c r="AC174" i="19" s="1"/>
  <c r="AC175" i="19" s="1"/>
  <c r="AC176" i="19" s="1"/>
  <c r="AC177" i="19" s="1"/>
  <c r="AC178" i="19" s="1"/>
  <c r="AC179" i="19" s="1"/>
  <c r="AC180" i="19" s="1"/>
  <c r="AC181" i="19" s="1"/>
  <c r="AC182" i="19" s="1"/>
  <c r="AC183" i="19" s="1"/>
  <c r="AC184" i="19" s="1"/>
  <c r="AC185" i="19" s="1"/>
  <c r="AC186" i="19" s="1"/>
  <c r="AC187" i="19" s="1"/>
  <c r="AC188" i="19" s="1"/>
  <c r="AC189" i="19" s="1"/>
  <c r="AC190" i="19" s="1"/>
  <c r="AC191" i="19" s="1"/>
  <c r="AC192" i="19" s="1"/>
  <c r="AC193" i="19" s="1"/>
  <c r="AC194" i="19" s="1"/>
  <c r="AC195" i="19" s="1"/>
  <c r="AC196" i="19" s="1"/>
  <c r="AC197" i="19" s="1"/>
  <c r="AC198" i="19" s="1"/>
  <c r="AC199" i="19" s="1"/>
  <c r="AC200" i="19" s="1"/>
  <c r="AC201" i="19" s="1"/>
  <c r="AC202" i="19" s="1"/>
  <c r="AB3" i="19"/>
  <c r="AB4" i="19" s="1"/>
  <c r="AB5" i="19" s="1"/>
  <c r="AB6" i="19" s="1"/>
  <c r="AB7" i="19" s="1"/>
  <c r="AB8" i="19" s="1"/>
  <c r="AB9" i="19" s="1"/>
  <c r="AB10" i="19" s="1"/>
  <c r="AB11" i="19" s="1"/>
  <c r="AB12" i="19" s="1"/>
  <c r="AB13" i="19" s="1"/>
  <c r="AB14" i="19" s="1"/>
  <c r="AB15" i="19" s="1"/>
  <c r="AB16" i="19" s="1"/>
  <c r="AB17" i="19" s="1"/>
  <c r="AB18" i="19" s="1"/>
  <c r="AB19" i="19" s="1"/>
  <c r="AB20" i="19" s="1"/>
  <c r="AB21" i="19" s="1"/>
  <c r="AB22" i="19" s="1"/>
  <c r="AB23" i="19" s="1"/>
  <c r="AB24" i="19" s="1"/>
  <c r="AB25" i="19" s="1"/>
  <c r="AB26" i="19" s="1"/>
  <c r="AB27" i="19" s="1"/>
  <c r="AB28" i="19" s="1"/>
  <c r="AB29" i="19" s="1"/>
  <c r="AB30" i="19" s="1"/>
  <c r="AB31" i="19" s="1"/>
  <c r="AB32" i="19" s="1"/>
  <c r="AB33" i="19" s="1"/>
  <c r="AB34" i="19" s="1"/>
  <c r="AB35" i="19" s="1"/>
  <c r="AB36" i="19" s="1"/>
  <c r="AB37" i="19" s="1"/>
  <c r="AB38" i="19" s="1"/>
  <c r="AB39" i="19" s="1"/>
  <c r="AB40" i="19" s="1"/>
  <c r="AB41" i="19" s="1"/>
  <c r="AB42" i="19" s="1"/>
  <c r="AB43" i="19" s="1"/>
  <c r="AB44" i="19" s="1"/>
  <c r="AB45" i="19" s="1"/>
  <c r="AB46" i="19" s="1"/>
  <c r="AB47" i="19" s="1"/>
  <c r="AB48" i="19" s="1"/>
  <c r="AB49" i="19" s="1"/>
  <c r="AB50" i="19" s="1"/>
  <c r="AB51" i="19" s="1"/>
  <c r="AB52" i="19" s="1"/>
  <c r="AB53" i="19" s="1"/>
  <c r="AB54" i="19" s="1"/>
  <c r="AB55" i="19" s="1"/>
  <c r="AB56" i="19" s="1"/>
  <c r="AB57" i="19" s="1"/>
  <c r="AB58" i="19" s="1"/>
  <c r="AB59" i="19" s="1"/>
  <c r="AB60" i="19" s="1"/>
  <c r="AB61" i="19" s="1"/>
  <c r="AB62" i="19" s="1"/>
  <c r="AB63" i="19" s="1"/>
  <c r="AB64" i="19" s="1"/>
  <c r="AB65" i="19" s="1"/>
  <c r="AB66" i="19" s="1"/>
  <c r="AB67" i="19" s="1"/>
  <c r="AB68" i="19" s="1"/>
  <c r="AB69" i="19" s="1"/>
  <c r="AB70" i="19" s="1"/>
  <c r="AB71" i="19" s="1"/>
  <c r="AB72" i="19" s="1"/>
  <c r="AB73" i="19" s="1"/>
  <c r="AB74" i="19" s="1"/>
  <c r="AB75" i="19" s="1"/>
  <c r="AB76" i="19" s="1"/>
  <c r="AB77" i="19" s="1"/>
  <c r="AB78" i="19" s="1"/>
  <c r="AB79" i="19" s="1"/>
  <c r="AB80" i="19" s="1"/>
  <c r="AB81" i="19" s="1"/>
  <c r="AB82" i="19" s="1"/>
  <c r="AB83" i="19" s="1"/>
  <c r="AB84" i="19" s="1"/>
  <c r="AB85" i="19" s="1"/>
  <c r="AB86" i="19" s="1"/>
  <c r="AB87" i="19" s="1"/>
  <c r="AB88" i="19" s="1"/>
  <c r="AB89" i="19" s="1"/>
  <c r="AB90" i="19" s="1"/>
  <c r="AB91" i="19" s="1"/>
  <c r="AB92" i="19" s="1"/>
  <c r="AB93" i="19" s="1"/>
  <c r="AB94" i="19" s="1"/>
  <c r="AB95" i="19" s="1"/>
  <c r="AB96" i="19" s="1"/>
  <c r="AB97" i="19" s="1"/>
  <c r="AB98" i="19" s="1"/>
  <c r="AB99" i="19" s="1"/>
  <c r="AB100" i="19" s="1"/>
  <c r="AB101" i="19" s="1"/>
  <c r="AB102" i="19" s="1"/>
  <c r="AB103" i="19" s="1"/>
  <c r="AB104" i="19" s="1"/>
  <c r="AB105" i="19" s="1"/>
  <c r="AB106" i="19" s="1"/>
  <c r="AB107" i="19" s="1"/>
  <c r="AB108" i="19" s="1"/>
  <c r="AB109" i="19" s="1"/>
  <c r="AB110" i="19" s="1"/>
  <c r="AB111" i="19" s="1"/>
  <c r="AB112" i="19" s="1"/>
  <c r="AB113" i="19" s="1"/>
  <c r="AB114" i="19" s="1"/>
  <c r="AB115" i="19" s="1"/>
  <c r="AB116" i="19" s="1"/>
  <c r="AB117" i="19" s="1"/>
  <c r="AB118" i="19" s="1"/>
  <c r="AB119" i="19" s="1"/>
  <c r="AB120" i="19" s="1"/>
  <c r="AB121" i="19" s="1"/>
  <c r="AB122" i="19" s="1"/>
  <c r="AB123" i="19" s="1"/>
  <c r="AB124" i="19" s="1"/>
  <c r="AB125" i="19" s="1"/>
  <c r="AB126" i="19" s="1"/>
  <c r="AB127" i="19" s="1"/>
  <c r="AB128" i="19" s="1"/>
  <c r="AB129" i="19" s="1"/>
  <c r="AB130" i="19" s="1"/>
  <c r="AB131" i="19" s="1"/>
  <c r="AB132" i="19" s="1"/>
  <c r="AB133" i="19" s="1"/>
  <c r="AB134" i="19" s="1"/>
  <c r="AB135" i="19" s="1"/>
  <c r="AB136" i="19" s="1"/>
  <c r="AB137" i="19" s="1"/>
  <c r="AB138" i="19" s="1"/>
  <c r="AB139" i="19" s="1"/>
  <c r="AB140" i="19" s="1"/>
  <c r="AB141" i="19" s="1"/>
  <c r="AB142" i="19" s="1"/>
  <c r="AB143" i="19" s="1"/>
  <c r="AB144" i="19" s="1"/>
  <c r="AB145" i="19" s="1"/>
  <c r="AB146" i="19" s="1"/>
  <c r="AB147" i="19" s="1"/>
  <c r="AB148" i="19" s="1"/>
  <c r="AB149" i="19" s="1"/>
  <c r="AB150" i="19" s="1"/>
  <c r="AB151" i="19" s="1"/>
  <c r="AB152" i="19" s="1"/>
  <c r="AB153" i="19" s="1"/>
  <c r="AB154" i="19" s="1"/>
  <c r="AB155" i="19" s="1"/>
  <c r="AB156" i="19" s="1"/>
  <c r="AB157" i="19" s="1"/>
  <c r="AB158" i="19" s="1"/>
  <c r="AB159" i="19" s="1"/>
  <c r="AB160" i="19" s="1"/>
  <c r="AB161" i="19" s="1"/>
  <c r="AB162" i="19" s="1"/>
  <c r="AB163" i="19" s="1"/>
  <c r="AB164" i="19" s="1"/>
  <c r="AB165" i="19" s="1"/>
  <c r="AB166" i="19" s="1"/>
  <c r="AB167" i="19" s="1"/>
  <c r="AB168" i="19" s="1"/>
  <c r="AB169" i="19" s="1"/>
  <c r="AB170" i="19" s="1"/>
  <c r="AB171" i="19" s="1"/>
  <c r="AB172" i="19" s="1"/>
  <c r="AB173" i="19" s="1"/>
  <c r="AB174" i="19" s="1"/>
  <c r="AB175" i="19" s="1"/>
  <c r="AB176" i="19" s="1"/>
  <c r="AB177" i="19" s="1"/>
  <c r="AB178" i="19" s="1"/>
  <c r="AB179" i="19" s="1"/>
  <c r="AB180" i="19" s="1"/>
  <c r="AB181" i="19" s="1"/>
  <c r="AB182" i="19" s="1"/>
  <c r="AB183" i="19" s="1"/>
  <c r="AB184" i="19" s="1"/>
  <c r="AB185" i="19" s="1"/>
  <c r="AB186" i="19" s="1"/>
  <c r="AB187" i="19" s="1"/>
  <c r="AB188" i="19" s="1"/>
  <c r="AB189" i="19" s="1"/>
  <c r="AB190" i="19" s="1"/>
  <c r="AB191" i="19" s="1"/>
  <c r="AB192" i="19" s="1"/>
  <c r="AB193" i="19" s="1"/>
  <c r="AB194" i="19" s="1"/>
  <c r="AB195" i="19" s="1"/>
  <c r="AB196" i="19" s="1"/>
  <c r="AB197" i="19" s="1"/>
  <c r="AB198" i="19" s="1"/>
  <c r="AB199" i="19" s="1"/>
  <c r="AB200" i="19" s="1"/>
  <c r="AB201" i="19" s="1"/>
  <c r="AB202" i="19" s="1"/>
  <c r="AA3" i="19"/>
  <c r="AA4" i="19" s="1"/>
  <c r="AA5" i="19" s="1"/>
  <c r="AA6" i="19" s="1"/>
  <c r="AA7" i="19" s="1"/>
  <c r="AA8" i="19" s="1"/>
  <c r="AA9" i="19" s="1"/>
  <c r="AA10" i="19" s="1"/>
  <c r="AA11" i="19" s="1"/>
  <c r="AA12" i="19" s="1"/>
  <c r="AA13" i="19" s="1"/>
  <c r="AA14" i="19" s="1"/>
  <c r="AA15" i="19" s="1"/>
  <c r="AA16" i="19" s="1"/>
  <c r="AA17" i="19" s="1"/>
  <c r="AA18" i="19" s="1"/>
  <c r="AA19" i="19" s="1"/>
  <c r="AA20" i="19" s="1"/>
  <c r="AA21" i="19" s="1"/>
  <c r="AA22" i="19" s="1"/>
  <c r="AA23" i="19" s="1"/>
  <c r="AA24" i="19" s="1"/>
  <c r="AA25" i="19" s="1"/>
  <c r="AA26" i="19" s="1"/>
  <c r="AA27" i="19" s="1"/>
  <c r="AA28" i="19" s="1"/>
  <c r="AA29" i="19" s="1"/>
  <c r="AA30" i="19" s="1"/>
  <c r="AA31" i="19" s="1"/>
  <c r="AA32" i="19" s="1"/>
  <c r="AA33" i="19" s="1"/>
  <c r="AA34" i="19" s="1"/>
  <c r="AA35" i="19" s="1"/>
  <c r="AA36" i="19" s="1"/>
  <c r="AA37" i="19" s="1"/>
  <c r="AA38" i="19" s="1"/>
  <c r="AA39" i="19" s="1"/>
  <c r="AA40" i="19" s="1"/>
  <c r="AA41" i="19" s="1"/>
  <c r="AA42" i="19" s="1"/>
  <c r="AA43" i="19" s="1"/>
  <c r="AA44" i="19" s="1"/>
  <c r="AA45" i="19" s="1"/>
  <c r="AA46" i="19" s="1"/>
  <c r="AA47" i="19" s="1"/>
  <c r="AA48" i="19" s="1"/>
  <c r="AA49" i="19" s="1"/>
  <c r="AA50" i="19" s="1"/>
  <c r="AA51" i="19" s="1"/>
  <c r="AA52" i="19" s="1"/>
  <c r="AA53" i="19" s="1"/>
  <c r="AA54" i="19" s="1"/>
  <c r="AA55" i="19" s="1"/>
  <c r="AA56" i="19" s="1"/>
  <c r="AA57" i="19" s="1"/>
  <c r="AA58" i="19" s="1"/>
  <c r="AA59" i="19" s="1"/>
  <c r="AA60" i="19" s="1"/>
  <c r="AA61" i="19" s="1"/>
  <c r="AA62" i="19" s="1"/>
  <c r="AA63" i="19" s="1"/>
  <c r="AA64" i="19" s="1"/>
  <c r="AA65" i="19" s="1"/>
  <c r="AA66" i="19" s="1"/>
  <c r="AA67" i="19" s="1"/>
  <c r="AA68" i="19" s="1"/>
  <c r="AA69" i="19" s="1"/>
  <c r="AA70" i="19" s="1"/>
  <c r="AA71" i="19" s="1"/>
  <c r="AA72" i="19" s="1"/>
  <c r="AA73" i="19" s="1"/>
  <c r="AA74" i="19" s="1"/>
  <c r="AA75" i="19" s="1"/>
  <c r="AA76" i="19" s="1"/>
  <c r="AA77" i="19" s="1"/>
  <c r="AA78" i="19" s="1"/>
  <c r="AA79" i="19" s="1"/>
  <c r="AA80" i="19" s="1"/>
  <c r="AA81" i="19" s="1"/>
  <c r="AA82" i="19" s="1"/>
  <c r="AA83" i="19" s="1"/>
  <c r="AA84" i="19" s="1"/>
  <c r="AA85" i="19" s="1"/>
  <c r="AA86" i="19" s="1"/>
  <c r="AA87" i="19" s="1"/>
  <c r="AA88" i="19" s="1"/>
  <c r="AA89" i="19" s="1"/>
  <c r="AA90" i="19" s="1"/>
  <c r="AA91" i="19" s="1"/>
  <c r="AA92" i="19" s="1"/>
  <c r="AA93" i="19" s="1"/>
  <c r="AA94" i="19" s="1"/>
  <c r="AA95" i="19" s="1"/>
  <c r="AA96" i="19" s="1"/>
  <c r="AA97" i="19" s="1"/>
  <c r="AA98" i="19" s="1"/>
  <c r="AA99" i="19" s="1"/>
  <c r="AA100" i="19" s="1"/>
  <c r="AA101" i="19" s="1"/>
  <c r="AA102" i="19" s="1"/>
  <c r="AA103" i="19" s="1"/>
  <c r="AA104" i="19" s="1"/>
  <c r="AA105" i="19" s="1"/>
  <c r="AA106" i="19" s="1"/>
  <c r="AA107" i="19" s="1"/>
  <c r="AA108" i="19" s="1"/>
  <c r="AA109" i="19" s="1"/>
  <c r="AA110" i="19" s="1"/>
  <c r="AA111" i="19" s="1"/>
  <c r="AA112" i="19" s="1"/>
  <c r="AA113" i="19" s="1"/>
  <c r="AA114" i="19" s="1"/>
  <c r="AA115" i="19" s="1"/>
  <c r="AA116" i="19" s="1"/>
  <c r="AA117" i="19" s="1"/>
  <c r="AA118" i="19" s="1"/>
  <c r="AA119" i="19" s="1"/>
  <c r="AA120" i="19" s="1"/>
  <c r="AA121" i="19" s="1"/>
  <c r="AA122" i="19" s="1"/>
  <c r="AA123" i="19" s="1"/>
  <c r="AA124" i="19" s="1"/>
  <c r="AA125" i="19" s="1"/>
  <c r="AA126" i="19" s="1"/>
  <c r="AA127" i="19" s="1"/>
  <c r="AA128" i="19" s="1"/>
  <c r="AA129" i="19" s="1"/>
  <c r="AA130" i="19" s="1"/>
  <c r="AA131" i="19" s="1"/>
  <c r="AA132" i="19" s="1"/>
  <c r="AA133" i="19" s="1"/>
  <c r="AA134" i="19" s="1"/>
  <c r="AA135" i="19" s="1"/>
  <c r="AA136" i="19" s="1"/>
  <c r="AA137" i="19" s="1"/>
  <c r="AA138" i="19" s="1"/>
  <c r="AA139" i="19" s="1"/>
  <c r="AA140" i="19" s="1"/>
  <c r="AA141" i="19" s="1"/>
  <c r="AA142" i="19" s="1"/>
  <c r="AA143" i="19" s="1"/>
  <c r="AA144" i="19" s="1"/>
  <c r="AA145" i="19" s="1"/>
  <c r="AA146" i="19" s="1"/>
  <c r="AA147" i="19" s="1"/>
  <c r="AA148" i="19" s="1"/>
  <c r="AA149" i="19" s="1"/>
  <c r="AA150" i="19" s="1"/>
  <c r="AA151" i="19" s="1"/>
  <c r="AA152" i="19" s="1"/>
  <c r="AA153" i="19" s="1"/>
  <c r="AA154" i="19" s="1"/>
  <c r="AA155" i="19" s="1"/>
  <c r="AA156" i="19" s="1"/>
  <c r="AA157" i="19" s="1"/>
  <c r="AA158" i="19" s="1"/>
  <c r="AA159" i="19" s="1"/>
  <c r="AA160" i="19" s="1"/>
  <c r="AA161" i="19" s="1"/>
  <c r="AA162" i="19" s="1"/>
  <c r="AA163" i="19" s="1"/>
  <c r="AA164" i="19" s="1"/>
  <c r="AA165" i="19" s="1"/>
  <c r="AA166" i="19" s="1"/>
  <c r="AA167" i="19" s="1"/>
  <c r="AA168" i="19" s="1"/>
  <c r="AA169" i="19" s="1"/>
  <c r="AA170" i="19" s="1"/>
  <c r="AA171" i="19" s="1"/>
  <c r="AA172" i="19" s="1"/>
  <c r="AA173" i="19" s="1"/>
  <c r="AA174" i="19" s="1"/>
  <c r="AA175" i="19" s="1"/>
  <c r="AA176" i="19" s="1"/>
  <c r="AA177" i="19" s="1"/>
  <c r="AA178" i="19" s="1"/>
  <c r="AA179" i="19" s="1"/>
  <c r="AA180" i="19" s="1"/>
  <c r="AA181" i="19" s="1"/>
  <c r="AA182" i="19" s="1"/>
  <c r="AA183" i="19" s="1"/>
  <c r="AA184" i="19" s="1"/>
  <c r="AA185" i="19" s="1"/>
  <c r="AA186" i="19" s="1"/>
  <c r="AA187" i="19" s="1"/>
  <c r="AA188" i="19" s="1"/>
  <c r="AA189" i="19" s="1"/>
  <c r="AA190" i="19" s="1"/>
  <c r="AA191" i="19" s="1"/>
  <c r="AA192" i="19" s="1"/>
  <c r="AA193" i="19" s="1"/>
  <c r="AA194" i="19" s="1"/>
  <c r="AA195" i="19" s="1"/>
  <c r="AA196" i="19" s="1"/>
  <c r="AA197" i="19" s="1"/>
  <c r="AA198" i="19" s="1"/>
  <c r="AA199" i="19" s="1"/>
  <c r="AA200" i="19" s="1"/>
  <c r="AA201" i="19" s="1"/>
  <c r="AA202" i="19" s="1"/>
  <c r="AH5" i="19"/>
  <c r="AJ4" i="19"/>
  <c r="AK4" i="19"/>
  <c r="AI3" i="19"/>
  <c r="AI4" i="19" s="1"/>
  <c r="AI5" i="19" s="1"/>
  <c r="AI6" i="19" s="1"/>
  <c r="AI7" i="19" s="1"/>
  <c r="AI8" i="19" s="1"/>
  <c r="AI9" i="19" s="1"/>
  <c r="AI10" i="19" s="1"/>
  <c r="AI11" i="19" s="1"/>
  <c r="AI12" i="19" s="1"/>
  <c r="AI13" i="19" s="1"/>
  <c r="AI14" i="19" s="1"/>
  <c r="AI15" i="19" s="1"/>
  <c r="AI16" i="19" s="1"/>
  <c r="AI17" i="19" s="1"/>
  <c r="AI18" i="19" s="1"/>
  <c r="AI19" i="19" s="1"/>
  <c r="AI20" i="19" s="1"/>
  <c r="AI21" i="19" s="1"/>
  <c r="AI22" i="19" s="1"/>
  <c r="AI23" i="19" s="1"/>
  <c r="AI24" i="19" s="1"/>
  <c r="AI25" i="19" s="1"/>
  <c r="AI26" i="19" s="1"/>
  <c r="AI27" i="19" s="1"/>
  <c r="AI28" i="19" s="1"/>
  <c r="AI29" i="19" s="1"/>
  <c r="AI30" i="19" s="1"/>
  <c r="AI31" i="19" s="1"/>
  <c r="AI32" i="19" s="1"/>
  <c r="AI33" i="19" s="1"/>
  <c r="AI34" i="19" s="1"/>
  <c r="AI35" i="19" s="1"/>
  <c r="AI36" i="19" s="1"/>
  <c r="AI37" i="19" s="1"/>
  <c r="AI38" i="19" s="1"/>
  <c r="AI39" i="19" s="1"/>
  <c r="AI40" i="19" s="1"/>
  <c r="AI41" i="19" s="1"/>
  <c r="AI42" i="19" s="1"/>
  <c r="AI43" i="19" s="1"/>
  <c r="AI44" i="19" s="1"/>
  <c r="AI45" i="19" s="1"/>
  <c r="AI46" i="19" s="1"/>
  <c r="AI47" i="19" s="1"/>
  <c r="AI48" i="19" s="1"/>
  <c r="AI49" i="19" s="1"/>
  <c r="AI50" i="19" s="1"/>
  <c r="AI51" i="19" s="1"/>
  <c r="AI52" i="19" s="1"/>
  <c r="AI53" i="19" s="1"/>
  <c r="AI54" i="19" s="1"/>
  <c r="AI55" i="19" s="1"/>
  <c r="AI56" i="19" s="1"/>
  <c r="AI57" i="19" s="1"/>
  <c r="AI58" i="19" s="1"/>
  <c r="AI59" i="19" s="1"/>
  <c r="AI60" i="19" s="1"/>
  <c r="AI61" i="19" s="1"/>
  <c r="AI62" i="19" s="1"/>
  <c r="AI63" i="19" s="1"/>
  <c r="AI64" i="19" s="1"/>
  <c r="AI65" i="19" s="1"/>
  <c r="AI66" i="19" s="1"/>
  <c r="AI67" i="19" s="1"/>
  <c r="AI68" i="19" s="1"/>
  <c r="AI69" i="19" s="1"/>
  <c r="AI70" i="19" s="1"/>
  <c r="AI71" i="19" s="1"/>
  <c r="AI72" i="19" s="1"/>
  <c r="AI73" i="19" s="1"/>
  <c r="AI74" i="19" s="1"/>
  <c r="AI75" i="19" s="1"/>
  <c r="AI76" i="19" s="1"/>
  <c r="AI77" i="19" s="1"/>
  <c r="AI78" i="19" s="1"/>
  <c r="AI79" i="19" s="1"/>
  <c r="AI80" i="19" s="1"/>
  <c r="AI81" i="19" s="1"/>
  <c r="AI82" i="19" s="1"/>
  <c r="AI83" i="19" s="1"/>
  <c r="AI84" i="19" s="1"/>
  <c r="AI85" i="19" s="1"/>
  <c r="AI86" i="19" s="1"/>
  <c r="AI87" i="19" s="1"/>
  <c r="AI88" i="19" s="1"/>
  <c r="AI89" i="19" s="1"/>
  <c r="AI90" i="19" s="1"/>
  <c r="AI91" i="19" s="1"/>
  <c r="AI92" i="19" s="1"/>
  <c r="AJ3" i="19"/>
  <c r="AK3" i="19"/>
  <c r="R4" i="19"/>
  <c r="R5" i="19" s="1"/>
  <c r="R6" i="19" s="1"/>
  <c r="R7" i="19" s="1"/>
  <c r="R8" i="19" s="1"/>
  <c r="R9" i="19" s="1"/>
  <c r="R10" i="19" s="1"/>
  <c r="R11" i="19" s="1"/>
  <c r="R12" i="19" s="1"/>
  <c r="R13" i="19" s="1"/>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T3" i="19"/>
  <c r="T4" i="19" s="1"/>
  <c r="T5" i="19" s="1"/>
  <c r="T6" i="19" s="1"/>
  <c r="T7" i="19" s="1"/>
  <c r="T8" i="19" s="1"/>
  <c r="T9" i="19" s="1"/>
  <c r="T10" i="19" s="1"/>
  <c r="T11" i="19" s="1"/>
  <c r="T12" i="19" s="1"/>
  <c r="T13" i="19" s="1"/>
  <c r="T14" i="19" s="1"/>
  <c r="T15" i="19" s="1"/>
  <c r="T16" i="19" s="1"/>
  <c r="T17" i="19" s="1"/>
  <c r="T18" i="19" s="1"/>
  <c r="T19" i="19" s="1"/>
  <c r="T20" i="19" s="1"/>
  <c r="T21" i="19" s="1"/>
  <c r="T22" i="19" s="1"/>
  <c r="T23" i="19" s="1"/>
  <c r="T24" i="19" s="1"/>
  <c r="T25" i="19" s="1"/>
  <c r="T26" i="19" s="1"/>
  <c r="T27" i="19" s="1"/>
  <c r="T28" i="19" s="1"/>
  <c r="T29" i="19" s="1"/>
  <c r="T30" i="19" s="1"/>
  <c r="T31" i="19" s="1"/>
  <c r="T32" i="19" s="1"/>
  <c r="T33" i="19" s="1"/>
  <c r="T34" i="19" s="1"/>
  <c r="T35" i="19" s="1"/>
  <c r="T36" i="19" s="1"/>
  <c r="T37" i="19" s="1"/>
  <c r="T38" i="19" s="1"/>
  <c r="T39" i="19" s="1"/>
  <c r="T40" i="19" s="1"/>
  <c r="T41" i="19" s="1"/>
  <c r="T42" i="19" s="1"/>
  <c r="T43" i="19" s="1"/>
  <c r="T44" i="19" s="1"/>
  <c r="T45" i="19" s="1"/>
  <c r="T46" i="19" s="1"/>
  <c r="T47" i="19" s="1"/>
  <c r="T48" i="19" s="1"/>
  <c r="T49" i="19" s="1"/>
  <c r="T50" i="19" s="1"/>
  <c r="T51" i="19" s="1"/>
  <c r="T52" i="19" s="1"/>
  <c r="T53" i="19" s="1"/>
  <c r="T54" i="19" s="1"/>
  <c r="T55" i="19" s="1"/>
  <c r="T56" i="19" s="1"/>
  <c r="T57" i="19" s="1"/>
  <c r="T58" i="19" s="1"/>
  <c r="T59" i="19" s="1"/>
  <c r="T60" i="19" s="1"/>
  <c r="T61" i="19" s="1"/>
  <c r="T62" i="19" s="1"/>
  <c r="T63" i="19" s="1"/>
  <c r="T64" i="19" s="1"/>
  <c r="T65" i="19" s="1"/>
  <c r="T66" i="19" s="1"/>
  <c r="T67" i="19" s="1"/>
  <c r="T68" i="19" s="1"/>
  <c r="T69" i="19" s="1"/>
  <c r="T70" i="19" s="1"/>
  <c r="T71" i="19" s="1"/>
  <c r="T72" i="19" s="1"/>
  <c r="T73" i="19" s="1"/>
  <c r="T74" i="19" s="1"/>
  <c r="T75" i="19" s="1"/>
  <c r="T76" i="19" s="1"/>
  <c r="T77" i="19" s="1"/>
  <c r="T78" i="19" s="1"/>
  <c r="T79" i="19" s="1"/>
  <c r="T80" i="19" s="1"/>
  <c r="T81" i="19" s="1"/>
  <c r="T82" i="19" s="1"/>
  <c r="T83" i="19" s="1"/>
  <c r="T84" i="19" s="1"/>
  <c r="T85" i="19" s="1"/>
  <c r="T86" i="19" s="1"/>
  <c r="T87" i="19" s="1"/>
  <c r="T88" i="19" s="1"/>
  <c r="T89" i="19" s="1"/>
  <c r="T90" i="19" s="1"/>
  <c r="T91" i="19" s="1"/>
  <c r="T92" i="19" s="1"/>
  <c r="T93" i="19" s="1"/>
  <c r="T94" i="19" s="1"/>
  <c r="T95" i="19" s="1"/>
  <c r="T96" i="19" s="1"/>
  <c r="T97" i="19" s="1"/>
  <c r="T98" i="19" s="1"/>
  <c r="T99" i="19" s="1"/>
  <c r="T100" i="19" s="1"/>
  <c r="T101" i="19" s="1"/>
  <c r="T102" i="19" s="1"/>
  <c r="T103" i="19" s="1"/>
  <c r="T104" i="19" s="1"/>
  <c r="T105" i="19" s="1"/>
  <c r="T106" i="19" s="1"/>
  <c r="T107" i="19" s="1"/>
  <c r="T108" i="19" s="1"/>
  <c r="T109" i="19" s="1"/>
  <c r="T110" i="19" s="1"/>
  <c r="T111" i="19" s="1"/>
  <c r="T112" i="19" s="1"/>
  <c r="T113" i="19" s="1"/>
  <c r="T114" i="19" s="1"/>
  <c r="T115" i="19" s="1"/>
  <c r="T116" i="19" s="1"/>
  <c r="T117" i="19" s="1"/>
  <c r="T118" i="19" s="1"/>
  <c r="T119" i="19" s="1"/>
  <c r="T120" i="19" s="1"/>
  <c r="T121" i="19" s="1"/>
  <c r="T122" i="19" s="1"/>
  <c r="T123" i="19" s="1"/>
  <c r="T124" i="19" s="1"/>
  <c r="T125" i="19" s="1"/>
  <c r="T126" i="19" s="1"/>
  <c r="T127" i="19" s="1"/>
  <c r="T128" i="19" s="1"/>
  <c r="T129" i="19" s="1"/>
  <c r="T130" i="19" s="1"/>
  <c r="T131" i="19" s="1"/>
  <c r="T132" i="19" s="1"/>
  <c r="T133" i="19" s="1"/>
  <c r="T134" i="19" s="1"/>
  <c r="T135" i="19" s="1"/>
  <c r="T136" i="19" s="1"/>
  <c r="T137" i="19" s="1"/>
  <c r="T138" i="19" s="1"/>
  <c r="T139" i="19" s="1"/>
  <c r="T140" i="19" s="1"/>
  <c r="T141" i="19" s="1"/>
  <c r="T142" i="19" s="1"/>
  <c r="T143" i="19" s="1"/>
  <c r="T144" i="19" s="1"/>
  <c r="T145" i="19" s="1"/>
  <c r="T146" i="19" s="1"/>
  <c r="T147" i="19" s="1"/>
  <c r="T148" i="19" s="1"/>
  <c r="T149" i="19" s="1"/>
  <c r="T150" i="19" s="1"/>
  <c r="T151" i="19" s="1"/>
  <c r="T152" i="19" s="1"/>
  <c r="T153" i="19" s="1"/>
  <c r="T154" i="19" s="1"/>
  <c r="T155" i="19" s="1"/>
  <c r="T156" i="19" s="1"/>
  <c r="T157" i="19" s="1"/>
  <c r="T158" i="19" s="1"/>
  <c r="T159" i="19" s="1"/>
  <c r="T160" i="19" s="1"/>
  <c r="T161" i="19" s="1"/>
  <c r="T162" i="19" s="1"/>
  <c r="T163" i="19" s="1"/>
  <c r="T164" i="19" s="1"/>
  <c r="T165" i="19" s="1"/>
  <c r="T166" i="19" s="1"/>
  <c r="T167" i="19" s="1"/>
  <c r="T168" i="19" s="1"/>
  <c r="T169" i="19" s="1"/>
  <c r="T170" i="19" s="1"/>
  <c r="T171" i="19" s="1"/>
  <c r="T172" i="19" s="1"/>
  <c r="T173" i="19" s="1"/>
  <c r="T174" i="19" s="1"/>
  <c r="T175" i="19" s="1"/>
  <c r="T176" i="19" s="1"/>
  <c r="T177" i="19" s="1"/>
  <c r="T178" i="19" s="1"/>
  <c r="T179" i="19" s="1"/>
  <c r="T180" i="19" s="1"/>
  <c r="T181" i="19" s="1"/>
  <c r="T182" i="19" s="1"/>
  <c r="T183" i="19" s="1"/>
  <c r="T184" i="19" s="1"/>
  <c r="T185" i="19" s="1"/>
  <c r="T186" i="19" s="1"/>
  <c r="T187" i="19" s="1"/>
  <c r="T188" i="19" s="1"/>
  <c r="T189" i="19" s="1"/>
  <c r="T190" i="19" s="1"/>
  <c r="T191" i="19" s="1"/>
  <c r="T192" i="19" s="1"/>
  <c r="T193" i="19" s="1"/>
  <c r="T194" i="19" s="1"/>
  <c r="T195" i="19" s="1"/>
  <c r="T196" i="19" s="1"/>
  <c r="T197" i="19" s="1"/>
  <c r="T198" i="19" s="1"/>
  <c r="T199" i="19" s="1"/>
  <c r="T200" i="19" s="1"/>
  <c r="T201" i="19" s="1"/>
  <c r="T202" i="19" s="1"/>
  <c r="U3" i="19"/>
  <c r="U4" i="19" s="1"/>
  <c r="U5" i="19" s="1"/>
  <c r="U6" i="19" s="1"/>
  <c r="U7" i="19" s="1"/>
  <c r="U8" i="19" s="1"/>
  <c r="U9" i="19" s="1"/>
  <c r="U10" i="19" s="1"/>
  <c r="U11" i="19" s="1"/>
  <c r="U12" i="19" s="1"/>
  <c r="U13" i="19" s="1"/>
  <c r="U14" i="19" s="1"/>
  <c r="U15" i="19" s="1"/>
  <c r="U16" i="19" s="1"/>
  <c r="U17" i="19" s="1"/>
  <c r="U18" i="19" s="1"/>
  <c r="U19" i="19" s="1"/>
  <c r="U20" i="19" s="1"/>
  <c r="U21" i="19" s="1"/>
  <c r="U22" i="19" s="1"/>
  <c r="U23" i="19" s="1"/>
  <c r="U24" i="19" s="1"/>
  <c r="U25" i="19" s="1"/>
  <c r="U26" i="19" s="1"/>
  <c r="U27" i="19" s="1"/>
  <c r="U28" i="19" s="1"/>
  <c r="U29" i="19" s="1"/>
  <c r="U30" i="19" s="1"/>
  <c r="U31" i="19" s="1"/>
  <c r="U32" i="19" s="1"/>
  <c r="U33" i="19" s="1"/>
  <c r="U34" i="19" s="1"/>
  <c r="U35" i="19" s="1"/>
  <c r="U36" i="19" s="1"/>
  <c r="U37" i="19" s="1"/>
  <c r="U38" i="19" s="1"/>
  <c r="U39" i="19" s="1"/>
  <c r="U40" i="19" s="1"/>
  <c r="U41" i="19" s="1"/>
  <c r="U42" i="19" s="1"/>
  <c r="U43" i="19" s="1"/>
  <c r="U44" i="19" s="1"/>
  <c r="U45" i="19" s="1"/>
  <c r="U46" i="19" s="1"/>
  <c r="U47" i="19" s="1"/>
  <c r="U48" i="19" s="1"/>
  <c r="U49" i="19" s="1"/>
  <c r="U50" i="19" s="1"/>
  <c r="U51" i="19" s="1"/>
  <c r="U52" i="19" s="1"/>
  <c r="U53" i="19" s="1"/>
  <c r="U54" i="19" s="1"/>
  <c r="U55" i="19" s="1"/>
  <c r="U56" i="19" s="1"/>
  <c r="U57" i="19" s="1"/>
  <c r="U58" i="19" s="1"/>
  <c r="U59" i="19" s="1"/>
  <c r="U60" i="19" s="1"/>
  <c r="U61" i="19" s="1"/>
  <c r="U62" i="19" s="1"/>
  <c r="U63" i="19" s="1"/>
  <c r="U64" i="19" s="1"/>
  <c r="U65" i="19" s="1"/>
  <c r="U66" i="19" s="1"/>
  <c r="U67" i="19" s="1"/>
  <c r="U68" i="19" s="1"/>
  <c r="U69" i="19" s="1"/>
  <c r="U70" i="19" s="1"/>
  <c r="U71" i="19" s="1"/>
  <c r="U72" i="19" s="1"/>
  <c r="U73" i="19" s="1"/>
  <c r="U74" i="19" s="1"/>
  <c r="U75" i="19" s="1"/>
  <c r="U76" i="19" s="1"/>
  <c r="U77" i="19" s="1"/>
  <c r="U78" i="19" s="1"/>
  <c r="U79" i="19" s="1"/>
  <c r="U80" i="19" s="1"/>
  <c r="U81" i="19" s="1"/>
  <c r="U82" i="19" s="1"/>
  <c r="U83" i="19" s="1"/>
  <c r="U84" i="19" s="1"/>
  <c r="U85" i="19" s="1"/>
  <c r="U86" i="19" s="1"/>
  <c r="U87" i="19" s="1"/>
  <c r="U88" i="19" s="1"/>
  <c r="U89" i="19" s="1"/>
  <c r="U90" i="19" s="1"/>
  <c r="U91" i="19" s="1"/>
  <c r="U92" i="19" s="1"/>
  <c r="U93" i="19" s="1"/>
  <c r="U94" i="19" s="1"/>
  <c r="U95" i="19" s="1"/>
  <c r="U96" i="19" s="1"/>
  <c r="U97" i="19" s="1"/>
  <c r="U98" i="19" s="1"/>
  <c r="U99" i="19" s="1"/>
  <c r="U100" i="19" s="1"/>
  <c r="U101" i="19" s="1"/>
  <c r="U102" i="19" s="1"/>
  <c r="U103" i="19" s="1"/>
  <c r="U104" i="19" s="1"/>
  <c r="U105" i="19" s="1"/>
  <c r="U106" i="19" s="1"/>
  <c r="U107" i="19" s="1"/>
  <c r="U108" i="19" s="1"/>
  <c r="U109" i="19" s="1"/>
  <c r="U110" i="19" s="1"/>
  <c r="U111" i="19" s="1"/>
  <c r="U112" i="19" s="1"/>
  <c r="U113" i="19" s="1"/>
  <c r="U114" i="19" s="1"/>
  <c r="U115" i="19" s="1"/>
  <c r="U116" i="19" s="1"/>
  <c r="U117" i="19" s="1"/>
  <c r="U118" i="19" s="1"/>
  <c r="U119" i="19" s="1"/>
  <c r="U120" i="19" s="1"/>
  <c r="U121" i="19" s="1"/>
  <c r="U122" i="19" s="1"/>
  <c r="U123" i="19" s="1"/>
  <c r="U124" i="19" s="1"/>
  <c r="U125" i="19" s="1"/>
  <c r="U126" i="19" s="1"/>
  <c r="U127" i="19" s="1"/>
  <c r="U128" i="19" s="1"/>
  <c r="U129" i="19" s="1"/>
  <c r="U130" i="19" s="1"/>
  <c r="U131" i="19" s="1"/>
  <c r="U132" i="19" s="1"/>
  <c r="U133" i="19" s="1"/>
  <c r="U134" i="19" s="1"/>
  <c r="U135" i="19" s="1"/>
  <c r="U136" i="19" s="1"/>
  <c r="U137" i="19" s="1"/>
  <c r="U138" i="19" s="1"/>
  <c r="U139" i="19" s="1"/>
  <c r="U140" i="19" s="1"/>
  <c r="U141" i="19" s="1"/>
  <c r="U142" i="19" s="1"/>
  <c r="U143" i="19" s="1"/>
  <c r="U144" i="19" s="1"/>
  <c r="U145" i="19" s="1"/>
  <c r="U146" i="19" s="1"/>
  <c r="U147" i="19" s="1"/>
  <c r="U148" i="19" s="1"/>
  <c r="U149" i="19" s="1"/>
  <c r="U150" i="19" s="1"/>
  <c r="U151" i="19" s="1"/>
  <c r="U152" i="19" s="1"/>
  <c r="U153" i="19" s="1"/>
  <c r="U154" i="19" s="1"/>
  <c r="U155" i="19" s="1"/>
  <c r="U156" i="19" s="1"/>
  <c r="U157" i="19" s="1"/>
  <c r="U158" i="19" s="1"/>
  <c r="U159" i="19" s="1"/>
  <c r="U160" i="19" s="1"/>
  <c r="U161" i="19" s="1"/>
  <c r="U162" i="19" s="1"/>
  <c r="U163" i="19" s="1"/>
  <c r="U164" i="19" s="1"/>
  <c r="U165" i="19" s="1"/>
  <c r="U166" i="19" s="1"/>
  <c r="U167" i="19" s="1"/>
  <c r="U168" i="19" s="1"/>
  <c r="U169" i="19" s="1"/>
  <c r="U170" i="19" s="1"/>
  <c r="U171" i="19" s="1"/>
  <c r="U172" i="19" s="1"/>
  <c r="U173" i="19" s="1"/>
  <c r="U174" i="19" s="1"/>
  <c r="U175" i="19" s="1"/>
  <c r="U176" i="19" s="1"/>
  <c r="U177" i="19" s="1"/>
  <c r="U178" i="19" s="1"/>
  <c r="U179" i="19" s="1"/>
  <c r="U180" i="19" s="1"/>
  <c r="U181" i="19" s="1"/>
  <c r="U182" i="19" s="1"/>
  <c r="U183" i="19" s="1"/>
  <c r="U184" i="19" s="1"/>
  <c r="U185" i="19" s="1"/>
  <c r="U186" i="19" s="1"/>
  <c r="U187" i="19" s="1"/>
  <c r="U188" i="19" s="1"/>
  <c r="U189" i="19" s="1"/>
  <c r="U190" i="19" s="1"/>
  <c r="U191" i="19" s="1"/>
  <c r="U192" i="19" s="1"/>
  <c r="U193" i="19" s="1"/>
  <c r="U194" i="19" s="1"/>
  <c r="U195" i="19" s="1"/>
  <c r="U196" i="19" s="1"/>
  <c r="U197" i="19" s="1"/>
  <c r="U198" i="19" s="1"/>
  <c r="U199" i="19" s="1"/>
  <c r="U200" i="19" s="1"/>
  <c r="U201" i="19" s="1"/>
  <c r="U202" i="19" s="1"/>
  <c r="S3" i="19"/>
  <c r="S4" i="19" s="1"/>
  <c r="S5" i="19" s="1"/>
  <c r="S6" i="19" s="1"/>
  <c r="S7" i="19" s="1"/>
  <c r="G5" i="19"/>
  <c r="G6" i="19" s="1"/>
  <c r="G7" i="19" s="1"/>
  <c r="G8" i="19" s="1"/>
  <c r="G9" i="19" s="1"/>
  <c r="G10" i="19" s="1"/>
  <c r="G11" i="19" s="1"/>
  <c r="G12" i="19" s="1"/>
  <c r="G13" i="19" s="1"/>
  <c r="G14" i="19" s="1"/>
  <c r="G15" i="19" s="1"/>
  <c r="G16" i="19" s="1"/>
  <c r="G17" i="19" s="1"/>
  <c r="G18" i="19" s="1"/>
  <c r="G19" i="19" s="1"/>
  <c r="G20" i="19" s="1"/>
  <c r="G21" i="19" s="1"/>
  <c r="G22" i="19" s="1"/>
  <c r="G23" i="19" s="1"/>
  <c r="G24" i="19" s="1"/>
  <c r="G25" i="19" s="1"/>
  <c r="G26" i="19" s="1"/>
  <c r="G27" i="19" s="1"/>
  <c r="G28" i="19" s="1"/>
  <c r="G29" i="19" s="1"/>
  <c r="G30" i="19" s="1"/>
  <c r="G31" i="19" s="1"/>
  <c r="G32" i="19" s="1"/>
  <c r="G33" i="19" s="1"/>
  <c r="G34" i="19" s="1"/>
  <c r="G35" i="19" s="1"/>
  <c r="G36" i="19" s="1"/>
  <c r="G37" i="19" s="1"/>
  <c r="G38" i="19" s="1"/>
  <c r="G39" i="19" s="1"/>
  <c r="G40" i="19" s="1"/>
  <c r="G41" i="19" s="1"/>
  <c r="G42" i="19" s="1"/>
  <c r="G43" i="19" s="1"/>
  <c r="G44" i="19" s="1"/>
  <c r="G45" i="19" s="1"/>
  <c r="G46" i="19" s="1"/>
  <c r="G47" i="19" s="1"/>
  <c r="G48" i="19" s="1"/>
  <c r="G49" i="19" s="1"/>
  <c r="G50" i="19" s="1"/>
  <c r="G51" i="19" s="1"/>
  <c r="G52" i="19" s="1"/>
  <c r="G53" i="19" s="1"/>
  <c r="G54" i="19" s="1"/>
  <c r="G55" i="19" s="1"/>
  <c r="G56" i="19" s="1"/>
  <c r="G57" i="19" s="1"/>
  <c r="G58" i="19" s="1"/>
  <c r="G59" i="19" s="1"/>
  <c r="G60" i="19" s="1"/>
  <c r="G61" i="19" s="1"/>
  <c r="G62" i="19" s="1"/>
  <c r="G63" i="19" s="1"/>
  <c r="G64" i="19" s="1"/>
  <c r="G65" i="19" s="1"/>
  <c r="G66" i="19" s="1"/>
  <c r="G67" i="19" s="1"/>
  <c r="G68" i="19" s="1"/>
  <c r="G69" i="19" s="1"/>
  <c r="G70" i="19" s="1"/>
  <c r="G71" i="19" s="1"/>
  <c r="G72" i="19" s="1"/>
  <c r="G73" i="19" s="1"/>
  <c r="G74" i="19" s="1"/>
  <c r="G75" i="19" s="1"/>
  <c r="G76" i="19" s="1"/>
  <c r="G77" i="19" s="1"/>
  <c r="G78" i="19" s="1"/>
  <c r="G79" i="19" s="1"/>
  <c r="G80" i="19" s="1"/>
  <c r="G81" i="19" s="1"/>
  <c r="G82" i="19" s="1"/>
  <c r="G83" i="19" s="1"/>
  <c r="G84" i="19" s="1"/>
  <c r="G85" i="19" s="1"/>
  <c r="G86" i="19" s="1"/>
  <c r="G87" i="19" s="1"/>
  <c r="G88" i="19" s="1"/>
  <c r="G89" i="19" s="1"/>
  <c r="G90" i="19" s="1"/>
  <c r="G91" i="19" s="1"/>
  <c r="G92" i="19" s="1"/>
  <c r="M92" i="19"/>
  <c r="M93" i="19" s="1"/>
  <c r="M94" i="19" s="1"/>
  <c r="M95" i="19" s="1"/>
  <c r="M96" i="19" s="1"/>
  <c r="M97" i="19" s="1"/>
  <c r="M98" i="19" s="1"/>
  <c r="M99" i="19" s="1"/>
  <c r="M100" i="19" s="1"/>
  <c r="M101" i="19" s="1"/>
  <c r="M102" i="19" s="1"/>
  <c r="M103" i="19" s="1"/>
  <c r="M104" i="19" s="1"/>
  <c r="M105" i="19" s="1"/>
  <c r="M106" i="19" s="1"/>
  <c r="M107" i="19" s="1"/>
  <c r="M108" i="19" s="1"/>
  <c r="M109" i="19" s="1"/>
  <c r="M110" i="19" s="1"/>
  <c r="M111" i="19" s="1"/>
  <c r="M112" i="19" s="1"/>
  <c r="M113" i="19" s="1"/>
  <c r="M114" i="19" s="1"/>
  <c r="M115" i="19" s="1"/>
  <c r="M116" i="19" s="1"/>
  <c r="M117" i="19" s="1"/>
  <c r="M118" i="19" s="1"/>
  <c r="M119" i="19" s="1"/>
  <c r="M120" i="19" s="1"/>
  <c r="M121" i="19" s="1"/>
  <c r="M122" i="19" s="1"/>
  <c r="M123" i="19" s="1"/>
  <c r="M124" i="19" s="1"/>
  <c r="M125" i="19" s="1"/>
  <c r="M126" i="19" s="1"/>
  <c r="M127" i="19" s="1"/>
  <c r="M128" i="19" s="1"/>
  <c r="M129" i="19" s="1"/>
  <c r="M130" i="19" s="1"/>
  <c r="M131" i="19" s="1"/>
  <c r="M132" i="19" s="1"/>
  <c r="M133" i="19" s="1"/>
  <c r="M134" i="19" s="1"/>
  <c r="M135" i="19" s="1"/>
  <c r="M136" i="19" s="1"/>
  <c r="M137" i="19" s="1"/>
  <c r="M138" i="19" s="1"/>
  <c r="M139" i="19" s="1"/>
  <c r="M140" i="19" s="1"/>
  <c r="M141" i="19" s="1"/>
  <c r="M142" i="19" s="1"/>
  <c r="M143" i="19" s="1"/>
  <c r="M144" i="19" s="1"/>
  <c r="M145" i="19" s="1"/>
  <c r="M146" i="19" s="1"/>
  <c r="M147" i="19" s="1"/>
  <c r="M148" i="19" s="1"/>
  <c r="M149" i="19" s="1"/>
  <c r="M150" i="19" s="1"/>
  <c r="M151" i="19" s="1"/>
  <c r="M152" i="19" s="1"/>
  <c r="M153" i="19" s="1"/>
  <c r="M154" i="19" s="1"/>
  <c r="M155" i="19" s="1"/>
  <c r="M156" i="19" s="1"/>
  <c r="M157" i="19" s="1"/>
  <c r="M158" i="19" s="1"/>
  <c r="M159" i="19" s="1"/>
  <c r="M160" i="19" s="1"/>
  <c r="M161" i="19" s="1"/>
  <c r="M162" i="19" s="1"/>
  <c r="M163" i="19" s="1"/>
  <c r="M164" i="19" s="1"/>
  <c r="M165" i="19" s="1"/>
  <c r="M166" i="19" s="1"/>
  <c r="M167" i="19" s="1"/>
  <c r="M168" i="19" s="1"/>
  <c r="M169" i="19" s="1"/>
  <c r="M170" i="19" s="1"/>
  <c r="M171" i="19" s="1"/>
  <c r="M172" i="19" s="1"/>
  <c r="M173" i="19" s="1"/>
  <c r="M174" i="19" s="1"/>
  <c r="M175" i="19" s="1"/>
  <c r="M176" i="19" s="1"/>
  <c r="M177" i="19" s="1"/>
  <c r="M178" i="19" s="1"/>
  <c r="M179" i="19" s="1"/>
  <c r="M180" i="19" s="1"/>
  <c r="M181" i="19" s="1"/>
  <c r="M182" i="19" s="1"/>
  <c r="M183" i="19" s="1"/>
  <c r="M184" i="19" s="1"/>
  <c r="M185" i="19" s="1"/>
  <c r="M186" i="19" s="1"/>
  <c r="M187" i="19" s="1"/>
  <c r="M188" i="19" s="1"/>
  <c r="M189" i="19" s="1"/>
  <c r="M190" i="19" s="1"/>
  <c r="M191" i="19" s="1"/>
  <c r="M192" i="19" s="1"/>
  <c r="M193" i="19" s="1"/>
  <c r="M194" i="19" s="1"/>
  <c r="M195" i="19" s="1"/>
  <c r="M196" i="19" s="1"/>
  <c r="M197" i="19" s="1"/>
  <c r="M198" i="19" s="1"/>
  <c r="M199" i="19" s="1"/>
  <c r="M200" i="19" s="1"/>
  <c r="M201" i="19" s="1"/>
  <c r="M202" i="19" s="1"/>
  <c r="L92" i="19"/>
  <c r="L93" i="19" s="1"/>
  <c r="L94" i="19" s="1"/>
  <c r="L95" i="19" s="1"/>
  <c r="L96" i="19" s="1"/>
  <c r="L97" i="19" s="1"/>
  <c r="L98" i="19" s="1"/>
  <c r="L99" i="19" s="1"/>
  <c r="L100" i="19" s="1"/>
  <c r="L101" i="19" s="1"/>
  <c r="L102" i="19" s="1"/>
  <c r="L103" i="19" s="1"/>
  <c r="L104" i="19" s="1"/>
  <c r="L105" i="19" s="1"/>
  <c r="L106" i="19" s="1"/>
  <c r="L107" i="19" s="1"/>
  <c r="L108" i="19" s="1"/>
  <c r="L109" i="19" s="1"/>
  <c r="L110" i="19" s="1"/>
  <c r="L111" i="19" s="1"/>
  <c r="L112" i="19" s="1"/>
  <c r="L113" i="19" s="1"/>
  <c r="L114" i="19" s="1"/>
  <c r="L115" i="19" s="1"/>
  <c r="L116" i="19" s="1"/>
  <c r="L117" i="19" s="1"/>
  <c r="L118" i="19" s="1"/>
  <c r="L119" i="19" s="1"/>
  <c r="L120" i="19" s="1"/>
  <c r="L121" i="19" s="1"/>
  <c r="L122" i="19" s="1"/>
  <c r="L123" i="19" s="1"/>
  <c r="L124" i="19" s="1"/>
  <c r="L125" i="19" s="1"/>
  <c r="L126" i="19" s="1"/>
  <c r="L127" i="19" s="1"/>
  <c r="L128" i="19" s="1"/>
  <c r="L129" i="19" s="1"/>
  <c r="L130" i="19" s="1"/>
  <c r="L131" i="19" s="1"/>
  <c r="L132" i="19" s="1"/>
  <c r="L133" i="19" s="1"/>
  <c r="L134" i="19" s="1"/>
  <c r="L135" i="19" s="1"/>
  <c r="L136" i="19" s="1"/>
  <c r="L137" i="19" s="1"/>
  <c r="L138" i="19" s="1"/>
  <c r="L139" i="19" s="1"/>
  <c r="L140" i="19" s="1"/>
  <c r="L141" i="19" s="1"/>
  <c r="L142" i="19" s="1"/>
  <c r="L143" i="19" s="1"/>
  <c r="L144" i="19" s="1"/>
  <c r="L145" i="19" s="1"/>
  <c r="L146" i="19" s="1"/>
  <c r="L147" i="19" s="1"/>
  <c r="L148" i="19" s="1"/>
  <c r="L149" i="19" s="1"/>
  <c r="L150" i="19" s="1"/>
  <c r="L151" i="19" s="1"/>
  <c r="L152" i="19" s="1"/>
  <c r="L153" i="19" s="1"/>
  <c r="L154" i="19" s="1"/>
  <c r="L155" i="19" s="1"/>
  <c r="L156" i="19" s="1"/>
  <c r="L157" i="19" s="1"/>
  <c r="L158" i="19" s="1"/>
  <c r="L159" i="19" s="1"/>
  <c r="L160" i="19" s="1"/>
  <c r="L161" i="19" s="1"/>
  <c r="L162" i="19" s="1"/>
  <c r="L163" i="19" s="1"/>
  <c r="L164" i="19" s="1"/>
  <c r="L165" i="19" s="1"/>
  <c r="L166" i="19" s="1"/>
  <c r="L167" i="19" s="1"/>
  <c r="L168" i="19" s="1"/>
  <c r="L169" i="19" s="1"/>
  <c r="L170" i="19" s="1"/>
  <c r="L171" i="19" s="1"/>
  <c r="L172" i="19" s="1"/>
  <c r="L173" i="19" s="1"/>
  <c r="L174" i="19" s="1"/>
  <c r="L175" i="19" s="1"/>
  <c r="L176" i="19" s="1"/>
  <c r="L177" i="19" s="1"/>
  <c r="L178" i="19" s="1"/>
  <c r="L179" i="19" s="1"/>
  <c r="L180" i="19" s="1"/>
  <c r="L181" i="19" s="1"/>
  <c r="L182" i="19" s="1"/>
  <c r="L183" i="19" s="1"/>
  <c r="L184" i="19" s="1"/>
  <c r="L185" i="19" s="1"/>
  <c r="L186" i="19" s="1"/>
  <c r="L187" i="19" s="1"/>
  <c r="L188" i="19" s="1"/>
  <c r="L189" i="19" s="1"/>
  <c r="L190" i="19" s="1"/>
  <c r="L191" i="19" s="1"/>
  <c r="L192" i="19" s="1"/>
  <c r="L193" i="19" s="1"/>
  <c r="L194" i="19" s="1"/>
  <c r="L195" i="19" s="1"/>
  <c r="L196" i="19" s="1"/>
  <c r="L197" i="19" s="1"/>
  <c r="L198" i="19" s="1"/>
  <c r="L199" i="19" s="1"/>
  <c r="L200" i="19" s="1"/>
  <c r="L201" i="19" s="1"/>
  <c r="L202" i="19" s="1"/>
  <c r="AX17" i="11" l="1"/>
  <c r="AX18" i="11" s="1"/>
  <c r="AX19" i="11" s="1"/>
  <c r="AX20" i="11" s="1"/>
  <c r="AX21" i="11" s="1"/>
  <c r="AX22" i="11" s="1"/>
  <c r="AX23" i="11" s="1"/>
  <c r="AX24" i="11" s="1"/>
  <c r="AX25" i="11" s="1"/>
  <c r="AX26" i="11" s="1"/>
  <c r="AX27" i="11" s="1"/>
  <c r="AX28" i="11" s="1"/>
  <c r="AX29" i="11" s="1"/>
  <c r="AX30" i="11" s="1"/>
  <c r="AX31" i="11" s="1"/>
  <c r="AX32" i="11" s="1"/>
  <c r="AX33" i="11" s="1"/>
  <c r="AX34" i="11" s="1"/>
  <c r="AX35" i="11" s="1"/>
  <c r="AX36" i="11" s="1"/>
  <c r="AX37" i="11" s="1"/>
  <c r="AX38" i="11" s="1"/>
  <c r="AX39" i="11" s="1"/>
  <c r="AX40" i="11" s="1"/>
  <c r="AX41" i="11" s="1"/>
  <c r="AX42" i="11" s="1"/>
  <c r="AX43" i="11" s="1"/>
  <c r="AX44" i="11" s="1"/>
  <c r="AX45" i="11" s="1"/>
  <c r="AX46" i="11" s="1"/>
  <c r="AX47" i="11" s="1"/>
  <c r="AX48" i="11" s="1"/>
  <c r="AX49" i="11" s="1"/>
  <c r="AX50" i="11" s="1"/>
  <c r="AX51" i="11" s="1"/>
  <c r="AX52" i="11" s="1"/>
  <c r="AX53" i="11" s="1"/>
  <c r="AX54" i="11" s="1"/>
  <c r="AX55" i="11" s="1"/>
  <c r="AX56" i="11" s="1"/>
  <c r="AX57" i="11" s="1"/>
  <c r="AX58" i="11" s="1"/>
  <c r="AX59" i="11" s="1"/>
  <c r="AX60" i="11" s="1"/>
  <c r="AX61" i="11" s="1"/>
  <c r="AX62" i="11" s="1"/>
  <c r="AX63" i="11" s="1"/>
  <c r="AX64" i="11" s="1"/>
  <c r="AX65" i="11" s="1"/>
  <c r="AX66" i="11" s="1"/>
  <c r="AX67" i="11" s="1"/>
  <c r="AX68" i="11" s="1"/>
  <c r="AX69" i="11" s="1"/>
  <c r="AX70" i="11" s="1"/>
  <c r="AX71" i="11" s="1"/>
  <c r="AX72" i="11" s="1"/>
  <c r="AX73" i="11" s="1"/>
  <c r="AX74" i="11" s="1"/>
  <c r="AX75" i="11" s="1"/>
  <c r="AX76" i="11" s="1"/>
  <c r="AX77" i="11" s="1"/>
  <c r="AX78" i="11" s="1"/>
  <c r="AX79" i="11" s="1"/>
  <c r="AX80" i="11" s="1"/>
  <c r="AX81" i="11" s="1"/>
  <c r="AX82" i="11" s="1"/>
  <c r="AX83" i="11" s="1"/>
  <c r="AX84" i="11" s="1"/>
  <c r="AX85" i="11" s="1"/>
  <c r="AX86" i="11" s="1"/>
  <c r="AX87" i="11" s="1"/>
  <c r="AX88" i="11" s="1"/>
  <c r="AX89" i="11" s="1"/>
  <c r="AX90" i="11" s="1"/>
  <c r="AX91" i="11" s="1"/>
  <c r="AX92" i="11" s="1"/>
  <c r="AX93" i="11" s="1"/>
  <c r="AX94" i="11" s="1"/>
  <c r="AX95" i="11" s="1"/>
  <c r="AX96" i="11" s="1"/>
  <c r="AX97" i="11" s="1"/>
  <c r="AX98" i="11" s="1"/>
  <c r="AX99" i="11" s="1"/>
  <c r="AX100" i="11" s="1"/>
  <c r="AX101" i="11" s="1"/>
  <c r="AX102" i="11" s="1"/>
  <c r="AX103" i="11" s="1"/>
  <c r="AX104" i="11" s="1"/>
  <c r="AX105" i="11" s="1"/>
  <c r="AX106" i="11" s="1"/>
  <c r="AX107" i="11" s="1"/>
  <c r="AX108" i="11" s="1"/>
  <c r="AX109" i="11" s="1"/>
  <c r="AX110" i="11" s="1"/>
  <c r="AX111" i="11" s="1"/>
  <c r="AX112" i="11" s="1"/>
  <c r="AX113" i="11" s="1"/>
  <c r="AX114" i="11" s="1"/>
  <c r="AX115" i="11" s="1"/>
  <c r="AX116" i="11" s="1"/>
  <c r="AX117" i="11" s="1"/>
  <c r="AX118" i="11" s="1"/>
  <c r="AX119" i="11" s="1"/>
  <c r="AX120" i="11" s="1"/>
  <c r="AX121" i="11" s="1"/>
  <c r="AX122" i="11" s="1"/>
  <c r="AX123" i="11" s="1"/>
  <c r="AX124" i="11" s="1"/>
  <c r="AX125" i="11" s="1"/>
  <c r="AX126" i="11" s="1"/>
  <c r="AX127" i="11" s="1"/>
  <c r="AX128" i="11" s="1"/>
  <c r="AX129" i="11" s="1"/>
  <c r="AX130" i="11" s="1"/>
  <c r="AX131" i="11" s="1"/>
  <c r="AX132" i="11" s="1"/>
  <c r="AX133" i="11" s="1"/>
  <c r="AX134" i="11" s="1"/>
  <c r="AX135" i="11" s="1"/>
  <c r="AX136" i="11" s="1"/>
  <c r="AX137" i="11" s="1"/>
  <c r="AX138" i="11" s="1"/>
  <c r="AX139" i="11" s="1"/>
  <c r="AX140" i="11" s="1"/>
  <c r="AX141" i="11" s="1"/>
  <c r="AX142" i="11" s="1"/>
  <c r="AX143" i="11" s="1"/>
  <c r="AX144" i="11" s="1"/>
  <c r="AX145" i="11" s="1"/>
  <c r="AX146" i="11" s="1"/>
  <c r="AX147" i="11" s="1"/>
  <c r="AX148" i="11" s="1"/>
  <c r="AX149" i="11" s="1"/>
  <c r="AX150" i="11" s="1"/>
  <c r="AX151" i="11" s="1"/>
  <c r="AX152" i="11" s="1"/>
  <c r="AX153" i="11" s="1"/>
  <c r="AX154" i="11" s="1"/>
  <c r="AX155" i="11" s="1"/>
  <c r="AX156" i="11" s="1"/>
  <c r="AX157" i="11" s="1"/>
  <c r="AX158" i="11" s="1"/>
  <c r="AX159" i="11" s="1"/>
  <c r="AX160" i="11" s="1"/>
  <c r="AX161" i="11" s="1"/>
  <c r="AX162" i="11" s="1"/>
  <c r="AX163" i="11" s="1"/>
  <c r="AX164" i="11" s="1"/>
  <c r="AX165" i="11" s="1"/>
  <c r="AX166" i="11" s="1"/>
  <c r="AX167" i="11" s="1"/>
  <c r="AX168" i="11" s="1"/>
  <c r="AX169" i="11" s="1"/>
  <c r="AX170" i="11" s="1"/>
  <c r="AX171" i="11" s="1"/>
  <c r="AX172" i="11" s="1"/>
  <c r="AX173" i="11" s="1"/>
  <c r="AX174" i="11" s="1"/>
  <c r="AX175" i="11" s="1"/>
  <c r="AX176" i="11" s="1"/>
  <c r="AX177" i="11" s="1"/>
  <c r="AX178" i="11" s="1"/>
  <c r="AX179" i="11" s="1"/>
  <c r="AX180" i="11" s="1"/>
  <c r="AX181" i="11" s="1"/>
  <c r="AX182" i="11" s="1"/>
  <c r="AX183" i="11" s="1"/>
  <c r="AX184" i="11" s="1"/>
  <c r="AX185" i="11" s="1"/>
  <c r="AX186" i="11" s="1"/>
  <c r="AX187" i="11" s="1"/>
  <c r="AX188" i="11" s="1"/>
  <c r="AX189" i="11" s="1"/>
  <c r="AX190" i="11" s="1"/>
  <c r="AX191" i="11" s="1"/>
  <c r="AX192" i="11" s="1"/>
  <c r="AX193" i="11" s="1"/>
  <c r="AX194" i="11" s="1"/>
  <c r="AX195" i="11" s="1"/>
  <c r="AX196" i="11" s="1"/>
  <c r="AX197" i="11" s="1"/>
  <c r="AX198" i="11" s="1"/>
  <c r="AX199" i="11" s="1"/>
  <c r="AX200" i="11" s="1"/>
  <c r="AX201" i="11" s="1"/>
  <c r="AX202" i="11" s="1"/>
  <c r="AH12" i="20"/>
  <c r="AK11" i="20"/>
  <c r="AJ11" i="20"/>
  <c r="J44" i="19"/>
  <c r="J45" i="19" s="1"/>
  <c r="J46" i="19" s="1"/>
  <c r="J47" i="19" s="1"/>
  <c r="J48" i="19" s="1"/>
  <c r="J49" i="19" s="1"/>
  <c r="J50" i="19" s="1"/>
  <c r="J51" i="19" s="1"/>
  <c r="J52" i="19" s="1"/>
  <c r="J53" i="19" s="1"/>
  <c r="J54" i="19" s="1"/>
  <c r="J55" i="19" s="1"/>
  <c r="J56" i="19" s="1"/>
  <c r="J57" i="19" s="1"/>
  <c r="J58" i="19" s="1"/>
  <c r="J59" i="19" s="1"/>
  <c r="J60" i="19" s="1"/>
  <c r="J61" i="19" s="1"/>
  <c r="J62" i="19" s="1"/>
  <c r="J63" i="19" s="1"/>
  <c r="J64" i="19" s="1"/>
  <c r="J65" i="19" s="1"/>
  <c r="J66" i="19" s="1"/>
  <c r="J67" i="19" s="1"/>
  <c r="J68" i="19" s="1"/>
  <c r="J69" i="19" s="1"/>
  <c r="J70" i="19" s="1"/>
  <c r="J71" i="19" s="1"/>
  <c r="J72" i="19" s="1"/>
  <c r="J73" i="19" s="1"/>
  <c r="J74" i="19" s="1"/>
  <c r="J75" i="19" s="1"/>
  <c r="J76" i="19" s="1"/>
  <c r="J77" i="19" s="1"/>
  <c r="J78" i="19" s="1"/>
  <c r="J79" i="19" s="1"/>
  <c r="J80" i="19" s="1"/>
  <c r="I7" i="19"/>
  <c r="G93" i="19"/>
  <c r="G94" i="19" s="1"/>
  <c r="G95" i="19" s="1"/>
  <c r="G96" i="19" s="1"/>
  <c r="G97" i="19" s="1"/>
  <c r="G98" i="19" s="1"/>
  <c r="G99" i="19" s="1"/>
  <c r="G100" i="19" s="1"/>
  <c r="G101" i="19" s="1"/>
  <c r="G102" i="19" s="1"/>
  <c r="G103" i="19" s="1"/>
  <c r="G104" i="19" s="1"/>
  <c r="G105" i="19" s="1"/>
  <c r="G106" i="19" s="1"/>
  <c r="G107" i="19" s="1"/>
  <c r="G108" i="19" s="1"/>
  <c r="G109" i="19" s="1"/>
  <c r="G110" i="19" s="1"/>
  <c r="G111" i="19" s="1"/>
  <c r="G112" i="19" s="1"/>
  <c r="G113" i="19" s="1"/>
  <c r="G114" i="19" s="1"/>
  <c r="G115" i="19" s="1"/>
  <c r="G116" i="19" s="1"/>
  <c r="G117" i="19" s="1"/>
  <c r="G118" i="19" s="1"/>
  <c r="G119" i="19" s="1"/>
  <c r="G120" i="19" s="1"/>
  <c r="G121" i="19" s="1"/>
  <c r="G122" i="19" s="1"/>
  <c r="G123" i="19" s="1"/>
  <c r="G124" i="19" s="1"/>
  <c r="G125" i="19" s="1"/>
  <c r="G126" i="19" s="1"/>
  <c r="G127" i="19" s="1"/>
  <c r="G128" i="19" s="1"/>
  <c r="G129" i="19" s="1"/>
  <c r="G130" i="19" s="1"/>
  <c r="G131" i="19" s="1"/>
  <c r="G132" i="19" s="1"/>
  <c r="G133" i="19" s="1"/>
  <c r="G134" i="19" s="1"/>
  <c r="G135" i="19" s="1"/>
  <c r="G136" i="19" s="1"/>
  <c r="G137" i="19" s="1"/>
  <c r="G138" i="19" s="1"/>
  <c r="G139" i="19" s="1"/>
  <c r="G140" i="19" s="1"/>
  <c r="G141" i="19" s="1"/>
  <c r="G142" i="19" s="1"/>
  <c r="G143" i="19" s="1"/>
  <c r="G144" i="19" s="1"/>
  <c r="G145" i="19" s="1"/>
  <c r="G146" i="19" s="1"/>
  <c r="G147" i="19" s="1"/>
  <c r="G148" i="19" s="1"/>
  <c r="G149" i="19" s="1"/>
  <c r="G150" i="19" s="1"/>
  <c r="G151" i="19" s="1"/>
  <c r="G152" i="19" s="1"/>
  <c r="G153" i="19" s="1"/>
  <c r="G154" i="19" s="1"/>
  <c r="G155" i="19" s="1"/>
  <c r="G156" i="19" s="1"/>
  <c r="G157" i="19" s="1"/>
  <c r="G158" i="19" s="1"/>
  <c r="G159" i="19" s="1"/>
  <c r="G160" i="19" s="1"/>
  <c r="G161" i="19" s="1"/>
  <c r="G162" i="19" s="1"/>
  <c r="G163" i="19" s="1"/>
  <c r="G164" i="19" s="1"/>
  <c r="G165" i="19" s="1"/>
  <c r="G166" i="19" s="1"/>
  <c r="G167" i="19" s="1"/>
  <c r="G168" i="19" s="1"/>
  <c r="G169" i="19" s="1"/>
  <c r="G170" i="19" s="1"/>
  <c r="G171" i="19" s="1"/>
  <c r="G172" i="19" s="1"/>
  <c r="G173" i="19" s="1"/>
  <c r="G174" i="19" s="1"/>
  <c r="G175" i="19" s="1"/>
  <c r="G176" i="19" s="1"/>
  <c r="G177" i="19" s="1"/>
  <c r="G178" i="19" s="1"/>
  <c r="G179" i="19" s="1"/>
  <c r="G180" i="19" s="1"/>
  <c r="G181" i="19" s="1"/>
  <c r="G182" i="19" s="1"/>
  <c r="G183" i="19" s="1"/>
  <c r="G184" i="19" s="1"/>
  <c r="G185" i="19" s="1"/>
  <c r="G186" i="19" s="1"/>
  <c r="G187" i="19" s="1"/>
  <c r="G188" i="19" s="1"/>
  <c r="G189" i="19" s="1"/>
  <c r="G190" i="19" s="1"/>
  <c r="G191" i="19" s="1"/>
  <c r="G192" i="19" s="1"/>
  <c r="G193" i="19" s="1"/>
  <c r="G194" i="19" s="1"/>
  <c r="G195" i="19" s="1"/>
  <c r="G196" i="19" s="1"/>
  <c r="G197" i="19" s="1"/>
  <c r="G198" i="19" s="1"/>
  <c r="G199" i="19" s="1"/>
  <c r="G200" i="19" s="1"/>
  <c r="G201" i="19" s="1"/>
  <c r="G202" i="19" s="1"/>
  <c r="AI93" i="19"/>
  <c r="AI94" i="19" s="1"/>
  <c r="AI95" i="19" s="1"/>
  <c r="AI96" i="19" s="1"/>
  <c r="AI97" i="19" s="1"/>
  <c r="AI98" i="19" s="1"/>
  <c r="AI99" i="19" s="1"/>
  <c r="AI100" i="19" s="1"/>
  <c r="AI101" i="19" s="1"/>
  <c r="AI102" i="19" s="1"/>
  <c r="AI103" i="19" s="1"/>
  <c r="AI104" i="19" s="1"/>
  <c r="AI105" i="19" s="1"/>
  <c r="AI106" i="19" s="1"/>
  <c r="AI107" i="19" s="1"/>
  <c r="AI108" i="19" s="1"/>
  <c r="AI109" i="19" s="1"/>
  <c r="AI110" i="19" s="1"/>
  <c r="AI111" i="19" s="1"/>
  <c r="AI112" i="19" s="1"/>
  <c r="AI113" i="19" s="1"/>
  <c r="AI114" i="19" s="1"/>
  <c r="AI115" i="19" s="1"/>
  <c r="AI116" i="19" s="1"/>
  <c r="AI117" i="19" s="1"/>
  <c r="AI118" i="19" s="1"/>
  <c r="AI119" i="19" s="1"/>
  <c r="AI120" i="19" s="1"/>
  <c r="AI121" i="19" s="1"/>
  <c r="AI122" i="19" s="1"/>
  <c r="AI123" i="19" s="1"/>
  <c r="AI124" i="19" s="1"/>
  <c r="AI125" i="19" s="1"/>
  <c r="AI126" i="19" s="1"/>
  <c r="AI127" i="19" s="1"/>
  <c r="AI128" i="19" s="1"/>
  <c r="AI129" i="19" s="1"/>
  <c r="AI130" i="19" s="1"/>
  <c r="AI131" i="19" s="1"/>
  <c r="AI132" i="19" s="1"/>
  <c r="AI133" i="19" s="1"/>
  <c r="AI134" i="19" s="1"/>
  <c r="AI135" i="19" s="1"/>
  <c r="AI136" i="19" s="1"/>
  <c r="AI137" i="19" s="1"/>
  <c r="AI138" i="19" s="1"/>
  <c r="AI139" i="19" s="1"/>
  <c r="AI140" i="19" s="1"/>
  <c r="AI141" i="19" s="1"/>
  <c r="AI142" i="19" s="1"/>
  <c r="AI143" i="19" s="1"/>
  <c r="AI144" i="19" s="1"/>
  <c r="AI145" i="19" s="1"/>
  <c r="AI146" i="19" s="1"/>
  <c r="AI147" i="19" s="1"/>
  <c r="AI148" i="19" s="1"/>
  <c r="AI149" i="19" s="1"/>
  <c r="AI150" i="19" s="1"/>
  <c r="AI151" i="19" s="1"/>
  <c r="AI152" i="19" s="1"/>
  <c r="AI153" i="19" s="1"/>
  <c r="AI154" i="19" s="1"/>
  <c r="AI155" i="19" s="1"/>
  <c r="AI156" i="19" s="1"/>
  <c r="AI157" i="19" s="1"/>
  <c r="AI158" i="19" s="1"/>
  <c r="AI159" i="19" s="1"/>
  <c r="AI160" i="19" s="1"/>
  <c r="AI161" i="19" s="1"/>
  <c r="AI162" i="19" s="1"/>
  <c r="AI163" i="19" s="1"/>
  <c r="AI164" i="19" s="1"/>
  <c r="AI165" i="19" s="1"/>
  <c r="AI166" i="19" s="1"/>
  <c r="AI167" i="19" s="1"/>
  <c r="AI168" i="19" s="1"/>
  <c r="AI169" i="19" s="1"/>
  <c r="AI170" i="19" s="1"/>
  <c r="AI171" i="19" s="1"/>
  <c r="AI172" i="19" s="1"/>
  <c r="AI173" i="19" s="1"/>
  <c r="AI174" i="19" s="1"/>
  <c r="AI175" i="19" s="1"/>
  <c r="AI176" i="19" s="1"/>
  <c r="AI177" i="19" s="1"/>
  <c r="AI178" i="19" s="1"/>
  <c r="AI179" i="19" s="1"/>
  <c r="AI180" i="19" s="1"/>
  <c r="AI181" i="19" s="1"/>
  <c r="AI182" i="19" s="1"/>
  <c r="AI183" i="19" s="1"/>
  <c r="AI184" i="19" s="1"/>
  <c r="AI185" i="19" s="1"/>
  <c r="AI186" i="19" s="1"/>
  <c r="AI187" i="19" s="1"/>
  <c r="AI188" i="19" s="1"/>
  <c r="AI189" i="19" s="1"/>
  <c r="AI190" i="19" s="1"/>
  <c r="AI191" i="19" s="1"/>
  <c r="AI192" i="19" s="1"/>
  <c r="AI193" i="19" s="1"/>
  <c r="AI194" i="19" s="1"/>
  <c r="AI195" i="19" s="1"/>
  <c r="AI196" i="19" s="1"/>
  <c r="AI197" i="19" s="1"/>
  <c r="AI198" i="19" s="1"/>
  <c r="AI199" i="19" s="1"/>
  <c r="AI200" i="19" s="1"/>
  <c r="AI201" i="19" s="1"/>
  <c r="AI202" i="19" s="1"/>
  <c r="AH6" i="19"/>
  <c r="AJ5" i="19"/>
  <c r="AK5" i="19"/>
  <c r="S8" i="19"/>
  <c r="AH13" i="20" l="1"/>
  <c r="AK12" i="20"/>
  <c r="AJ12" i="20"/>
  <c r="J81" i="19"/>
  <c r="J82" i="19" s="1"/>
  <c r="J83" i="19" s="1"/>
  <c r="J84" i="19" s="1"/>
  <c r="J85" i="19" s="1"/>
  <c r="J86" i="19" s="1"/>
  <c r="J87" i="19" s="1"/>
  <c r="J88" i="19" s="1"/>
  <c r="J89" i="19" s="1"/>
  <c r="J90" i="19" s="1"/>
  <c r="J91" i="19" s="1"/>
  <c r="J92" i="19" s="1"/>
  <c r="J93" i="19" s="1"/>
  <c r="J94" i="19" s="1"/>
  <c r="J95" i="19" s="1"/>
  <c r="J96" i="19" s="1"/>
  <c r="J97" i="19" s="1"/>
  <c r="J98" i="19" s="1"/>
  <c r="J99" i="19" s="1"/>
  <c r="J100" i="19" s="1"/>
  <c r="J101" i="19" s="1"/>
  <c r="J102" i="19" s="1"/>
  <c r="J103" i="19" s="1"/>
  <c r="J104" i="19" s="1"/>
  <c r="J105" i="19" s="1"/>
  <c r="J106" i="19" s="1"/>
  <c r="J107" i="19" s="1"/>
  <c r="J108" i="19" s="1"/>
  <c r="J109" i="19" s="1"/>
  <c r="J110" i="19" s="1"/>
  <c r="J111" i="19" s="1"/>
  <c r="J112" i="19" s="1"/>
  <c r="J113" i="19" s="1"/>
  <c r="J114" i="19" s="1"/>
  <c r="J115" i="19" s="1"/>
  <c r="J116" i="19" s="1"/>
  <c r="J117" i="19" s="1"/>
  <c r="J118" i="19" s="1"/>
  <c r="J119" i="19" s="1"/>
  <c r="J120" i="19" s="1"/>
  <c r="J121" i="19" s="1"/>
  <c r="J122" i="19" s="1"/>
  <c r="J123" i="19" s="1"/>
  <c r="J124" i="19" s="1"/>
  <c r="J125" i="19" s="1"/>
  <c r="J126" i="19" s="1"/>
  <c r="J127" i="19" s="1"/>
  <c r="J128" i="19" s="1"/>
  <c r="J129" i="19" s="1"/>
  <c r="J130" i="19" s="1"/>
  <c r="J131" i="19" s="1"/>
  <c r="J132" i="19" s="1"/>
  <c r="J133" i="19" s="1"/>
  <c r="J134" i="19" s="1"/>
  <c r="J135" i="19" s="1"/>
  <c r="J136" i="19" s="1"/>
  <c r="J137" i="19" s="1"/>
  <c r="J138" i="19" s="1"/>
  <c r="J139" i="19" s="1"/>
  <c r="J140" i="19" s="1"/>
  <c r="J141" i="19" s="1"/>
  <c r="J142" i="19" s="1"/>
  <c r="J143" i="19" s="1"/>
  <c r="J144" i="19" s="1"/>
  <c r="J145" i="19" s="1"/>
  <c r="J146" i="19" s="1"/>
  <c r="J147" i="19" s="1"/>
  <c r="J148" i="19" s="1"/>
  <c r="J149" i="19" s="1"/>
  <c r="J150" i="19" s="1"/>
  <c r="J151" i="19" s="1"/>
  <c r="J152" i="19" s="1"/>
  <c r="J153" i="19" s="1"/>
  <c r="J154" i="19" s="1"/>
  <c r="J155" i="19" s="1"/>
  <c r="J156" i="19" s="1"/>
  <c r="J157" i="19" s="1"/>
  <c r="J158" i="19" s="1"/>
  <c r="J159" i="19" s="1"/>
  <c r="J160" i="19" s="1"/>
  <c r="J161" i="19" s="1"/>
  <c r="J162" i="19" s="1"/>
  <c r="J163" i="19" s="1"/>
  <c r="J164" i="19" s="1"/>
  <c r="J165" i="19" s="1"/>
  <c r="J166" i="19" s="1"/>
  <c r="J167" i="19" s="1"/>
  <c r="J168" i="19" s="1"/>
  <c r="J169" i="19" s="1"/>
  <c r="J170" i="19" s="1"/>
  <c r="J171" i="19" s="1"/>
  <c r="J172" i="19" s="1"/>
  <c r="J173" i="19" s="1"/>
  <c r="J174" i="19" s="1"/>
  <c r="J175" i="19" s="1"/>
  <c r="J176" i="19" s="1"/>
  <c r="J177" i="19" s="1"/>
  <c r="J178" i="19" s="1"/>
  <c r="J179" i="19" s="1"/>
  <c r="J180" i="19" s="1"/>
  <c r="J181" i="19" s="1"/>
  <c r="J182" i="19" s="1"/>
  <c r="J183" i="19" s="1"/>
  <c r="J184" i="19" s="1"/>
  <c r="J185" i="19" s="1"/>
  <c r="J186" i="19" s="1"/>
  <c r="J187" i="19" s="1"/>
  <c r="J188" i="19" s="1"/>
  <c r="J189" i="19" s="1"/>
  <c r="J190" i="19" s="1"/>
  <c r="J191" i="19" s="1"/>
  <c r="J192" i="19" s="1"/>
  <c r="J193" i="19" s="1"/>
  <c r="J194" i="19" s="1"/>
  <c r="J195" i="19" s="1"/>
  <c r="J196" i="19" s="1"/>
  <c r="J197" i="19" s="1"/>
  <c r="J198" i="19" s="1"/>
  <c r="J199" i="19" s="1"/>
  <c r="J200" i="19" s="1"/>
  <c r="J201" i="19" s="1"/>
  <c r="J202" i="19" s="1"/>
  <c r="I8" i="19"/>
  <c r="AH7" i="19"/>
  <c r="AK6" i="19"/>
  <c r="AJ6" i="19"/>
  <c r="S9" i="19"/>
  <c r="AJ163" i="11"/>
  <c r="AL163" i="11"/>
  <c r="AN163" i="11"/>
  <c r="AP163" i="11"/>
  <c r="AR163" i="11"/>
  <c r="AJ164" i="11"/>
  <c r="AL164" i="11"/>
  <c r="AN164" i="11"/>
  <c r="AP164" i="11"/>
  <c r="AR164" i="11"/>
  <c r="AJ165" i="11"/>
  <c r="AL165" i="11"/>
  <c r="AN165" i="11"/>
  <c r="AP165" i="11"/>
  <c r="AR165" i="11"/>
  <c r="AJ166" i="11"/>
  <c r="AL166" i="11"/>
  <c r="AN166" i="11"/>
  <c r="AP166" i="11"/>
  <c r="AR166" i="11"/>
  <c r="AJ167" i="11"/>
  <c r="AL167" i="11"/>
  <c r="AN167" i="11"/>
  <c r="AP167" i="11"/>
  <c r="AR167" i="11"/>
  <c r="AJ168" i="11"/>
  <c r="AL168" i="11"/>
  <c r="AN168" i="11"/>
  <c r="AP168" i="11"/>
  <c r="AR168" i="11"/>
  <c r="AJ169" i="11"/>
  <c r="AL169" i="11"/>
  <c r="AN169" i="11"/>
  <c r="AP169" i="11"/>
  <c r="AR169" i="11"/>
  <c r="AJ170" i="11"/>
  <c r="AL170" i="11"/>
  <c r="AN170" i="11"/>
  <c r="AP170" i="11"/>
  <c r="AR170" i="11"/>
  <c r="AJ171" i="11"/>
  <c r="AL171" i="11"/>
  <c r="AN171" i="11"/>
  <c r="AP171" i="11"/>
  <c r="AR171" i="11"/>
  <c r="AJ172" i="11"/>
  <c r="AL172" i="11"/>
  <c r="AN172" i="11"/>
  <c r="AP172" i="11"/>
  <c r="AR172" i="11"/>
  <c r="AJ173" i="11"/>
  <c r="AL173" i="11"/>
  <c r="AN173" i="11"/>
  <c r="AP173" i="11"/>
  <c r="AR173" i="11"/>
  <c r="AJ174" i="11"/>
  <c r="AL174" i="11"/>
  <c r="AN174" i="11"/>
  <c r="AP174" i="11"/>
  <c r="AR174" i="11"/>
  <c r="AJ175" i="11"/>
  <c r="AL175" i="11"/>
  <c r="AN175" i="11"/>
  <c r="AP175" i="11"/>
  <c r="AR175" i="11"/>
  <c r="AJ176" i="11"/>
  <c r="AL176" i="11"/>
  <c r="AN176" i="11"/>
  <c r="AP176" i="11"/>
  <c r="AR176" i="11"/>
  <c r="AJ177" i="11"/>
  <c r="AL177" i="11"/>
  <c r="AN177" i="11"/>
  <c r="AP177" i="11"/>
  <c r="AR177" i="11"/>
  <c r="AJ178" i="11"/>
  <c r="AL178" i="11"/>
  <c r="AN178" i="11"/>
  <c r="AP178" i="11"/>
  <c r="AR178" i="11"/>
  <c r="AJ179" i="11"/>
  <c r="AL179" i="11"/>
  <c r="AN179" i="11"/>
  <c r="AP179" i="11"/>
  <c r="AR179" i="11"/>
  <c r="AJ180" i="11"/>
  <c r="AL180" i="11"/>
  <c r="AN180" i="11"/>
  <c r="AP180" i="11"/>
  <c r="AR180" i="11"/>
  <c r="AJ181" i="11"/>
  <c r="AL181" i="11"/>
  <c r="AN181" i="11"/>
  <c r="AP181" i="11"/>
  <c r="AR181" i="11"/>
  <c r="AJ182" i="11"/>
  <c r="AL182" i="11"/>
  <c r="AN182" i="11"/>
  <c r="AP182" i="11"/>
  <c r="AR182" i="11"/>
  <c r="AJ183" i="11"/>
  <c r="AL183" i="11"/>
  <c r="AN183" i="11"/>
  <c r="AP183" i="11"/>
  <c r="AR183" i="11"/>
  <c r="AJ184" i="11"/>
  <c r="AL184" i="11"/>
  <c r="AN184" i="11"/>
  <c r="AP184" i="11"/>
  <c r="AR184" i="11"/>
  <c r="AJ185" i="11"/>
  <c r="AL185" i="11"/>
  <c r="AN185" i="11"/>
  <c r="AP185" i="11"/>
  <c r="AR185" i="11"/>
  <c r="AJ186" i="11"/>
  <c r="AL186" i="11"/>
  <c r="AN186" i="11"/>
  <c r="AP186" i="11"/>
  <c r="AR186" i="11"/>
  <c r="AJ187" i="11"/>
  <c r="AL187" i="11"/>
  <c r="AN187" i="11"/>
  <c r="AP187" i="11"/>
  <c r="AR187" i="11"/>
  <c r="AJ188" i="11"/>
  <c r="AL188" i="11"/>
  <c r="AN188" i="11"/>
  <c r="AP188" i="11"/>
  <c r="AR188" i="11"/>
  <c r="AJ189" i="11"/>
  <c r="AL189" i="11"/>
  <c r="AN189" i="11"/>
  <c r="AP189" i="11"/>
  <c r="AR189" i="11"/>
  <c r="AJ190" i="11"/>
  <c r="AL190" i="11"/>
  <c r="AN190" i="11"/>
  <c r="AP190" i="11"/>
  <c r="AR190" i="11"/>
  <c r="AJ191" i="11"/>
  <c r="AL191" i="11"/>
  <c r="AN191" i="11"/>
  <c r="AP191" i="11"/>
  <c r="AR191" i="11"/>
  <c r="AJ192" i="11"/>
  <c r="AL192" i="11"/>
  <c r="AN192" i="11"/>
  <c r="AP192" i="11"/>
  <c r="AR192" i="11"/>
  <c r="AJ193" i="11"/>
  <c r="AL193" i="11"/>
  <c r="AN193" i="11"/>
  <c r="AP193" i="11"/>
  <c r="AR193" i="11"/>
  <c r="AJ194" i="11"/>
  <c r="AL194" i="11"/>
  <c r="AN194" i="11"/>
  <c r="AP194" i="11"/>
  <c r="AR194" i="11"/>
  <c r="AJ195" i="11"/>
  <c r="AL195" i="11"/>
  <c r="AN195" i="11"/>
  <c r="AP195" i="11"/>
  <c r="AR195" i="11"/>
  <c r="AJ196" i="11"/>
  <c r="AL196" i="11"/>
  <c r="AN196" i="11"/>
  <c r="AP196" i="11"/>
  <c r="AR196" i="11"/>
  <c r="AJ197" i="11"/>
  <c r="AL197" i="11"/>
  <c r="AN197" i="11"/>
  <c r="AP197" i="11"/>
  <c r="AR197" i="11"/>
  <c r="AJ198" i="11"/>
  <c r="AL198" i="11"/>
  <c r="AN198" i="11"/>
  <c r="AP198" i="11"/>
  <c r="AR198" i="11"/>
  <c r="AJ199" i="11"/>
  <c r="AL199" i="11"/>
  <c r="AN199" i="11"/>
  <c r="AP199" i="11"/>
  <c r="AR199" i="11"/>
  <c r="AJ200" i="11"/>
  <c r="AL200" i="11"/>
  <c r="AN200" i="11"/>
  <c r="AP200" i="11"/>
  <c r="AR200" i="11"/>
  <c r="AJ201" i="11"/>
  <c r="AL201" i="11"/>
  <c r="AN201" i="11"/>
  <c r="AP201" i="11"/>
  <c r="AR201" i="11"/>
  <c r="AJ202" i="11"/>
  <c r="AL202" i="11"/>
  <c r="AN202" i="11"/>
  <c r="AP202" i="11"/>
  <c r="AR202" i="11"/>
  <c r="AL5" i="11"/>
  <c r="AN5" i="11"/>
  <c r="AP5" i="11"/>
  <c r="AR5" i="11"/>
  <c r="AL6" i="11"/>
  <c r="AN6" i="11"/>
  <c r="AP6" i="11"/>
  <c r="AR6" i="11"/>
  <c r="AL7" i="11"/>
  <c r="AN7" i="11"/>
  <c r="AP7" i="11"/>
  <c r="AR7" i="11"/>
  <c r="AL8" i="11"/>
  <c r="AN8" i="11"/>
  <c r="AP8" i="11"/>
  <c r="AR8" i="11"/>
  <c r="AL9" i="11"/>
  <c r="AN9" i="11"/>
  <c r="AP9" i="11"/>
  <c r="AR9" i="11"/>
  <c r="AL10" i="11"/>
  <c r="AN10" i="11"/>
  <c r="AP10" i="11"/>
  <c r="AR10" i="11"/>
  <c r="AL11" i="11"/>
  <c r="AN11" i="11"/>
  <c r="AP11" i="11"/>
  <c r="AR11" i="11"/>
  <c r="AL12" i="11"/>
  <c r="AN12" i="11"/>
  <c r="AP12" i="11"/>
  <c r="AR12" i="11"/>
  <c r="AL13" i="11"/>
  <c r="AN13" i="11"/>
  <c r="AP13" i="11"/>
  <c r="AR13" i="11"/>
  <c r="AL14" i="11"/>
  <c r="AN14" i="11"/>
  <c r="AP14" i="11"/>
  <c r="AR14" i="11"/>
  <c r="AL15" i="11"/>
  <c r="AN15" i="11"/>
  <c r="AP15" i="11"/>
  <c r="AR15" i="11"/>
  <c r="AL16" i="11"/>
  <c r="AN16" i="11"/>
  <c r="AP16" i="11"/>
  <c r="AR16" i="11"/>
  <c r="AL17" i="11"/>
  <c r="AN17" i="11"/>
  <c r="AP17" i="11"/>
  <c r="AR17" i="11"/>
  <c r="AL18" i="11"/>
  <c r="AN18" i="11"/>
  <c r="AP18" i="11"/>
  <c r="AR18" i="11"/>
  <c r="AL19" i="11"/>
  <c r="AN19" i="11"/>
  <c r="AP19" i="11"/>
  <c r="AR19" i="11"/>
  <c r="AL20" i="11"/>
  <c r="AN20" i="11"/>
  <c r="AP20" i="11"/>
  <c r="AR20" i="11"/>
  <c r="AL21" i="11"/>
  <c r="AN21" i="11"/>
  <c r="AP21" i="11"/>
  <c r="AR21" i="11"/>
  <c r="AL22" i="11"/>
  <c r="AN22" i="11"/>
  <c r="AP22" i="11"/>
  <c r="AR22" i="11"/>
  <c r="AL23" i="11"/>
  <c r="AN23" i="11"/>
  <c r="AP23" i="11"/>
  <c r="AR23" i="11"/>
  <c r="AL24" i="11"/>
  <c r="AN24" i="11"/>
  <c r="AP24" i="11"/>
  <c r="AR24" i="11"/>
  <c r="AL25" i="11"/>
  <c r="AN25" i="11"/>
  <c r="AP25" i="11"/>
  <c r="AR25" i="11"/>
  <c r="AL26" i="11"/>
  <c r="AN26" i="11"/>
  <c r="AP26" i="11"/>
  <c r="AR26" i="11"/>
  <c r="AL27" i="11"/>
  <c r="AN27" i="11"/>
  <c r="AP27" i="11"/>
  <c r="AR27" i="11"/>
  <c r="AL28" i="11"/>
  <c r="AN28" i="11"/>
  <c r="AP28" i="11"/>
  <c r="AR28" i="11"/>
  <c r="AL29" i="11"/>
  <c r="AN29" i="11"/>
  <c r="AP29" i="11"/>
  <c r="AR29" i="11"/>
  <c r="AL30" i="11"/>
  <c r="AN30" i="11"/>
  <c r="AP30" i="11"/>
  <c r="AR30" i="11"/>
  <c r="AL31" i="11"/>
  <c r="AN31" i="11"/>
  <c r="AP31" i="11"/>
  <c r="AR31" i="11"/>
  <c r="AL32" i="11"/>
  <c r="AN32" i="11"/>
  <c r="AP32" i="11"/>
  <c r="AR32" i="11"/>
  <c r="AL33" i="11"/>
  <c r="AN33" i="11"/>
  <c r="AP33" i="11"/>
  <c r="AR33" i="11"/>
  <c r="AL34" i="11"/>
  <c r="AN34" i="11"/>
  <c r="AP34" i="11"/>
  <c r="AR34" i="11"/>
  <c r="AL35" i="11"/>
  <c r="AN35" i="11"/>
  <c r="AP35" i="11"/>
  <c r="AR35" i="11"/>
  <c r="AL36" i="11"/>
  <c r="AN36" i="11"/>
  <c r="AP36" i="11"/>
  <c r="AR36" i="11"/>
  <c r="AL37" i="11"/>
  <c r="AN37" i="11"/>
  <c r="AP37" i="11"/>
  <c r="AR37" i="11"/>
  <c r="AL38" i="11"/>
  <c r="AN38" i="11"/>
  <c r="AP38" i="11"/>
  <c r="AR38" i="11"/>
  <c r="AL39" i="11"/>
  <c r="AN39" i="11"/>
  <c r="AP39" i="11"/>
  <c r="AR39" i="11"/>
  <c r="AL40" i="11"/>
  <c r="AN40" i="11"/>
  <c r="AP40" i="11"/>
  <c r="AR40" i="11"/>
  <c r="AL41" i="11"/>
  <c r="AN41" i="11"/>
  <c r="AP41" i="11"/>
  <c r="AR41" i="11"/>
  <c r="AL42" i="11"/>
  <c r="AN42" i="11"/>
  <c r="AP42" i="11"/>
  <c r="AR42" i="11"/>
  <c r="AL43" i="11"/>
  <c r="AN43" i="11"/>
  <c r="AP43" i="11"/>
  <c r="AR43" i="11"/>
  <c r="AL44" i="11"/>
  <c r="AN44" i="11"/>
  <c r="AP44" i="11"/>
  <c r="AR44" i="11"/>
  <c r="AL45" i="11"/>
  <c r="AN45" i="11"/>
  <c r="AP45" i="11"/>
  <c r="AR45" i="11"/>
  <c r="AL46" i="11"/>
  <c r="AN46" i="11"/>
  <c r="AP46" i="11"/>
  <c r="AR46" i="11"/>
  <c r="AL47" i="11"/>
  <c r="AN47" i="11"/>
  <c r="AP47" i="11"/>
  <c r="AR47" i="11"/>
  <c r="AL48" i="11"/>
  <c r="AN48" i="11"/>
  <c r="AP48" i="11"/>
  <c r="AR48" i="11"/>
  <c r="AL49" i="11"/>
  <c r="AN49" i="11"/>
  <c r="AP49" i="11"/>
  <c r="AR49" i="11"/>
  <c r="AL50" i="11"/>
  <c r="AN50" i="11"/>
  <c r="AP50" i="11"/>
  <c r="AR50" i="11"/>
  <c r="AL51" i="11"/>
  <c r="AN51" i="11"/>
  <c r="AP51" i="11"/>
  <c r="AR51" i="11"/>
  <c r="AL52" i="11"/>
  <c r="AN52" i="11"/>
  <c r="AP52" i="11"/>
  <c r="AR52" i="11"/>
  <c r="AL53" i="11"/>
  <c r="AN53" i="11"/>
  <c r="AP53" i="11"/>
  <c r="AR53" i="11"/>
  <c r="AL54" i="11"/>
  <c r="AN54" i="11"/>
  <c r="AP54" i="11"/>
  <c r="AR54" i="11"/>
  <c r="AL55" i="11"/>
  <c r="AN55" i="11"/>
  <c r="AP55" i="11"/>
  <c r="AR55" i="11"/>
  <c r="AL56" i="11"/>
  <c r="AN56" i="11"/>
  <c r="AP56" i="11"/>
  <c r="AR56" i="11"/>
  <c r="AL57" i="11"/>
  <c r="AN57" i="11"/>
  <c r="AP57" i="11"/>
  <c r="AR57" i="11"/>
  <c r="AL58" i="11"/>
  <c r="AN58" i="11"/>
  <c r="AP58" i="11"/>
  <c r="AR58" i="11"/>
  <c r="AL59" i="11"/>
  <c r="AN59" i="11"/>
  <c r="AP59" i="11"/>
  <c r="AR59" i="11"/>
  <c r="AL60" i="11"/>
  <c r="AN60" i="11"/>
  <c r="AP60" i="11"/>
  <c r="AR60" i="11"/>
  <c r="AL61" i="11"/>
  <c r="AN61" i="11"/>
  <c r="AP61" i="11"/>
  <c r="AR61" i="11"/>
  <c r="AL62" i="11"/>
  <c r="AN62" i="11"/>
  <c r="AP62" i="11"/>
  <c r="AR62" i="11"/>
  <c r="AL63" i="11"/>
  <c r="AN63" i="11"/>
  <c r="AP63" i="11"/>
  <c r="AR63" i="11"/>
  <c r="AL64" i="11"/>
  <c r="AN64" i="11"/>
  <c r="AP64" i="11"/>
  <c r="AR64" i="11"/>
  <c r="AL65" i="11"/>
  <c r="AN65" i="11"/>
  <c r="AP65" i="11"/>
  <c r="AR65" i="11"/>
  <c r="AL66" i="11"/>
  <c r="AN66" i="11"/>
  <c r="AP66" i="11"/>
  <c r="AR66" i="11"/>
  <c r="AL67" i="11"/>
  <c r="AN67" i="11"/>
  <c r="AP67" i="11"/>
  <c r="AR67" i="11"/>
  <c r="AL68" i="11"/>
  <c r="AN68" i="11"/>
  <c r="AP68" i="11"/>
  <c r="AR68" i="11"/>
  <c r="AL69" i="11"/>
  <c r="AN69" i="11"/>
  <c r="AP69" i="11"/>
  <c r="AR69" i="11"/>
  <c r="AL70" i="11"/>
  <c r="AN70" i="11"/>
  <c r="AP70" i="11"/>
  <c r="AR70" i="11"/>
  <c r="AL71" i="11"/>
  <c r="AN71" i="11"/>
  <c r="AP71" i="11"/>
  <c r="AR71" i="11"/>
  <c r="AL72" i="11"/>
  <c r="AN72" i="11"/>
  <c r="AP72" i="11"/>
  <c r="AR72" i="11"/>
  <c r="AL73" i="11"/>
  <c r="AN73" i="11"/>
  <c r="AP73" i="11"/>
  <c r="AR73" i="11"/>
  <c r="AL74" i="11"/>
  <c r="AN74" i="11"/>
  <c r="AP74" i="11"/>
  <c r="AR74" i="11"/>
  <c r="AL75" i="11"/>
  <c r="AN75" i="11"/>
  <c r="AP75" i="11"/>
  <c r="AR75" i="11"/>
  <c r="AL76" i="11"/>
  <c r="AN76" i="11"/>
  <c r="AP76" i="11"/>
  <c r="AR76" i="11"/>
  <c r="AL77" i="11"/>
  <c r="AN77" i="11"/>
  <c r="AP77" i="11"/>
  <c r="AR77" i="11"/>
  <c r="AL78" i="11"/>
  <c r="AN78" i="11"/>
  <c r="AP78" i="11"/>
  <c r="AR78" i="11"/>
  <c r="AL79" i="11"/>
  <c r="AN79" i="11"/>
  <c r="AP79" i="11"/>
  <c r="AR79" i="11"/>
  <c r="AL80" i="11"/>
  <c r="AN80" i="11"/>
  <c r="AP80" i="11"/>
  <c r="AR80" i="11"/>
  <c r="AL81" i="11"/>
  <c r="AN81" i="11"/>
  <c r="AP81" i="11"/>
  <c r="AR81" i="11"/>
  <c r="AL82" i="11"/>
  <c r="AN82" i="11"/>
  <c r="AP82" i="11"/>
  <c r="AR82" i="11"/>
  <c r="AL83" i="11"/>
  <c r="AN83" i="11"/>
  <c r="AP83" i="11"/>
  <c r="AR83" i="11"/>
  <c r="AL84" i="11"/>
  <c r="AN84" i="11"/>
  <c r="AP84" i="11"/>
  <c r="AR84" i="11"/>
  <c r="AL85" i="11"/>
  <c r="AN85" i="11"/>
  <c r="AP85" i="11"/>
  <c r="AR85" i="11"/>
  <c r="AL86" i="11"/>
  <c r="AN86" i="11"/>
  <c r="AP86" i="11"/>
  <c r="AR86" i="11"/>
  <c r="AL87" i="11"/>
  <c r="AN87" i="11"/>
  <c r="AP87" i="11"/>
  <c r="AR87" i="11"/>
  <c r="AL88" i="11"/>
  <c r="AN88" i="11"/>
  <c r="AP88" i="11"/>
  <c r="AR88" i="11"/>
  <c r="AL89" i="11"/>
  <c r="AN89" i="11"/>
  <c r="AP89" i="11"/>
  <c r="AR89" i="11"/>
  <c r="AL90" i="11"/>
  <c r="AN90" i="11"/>
  <c r="AP90" i="11"/>
  <c r="AR90" i="11"/>
  <c r="AL91" i="11"/>
  <c r="AN91" i="11"/>
  <c r="AP91" i="11"/>
  <c r="AR91" i="11"/>
  <c r="AL92" i="11"/>
  <c r="AN92" i="11"/>
  <c r="AP92" i="11"/>
  <c r="AR92" i="11"/>
  <c r="AL93" i="11"/>
  <c r="AN93" i="11"/>
  <c r="AP93" i="11"/>
  <c r="AR93" i="11"/>
  <c r="AL94" i="11"/>
  <c r="AN94" i="11"/>
  <c r="AP94" i="11"/>
  <c r="AR94" i="11"/>
  <c r="AL95" i="11"/>
  <c r="AN95" i="11"/>
  <c r="AP95" i="11"/>
  <c r="AR95" i="11"/>
  <c r="AL96" i="11"/>
  <c r="AN96" i="11"/>
  <c r="AP96" i="11"/>
  <c r="AR96" i="11"/>
  <c r="AL97" i="11"/>
  <c r="AN97" i="11"/>
  <c r="AP97" i="11"/>
  <c r="AR97" i="11"/>
  <c r="AL98" i="11"/>
  <c r="AN98" i="11"/>
  <c r="AP98" i="11"/>
  <c r="AR98" i="11"/>
  <c r="AL99" i="11"/>
  <c r="AN99" i="11"/>
  <c r="AP99" i="11"/>
  <c r="AR99" i="11"/>
  <c r="AL100" i="11"/>
  <c r="AN100" i="11"/>
  <c r="AP100" i="11"/>
  <c r="AR100" i="11"/>
  <c r="AL101" i="11"/>
  <c r="AN101" i="11"/>
  <c r="AP101" i="11"/>
  <c r="AR101" i="11"/>
  <c r="AL102" i="11"/>
  <c r="AN102" i="11"/>
  <c r="AP102" i="11"/>
  <c r="AR102" i="11"/>
  <c r="AL103" i="11"/>
  <c r="AN103" i="11"/>
  <c r="AP103" i="11"/>
  <c r="AR103" i="11"/>
  <c r="AL104" i="11"/>
  <c r="AN104" i="11"/>
  <c r="AP104" i="11"/>
  <c r="AR104" i="11"/>
  <c r="AL105" i="11"/>
  <c r="AN105" i="11"/>
  <c r="AP105" i="11"/>
  <c r="AR105" i="11"/>
  <c r="AL106" i="11"/>
  <c r="AN106" i="11"/>
  <c r="AP106" i="11"/>
  <c r="AR106" i="11"/>
  <c r="AL107" i="11"/>
  <c r="AN107" i="11"/>
  <c r="AP107" i="11"/>
  <c r="AR107" i="11"/>
  <c r="AL108" i="11"/>
  <c r="AN108" i="11"/>
  <c r="AP108" i="11"/>
  <c r="AR108" i="11"/>
  <c r="AL109" i="11"/>
  <c r="AN109" i="11"/>
  <c r="AP109" i="11"/>
  <c r="AR109" i="11"/>
  <c r="AL110" i="11"/>
  <c r="AN110" i="11"/>
  <c r="AP110" i="11"/>
  <c r="AR110" i="11"/>
  <c r="AL111" i="11"/>
  <c r="AN111" i="11"/>
  <c r="AP111" i="11"/>
  <c r="AR111" i="11"/>
  <c r="AL112" i="11"/>
  <c r="AN112" i="11"/>
  <c r="AP112" i="11"/>
  <c r="AR112" i="11"/>
  <c r="AL113" i="11"/>
  <c r="AN113" i="11"/>
  <c r="AP113" i="11"/>
  <c r="AR113" i="11"/>
  <c r="AL114" i="11"/>
  <c r="AN114" i="11"/>
  <c r="AP114" i="11"/>
  <c r="AR114" i="11"/>
  <c r="AL115" i="11"/>
  <c r="AN115" i="11"/>
  <c r="AP115" i="11"/>
  <c r="AR115" i="11"/>
  <c r="AL116" i="11"/>
  <c r="AN116" i="11"/>
  <c r="AP116" i="11"/>
  <c r="AR116" i="11"/>
  <c r="AL117" i="11"/>
  <c r="AN117" i="11"/>
  <c r="AP117" i="11"/>
  <c r="AR117" i="11"/>
  <c r="AL118" i="11"/>
  <c r="AN118" i="11"/>
  <c r="AP118" i="11"/>
  <c r="AR118" i="11"/>
  <c r="AL119" i="11"/>
  <c r="AN119" i="11"/>
  <c r="AP119" i="11"/>
  <c r="AR119" i="11"/>
  <c r="AL120" i="11"/>
  <c r="AN120" i="11"/>
  <c r="AP120" i="11"/>
  <c r="AR120" i="11"/>
  <c r="AL121" i="11"/>
  <c r="AN121" i="11"/>
  <c r="AP121" i="11"/>
  <c r="AR121" i="11"/>
  <c r="AL122" i="11"/>
  <c r="AN122" i="11"/>
  <c r="AP122" i="11"/>
  <c r="AR122" i="11"/>
  <c r="AL123" i="11"/>
  <c r="AN123" i="11"/>
  <c r="AP123" i="11"/>
  <c r="AR123" i="11"/>
  <c r="AL124" i="11"/>
  <c r="AN124" i="11"/>
  <c r="AP124" i="11"/>
  <c r="AR124" i="11"/>
  <c r="AL125" i="11"/>
  <c r="AN125" i="11"/>
  <c r="AP125" i="11"/>
  <c r="AR125" i="11"/>
  <c r="AL126" i="11"/>
  <c r="AN126" i="11"/>
  <c r="AP126" i="11"/>
  <c r="AR126" i="11"/>
  <c r="AL127" i="11"/>
  <c r="AN127" i="11"/>
  <c r="AP127" i="11"/>
  <c r="AR127" i="11"/>
  <c r="AL128" i="11"/>
  <c r="AN128" i="11"/>
  <c r="AP128" i="11"/>
  <c r="AR128" i="11"/>
  <c r="AL129" i="11"/>
  <c r="AN129" i="11"/>
  <c r="AP129" i="11"/>
  <c r="AR129" i="11"/>
  <c r="AL130" i="11"/>
  <c r="AN130" i="11"/>
  <c r="AP130" i="11"/>
  <c r="AR130" i="11"/>
  <c r="AL131" i="11"/>
  <c r="AN131" i="11"/>
  <c r="AP131" i="11"/>
  <c r="AR131" i="11"/>
  <c r="AL132" i="11"/>
  <c r="AN132" i="11"/>
  <c r="AP132" i="11"/>
  <c r="AR132" i="11"/>
  <c r="AL133" i="11"/>
  <c r="AN133" i="11"/>
  <c r="AP133" i="11"/>
  <c r="AR133" i="11"/>
  <c r="AL134" i="11"/>
  <c r="AN134" i="11"/>
  <c r="AP134" i="11"/>
  <c r="AR134" i="11"/>
  <c r="AL135" i="11"/>
  <c r="AN135" i="11"/>
  <c r="AP135" i="11"/>
  <c r="AR135" i="11"/>
  <c r="AL136" i="11"/>
  <c r="AN136" i="11"/>
  <c r="AP136" i="11"/>
  <c r="AR136" i="11"/>
  <c r="AL137" i="11"/>
  <c r="AN137" i="11"/>
  <c r="AP137" i="11"/>
  <c r="AR137" i="11"/>
  <c r="AL138" i="11"/>
  <c r="AN138" i="11"/>
  <c r="AP138" i="11"/>
  <c r="AR138" i="11"/>
  <c r="AL139" i="11"/>
  <c r="AN139" i="11"/>
  <c r="AP139" i="11"/>
  <c r="AR139" i="11"/>
  <c r="AL140" i="11"/>
  <c r="AN140" i="11"/>
  <c r="AP140" i="11"/>
  <c r="AR140" i="11"/>
  <c r="AL141" i="11"/>
  <c r="AN141" i="11"/>
  <c r="AP141" i="11"/>
  <c r="AR141" i="11"/>
  <c r="AL142" i="11"/>
  <c r="AN142" i="11"/>
  <c r="AP142" i="11"/>
  <c r="AR142" i="11"/>
  <c r="AL143" i="11"/>
  <c r="AN143" i="11"/>
  <c r="AP143" i="11"/>
  <c r="AR143" i="11"/>
  <c r="AL144" i="11"/>
  <c r="AN144" i="11"/>
  <c r="AP144" i="11"/>
  <c r="AR144" i="11"/>
  <c r="AL145" i="11"/>
  <c r="AN145" i="11"/>
  <c r="AP145" i="11"/>
  <c r="AR145" i="11"/>
  <c r="AL146" i="11"/>
  <c r="AN146" i="11"/>
  <c r="AP146" i="11"/>
  <c r="AR146" i="11"/>
  <c r="AL147" i="11"/>
  <c r="AN147" i="11"/>
  <c r="AP147" i="11"/>
  <c r="AR147" i="11"/>
  <c r="AL148" i="11"/>
  <c r="AN148" i="11"/>
  <c r="AP148" i="11"/>
  <c r="AR148" i="11"/>
  <c r="AL149" i="11"/>
  <c r="AN149" i="11"/>
  <c r="AP149" i="11"/>
  <c r="AR149" i="11"/>
  <c r="AL150" i="11"/>
  <c r="AN150" i="11"/>
  <c r="AP150" i="11"/>
  <c r="AR150" i="11"/>
  <c r="AL151" i="11"/>
  <c r="AN151" i="11"/>
  <c r="AP151" i="11"/>
  <c r="AR151" i="11"/>
  <c r="AL152" i="11"/>
  <c r="AN152" i="11"/>
  <c r="AP152" i="11"/>
  <c r="AR152" i="11"/>
  <c r="AL153" i="11"/>
  <c r="AN153" i="11"/>
  <c r="AP153" i="11"/>
  <c r="AR153" i="11"/>
  <c r="AL154" i="11"/>
  <c r="AN154" i="11"/>
  <c r="AP154" i="11"/>
  <c r="AR154" i="11"/>
  <c r="AL155" i="11"/>
  <c r="AN155" i="11"/>
  <c r="AP155" i="11"/>
  <c r="AR155" i="11"/>
  <c r="AL156" i="11"/>
  <c r="AN156" i="11"/>
  <c r="AP156" i="11"/>
  <c r="AR156" i="11"/>
  <c r="AL157" i="11"/>
  <c r="AN157" i="11"/>
  <c r="AP157" i="11"/>
  <c r="AR157" i="11"/>
  <c r="AL158" i="11"/>
  <c r="AN158" i="11"/>
  <c r="AP158" i="11"/>
  <c r="AR158" i="11"/>
  <c r="AL159" i="11"/>
  <c r="AN159" i="11"/>
  <c r="AP159" i="11"/>
  <c r="AR159" i="11"/>
  <c r="AL160" i="11"/>
  <c r="AN160" i="11"/>
  <c r="AP160" i="11"/>
  <c r="AR160" i="11"/>
  <c r="AL161" i="11"/>
  <c r="AN161" i="11"/>
  <c r="AP161" i="11"/>
  <c r="AR161" i="11"/>
  <c r="AL162" i="11"/>
  <c r="AN162" i="11"/>
  <c r="AP162" i="11"/>
  <c r="AR162" i="11"/>
  <c r="AR4" i="11"/>
  <c r="AP4" i="11"/>
  <c r="AN4" i="11"/>
  <c r="AL4" i="11"/>
  <c r="AS3" i="11"/>
  <c r="AS4" i="11" s="1"/>
  <c r="AS5" i="11" s="1"/>
  <c r="AS6" i="11" s="1"/>
  <c r="AS7" i="11" s="1"/>
  <c r="AS8" i="11" s="1"/>
  <c r="AS9" i="11" s="1"/>
  <c r="AS10" i="11" s="1"/>
  <c r="AS11" i="11" s="1"/>
  <c r="AS12" i="11" s="1"/>
  <c r="AS13" i="11" s="1"/>
  <c r="AS14" i="11" s="1"/>
  <c r="AS15" i="11" s="1"/>
  <c r="AS16" i="11" s="1"/>
  <c r="AS17" i="11" s="1"/>
  <c r="AS18" i="11" s="1"/>
  <c r="AS19" i="11" s="1"/>
  <c r="AS20" i="11" s="1"/>
  <c r="AS21" i="11" s="1"/>
  <c r="AS22" i="11" s="1"/>
  <c r="AS23" i="11" s="1"/>
  <c r="AS24" i="11" s="1"/>
  <c r="AS25" i="11" s="1"/>
  <c r="AS26" i="11" s="1"/>
  <c r="AS27" i="11" s="1"/>
  <c r="AS28" i="11" s="1"/>
  <c r="AS29" i="11" s="1"/>
  <c r="AS30" i="11" s="1"/>
  <c r="AS31" i="11" s="1"/>
  <c r="AS32" i="11" s="1"/>
  <c r="AS33" i="11" s="1"/>
  <c r="AS34" i="11" s="1"/>
  <c r="AS35" i="11" s="1"/>
  <c r="AS36" i="11" s="1"/>
  <c r="AS37" i="11" s="1"/>
  <c r="AS38" i="11" s="1"/>
  <c r="AS39" i="11" s="1"/>
  <c r="AS40" i="11" s="1"/>
  <c r="AS41" i="11" s="1"/>
  <c r="AS42" i="11" s="1"/>
  <c r="AS43" i="11" s="1"/>
  <c r="AS44" i="11" s="1"/>
  <c r="AS45" i="11" s="1"/>
  <c r="AS46" i="11" s="1"/>
  <c r="AS47" i="11" s="1"/>
  <c r="AS48" i="11" s="1"/>
  <c r="AS49" i="11" s="1"/>
  <c r="AS50" i="11" s="1"/>
  <c r="AS51" i="11" s="1"/>
  <c r="AS52" i="11" s="1"/>
  <c r="AS53" i="11" s="1"/>
  <c r="AS54" i="11" s="1"/>
  <c r="AS55" i="11" s="1"/>
  <c r="AS56" i="11" s="1"/>
  <c r="AS57" i="11" s="1"/>
  <c r="AS58" i="11" s="1"/>
  <c r="AS59" i="11" s="1"/>
  <c r="AS60" i="11" s="1"/>
  <c r="AS61" i="11" s="1"/>
  <c r="AS62" i="11" s="1"/>
  <c r="AS63" i="11" s="1"/>
  <c r="AS64" i="11" s="1"/>
  <c r="AS65" i="11" s="1"/>
  <c r="AS66" i="11" s="1"/>
  <c r="AS67" i="11" s="1"/>
  <c r="AS68" i="11" s="1"/>
  <c r="AS69" i="11" s="1"/>
  <c r="AS70" i="11" s="1"/>
  <c r="AS71" i="11" s="1"/>
  <c r="AS72" i="11" s="1"/>
  <c r="AS73" i="11" s="1"/>
  <c r="AS74" i="11" s="1"/>
  <c r="AS75" i="11" s="1"/>
  <c r="AS76" i="11" s="1"/>
  <c r="AS77" i="11" s="1"/>
  <c r="AS78" i="11" s="1"/>
  <c r="AS79" i="11" s="1"/>
  <c r="AS80" i="11" s="1"/>
  <c r="AS81" i="11" s="1"/>
  <c r="AS82" i="11" s="1"/>
  <c r="AS83" i="11" s="1"/>
  <c r="AS84" i="11" s="1"/>
  <c r="AS85" i="11" s="1"/>
  <c r="AS86" i="11" s="1"/>
  <c r="AS87" i="11" s="1"/>
  <c r="AS88" i="11" s="1"/>
  <c r="AS89" i="11" s="1"/>
  <c r="AS90" i="11" s="1"/>
  <c r="AS91" i="11" s="1"/>
  <c r="AS92" i="11" s="1"/>
  <c r="AS93" i="11" s="1"/>
  <c r="AS94" i="11" s="1"/>
  <c r="AS95" i="11" s="1"/>
  <c r="AS96" i="11" s="1"/>
  <c r="AS97" i="11" s="1"/>
  <c r="AS98" i="11" s="1"/>
  <c r="AS99" i="11" s="1"/>
  <c r="AS100" i="11" s="1"/>
  <c r="AS101" i="11" s="1"/>
  <c r="AS102" i="11" s="1"/>
  <c r="AS103" i="11" s="1"/>
  <c r="AS104" i="11" s="1"/>
  <c r="AS105" i="11" s="1"/>
  <c r="AS106" i="11" s="1"/>
  <c r="AS107" i="11" s="1"/>
  <c r="AS108" i="11" s="1"/>
  <c r="AS109" i="11" s="1"/>
  <c r="AS110" i="11" s="1"/>
  <c r="AS111" i="11" s="1"/>
  <c r="AS112" i="11" s="1"/>
  <c r="AS113" i="11" s="1"/>
  <c r="AS114" i="11" s="1"/>
  <c r="AS115" i="11" s="1"/>
  <c r="AS116" i="11" s="1"/>
  <c r="AS117" i="11" s="1"/>
  <c r="AS118" i="11" s="1"/>
  <c r="AS119" i="11" s="1"/>
  <c r="AS120" i="11" s="1"/>
  <c r="AS121" i="11" s="1"/>
  <c r="AS122" i="11" s="1"/>
  <c r="AS123" i="11" s="1"/>
  <c r="AS124" i="11" s="1"/>
  <c r="AS125" i="11" s="1"/>
  <c r="AS126" i="11" s="1"/>
  <c r="AS127" i="11" s="1"/>
  <c r="AS128" i="11" s="1"/>
  <c r="AS129" i="11" s="1"/>
  <c r="AS130" i="11" s="1"/>
  <c r="AS131" i="11" s="1"/>
  <c r="AS132" i="11" s="1"/>
  <c r="AS133" i="11" s="1"/>
  <c r="AS134" i="11" s="1"/>
  <c r="AS135" i="11" s="1"/>
  <c r="AS136" i="11" s="1"/>
  <c r="AS137" i="11" s="1"/>
  <c r="AS138" i="11" s="1"/>
  <c r="AS139" i="11" s="1"/>
  <c r="AS140" i="11" s="1"/>
  <c r="AS141" i="11" s="1"/>
  <c r="AS142" i="11" s="1"/>
  <c r="AS143" i="11" s="1"/>
  <c r="AS144" i="11" s="1"/>
  <c r="AS145" i="11" s="1"/>
  <c r="AS146" i="11" s="1"/>
  <c r="AS147" i="11" s="1"/>
  <c r="AS148" i="11" s="1"/>
  <c r="AS149" i="11" s="1"/>
  <c r="AS150" i="11" s="1"/>
  <c r="AS151" i="11" s="1"/>
  <c r="AS152" i="11" s="1"/>
  <c r="AS153" i="11" s="1"/>
  <c r="AS154" i="11" s="1"/>
  <c r="AS155" i="11" s="1"/>
  <c r="AS156" i="11" s="1"/>
  <c r="AS157" i="11" s="1"/>
  <c r="AS158" i="11" s="1"/>
  <c r="AS159" i="11" s="1"/>
  <c r="AS160" i="11" s="1"/>
  <c r="AS161" i="11" s="1"/>
  <c r="AS162" i="11" s="1"/>
  <c r="AS163" i="11" s="1"/>
  <c r="AS164" i="11" s="1"/>
  <c r="AS165" i="11" s="1"/>
  <c r="AS166" i="11" s="1"/>
  <c r="AS167" i="11" s="1"/>
  <c r="AS168" i="11" s="1"/>
  <c r="AS169" i="11" s="1"/>
  <c r="AS170" i="11" s="1"/>
  <c r="AS171" i="11" s="1"/>
  <c r="AS172" i="11" s="1"/>
  <c r="AS173" i="11" s="1"/>
  <c r="AS174" i="11" s="1"/>
  <c r="AS175" i="11" s="1"/>
  <c r="AS176" i="11" s="1"/>
  <c r="AS177" i="11" s="1"/>
  <c r="AS178" i="11" s="1"/>
  <c r="AS179" i="11" s="1"/>
  <c r="AS180" i="11" s="1"/>
  <c r="AS181" i="11" s="1"/>
  <c r="AS182" i="11" s="1"/>
  <c r="AS183" i="11" s="1"/>
  <c r="AS184" i="11" s="1"/>
  <c r="AS185" i="11" s="1"/>
  <c r="AS186" i="11" s="1"/>
  <c r="AS187" i="11" s="1"/>
  <c r="AS188" i="11" s="1"/>
  <c r="AS189" i="11" s="1"/>
  <c r="AS190" i="11" s="1"/>
  <c r="AS191" i="11" s="1"/>
  <c r="AS192" i="11" s="1"/>
  <c r="AS193" i="11" s="1"/>
  <c r="AS194" i="11" s="1"/>
  <c r="AS195" i="11" s="1"/>
  <c r="AS196" i="11" s="1"/>
  <c r="AS197" i="11" s="1"/>
  <c r="AS198" i="11" s="1"/>
  <c r="AS199" i="11" s="1"/>
  <c r="AS200" i="11" s="1"/>
  <c r="AS201" i="11" s="1"/>
  <c r="AS202" i="11" s="1"/>
  <c r="AR3" i="11"/>
  <c r="AQ3" i="11"/>
  <c r="AQ4" i="11" s="1"/>
  <c r="AQ5" i="11" s="1"/>
  <c r="AQ6" i="11" s="1"/>
  <c r="AQ7" i="11" s="1"/>
  <c r="AQ8" i="11" s="1"/>
  <c r="AQ9" i="11" s="1"/>
  <c r="AQ10" i="11" s="1"/>
  <c r="AQ11" i="11" s="1"/>
  <c r="AQ12" i="11" s="1"/>
  <c r="AQ13" i="11" s="1"/>
  <c r="AQ14" i="11" s="1"/>
  <c r="AQ15" i="11" s="1"/>
  <c r="AQ16" i="11" s="1"/>
  <c r="AQ17" i="11" s="1"/>
  <c r="AQ18" i="11" s="1"/>
  <c r="AQ19" i="11" s="1"/>
  <c r="AQ20" i="11" s="1"/>
  <c r="AQ21" i="11" s="1"/>
  <c r="AQ22" i="11" s="1"/>
  <c r="AQ23" i="11" s="1"/>
  <c r="AQ24" i="11" s="1"/>
  <c r="AQ25" i="11" s="1"/>
  <c r="AQ26" i="11" s="1"/>
  <c r="AQ27" i="11" s="1"/>
  <c r="AQ28" i="11" s="1"/>
  <c r="AQ29" i="11" s="1"/>
  <c r="AQ30" i="11" s="1"/>
  <c r="AQ31" i="11" s="1"/>
  <c r="AQ32" i="11" s="1"/>
  <c r="AQ33" i="11" s="1"/>
  <c r="AQ34" i="11" s="1"/>
  <c r="AQ35" i="11" s="1"/>
  <c r="AQ36" i="11" s="1"/>
  <c r="AQ37" i="11" s="1"/>
  <c r="AQ38" i="11" s="1"/>
  <c r="AQ39" i="11" s="1"/>
  <c r="AQ40" i="11" s="1"/>
  <c r="AQ41" i="11" s="1"/>
  <c r="AQ42" i="11" s="1"/>
  <c r="AQ43" i="11" s="1"/>
  <c r="AQ44" i="11" s="1"/>
  <c r="AQ45" i="11" s="1"/>
  <c r="AQ46" i="11" s="1"/>
  <c r="AQ47" i="11" s="1"/>
  <c r="AQ48" i="11" s="1"/>
  <c r="AQ49" i="11" s="1"/>
  <c r="AQ50" i="11" s="1"/>
  <c r="AQ51" i="11" s="1"/>
  <c r="AQ52" i="11" s="1"/>
  <c r="AQ53" i="11" s="1"/>
  <c r="AQ54" i="11" s="1"/>
  <c r="AQ55" i="11" s="1"/>
  <c r="AQ56" i="11" s="1"/>
  <c r="AQ57" i="11" s="1"/>
  <c r="AQ58" i="11" s="1"/>
  <c r="AQ59" i="11" s="1"/>
  <c r="AQ60" i="11" s="1"/>
  <c r="AQ61" i="11" s="1"/>
  <c r="AQ62" i="11" s="1"/>
  <c r="AQ63" i="11" s="1"/>
  <c r="AQ64" i="11" s="1"/>
  <c r="AQ65" i="11" s="1"/>
  <c r="AQ66" i="11" s="1"/>
  <c r="AQ67" i="11" s="1"/>
  <c r="AQ68" i="11" s="1"/>
  <c r="AQ69" i="11" s="1"/>
  <c r="AQ70" i="11" s="1"/>
  <c r="AQ71" i="11" s="1"/>
  <c r="AQ72" i="11" s="1"/>
  <c r="AQ73" i="11" s="1"/>
  <c r="AQ74" i="11" s="1"/>
  <c r="AQ75" i="11" s="1"/>
  <c r="AQ76" i="11" s="1"/>
  <c r="AQ77" i="11" s="1"/>
  <c r="AQ78" i="11" s="1"/>
  <c r="AQ79" i="11" s="1"/>
  <c r="AQ80" i="11" s="1"/>
  <c r="AQ81" i="11" s="1"/>
  <c r="AQ82" i="11" s="1"/>
  <c r="AQ83" i="11" s="1"/>
  <c r="AQ84" i="11" s="1"/>
  <c r="AQ85" i="11" s="1"/>
  <c r="AQ86" i="11" s="1"/>
  <c r="AQ87" i="11" s="1"/>
  <c r="AQ88" i="11" s="1"/>
  <c r="AQ89" i="11" s="1"/>
  <c r="AQ90" i="11" s="1"/>
  <c r="AQ91" i="11" s="1"/>
  <c r="AQ92" i="11" s="1"/>
  <c r="AQ93" i="11" s="1"/>
  <c r="AQ94" i="11" s="1"/>
  <c r="AQ95" i="11" s="1"/>
  <c r="AQ96" i="11" s="1"/>
  <c r="AQ97" i="11" s="1"/>
  <c r="AQ98" i="11" s="1"/>
  <c r="AQ99" i="11" s="1"/>
  <c r="AQ100" i="11" s="1"/>
  <c r="AQ101" i="11" s="1"/>
  <c r="AQ102" i="11" s="1"/>
  <c r="AQ103" i="11" s="1"/>
  <c r="AQ104" i="11" s="1"/>
  <c r="AQ105" i="11" s="1"/>
  <c r="AQ106" i="11" s="1"/>
  <c r="AQ107" i="11" s="1"/>
  <c r="AQ108" i="11" s="1"/>
  <c r="AQ109" i="11" s="1"/>
  <c r="AQ110" i="11" s="1"/>
  <c r="AQ111" i="11" s="1"/>
  <c r="AQ112" i="11" s="1"/>
  <c r="AQ113" i="11" s="1"/>
  <c r="AQ114" i="11" s="1"/>
  <c r="AQ115" i="11" s="1"/>
  <c r="AQ116" i="11" s="1"/>
  <c r="AQ117" i="11" s="1"/>
  <c r="AQ118" i="11" s="1"/>
  <c r="AQ119" i="11" s="1"/>
  <c r="AQ120" i="11" s="1"/>
  <c r="AQ121" i="11" s="1"/>
  <c r="AQ122" i="11" s="1"/>
  <c r="AQ123" i="11" s="1"/>
  <c r="AQ124" i="11" s="1"/>
  <c r="AQ125" i="11" s="1"/>
  <c r="AQ126" i="11" s="1"/>
  <c r="AQ127" i="11" s="1"/>
  <c r="AQ128" i="11" s="1"/>
  <c r="AQ129" i="11" s="1"/>
  <c r="AQ130" i="11" s="1"/>
  <c r="AQ131" i="11" s="1"/>
  <c r="AQ132" i="11" s="1"/>
  <c r="AQ133" i="11" s="1"/>
  <c r="AQ134" i="11" s="1"/>
  <c r="AQ135" i="11" s="1"/>
  <c r="AQ136" i="11" s="1"/>
  <c r="AQ137" i="11" s="1"/>
  <c r="AQ138" i="11" s="1"/>
  <c r="AQ139" i="11" s="1"/>
  <c r="AQ140" i="11" s="1"/>
  <c r="AQ141" i="11" s="1"/>
  <c r="AQ142" i="11" s="1"/>
  <c r="AQ143" i="11" s="1"/>
  <c r="AQ144" i="11" s="1"/>
  <c r="AQ145" i="11" s="1"/>
  <c r="AQ146" i="11" s="1"/>
  <c r="AQ147" i="11" s="1"/>
  <c r="AQ148" i="11" s="1"/>
  <c r="AQ149" i="11" s="1"/>
  <c r="AQ150" i="11" s="1"/>
  <c r="AQ151" i="11" s="1"/>
  <c r="AQ152" i="11" s="1"/>
  <c r="AQ153" i="11" s="1"/>
  <c r="AQ154" i="11" s="1"/>
  <c r="AQ155" i="11" s="1"/>
  <c r="AQ156" i="11" s="1"/>
  <c r="AQ157" i="11" s="1"/>
  <c r="AQ158" i="11" s="1"/>
  <c r="AQ159" i="11" s="1"/>
  <c r="AQ160" i="11" s="1"/>
  <c r="AQ161" i="11" s="1"/>
  <c r="AQ162" i="11" s="1"/>
  <c r="AQ163" i="11" s="1"/>
  <c r="AQ164" i="11" s="1"/>
  <c r="AQ165" i="11" s="1"/>
  <c r="AQ166" i="11" s="1"/>
  <c r="AQ167" i="11" s="1"/>
  <c r="AQ168" i="11" s="1"/>
  <c r="AQ169" i="11" s="1"/>
  <c r="AQ170" i="11" s="1"/>
  <c r="AQ171" i="11" s="1"/>
  <c r="AQ172" i="11" s="1"/>
  <c r="AQ173" i="11" s="1"/>
  <c r="AQ174" i="11" s="1"/>
  <c r="AQ175" i="11" s="1"/>
  <c r="AQ176" i="11" s="1"/>
  <c r="AQ177" i="11" s="1"/>
  <c r="AQ178" i="11" s="1"/>
  <c r="AQ179" i="11" s="1"/>
  <c r="AQ180" i="11" s="1"/>
  <c r="AQ181" i="11" s="1"/>
  <c r="AQ182" i="11" s="1"/>
  <c r="AQ183" i="11" s="1"/>
  <c r="AQ184" i="11" s="1"/>
  <c r="AQ185" i="11" s="1"/>
  <c r="AQ186" i="11" s="1"/>
  <c r="AQ187" i="11" s="1"/>
  <c r="AQ188" i="11" s="1"/>
  <c r="AQ189" i="11" s="1"/>
  <c r="AQ190" i="11" s="1"/>
  <c r="AQ191" i="11" s="1"/>
  <c r="AQ192" i="11" s="1"/>
  <c r="AQ193" i="11" s="1"/>
  <c r="AQ194" i="11" s="1"/>
  <c r="AQ195" i="11" s="1"/>
  <c r="AQ196" i="11" s="1"/>
  <c r="AQ197" i="11" s="1"/>
  <c r="AQ198" i="11" s="1"/>
  <c r="AQ199" i="11" s="1"/>
  <c r="AQ200" i="11" s="1"/>
  <c r="AQ201" i="11" s="1"/>
  <c r="AQ202" i="11" s="1"/>
  <c r="AP3" i="11"/>
  <c r="AO3" i="11"/>
  <c r="AO4" i="11" s="1"/>
  <c r="AO5" i="11" s="1"/>
  <c r="AO6" i="11" s="1"/>
  <c r="AO7" i="11" s="1"/>
  <c r="AO8" i="11" s="1"/>
  <c r="AO9" i="11" s="1"/>
  <c r="AO10" i="11" s="1"/>
  <c r="AO11" i="11" s="1"/>
  <c r="AO12" i="11" s="1"/>
  <c r="AO13" i="11" s="1"/>
  <c r="AO14" i="11" s="1"/>
  <c r="AO15" i="11" s="1"/>
  <c r="AO16" i="11" s="1"/>
  <c r="AO17" i="11" s="1"/>
  <c r="AO18" i="11" s="1"/>
  <c r="AO19" i="11" s="1"/>
  <c r="AO20" i="11" s="1"/>
  <c r="AO21" i="11" s="1"/>
  <c r="AO22" i="11" s="1"/>
  <c r="AO23" i="11" s="1"/>
  <c r="AO24" i="11" s="1"/>
  <c r="AO25" i="11" s="1"/>
  <c r="AO26" i="11" s="1"/>
  <c r="AO27" i="11" s="1"/>
  <c r="AO28" i="11" s="1"/>
  <c r="AO29" i="11" s="1"/>
  <c r="AO30" i="11" s="1"/>
  <c r="AO31" i="11" s="1"/>
  <c r="AO32" i="11" s="1"/>
  <c r="AO33" i="11" s="1"/>
  <c r="AO34" i="11" s="1"/>
  <c r="AO35" i="11" s="1"/>
  <c r="AO36" i="11" s="1"/>
  <c r="AO37" i="11" s="1"/>
  <c r="AO38" i="11" s="1"/>
  <c r="AO39" i="11" s="1"/>
  <c r="AO40" i="11" s="1"/>
  <c r="AO41" i="11" s="1"/>
  <c r="AO42" i="11" s="1"/>
  <c r="AO43" i="11" s="1"/>
  <c r="AO44" i="11" s="1"/>
  <c r="AO45" i="11" s="1"/>
  <c r="AO46" i="11" s="1"/>
  <c r="AO47" i="11" s="1"/>
  <c r="AO48" i="11" s="1"/>
  <c r="AO49" i="11" s="1"/>
  <c r="AO50" i="11" s="1"/>
  <c r="AO51" i="11" s="1"/>
  <c r="AO52" i="11" s="1"/>
  <c r="AO53" i="11" s="1"/>
  <c r="AO54" i="11" s="1"/>
  <c r="AO55" i="11" s="1"/>
  <c r="AO56" i="11" s="1"/>
  <c r="AO57" i="11" s="1"/>
  <c r="AO58" i="11" s="1"/>
  <c r="AO59" i="11" s="1"/>
  <c r="AO60" i="11" s="1"/>
  <c r="AO61" i="11" s="1"/>
  <c r="AO62" i="11" s="1"/>
  <c r="AO63" i="11" s="1"/>
  <c r="AO64" i="11" s="1"/>
  <c r="AO65" i="11" s="1"/>
  <c r="AO66" i="11" s="1"/>
  <c r="AO67" i="11" s="1"/>
  <c r="AO68" i="11" s="1"/>
  <c r="AO69" i="11" s="1"/>
  <c r="AO70" i="11" s="1"/>
  <c r="AO71" i="11" s="1"/>
  <c r="AO72" i="11" s="1"/>
  <c r="AO73" i="11" s="1"/>
  <c r="AO74" i="11" s="1"/>
  <c r="AO75" i="11" s="1"/>
  <c r="AO76" i="11" s="1"/>
  <c r="AO77" i="11" s="1"/>
  <c r="AO78" i="11" s="1"/>
  <c r="AO79" i="11" s="1"/>
  <c r="AO80" i="11" s="1"/>
  <c r="AO81" i="11" s="1"/>
  <c r="AO82" i="11" s="1"/>
  <c r="AO83" i="11" s="1"/>
  <c r="AO84" i="11" s="1"/>
  <c r="AO85" i="11" s="1"/>
  <c r="AO86" i="11" s="1"/>
  <c r="AO87" i="11" s="1"/>
  <c r="AO88" i="11" s="1"/>
  <c r="AO89" i="11" s="1"/>
  <c r="AO90" i="11" s="1"/>
  <c r="AO91" i="11" s="1"/>
  <c r="AO92" i="11" s="1"/>
  <c r="AO93" i="11" s="1"/>
  <c r="AO94" i="11" s="1"/>
  <c r="AO95" i="11" s="1"/>
  <c r="AO96" i="11" s="1"/>
  <c r="AO97" i="11" s="1"/>
  <c r="AO98" i="11" s="1"/>
  <c r="AO99" i="11" s="1"/>
  <c r="AO100" i="11" s="1"/>
  <c r="AO101" i="11" s="1"/>
  <c r="AO102" i="11" s="1"/>
  <c r="AO103" i="11" s="1"/>
  <c r="AO104" i="11" s="1"/>
  <c r="AO105" i="11" s="1"/>
  <c r="AO106" i="11" s="1"/>
  <c r="AO107" i="11" s="1"/>
  <c r="AO108" i="11" s="1"/>
  <c r="AO109" i="11" s="1"/>
  <c r="AO110" i="11" s="1"/>
  <c r="AO111" i="11" s="1"/>
  <c r="AO112" i="11" s="1"/>
  <c r="AO113" i="11" s="1"/>
  <c r="AO114" i="11" s="1"/>
  <c r="AO115" i="11" s="1"/>
  <c r="AO116" i="11" s="1"/>
  <c r="AO117" i="11" s="1"/>
  <c r="AO118" i="11" s="1"/>
  <c r="AO119" i="11" s="1"/>
  <c r="AO120" i="11" s="1"/>
  <c r="AO121" i="11" s="1"/>
  <c r="AO122" i="11" s="1"/>
  <c r="AO123" i="11" s="1"/>
  <c r="AO124" i="11" s="1"/>
  <c r="AO125" i="11" s="1"/>
  <c r="AO126" i="11" s="1"/>
  <c r="AO127" i="11" s="1"/>
  <c r="AO128" i="11" s="1"/>
  <c r="AO129" i="11" s="1"/>
  <c r="AO130" i="11" s="1"/>
  <c r="AO131" i="11" s="1"/>
  <c r="AO132" i="11" s="1"/>
  <c r="AO133" i="11" s="1"/>
  <c r="AO134" i="11" s="1"/>
  <c r="AO135" i="11" s="1"/>
  <c r="AO136" i="11" s="1"/>
  <c r="AO137" i="11" s="1"/>
  <c r="AO138" i="11" s="1"/>
  <c r="AO139" i="11" s="1"/>
  <c r="AO140" i="11" s="1"/>
  <c r="AO141" i="11" s="1"/>
  <c r="AO142" i="11" s="1"/>
  <c r="AO143" i="11" s="1"/>
  <c r="AO144" i="11" s="1"/>
  <c r="AO145" i="11" s="1"/>
  <c r="AO146" i="11" s="1"/>
  <c r="AO147" i="11" s="1"/>
  <c r="AO148" i="11" s="1"/>
  <c r="AO149" i="11" s="1"/>
  <c r="AO150" i="11" s="1"/>
  <c r="AO151" i="11" s="1"/>
  <c r="AO152" i="11" s="1"/>
  <c r="AO153" i="11" s="1"/>
  <c r="AO154" i="11" s="1"/>
  <c r="AO155" i="11" s="1"/>
  <c r="AO156" i="11" s="1"/>
  <c r="AO157" i="11" s="1"/>
  <c r="AO158" i="11" s="1"/>
  <c r="AO159" i="11" s="1"/>
  <c r="AO160" i="11" s="1"/>
  <c r="AO161" i="11" s="1"/>
  <c r="AO162" i="11" s="1"/>
  <c r="AO163" i="11" s="1"/>
  <c r="AO164" i="11" s="1"/>
  <c r="AO165" i="11" s="1"/>
  <c r="AO166" i="11" s="1"/>
  <c r="AO167" i="11" s="1"/>
  <c r="AO168" i="11" s="1"/>
  <c r="AO169" i="11" s="1"/>
  <c r="AO170" i="11" s="1"/>
  <c r="AO171" i="11" s="1"/>
  <c r="AO172" i="11" s="1"/>
  <c r="AO173" i="11" s="1"/>
  <c r="AO174" i="11" s="1"/>
  <c r="AO175" i="11" s="1"/>
  <c r="AO176" i="11" s="1"/>
  <c r="AO177" i="11" s="1"/>
  <c r="AO178" i="11" s="1"/>
  <c r="AO179" i="11" s="1"/>
  <c r="AO180" i="11" s="1"/>
  <c r="AO181" i="11" s="1"/>
  <c r="AO182" i="11" s="1"/>
  <c r="AO183" i="11" s="1"/>
  <c r="AO184" i="11" s="1"/>
  <c r="AO185" i="11" s="1"/>
  <c r="AO186" i="11" s="1"/>
  <c r="AO187" i="11" s="1"/>
  <c r="AO188" i="11" s="1"/>
  <c r="AO189" i="11" s="1"/>
  <c r="AO190" i="11" s="1"/>
  <c r="AO191" i="11" s="1"/>
  <c r="AO192" i="11" s="1"/>
  <c r="AO193" i="11" s="1"/>
  <c r="AO194" i="11" s="1"/>
  <c r="AO195" i="11" s="1"/>
  <c r="AO196" i="11" s="1"/>
  <c r="AO197" i="11" s="1"/>
  <c r="AO198" i="11" s="1"/>
  <c r="AO199" i="11" s="1"/>
  <c r="AO200" i="11" s="1"/>
  <c r="AO201" i="11" s="1"/>
  <c r="AO202" i="11" s="1"/>
  <c r="AN3" i="11"/>
  <c r="AM3" i="11"/>
  <c r="AM4" i="11" s="1"/>
  <c r="AM5" i="11" s="1"/>
  <c r="AM6" i="11" s="1"/>
  <c r="AM7" i="11" s="1"/>
  <c r="AM8" i="11" s="1"/>
  <c r="AM9" i="11" s="1"/>
  <c r="AM10" i="11" s="1"/>
  <c r="AM11" i="11" s="1"/>
  <c r="AM12" i="11" s="1"/>
  <c r="AM13" i="11" s="1"/>
  <c r="AM14" i="11" s="1"/>
  <c r="AM15" i="11" s="1"/>
  <c r="AM16" i="11" s="1"/>
  <c r="AM17" i="11" s="1"/>
  <c r="AM18" i="11" s="1"/>
  <c r="AM19" i="11" s="1"/>
  <c r="AM20" i="11" s="1"/>
  <c r="AM21" i="11" s="1"/>
  <c r="AM22" i="11" s="1"/>
  <c r="AM23" i="11" s="1"/>
  <c r="AM24" i="11" s="1"/>
  <c r="AM25" i="11" s="1"/>
  <c r="AM26" i="11" s="1"/>
  <c r="AM27" i="11" s="1"/>
  <c r="AM28" i="11" s="1"/>
  <c r="AM29" i="11" s="1"/>
  <c r="AM30" i="11" s="1"/>
  <c r="AM31" i="11" s="1"/>
  <c r="AM32" i="11" s="1"/>
  <c r="AM33" i="11" s="1"/>
  <c r="AM34" i="11" s="1"/>
  <c r="AM35" i="11" s="1"/>
  <c r="AM36" i="11" s="1"/>
  <c r="AM37" i="11" s="1"/>
  <c r="AM38" i="11" s="1"/>
  <c r="AM39" i="11" s="1"/>
  <c r="AM40" i="11" s="1"/>
  <c r="AM41" i="11" s="1"/>
  <c r="AM42" i="11" s="1"/>
  <c r="AM43" i="11" s="1"/>
  <c r="AM44" i="11" s="1"/>
  <c r="AM45" i="11" s="1"/>
  <c r="AM46" i="11" s="1"/>
  <c r="AM47" i="11" s="1"/>
  <c r="AM48" i="11" s="1"/>
  <c r="AM49" i="11" s="1"/>
  <c r="AM50" i="11" s="1"/>
  <c r="AM51" i="11" s="1"/>
  <c r="AM52" i="11" s="1"/>
  <c r="AM53" i="11" s="1"/>
  <c r="AM54" i="11" s="1"/>
  <c r="AM55" i="11" s="1"/>
  <c r="AM56" i="11" s="1"/>
  <c r="AM57" i="11" s="1"/>
  <c r="AM58" i="11" s="1"/>
  <c r="AM59" i="11" s="1"/>
  <c r="AM60" i="11" s="1"/>
  <c r="AM61" i="11" s="1"/>
  <c r="AM62" i="11" s="1"/>
  <c r="AM63" i="11" s="1"/>
  <c r="AM64" i="11" s="1"/>
  <c r="AM65" i="11" s="1"/>
  <c r="AM66" i="11" s="1"/>
  <c r="AM67" i="11" s="1"/>
  <c r="AM68" i="11" s="1"/>
  <c r="AM69" i="11" s="1"/>
  <c r="AM70" i="11" s="1"/>
  <c r="AM71" i="11" s="1"/>
  <c r="AM72" i="11" s="1"/>
  <c r="AM73" i="11" s="1"/>
  <c r="AM74" i="11" s="1"/>
  <c r="AM75" i="11" s="1"/>
  <c r="AM76" i="11" s="1"/>
  <c r="AM77" i="11" s="1"/>
  <c r="AM78" i="11" s="1"/>
  <c r="AM79" i="11" s="1"/>
  <c r="AM80" i="11" s="1"/>
  <c r="AM81" i="11" s="1"/>
  <c r="AM82" i="11" s="1"/>
  <c r="AM83" i="11" s="1"/>
  <c r="AM84" i="11" s="1"/>
  <c r="AM85" i="11" s="1"/>
  <c r="AM86" i="11" s="1"/>
  <c r="AM87" i="11" s="1"/>
  <c r="AM88" i="11" s="1"/>
  <c r="AM89" i="11" s="1"/>
  <c r="AM90" i="11" s="1"/>
  <c r="AM91" i="11" s="1"/>
  <c r="AM92" i="11" s="1"/>
  <c r="AM93" i="11" s="1"/>
  <c r="AM94" i="11" s="1"/>
  <c r="AM95" i="11" s="1"/>
  <c r="AM96" i="11" s="1"/>
  <c r="AM97" i="11" s="1"/>
  <c r="AM98" i="11" s="1"/>
  <c r="AM99" i="11" s="1"/>
  <c r="AM100" i="11" s="1"/>
  <c r="AM101" i="11" s="1"/>
  <c r="AM102" i="11" s="1"/>
  <c r="AM103" i="11" s="1"/>
  <c r="AM104" i="11" s="1"/>
  <c r="AM105" i="11" s="1"/>
  <c r="AM106" i="11" s="1"/>
  <c r="AM107" i="11" s="1"/>
  <c r="AM108" i="11" s="1"/>
  <c r="AM109" i="11" s="1"/>
  <c r="AM110" i="11" s="1"/>
  <c r="AM111" i="11" s="1"/>
  <c r="AM112" i="11" s="1"/>
  <c r="AM113" i="11" s="1"/>
  <c r="AM114" i="11" s="1"/>
  <c r="AM115" i="11" s="1"/>
  <c r="AM116" i="11" s="1"/>
  <c r="AM117" i="11" s="1"/>
  <c r="AM118" i="11" s="1"/>
  <c r="AM119" i="11" s="1"/>
  <c r="AM120" i="11" s="1"/>
  <c r="AM121" i="11" s="1"/>
  <c r="AM122" i="11" s="1"/>
  <c r="AM123" i="11" s="1"/>
  <c r="AM124" i="11" s="1"/>
  <c r="AM125" i="11" s="1"/>
  <c r="AM126" i="11" s="1"/>
  <c r="AM127" i="11" s="1"/>
  <c r="AM128" i="11" s="1"/>
  <c r="AM129" i="11" s="1"/>
  <c r="AM130" i="11" s="1"/>
  <c r="AM131" i="11" s="1"/>
  <c r="AM132" i="11" s="1"/>
  <c r="AM133" i="11" s="1"/>
  <c r="AM134" i="11" s="1"/>
  <c r="AM135" i="11" s="1"/>
  <c r="AM136" i="11" s="1"/>
  <c r="AM137" i="11" s="1"/>
  <c r="AM138" i="11" s="1"/>
  <c r="AM139" i="11" s="1"/>
  <c r="AM140" i="11" s="1"/>
  <c r="AM141" i="11" s="1"/>
  <c r="AM142" i="11" s="1"/>
  <c r="AM143" i="11" s="1"/>
  <c r="AM144" i="11" s="1"/>
  <c r="AM145" i="11" s="1"/>
  <c r="AM146" i="11" s="1"/>
  <c r="AM147" i="11" s="1"/>
  <c r="AM148" i="11" s="1"/>
  <c r="AM149" i="11" s="1"/>
  <c r="AM150" i="11" s="1"/>
  <c r="AM151" i="11" s="1"/>
  <c r="AM152" i="11" s="1"/>
  <c r="AM153" i="11" s="1"/>
  <c r="AM154" i="11" s="1"/>
  <c r="AM155" i="11" s="1"/>
  <c r="AM156" i="11" s="1"/>
  <c r="AM157" i="11" s="1"/>
  <c r="AM158" i="11" s="1"/>
  <c r="AM159" i="11" s="1"/>
  <c r="AM160" i="11" s="1"/>
  <c r="AM161" i="11" s="1"/>
  <c r="AM162" i="11" s="1"/>
  <c r="AM163" i="11" s="1"/>
  <c r="AM164" i="11" s="1"/>
  <c r="AM165" i="11" s="1"/>
  <c r="AM166" i="11" s="1"/>
  <c r="AM167" i="11" s="1"/>
  <c r="AM168" i="11" s="1"/>
  <c r="AM169" i="11" s="1"/>
  <c r="AM170" i="11" s="1"/>
  <c r="AM171" i="11" s="1"/>
  <c r="AM172" i="11" s="1"/>
  <c r="AM173" i="11" s="1"/>
  <c r="AM174" i="11" s="1"/>
  <c r="AM175" i="11" s="1"/>
  <c r="AM176" i="11" s="1"/>
  <c r="AM177" i="11" s="1"/>
  <c r="AM178" i="11" s="1"/>
  <c r="AM179" i="11" s="1"/>
  <c r="AM180" i="11" s="1"/>
  <c r="AM181" i="11" s="1"/>
  <c r="AM182" i="11" s="1"/>
  <c r="AM183" i="11" s="1"/>
  <c r="AM184" i="11" s="1"/>
  <c r="AM185" i="11" s="1"/>
  <c r="AM186" i="11" s="1"/>
  <c r="AM187" i="11" s="1"/>
  <c r="AM188" i="11" s="1"/>
  <c r="AM189" i="11" s="1"/>
  <c r="AM190" i="11" s="1"/>
  <c r="AM191" i="11" s="1"/>
  <c r="AM192" i="11" s="1"/>
  <c r="AM193" i="11" s="1"/>
  <c r="AM194" i="11" s="1"/>
  <c r="AM195" i="11" s="1"/>
  <c r="AM196" i="11" s="1"/>
  <c r="AM197" i="11" s="1"/>
  <c r="AM198" i="11" s="1"/>
  <c r="AM199" i="11" s="1"/>
  <c r="AM200" i="11" s="1"/>
  <c r="AM201" i="11" s="1"/>
  <c r="AM202" i="11" s="1"/>
  <c r="AL3" i="11"/>
  <c r="AK13" i="20" l="1"/>
  <c r="AJ13" i="20"/>
  <c r="AH14" i="20"/>
  <c r="I9" i="19"/>
  <c r="AH8" i="19"/>
  <c r="AJ7" i="19"/>
  <c r="AK7" i="19"/>
  <c r="S10" i="19"/>
  <c r="E30" i="12"/>
  <c r="D26" i="15"/>
  <c r="E26" i="15"/>
  <c r="D27" i="15"/>
  <c r="E27" i="15"/>
  <c r="D5" i="15"/>
  <c r="E5" i="15"/>
  <c r="D6" i="15"/>
  <c r="E6" i="15"/>
  <c r="D7" i="15"/>
  <c r="E7" i="15"/>
  <c r="D8" i="15"/>
  <c r="E8" i="15"/>
  <c r="D9" i="15"/>
  <c r="E9" i="15"/>
  <c r="D10" i="15"/>
  <c r="E10" i="15"/>
  <c r="D11" i="15"/>
  <c r="E11" i="15"/>
  <c r="D12" i="15"/>
  <c r="E12" i="15"/>
  <c r="D13" i="15"/>
  <c r="E13" i="15"/>
  <c r="D14" i="15"/>
  <c r="E14" i="15"/>
  <c r="D15" i="15"/>
  <c r="E15" i="15"/>
  <c r="D16" i="15"/>
  <c r="E16" i="15"/>
  <c r="D17" i="15"/>
  <c r="E17" i="15"/>
  <c r="D18" i="15"/>
  <c r="E18" i="15"/>
  <c r="D19" i="15"/>
  <c r="E19" i="15"/>
  <c r="D20" i="15"/>
  <c r="E20" i="15"/>
  <c r="D21" i="15"/>
  <c r="E21" i="15"/>
  <c r="D22" i="15"/>
  <c r="E22" i="15"/>
  <c r="D23" i="15"/>
  <c r="E23" i="15"/>
  <c r="D24" i="15"/>
  <c r="E24" i="15"/>
  <c r="D25" i="15"/>
  <c r="E25" i="15"/>
  <c r="E4" i="15"/>
  <c r="D4" i="15"/>
  <c r="B38" i="12" l="1"/>
  <c r="E5" i="21"/>
  <c r="AK14" i="20"/>
  <c r="AJ14" i="20"/>
  <c r="AH15" i="20"/>
  <c r="I10" i="19"/>
  <c r="AH9" i="19"/>
  <c r="AJ8" i="19"/>
  <c r="AK8" i="19"/>
  <c r="S11" i="19"/>
  <c r="D35" i="11"/>
  <c r="D36" i="11"/>
  <c r="D37" i="11"/>
  <c r="D38" i="11"/>
  <c r="D39" i="11"/>
  <c r="D40" i="11"/>
  <c r="D41" i="11"/>
  <c r="D42" i="11"/>
  <c r="D43" i="11"/>
  <c r="D44" i="11"/>
  <c r="D34" i="11"/>
  <c r="X2" i="10"/>
  <c r="Y2" i="10" s="1"/>
  <c r="C46" i="11"/>
  <c r="AJ15" i="20" l="1"/>
  <c r="AK15" i="20"/>
  <c r="AH16" i="20"/>
  <c r="F30" i="12"/>
  <c r="G30" i="12"/>
  <c r="H30" i="12"/>
  <c r="I11" i="19"/>
  <c r="AH10" i="19"/>
  <c r="AJ9" i="19"/>
  <c r="AK9" i="19"/>
  <c r="S12" i="19"/>
  <c r="D46" i="11"/>
  <c r="AJ4" i="11"/>
  <c r="AJ5" i="11"/>
  <c r="AJ6" i="11"/>
  <c r="AJ7" i="11"/>
  <c r="AJ8" i="11"/>
  <c r="AJ9" i="11"/>
  <c r="AJ10" i="11"/>
  <c r="AJ11" i="11"/>
  <c r="AJ12" i="11"/>
  <c r="AJ13" i="11"/>
  <c r="AJ14" i="11"/>
  <c r="AJ15" i="11"/>
  <c r="AJ16" i="11"/>
  <c r="AJ17" i="11"/>
  <c r="AJ18" i="11"/>
  <c r="AJ19" i="11"/>
  <c r="AJ20" i="11"/>
  <c r="AJ21" i="11"/>
  <c r="AJ22" i="11"/>
  <c r="AJ23" i="11"/>
  <c r="AJ24" i="11"/>
  <c r="AJ25" i="11"/>
  <c r="AJ26" i="11"/>
  <c r="AJ27" i="1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111" i="11"/>
  <c r="AJ112" i="11"/>
  <c r="AJ113" i="11"/>
  <c r="AJ114" i="11"/>
  <c r="AJ115" i="11"/>
  <c r="AJ116" i="11"/>
  <c r="AJ117" i="11"/>
  <c r="AJ118" i="11"/>
  <c r="AJ119" i="11"/>
  <c r="AJ120" i="11"/>
  <c r="AJ121" i="11"/>
  <c r="AJ122" i="11"/>
  <c r="AJ123" i="11"/>
  <c r="AJ124" i="11"/>
  <c r="AJ125" i="11"/>
  <c r="AJ126" i="11"/>
  <c r="AJ127" i="11"/>
  <c r="AJ128" i="11"/>
  <c r="AJ129" i="11"/>
  <c r="AJ130" i="11"/>
  <c r="AJ131" i="11"/>
  <c r="AJ132" i="11"/>
  <c r="AJ133" i="11"/>
  <c r="AJ134" i="11"/>
  <c r="AJ135" i="11"/>
  <c r="AJ136" i="11"/>
  <c r="AJ137" i="11"/>
  <c r="AJ138" i="11"/>
  <c r="AJ139" i="11"/>
  <c r="AJ140" i="11"/>
  <c r="AJ141" i="11"/>
  <c r="AJ142" i="11"/>
  <c r="AJ143" i="11"/>
  <c r="AJ144" i="11"/>
  <c r="AJ145" i="11"/>
  <c r="AJ146" i="11"/>
  <c r="AJ147" i="11"/>
  <c r="AJ148" i="11"/>
  <c r="AJ149" i="11"/>
  <c r="AJ150" i="11"/>
  <c r="AJ151" i="11"/>
  <c r="AJ152" i="11"/>
  <c r="AJ153" i="11"/>
  <c r="AJ154" i="11"/>
  <c r="AJ155" i="11"/>
  <c r="AJ156" i="11"/>
  <c r="AJ157" i="11"/>
  <c r="AJ158" i="11"/>
  <c r="AJ159" i="11"/>
  <c r="AJ160" i="11"/>
  <c r="AJ161" i="11"/>
  <c r="AJ162" i="11"/>
  <c r="AK3" i="11"/>
  <c r="B41" i="12" l="1"/>
  <c r="B39" i="12"/>
  <c r="B42" i="12" s="1"/>
  <c r="AH17" i="20"/>
  <c r="AK16" i="20"/>
  <c r="AJ16" i="20"/>
  <c r="I12" i="19"/>
  <c r="H97" i="19"/>
  <c r="AH11" i="19"/>
  <c r="AK10" i="19"/>
  <c r="AJ10" i="19"/>
  <c r="S13" i="19"/>
  <c r="E2" i="11"/>
  <c r="B45" i="12" l="1"/>
  <c r="AH18" i="20"/>
  <c r="AK17" i="20"/>
  <c r="AJ17" i="20"/>
  <c r="I13" i="19"/>
  <c r="H98" i="19"/>
  <c r="AH12" i="19"/>
  <c r="AJ11" i="19"/>
  <c r="AK11" i="19"/>
  <c r="S14" i="19"/>
  <c r="E8" i="21" l="1"/>
  <c r="B46" i="12"/>
  <c r="E9" i="21" s="1"/>
  <c r="AH19" i="20"/>
  <c r="AK18" i="20"/>
  <c r="AJ18" i="20"/>
  <c r="I14" i="19"/>
  <c r="H99" i="19"/>
  <c r="AH13" i="19"/>
  <c r="AJ12" i="19"/>
  <c r="AK12" i="19"/>
  <c r="S15" i="19"/>
  <c r="AJ3" i="1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B51" i="12" l="1"/>
  <c r="B52" i="12" s="1"/>
  <c r="E16" i="21" s="1"/>
  <c r="B47" i="12"/>
  <c r="B48" i="12" s="1"/>
  <c r="E11" i="21" s="1"/>
  <c r="AJ19" i="20"/>
  <c r="AH20" i="20"/>
  <c r="AK19" i="20"/>
  <c r="I15" i="19"/>
  <c r="H100" i="19"/>
  <c r="AH14" i="19"/>
  <c r="AJ13" i="19"/>
  <c r="AK13" i="19"/>
  <c r="S16" i="19"/>
  <c r="AK4" i="11"/>
  <c r="AK5" i="11" s="1"/>
  <c r="AK6" i="11" s="1"/>
  <c r="AK7" i="11" s="1"/>
  <c r="AK8" i="11" s="1"/>
  <c r="AK9" i="11" s="1"/>
  <c r="AK10" i="11" s="1"/>
  <c r="AK11" i="11" s="1"/>
  <c r="AK12" i="11" s="1"/>
  <c r="AK13" i="11" s="1"/>
  <c r="AK14" i="11" s="1"/>
  <c r="AK15" i="11" s="1"/>
  <c r="AK16" i="11" s="1"/>
  <c r="AK17" i="11" s="1"/>
  <c r="AK18" i="11" s="1"/>
  <c r="AK19" i="11" s="1"/>
  <c r="AK20" i="11" s="1"/>
  <c r="AK21" i="11" s="1"/>
  <c r="AK22" i="11" s="1"/>
  <c r="AK23" i="11" s="1"/>
  <c r="AK24" i="11" s="1"/>
  <c r="AK25" i="11" s="1"/>
  <c r="AK26" i="11" s="1"/>
  <c r="AK27" i="11" s="1"/>
  <c r="AK28" i="11" s="1"/>
  <c r="AK29" i="11" s="1"/>
  <c r="AK30" i="11" s="1"/>
  <c r="AK31" i="11" s="1"/>
  <c r="AK32" i="11" s="1"/>
  <c r="AK33" i="11" s="1"/>
  <c r="AK34" i="11" s="1"/>
  <c r="AK35" i="11" s="1"/>
  <c r="AK36" i="11" s="1"/>
  <c r="AK37" i="11" s="1"/>
  <c r="AK38" i="11" s="1"/>
  <c r="AK39" i="11" s="1"/>
  <c r="AK40" i="11" s="1"/>
  <c r="AK41" i="11" s="1"/>
  <c r="AK42" i="11" s="1"/>
  <c r="AK43" i="11" s="1"/>
  <c r="AK44" i="11" s="1"/>
  <c r="AK45" i="11" s="1"/>
  <c r="AK46" i="11" s="1"/>
  <c r="AK47" i="11" s="1"/>
  <c r="AK48" i="11" s="1"/>
  <c r="AK49" i="11" s="1"/>
  <c r="AK50" i="11" s="1"/>
  <c r="AK51" i="11" s="1"/>
  <c r="AK52" i="11" s="1"/>
  <c r="AK53" i="11" s="1"/>
  <c r="AK54" i="11" s="1"/>
  <c r="AK55" i="11" s="1"/>
  <c r="AK56" i="11" s="1"/>
  <c r="AK57" i="11" s="1"/>
  <c r="AK58" i="11" s="1"/>
  <c r="AK59" i="11" s="1"/>
  <c r="AK60" i="11" s="1"/>
  <c r="AK61" i="11" s="1"/>
  <c r="AK62" i="11" s="1"/>
  <c r="AK63" i="11" s="1"/>
  <c r="AK64" i="11" s="1"/>
  <c r="AK65" i="11" s="1"/>
  <c r="AK66" i="11" s="1"/>
  <c r="AK67" i="11" s="1"/>
  <c r="AK68" i="11" s="1"/>
  <c r="AK69" i="11" s="1"/>
  <c r="AK70" i="11" s="1"/>
  <c r="AK71" i="11" s="1"/>
  <c r="AK72" i="11" s="1"/>
  <c r="AK73" i="11" s="1"/>
  <c r="AK74" i="11" s="1"/>
  <c r="AK75" i="11" s="1"/>
  <c r="AK76" i="11" s="1"/>
  <c r="AK77" i="11" s="1"/>
  <c r="AK78" i="11" s="1"/>
  <c r="AK79" i="11" s="1"/>
  <c r="AK80" i="11" s="1"/>
  <c r="AK81" i="11" s="1"/>
  <c r="AK82" i="11" s="1"/>
  <c r="AK83" i="11" s="1"/>
  <c r="AK84" i="11" s="1"/>
  <c r="AK85" i="11" s="1"/>
  <c r="AK86" i="11" s="1"/>
  <c r="AK87" i="11" s="1"/>
  <c r="AK88" i="11" s="1"/>
  <c r="AK89" i="11" s="1"/>
  <c r="AK90" i="11" s="1"/>
  <c r="AK91" i="11" s="1"/>
  <c r="AK92" i="11" s="1"/>
  <c r="AK93" i="11" s="1"/>
  <c r="AK94" i="11" s="1"/>
  <c r="AK95" i="11" s="1"/>
  <c r="AK96" i="11" s="1"/>
  <c r="AK97" i="11" s="1"/>
  <c r="AK98" i="11" s="1"/>
  <c r="AK99" i="11" s="1"/>
  <c r="AK100" i="11" s="1"/>
  <c r="AK101" i="11" s="1"/>
  <c r="AK102" i="11" s="1"/>
  <c r="AK103" i="11" s="1"/>
  <c r="AK104" i="11" s="1"/>
  <c r="AK105" i="11" s="1"/>
  <c r="AK106" i="11" s="1"/>
  <c r="AK107" i="11" s="1"/>
  <c r="AK108" i="11" s="1"/>
  <c r="AK109" i="11" s="1"/>
  <c r="AK110" i="11" s="1"/>
  <c r="AK111" i="11" s="1"/>
  <c r="AK112" i="11" s="1"/>
  <c r="AK113" i="11" s="1"/>
  <c r="AK114" i="11" s="1"/>
  <c r="AK115" i="11" s="1"/>
  <c r="AK116" i="11" s="1"/>
  <c r="AK117" i="11" s="1"/>
  <c r="AK118" i="11" s="1"/>
  <c r="AK119" i="11" s="1"/>
  <c r="AK120" i="11" s="1"/>
  <c r="AK121" i="11" s="1"/>
  <c r="AK122" i="11" s="1"/>
  <c r="AK123" i="11" s="1"/>
  <c r="AK124" i="11" s="1"/>
  <c r="AK125" i="11" s="1"/>
  <c r="AK126" i="11" s="1"/>
  <c r="AK127" i="11" s="1"/>
  <c r="AK128" i="11" s="1"/>
  <c r="AK129" i="11" s="1"/>
  <c r="AK130" i="11" s="1"/>
  <c r="AK131" i="11" s="1"/>
  <c r="AK132" i="11" s="1"/>
  <c r="AK133" i="11" s="1"/>
  <c r="AK134" i="11" s="1"/>
  <c r="AK135" i="11" s="1"/>
  <c r="AK136" i="11" s="1"/>
  <c r="AK137" i="11" s="1"/>
  <c r="AK138" i="11" s="1"/>
  <c r="AK139" i="11" s="1"/>
  <c r="AK140" i="11" s="1"/>
  <c r="AK141" i="11" s="1"/>
  <c r="AK142" i="11" s="1"/>
  <c r="AK143" i="11" s="1"/>
  <c r="AK144" i="11" s="1"/>
  <c r="AK145" i="11" s="1"/>
  <c r="AK146" i="11" s="1"/>
  <c r="AK147" i="11" s="1"/>
  <c r="AK148" i="11" s="1"/>
  <c r="AK149" i="11" s="1"/>
  <c r="AK150" i="11" s="1"/>
  <c r="AK151" i="11" s="1"/>
  <c r="AK152" i="11" s="1"/>
  <c r="AK153" i="11" s="1"/>
  <c r="AK154" i="11" s="1"/>
  <c r="AK155" i="11" s="1"/>
  <c r="AK156" i="11" s="1"/>
  <c r="AK157" i="11" s="1"/>
  <c r="AK158" i="11" s="1"/>
  <c r="AK159" i="11" s="1"/>
  <c r="AK160" i="11" s="1"/>
  <c r="AK161" i="11" s="1"/>
  <c r="AK162" i="11" s="1"/>
  <c r="AK163" i="11" s="1"/>
  <c r="AK164" i="11" s="1"/>
  <c r="AK165" i="11" s="1"/>
  <c r="AK166" i="11" s="1"/>
  <c r="AK167" i="11" s="1"/>
  <c r="AK168" i="11" s="1"/>
  <c r="AK169" i="11" s="1"/>
  <c r="AK170" i="11" s="1"/>
  <c r="AK171" i="11" s="1"/>
  <c r="AK172" i="11" s="1"/>
  <c r="AK173" i="11" s="1"/>
  <c r="AK174" i="11" s="1"/>
  <c r="AK175" i="11" s="1"/>
  <c r="AK176" i="11" s="1"/>
  <c r="AK177" i="11" s="1"/>
  <c r="AK178" i="11" s="1"/>
  <c r="AK179" i="11" s="1"/>
  <c r="AK180" i="11" s="1"/>
  <c r="AK181" i="11" s="1"/>
  <c r="AK182" i="11" s="1"/>
  <c r="AK183" i="11" s="1"/>
  <c r="AK184" i="11" s="1"/>
  <c r="AK185" i="11" s="1"/>
  <c r="AK186" i="11" s="1"/>
  <c r="AK187" i="11" s="1"/>
  <c r="AK188" i="11" s="1"/>
  <c r="AK189" i="11" s="1"/>
  <c r="AK190" i="11" s="1"/>
  <c r="AK191" i="11" s="1"/>
  <c r="AK192" i="11" s="1"/>
  <c r="AK193" i="11" s="1"/>
  <c r="AK194" i="11" s="1"/>
  <c r="AK195" i="11" s="1"/>
  <c r="AK196" i="11" s="1"/>
  <c r="AK197" i="11" s="1"/>
  <c r="AK198" i="11" s="1"/>
  <c r="AK199" i="11" s="1"/>
  <c r="AK200" i="11" s="1"/>
  <c r="AK201" i="11" s="1"/>
  <c r="AK202" i="11" s="1"/>
  <c r="E32" i="11"/>
  <c r="I13" i="13"/>
  <c r="H13" i="13"/>
  <c r="I12" i="13"/>
  <c r="H12" i="13"/>
  <c r="I11" i="13"/>
  <c r="H11" i="13"/>
  <c r="I10" i="13"/>
  <c r="H10" i="13"/>
  <c r="H9" i="13"/>
  <c r="I9" i="13"/>
  <c r="I8" i="13"/>
  <c r="H8" i="13"/>
  <c r="I7" i="13"/>
  <c r="H7" i="13"/>
  <c r="I6" i="13"/>
  <c r="H6" i="13"/>
  <c r="I5" i="13"/>
  <c r="H5" i="13"/>
  <c r="I4" i="13"/>
  <c r="H4" i="13"/>
  <c r="I3" i="13"/>
  <c r="H3" i="13"/>
  <c r="H2" i="13"/>
  <c r="I2" i="13"/>
  <c r="E10" i="21" l="1"/>
  <c r="E15" i="21"/>
  <c r="AH21" i="20"/>
  <c r="AK20" i="20"/>
  <c r="AJ20" i="20"/>
  <c r="I16" i="19"/>
  <c r="H101" i="19"/>
  <c r="AH15" i="19"/>
  <c r="AK14" i="19"/>
  <c r="AJ14" i="19"/>
  <c r="S17" i="19"/>
  <c r="G3" i="13"/>
  <c r="G4" i="13"/>
  <c r="G5" i="13"/>
  <c r="G6" i="13"/>
  <c r="G7" i="13"/>
  <c r="G8" i="13"/>
  <c r="G9" i="13"/>
  <c r="G10" i="13"/>
  <c r="G11" i="13"/>
  <c r="G12" i="13"/>
  <c r="G13" i="13"/>
  <c r="AH22" i="20" l="1"/>
  <c r="AK21" i="20"/>
  <c r="AJ21" i="20"/>
  <c r="I17" i="19"/>
  <c r="H102" i="19"/>
  <c r="AH16" i="19"/>
  <c r="AJ15" i="19"/>
  <c r="AK15" i="19"/>
  <c r="S18" i="19"/>
  <c r="X3" i="10"/>
  <c r="Y3" i="10" s="1"/>
  <c r="X4" i="10"/>
  <c r="Y4" i="10" s="1"/>
  <c r="X5" i="10"/>
  <c r="Y5" i="10" s="1"/>
  <c r="X6" i="10"/>
  <c r="Y6" i="10" s="1"/>
  <c r="X7" i="10"/>
  <c r="Y7" i="10" s="1"/>
  <c r="X8" i="10"/>
  <c r="Y8" i="10" s="1"/>
  <c r="X9" i="10"/>
  <c r="Y9" i="10" s="1"/>
  <c r="X10" i="10"/>
  <c r="Y10" i="10" s="1"/>
  <c r="X11" i="10"/>
  <c r="Y11" i="10" s="1"/>
  <c r="X12" i="10"/>
  <c r="Y12" i="10" s="1"/>
  <c r="X13" i="10"/>
  <c r="Y13" i="10" s="1"/>
  <c r="X14" i="10"/>
  <c r="Y14" i="10" s="1"/>
  <c r="X15" i="10"/>
  <c r="Y15" i="10" s="1"/>
  <c r="X16" i="10"/>
  <c r="Y16" i="10" s="1"/>
  <c r="X17" i="10"/>
  <c r="Y17" i="10" s="1"/>
  <c r="X18" i="10"/>
  <c r="Y18" i="10" s="1"/>
  <c r="X19" i="10"/>
  <c r="Y19" i="10" s="1"/>
  <c r="X20" i="10"/>
  <c r="Y20" i="10" s="1"/>
  <c r="X21" i="10"/>
  <c r="Y21" i="10" s="1"/>
  <c r="X22" i="10"/>
  <c r="Y22" i="10" s="1"/>
  <c r="X23" i="10"/>
  <c r="Y23" i="10" s="1"/>
  <c r="X24" i="10"/>
  <c r="Y24" i="10" s="1"/>
  <c r="X25" i="10"/>
  <c r="Y25" i="10" s="1"/>
  <c r="X26" i="10"/>
  <c r="Y26" i="10" s="1"/>
  <c r="X27" i="10"/>
  <c r="Y27" i="10" s="1"/>
  <c r="X28" i="10"/>
  <c r="Y28" i="10" s="1"/>
  <c r="X29" i="10"/>
  <c r="Y29" i="10" s="1"/>
  <c r="X30" i="10"/>
  <c r="Y30" i="10" s="1"/>
  <c r="X31" i="10"/>
  <c r="Y31" i="10" s="1"/>
  <c r="X32" i="10"/>
  <c r="Y32" i="10" s="1"/>
  <c r="X33" i="10"/>
  <c r="Y33" i="10" s="1"/>
  <c r="X34" i="10"/>
  <c r="Y34" i="10" s="1"/>
  <c r="X35" i="10"/>
  <c r="Y35" i="10" s="1"/>
  <c r="X36" i="10"/>
  <c r="Y36" i="10" s="1"/>
  <c r="X37" i="10"/>
  <c r="Y37" i="10" s="1"/>
  <c r="X38" i="10"/>
  <c r="Y38" i="10" s="1"/>
  <c r="X39" i="10"/>
  <c r="Y39" i="10" s="1"/>
  <c r="X40" i="10"/>
  <c r="Y40" i="10" s="1"/>
  <c r="X41" i="10"/>
  <c r="Y41" i="10" s="1"/>
  <c r="X42" i="10"/>
  <c r="Y42" i="10" s="1"/>
  <c r="X43" i="10"/>
  <c r="Y43" i="10" s="1"/>
  <c r="X44" i="10"/>
  <c r="Y44" i="10" s="1"/>
  <c r="X45" i="10"/>
  <c r="Y45" i="10" s="1"/>
  <c r="X46" i="10"/>
  <c r="Y46" i="10" s="1"/>
  <c r="X47" i="10"/>
  <c r="Y47" i="10" s="1"/>
  <c r="X48" i="10"/>
  <c r="Y48" i="10" s="1"/>
  <c r="X49" i="10"/>
  <c r="Y49" i="10" s="1"/>
  <c r="X50" i="10"/>
  <c r="Y50" i="10" s="1"/>
  <c r="X51" i="10"/>
  <c r="Y51" i="10" s="1"/>
  <c r="X52" i="10"/>
  <c r="Y52" i="10" s="1"/>
  <c r="X53" i="10"/>
  <c r="Y53" i="10" s="1"/>
  <c r="X54" i="10"/>
  <c r="Y54" i="10" s="1"/>
  <c r="X55" i="10"/>
  <c r="Y55" i="10" s="1"/>
  <c r="X56" i="10"/>
  <c r="Y56" i="10" s="1"/>
  <c r="X57" i="10"/>
  <c r="Y57" i="10" s="1"/>
  <c r="X58" i="10"/>
  <c r="Y58" i="10" s="1"/>
  <c r="X59" i="10"/>
  <c r="Y59" i="10" s="1"/>
  <c r="X60" i="10"/>
  <c r="Y60" i="10" s="1"/>
  <c r="X61" i="10"/>
  <c r="Y61" i="10" s="1"/>
  <c r="X62" i="10"/>
  <c r="Y62" i="10" s="1"/>
  <c r="X63" i="10"/>
  <c r="Y63" i="10" s="1"/>
  <c r="X64" i="10"/>
  <c r="Y64" i="10" s="1"/>
  <c r="X65" i="10"/>
  <c r="Y65" i="10" s="1"/>
  <c r="X66" i="10"/>
  <c r="Y66" i="10" s="1"/>
  <c r="X67" i="10"/>
  <c r="Y67" i="10" s="1"/>
  <c r="X68" i="10"/>
  <c r="Y68" i="10" s="1"/>
  <c r="X69" i="10"/>
  <c r="Y69" i="10" s="1"/>
  <c r="X70" i="10"/>
  <c r="Y70" i="10" s="1"/>
  <c r="X71" i="10"/>
  <c r="Y71" i="10" s="1"/>
  <c r="X72" i="10"/>
  <c r="Y72" i="10" s="1"/>
  <c r="X73" i="10"/>
  <c r="Y73" i="10" s="1"/>
  <c r="X74" i="10"/>
  <c r="Y74" i="10" s="1"/>
  <c r="X75" i="10"/>
  <c r="Y75" i="10" s="1"/>
  <c r="X76" i="10"/>
  <c r="Y76" i="10" s="1"/>
  <c r="X77" i="10"/>
  <c r="Y77" i="10" s="1"/>
  <c r="X78" i="10"/>
  <c r="Y78" i="10" s="1"/>
  <c r="X79" i="10"/>
  <c r="Y79" i="10" s="1"/>
  <c r="X80" i="10"/>
  <c r="Y80" i="10" s="1"/>
  <c r="X81" i="10"/>
  <c r="Y81" i="10" s="1"/>
  <c r="X82" i="10"/>
  <c r="Y82" i="10" s="1"/>
  <c r="X83" i="10"/>
  <c r="Y83" i="10" s="1"/>
  <c r="X84" i="10"/>
  <c r="Y84" i="10" s="1"/>
  <c r="X85" i="10"/>
  <c r="Y85" i="10" s="1"/>
  <c r="X86" i="10"/>
  <c r="Y86" i="10" s="1"/>
  <c r="X87" i="10"/>
  <c r="Y87" i="10" s="1"/>
  <c r="X88" i="10"/>
  <c r="Y88" i="10" s="1"/>
  <c r="X89" i="10"/>
  <c r="Y89" i="10" s="1"/>
  <c r="X90" i="10"/>
  <c r="Y90" i="10" s="1"/>
  <c r="X91" i="10"/>
  <c r="Y91" i="10" s="1"/>
  <c r="X92" i="10"/>
  <c r="Y92" i="10" s="1"/>
  <c r="X93" i="10"/>
  <c r="Y93" i="10" s="1"/>
  <c r="X94" i="10"/>
  <c r="Y94" i="10" s="1"/>
  <c r="X95" i="10"/>
  <c r="Y95" i="10" s="1"/>
  <c r="X96" i="10"/>
  <c r="Y96" i="10" s="1"/>
  <c r="X97" i="10"/>
  <c r="Y97" i="10" s="1"/>
  <c r="X98" i="10"/>
  <c r="Y98" i="10" s="1"/>
  <c r="X99" i="10"/>
  <c r="Y99" i="10" s="1"/>
  <c r="X100" i="10"/>
  <c r="Y100" i="10" s="1"/>
  <c r="X101" i="10"/>
  <c r="Y101" i="10" s="1"/>
  <c r="X102" i="10"/>
  <c r="Y102" i="10" s="1"/>
  <c r="X103" i="10"/>
  <c r="Y103" i="10" s="1"/>
  <c r="X104" i="10"/>
  <c r="Y104" i="10" s="1"/>
  <c r="X105" i="10"/>
  <c r="Y105" i="10" s="1"/>
  <c r="X106" i="10"/>
  <c r="Y106" i="10" s="1"/>
  <c r="X107" i="10"/>
  <c r="Y107" i="10" s="1"/>
  <c r="X108" i="10"/>
  <c r="Y108" i="10" s="1"/>
  <c r="X109" i="10"/>
  <c r="Y109" i="10" s="1"/>
  <c r="X110" i="10"/>
  <c r="Y110" i="10" s="1"/>
  <c r="X111" i="10"/>
  <c r="Y111" i="10" s="1"/>
  <c r="X112" i="10"/>
  <c r="Y112" i="10" s="1"/>
  <c r="X113" i="10"/>
  <c r="Y113" i="10" s="1"/>
  <c r="X114" i="10"/>
  <c r="Y114" i="10" s="1"/>
  <c r="X115" i="10"/>
  <c r="Y115" i="10" s="1"/>
  <c r="X116" i="10"/>
  <c r="Y116" i="10" s="1"/>
  <c r="X117" i="10"/>
  <c r="Y117" i="10" s="1"/>
  <c r="X118" i="10"/>
  <c r="Y118" i="10" s="1"/>
  <c r="X119" i="10"/>
  <c r="Y119" i="10" s="1"/>
  <c r="X120" i="10"/>
  <c r="Y120" i="10" s="1"/>
  <c r="X121" i="10"/>
  <c r="Y121" i="10" s="1"/>
  <c r="X122" i="10"/>
  <c r="Y122" i="10" s="1"/>
  <c r="X123" i="10"/>
  <c r="Y123" i="10" s="1"/>
  <c r="X124" i="10"/>
  <c r="Y124" i="10" s="1"/>
  <c r="X125" i="10"/>
  <c r="Y125" i="10" s="1"/>
  <c r="X126" i="10"/>
  <c r="Y126" i="10" s="1"/>
  <c r="X127" i="10"/>
  <c r="Y127" i="10" s="1"/>
  <c r="X128" i="10"/>
  <c r="Y128" i="10" s="1"/>
  <c r="X129" i="10"/>
  <c r="Y129" i="10" s="1"/>
  <c r="X130" i="10"/>
  <c r="Y130" i="10" s="1"/>
  <c r="X131" i="10"/>
  <c r="Y131" i="10" s="1"/>
  <c r="X132" i="10"/>
  <c r="Y132" i="10" s="1"/>
  <c r="X133" i="10"/>
  <c r="Y133" i="10" s="1"/>
  <c r="X134" i="10"/>
  <c r="Y134" i="10" s="1"/>
  <c r="X135" i="10"/>
  <c r="Y135" i="10" s="1"/>
  <c r="X136" i="10"/>
  <c r="Y136" i="10" s="1"/>
  <c r="X137" i="10"/>
  <c r="Y137" i="10" s="1"/>
  <c r="X138" i="10"/>
  <c r="Y138" i="10" s="1"/>
  <c r="X139" i="10"/>
  <c r="Y139" i="10" s="1"/>
  <c r="X140" i="10"/>
  <c r="Y140" i="10" s="1"/>
  <c r="X141" i="10"/>
  <c r="Y141" i="10" s="1"/>
  <c r="X142" i="10"/>
  <c r="Y142" i="10" s="1"/>
  <c r="X143" i="10"/>
  <c r="Y143" i="10" s="1"/>
  <c r="X144" i="10"/>
  <c r="Y144" i="10" s="1"/>
  <c r="X145" i="10"/>
  <c r="Y145" i="10" s="1"/>
  <c r="X146" i="10"/>
  <c r="Y146" i="10" s="1"/>
  <c r="X147" i="10"/>
  <c r="Y147" i="10" s="1"/>
  <c r="X148" i="10"/>
  <c r="Y148" i="10" s="1"/>
  <c r="X149" i="10"/>
  <c r="Y149" i="10" s="1"/>
  <c r="X150" i="10"/>
  <c r="Y150" i="10" s="1"/>
  <c r="X151" i="10"/>
  <c r="Y151" i="10" s="1"/>
  <c r="X152" i="10"/>
  <c r="Y152" i="10" s="1"/>
  <c r="X153" i="10"/>
  <c r="Y153" i="10" s="1"/>
  <c r="X154" i="10"/>
  <c r="Y154" i="10" s="1"/>
  <c r="X155" i="10"/>
  <c r="Y155" i="10" s="1"/>
  <c r="X156" i="10"/>
  <c r="Y156" i="10" s="1"/>
  <c r="X157" i="10"/>
  <c r="Y157" i="10" s="1"/>
  <c r="X158" i="10"/>
  <c r="Y158" i="10" s="1"/>
  <c r="X159" i="10"/>
  <c r="Y159" i="10" s="1"/>
  <c r="X160" i="10"/>
  <c r="Y160" i="10" s="1"/>
  <c r="X161" i="10"/>
  <c r="Y161" i="10" s="1"/>
  <c r="X162" i="10"/>
  <c r="Y162" i="10" s="1"/>
  <c r="X163" i="10"/>
  <c r="Y163" i="10" s="1"/>
  <c r="X164" i="10"/>
  <c r="Y164" i="10" s="1"/>
  <c r="X165" i="10"/>
  <c r="Y165" i="10" s="1"/>
  <c r="X166" i="10"/>
  <c r="Y166" i="10" s="1"/>
  <c r="X167" i="10"/>
  <c r="Y167" i="10" s="1"/>
  <c r="X168" i="10"/>
  <c r="Y168" i="10" s="1"/>
  <c r="X169" i="10"/>
  <c r="Y169" i="10" s="1"/>
  <c r="X170" i="10"/>
  <c r="Y170" i="10" s="1"/>
  <c r="X171" i="10"/>
  <c r="Y171" i="10" s="1"/>
  <c r="X172" i="10"/>
  <c r="Y172" i="10" s="1"/>
  <c r="X173" i="10"/>
  <c r="Y173" i="10" s="1"/>
  <c r="X174" i="10"/>
  <c r="Y174" i="10" s="1"/>
  <c r="X175" i="10"/>
  <c r="Y175" i="10" s="1"/>
  <c r="X176" i="10"/>
  <c r="Y176" i="10" s="1"/>
  <c r="X177" i="10"/>
  <c r="Y177" i="10" s="1"/>
  <c r="X178" i="10"/>
  <c r="Y178" i="10" s="1"/>
  <c r="X179" i="10"/>
  <c r="Y179" i="10" s="1"/>
  <c r="X180" i="10"/>
  <c r="Y180" i="10" s="1"/>
  <c r="X181" i="10"/>
  <c r="Y181" i="10" s="1"/>
  <c r="X182" i="10"/>
  <c r="Y182" i="10" s="1"/>
  <c r="X183" i="10"/>
  <c r="Y183" i="10" s="1"/>
  <c r="X184" i="10"/>
  <c r="Y184" i="10" s="1"/>
  <c r="X185" i="10"/>
  <c r="Y185" i="10" s="1"/>
  <c r="X186" i="10"/>
  <c r="Y186" i="10" s="1"/>
  <c r="X187" i="10"/>
  <c r="Y187" i="10" s="1"/>
  <c r="X188" i="10"/>
  <c r="Y188" i="10" s="1"/>
  <c r="X189" i="10"/>
  <c r="Y189" i="10" s="1"/>
  <c r="X190" i="10"/>
  <c r="Y190" i="10" s="1"/>
  <c r="X191" i="10"/>
  <c r="Y191" i="10" s="1"/>
  <c r="X192" i="10"/>
  <c r="Y192" i="10" s="1"/>
  <c r="X193" i="10"/>
  <c r="Y193" i="10" s="1"/>
  <c r="X194" i="10"/>
  <c r="Y194" i="10" s="1"/>
  <c r="X195" i="10"/>
  <c r="Y195" i="10" s="1"/>
  <c r="X196" i="10"/>
  <c r="Y196" i="10" s="1"/>
  <c r="X197" i="10"/>
  <c r="Y197" i="10" s="1"/>
  <c r="X198" i="10"/>
  <c r="Y198" i="10" s="1"/>
  <c r="X199" i="10"/>
  <c r="Y199" i="10" s="1"/>
  <c r="X200" i="10"/>
  <c r="Y200" i="10" s="1"/>
  <c r="X201" i="10"/>
  <c r="Y201" i="10" s="1"/>
  <c r="X202" i="10"/>
  <c r="Y202" i="10" s="1"/>
  <c r="X203" i="10"/>
  <c r="Y203" i="10" s="1"/>
  <c r="X204" i="10"/>
  <c r="Y204" i="10" s="1"/>
  <c r="X205" i="10"/>
  <c r="Y205" i="10" s="1"/>
  <c r="X206" i="10"/>
  <c r="Y206" i="10" s="1"/>
  <c r="X207" i="10"/>
  <c r="Y207" i="10" s="1"/>
  <c r="X208" i="10"/>
  <c r="Y208" i="10" s="1"/>
  <c r="X209" i="10"/>
  <c r="Y209" i="10" s="1"/>
  <c r="X210" i="10"/>
  <c r="Y210" i="10" s="1"/>
  <c r="X211" i="10"/>
  <c r="Y211" i="10" s="1"/>
  <c r="X212" i="10"/>
  <c r="Y212" i="10" s="1"/>
  <c r="X213" i="10"/>
  <c r="Y213" i="10" s="1"/>
  <c r="X214" i="10"/>
  <c r="Y214" i="10" s="1"/>
  <c r="X215" i="10"/>
  <c r="Y215" i="10" s="1"/>
  <c r="X216" i="10"/>
  <c r="Y216" i="10" s="1"/>
  <c r="X217" i="10"/>
  <c r="Y217" i="10" s="1"/>
  <c r="X218" i="10"/>
  <c r="Y218" i="10" s="1"/>
  <c r="X219" i="10"/>
  <c r="Y219" i="10" s="1"/>
  <c r="X220" i="10"/>
  <c r="Y220" i="10" s="1"/>
  <c r="X221" i="10"/>
  <c r="Y221" i="10" s="1"/>
  <c r="X222" i="10"/>
  <c r="Y222" i="10" s="1"/>
  <c r="X223" i="10"/>
  <c r="Y223" i="10" s="1"/>
  <c r="X224" i="10"/>
  <c r="Y224" i="10" s="1"/>
  <c r="X225" i="10"/>
  <c r="Y225" i="10" s="1"/>
  <c r="X226" i="10"/>
  <c r="Y226" i="10" s="1"/>
  <c r="X227" i="10"/>
  <c r="Y227" i="10" s="1"/>
  <c r="X228" i="10"/>
  <c r="Y228" i="10" s="1"/>
  <c r="X229" i="10"/>
  <c r="Y229" i="10" s="1"/>
  <c r="X230" i="10"/>
  <c r="Y230" i="10" s="1"/>
  <c r="X231" i="10"/>
  <c r="Y231" i="10" s="1"/>
  <c r="X232" i="10"/>
  <c r="Y232" i="10" s="1"/>
  <c r="X233" i="10"/>
  <c r="Y233" i="10" s="1"/>
  <c r="X234" i="10"/>
  <c r="Y234" i="10" s="1"/>
  <c r="X235" i="10"/>
  <c r="Y235" i="10" s="1"/>
  <c r="X236" i="10"/>
  <c r="Y236" i="10" s="1"/>
  <c r="X237" i="10"/>
  <c r="Y237" i="10" s="1"/>
  <c r="X238" i="10"/>
  <c r="Y238" i="10" s="1"/>
  <c r="X239" i="10"/>
  <c r="Y239" i="10" s="1"/>
  <c r="X240" i="10"/>
  <c r="Y240" i="10" s="1"/>
  <c r="X241" i="10"/>
  <c r="Y241" i="10" s="1"/>
  <c r="X242" i="10"/>
  <c r="Y242" i="10" s="1"/>
  <c r="X243" i="10"/>
  <c r="Y243" i="10" s="1"/>
  <c r="X244" i="10"/>
  <c r="Y244" i="10" s="1"/>
  <c r="X245" i="10"/>
  <c r="Y245" i="10" s="1"/>
  <c r="X246" i="10"/>
  <c r="Y246" i="10" s="1"/>
  <c r="X247" i="10"/>
  <c r="Y247" i="10" s="1"/>
  <c r="X248" i="10"/>
  <c r="Y248" i="10" s="1"/>
  <c r="X249" i="10"/>
  <c r="Y249" i="10" s="1"/>
  <c r="X250" i="10"/>
  <c r="Y250" i="10" s="1"/>
  <c r="X251" i="10"/>
  <c r="Y251" i="10" s="1"/>
  <c r="X252" i="10"/>
  <c r="Y252" i="10" s="1"/>
  <c r="X253" i="10"/>
  <c r="Y253" i="10" s="1"/>
  <c r="X254" i="10"/>
  <c r="Y254" i="10" s="1"/>
  <c r="X255" i="10"/>
  <c r="Y255" i="10" s="1"/>
  <c r="X256" i="10"/>
  <c r="Y256" i="10" s="1"/>
  <c r="X257" i="10"/>
  <c r="Y257" i="10" s="1"/>
  <c r="X258" i="10"/>
  <c r="Y258" i="10" s="1"/>
  <c r="X259" i="10"/>
  <c r="Y259" i="10" s="1"/>
  <c r="X260" i="10"/>
  <c r="Y260" i="10" s="1"/>
  <c r="X261" i="10"/>
  <c r="Y261" i="10" s="1"/>
  <c r="X262" i="10"/>
  <c r="Y262" i="10" s="1"/>
  <c r="X263" i="10"/>
  <c r="Y263" i="10" s="1"/>
  <c r="X264" i="10"/>
  <c r="Y264" i="10" s="1"/>
  <c r="X265" i="10"/>
  <c r="Y265" i="10" s="1"/>
  <c r="X266" i="10"/>
  <c r="Y266" i="10" s="1"/>
  <c r="X267" i="10"/>
  <c r="Y267" i="10" s="1"/>
  <c r="X268" i="10"/>
  <c r="Y268" i="10" s="1"/>
  <c r="X269" i="10"/>
  <c r="Y269" i="10" s="1"/>
  <c r="X270" i="10"/>
  <c r="Y270" i="10" s="1"/>
  <c r="X271" i="10"/>
  <c r="Y271" i="10" s="1"/>
  <c r="X272" i="10"/>
  <c r="Y272" i="10" s="1"/>
  <c r="X273" i="10"/>
  <c r="Y273" i="10" s="1"/>
  <c r="X274" i="10"/>
  <c r="Y274" i="10" s="1"/>
  <c r="X275" i="10"/>
  <c r="Y275" i="10" s="1"/>
  <c r="X276" i="10"/>
  <c r="Y276" i="10" s="1"/>
  <c r="X277" i="10"/>
  <c r="Y277" i="10" s="1"/>
  <c r="X278" i="10"/>
  <c r="Y278" i="10" s="1"/>
  <c r="X279" i="10"/>
  <c r="Y279" i="10" s="1"/>
  <c r="X280" i="10"/>
  <c r="Y280" i="10" s="1"/>
  <c r="X281" i="10"/>
  <c r="Y281" i="10" s="1"/>
  <c r="X282" i="10"/>
  <c r="Y282" i="10" s="1"/>
  <c r="X283" i="10"/>
  <c r="Y283" i="10" s="1"/>
  <c r="X284" i="10"/>
  <c r="Y284" i="10" s="1"/>
  <c r="X285" i="10"/>
  <c r="Y285" i="10" s="1"/>
  <c r="X286" i="10"/>
  <c r="Y286" i="10" s="1"/>
  <c r="X287" i="10"/>
  <c r="Y287" i="10" s="1"/>
  <c r="X288" i="10"/>
  <c r="Y288" i="10" s="1"/>
  <c r="X289" i="10"/>
  <c r="Y289" i="10" s="1"/>
  <c r="X290" i="10"/>
  <c r="Y290" i="10" s="1"/>
  <c r="X291" i="10"/>
  <c r="Y291" i="10" s="1"/>
  <c r="X292" i="10"/>
  <c r="Y292" i="10" s="1"/>
  <c r="X293" i="10"/>
  <c r="Y293" i="10" s="1"/>
  <c r="X294" i="10"/>
  <c r="Y294" i="10" s="1"/>
  <c r="X295" i="10"/>
  <c r="Y295" i="10" s="1"/>
  <c r="X296" i="10"/>
  <c r="Y296" i="10" s="1"/>
  <c r="X297" i="10"/>
  <c r="Y297" i="10" s="1"/>
  <c r="X298" i="10"/>
  <c r="Y298" i="10" s="1"/>
  <c r="X299" i="10"/>
  <c r="Y299" i="10" s="1"/>
  <c r="X300" i="10"/>
  <c r="Y300" i="10" s="1"/>
  <c r="X301" i="10"/>
  <c r="Y301" i="10" s="1"/>
  <c r="X302" i="10"/>
  <c r="Y302" i="10" s="1"/>
  <c r="X303" i="10"/>
  <c r="Y303" i="10" s="1"/>
  <c r="X304" i="10"/>
  <c r="Y304" i="10" s="1"/>
  <c r="X305" i="10"/>
  <c r="Y305" i="10" s="1"/>
  <c r="X306" i="10"/>
  <c r="Y306" i="10" s="1"/>
  <c r="X307" i="10"/>
  <c r="Y307" i="10" s="1"/>
  <c r="X308" i="10"/>
  <c r="Y308" i="10" s="1"/>
  <c r="X309" i="10"/>
  <c r="Y309" i="10" s="1"/>
  <c r="X310" i="10"/>
  <c r="Y310" i="10" s="1"/>
  <c r="X311" i="10"/>
  <c r="Y311" i="10" s="1"/>
  <c r="X312" i="10"/>
  <c r="Y312" i="10" s="1"/>
  <c r="X313" i="10"/>
  <c r="Y313" i="10" s="1"/>
  <c r="X314" i="10"/>
  <c r="Y314" i="10" s="1"/>
  <c r="X315" i="10"/>
  <c r="Y315" i="10" s="1"/>
  <c r="X316" i="10"/>
  <c r="Y316" i="10" s="1"/>
  <c r="X317" i="10"/>
  <c r="Y317" i="10" s="1"/>
  <c r="X318" i="10"/>
  <c r="Y318" i="10" s="1"/>
  <c r="X319" i="10"/>
  <c r="Y319" i="10" s="1"/>
  <c r="X320" i="10"/>
  <c r="Y320" i="10" s="1"/>
  <c r="X321" i="10"/>
  <c r="Y321" i="10" s="1"/>
  <c r="X322" i="10"/>
  <c r="Y322" i="10" s="1"/>
  <c r="X323" i="10"/>
  <c r="Y323" i="10" s="1"/>
  <c r="X324" i="10"/>
  <c r="Y324" i="10" s="1"/>
  <c r="X325" i="10"/>
  <c r="Y325" i="10" s="1"/>
  <c r="X326" i="10"/>
  <c r="Y326" i="10" s="1"/>
  <c r="X327" i="10"/>
  <c r="Y327" i="10" s="1"/>
  <c r="X328" i="10"/>
  <c r="Y328" i="10" s="1"/>
  <c r="X329" i="10"/>
  <c r="Y329" i="10" s="1"/>
  <c r="X330" i="10"/>
  <c r="Y330" i="10" s="1"/>
  <c r="X331" i="10"/>
  <c r="Y331" i="10" s="1"/>
  <c r="X332" i="10"/>
  <c r="Y332" i="10" s="1"/>
  <c r="X333" i="10"/>
  <c r="Y333" i="10" s="1"/>
  <c r="X334" i="10"/>
  <c r="Y334" i="10" s="1"/>
  <c r="X335" i="10"/>
  <c r="Y335" i="10" s="1"/>
  <c r="X336" i="10"/>
  <c r="Y336" i="10" s="1"/>
  <c r="X337" i="10"/>
  <c r="Y337" i="10" s="1"/>
  <c r="X338" i="10"/>
  <c r="Y338" i="10" s="1"/>
  <c r="X339" i="10"/>
  <c r="Y339" i="10" s="1"/>
  <c r="X340" i="10"/>
  <c r="Y340" i="10" s="1"/>
  <c r="X341" i="10"/>
  <c r="Y341" i="10" s="1"/>
  <c r="X342" i="10"/>
  <c r="Y342" i="10" s="1"/>
  <c r="X343" i="10"/>
  <c r="Y343" i="10" s="1"/>
  <c r="X344" i="10"/>
  <c r="Y344" i="10" s="1"/>
  <c r="X345" i="10"/>
  <c r="Y345" i="10" s="1"/>
  <c r="X346" i="10"/>
  <c r="Y346" i="10" s="1"/>
  <c r="X347" i="10"/>
  <c r="Y347" i="10" s="1"/>
  <c r="X348" i="10"/>
  <c r="Y348" i="10" s="1"/>
  <c r="X349" i="10"/>
  <c r="Y349" i="10" s="1"/>
  <c r="X350" i="10"/>
  <c r="Y350" i="10" s="1"/>
  <c r="X351" i="10"/>
  <c r="Y351" i="10" s="1"/>
  <c r="X352" i="10"/>
  <c r="Y352" i="10" s="1"/>
  <c r="X353" i="10"/>
  <c r="Y353" i="10" s="1"/>
  <c r="X354" i="10"/>
  <c r="Y354" i="10" s="1"/>
  <c r="X355" i="10"/>
  <c r="Y355" i="10" s="1"/>
  <c r="X356" i="10"/>
  <c r="Y356" i="10" s="1"/>
  <c r="X357" i="10"/>
  <c r="Y357" i="10" s="1"/>
  <c r="X358" i="10"/>
  <c r="Y358" i="10" s="1"/>
  <c r="X359" i="10"/>
  <c r="Y359" i="10" s="1"/>
  <c r="X360" i="10"/>
  <c r="Y360" i="10" s="1"/>
  <c r="X361" i="10"/>
  <c r="Y361" i="10" s="1"/>
  <c r="X362" i="10"/>
  <c r="Y362" i="10" s="1"/>
  <c r="X363" i="10"/>
  <c r="Y363" i="10" s="1"/>
  <c r="X364" i="10"/>
  <c r="Y364" i="10" s="1"/>
  <c r="X365" i="10"/>
  <c r="Y365" i="10" s="1"/>
  <c r="X366" i="10"/>
  <c r="Y366" i="10" s="1"/>
  <c r="X367" i="10"/>
  <c r="Y367" i="10" s="1"/>
  <c r="X368" i="10"/>
  <c r="Y368" i="10" s="1"/>
  <c r="X369" i="10"/>
  <c r="Y369" i="10" s="1"/>
  <c r="X370" i="10"/>
  <c r="Y370" i="10" s="1"/>
  <c r="X371" i="10"/>
  <c r="Y371" i="10" s="1"/>
  <c r="X372" i="10"/>
  <c r="Y372" i="10" s="1"/>
  <c r="X373" i="10"/>
  <c r="Y373" i="10" s="1"/>
  <c r="X374" i="10"/>
  <c r="Y374" i="10" s="1"/>
  <c r="X375" i="10"/>
  <c r="Y375" i="10" s="1"/>
  <c r="X376" i="10"/>
  <c r="Y376" i="10" s="1"/>
  <c r="X377" i="10"/>
  <c r="Y377" i="10" s="1"/>
  <c r="X378" i="10"/>
  <c r="Y378" i="10" s="1"/>
  <c r="X379" i="10"/>
  <c r="Y379" i="10" s="1"/>
  <c r="X380" i="10"/>
  <c r="Y380" i="10" s="1"/>
  <c r="X381" i="10"/>
  <c r="Y381" i="10" s="1"/>
  <c r="X382" i="10"/>
  <c r="Y382" i="10" s="1"/>
  <c r="X383" i="10"/>
  <c r="Y383" i="10" s="1"/>
  <c r="X384" i="10"/>
  <c r="Y384" i="10" s="1"/>
  <c r="X385" i="10"/>
  <c r="Y385" i="10" s="1"/>
  <c r="X386" i="10"/>
  <c r="Y386" i="10" s="1"/>
  <c r="X387" i="10"/>
  <c r="Y387" i="10" s="1"/>
  <c r="X388" i="10"/>
  <c r="Y388" i="10" s="1"/>
  <c r="X389" i="10"/>
  <c r="Y389" i="10" s="1"/>
  <c r="X390" i="10"/>
  <c r="Y390" i="10" s="1"/>
  <c r="X391" i="10"/>
  <c r="Y391" i="10" s="1"/>
  <c r="X392" i="10"/>
  <c r="Y392" i="10" s="1"/>
  <c r="X393" i="10"/>
  <c r="Y393" i="10" s="1"/>
  <c r="X394" i="10"/>
  <c r="Y394" i="10" s="1"/>
  <c r="X395" i="10"/>
  <c r="Y395" i="10" s="1"/>
  <c r="X396" i="10"/>
  <c r="Y396" i="10" s="1"/>
  <c r="X397" i="10"/>
  <c r="Y397" i="10" s="1"/>
  <c r="X398" i="10"/>
  <c r="Y398" i="10" s="1"/>
  <c r="X399" i="10"/>
  <c r="Y399" i="10" s="1"/>
  <c r="X400" i="10"/>
  <c r="Y400" i="10" s="1"/>
  <c r="X401" i="10"/>
  <c r="Y401" i="10" s="1"/>
  <c r="X402" i="10"/>
  <c r="Y402" i="10" s="1"/>
  <c r="X403" i="10"/>
  <c r="Y403" i="10" s="1"/>
  <c r="X404" i="10"/>
  <c r="Y404" i="10" s="1"/>
  <c r="X405" i="10"/>
  <c r="Y405" i="10" s="1"/>
  <c r="X406" i="10"/>
  <c r="Y406" i="10" s="1"/>
  <c r="X407" i="10"/>
  <c r="Y407" i="10" s="1"/>
  <c r="X408" i="10"/>
  <c r="Y408" i="10" s="1"/>
  <c r="X409" i="10"/>
  <c r="Y409" i="10" s="1"/>
  <c r="X410" i="10"/>
  <c r="Y410" i="10" s="1"/>
  <c r="X411" i="10"/>
  <c r="Y411" i="10" s="1"/>
  <c r="X412" i="10"/>
  <c r="Y412" i="10" s="1"/>
  <c r="X413" i="10"/>
  <c r="Y413" i="10" s="1"/>
  <c r="X414" i="10"/>
  <c r="Y414" i="10" s="1"/>
  <c r="X415" i="10"/>
  <c r="Y415" i="10" s="1"/>
  <c r="X416" i="10"/>
  <c r="Y416" i="10" s="1"/>
  <c r="X417" i="10"/>
  <c r="Y417" i="10" s="1"/>
  <c r="X418" i="10"/>
  <c r="Y418" i="10" s="1"/>
  <c r="X419" i="10"/>
  <c r="Y419" i="10" s="1"/>
  <c r="X420" i="10"/>
  <c r="Y420" i="10" s="1"/>
  <c r="X421" i="10"/>
  <c r="Y421" i="10" s="1"/>
  <c r="X422" i="10"/>
  <c r="Y422" i="10" s="1"/>
  <c r="X423" i="10"/>
  <c r="Y423" i="10" s="1"/>
  <c r="X424" i="10"/>
  <c r="Y424" i="10" s="1"/>
  <c r="X425" i="10"/>
  <c r="Y425" i="10" s="1"/>
  <c r="X426" i="10"/>
  <c r="Y426" i="10" s="1"/>
  <c r="X427" i="10"/>
  <c r="Y427" i="10" s="1"/>
  <c r="X428" i="10"/>
  <c r="Y428" i="10" s="1"/>
  <c r="X429" i="10"/>
  <c r="Y429" i="10" s="1"/>
  <c r="X430" i="10"/>
  <c r="Y430" i="10" s="1"/>
  <c r="X431" i="10"/>
  <c r="Y431" i="10" s="1"/>
  <c r="X432" i="10"/>
  <c r="Y432" i="10" s="1"/>
  <c r="X433" i="10"/>
  <c r="Y433" i="10" s="1"/>
  <c r="X434" i="10"/>
  <c r="Y434" i="10" s="1"/>
  <c r="X435" i="10"/>
  <c r="Y435" i="10" s="1"/>
  <c r="X436" i="10"/>
  <c r="Y436" i="10" s="1"/>
  <c r="X437" i="10"/>
  <c r="Y437" i="10" s="1"/>
  <c r="X438" i="10"/>
  <c r="Y438" i="10" s="1"/>
  <c r="X439" i="10"/>
  <c r="Y439" i="10" s="1"/>
  <c r="X440" i="10"/>
  <c r="Y440" i="10" s="1"/>
  <c r="X441" i="10"/>
  <c r="Y441" i="10" s="1"/>
  <c r="X442" i="10"/>
  <c r="Y442" i="10" s="1"/>
  <c r="X443" i="10"/>
  <c r="Y443" i="10" s="1"/>
  <c r="X444" i="10"/>
  <c r="Y444" i="10" s="1"/>
  <c r="X445" i="10"/>
  <c r="Y445" i="10" s="1"/>
  <c r="X446" i="10"/>
  <c r="Y446" i="10" s="1"/>
  <c r="X447" i="10"/>
  <c r="Y447" i="10" s="1"/>
  <c r="X448" i="10"/>
  <c r="Y448" i="10" s="1"/>
  <c r="X449" i="10"/>
  <c r="Y449" i="10" s="1"/>
  <c r="X450" i="10"/>
  <c r="Y450" i="10" s="1"/>
  <c r="X451" i="10"/>
  <c r="Y451" i="10" s="1"/>
  <c r="X452" i="10"/>
  <c r="Y452" i="10" s="1"/>
  <c r="X453" i="10"/>
  <c r="Y453" i="10" s="1"/>
  <c r="X454" i="10"/>
  <c r="Y454" i="10" s="1"/>
  <c r="X455" i="10"/>
  <c r="Y455" i="10" s="1"/>
  <c r="X456" i="10"/>
  <c r="Y456" i="10" s="1"/>
  <c r="X457" i="10"/>
  <c r="Y457" i="10" s="1"/>
  <c r="X458" i="10"/>
  <c r="Y458" i="10" s="1"/>
  <c r="X459" i="10"/>
  <c r="Y459" i="10" s="1"/>
  <c r="X460" i="10"/>
  <c r="Y460" i="10" s="1"/>
  <c r="X461" i="10"/>
  <c r="Y461" i="10" s="1"/>
  <c r="X462" i="10"/>
  <c r="Y462" i="10" s="1"/>
  <c r="X463" i="10"/>
  <c r="Y463" i="10" s="1"/>
  <c r="X464" i="10"/>
  <c r="Y464" i="10" s="1"/>
  <c r="X465" i="10"/>
  <c r="Y465" i="10" s="1"/>
  <c r="X466" i="10"/>
  <c r="Y466" i="10" s="1"/>
  <c r="X467" i="10"/>
  <c r="Y467" i="10" s="1"/>
  <c r="X468" i="10"/>
  <c r="Y468" i="10" s="1"/>
  <c r="X469" i="10"/>
  <c r="Y469" i="10" s="1"/>
  <c r="X470" i="10"/>
  <c r="Y470" i="10" s="1"/>
  <c r="X471" i="10"/>
  <c r="Y471" i="10" s="1"/>
  <c r="X472" i="10"/>
  <c r="Y472" i="10" s="1"/>
  <c r="X473" i="10"/>
  <c r="Y473" i="10" s="1"/>
  <c r="X474" i="10"/>
  <c r="Y474" i="10" s="1"/>
  <c r="X475" i="10"/>
  <c r="Y475" i="10" s="1"/>
  <c r="X476" i="10"/>
  <c r="Y476" i="10" s="1"/>
  <c r="X477" i="10"/>
  <c r="Y477" i="10" s="1"/>
  <c r="X478" i="10"/>
  <c r="Y478" i="10" s="1"/>
  <c r="X479" i="10"/>
  <c r="Y479" i="10" s="1"/>
  <c r="X480" i="10"/>
  <c r="Y480" i="10" s="1"/>
  <c r="X481" i="10"/>
  <c r="Y481" i="10" s="1"/>
  <c r="X482" i="10"/>
  <c r="Y482" i="10" s="1"/>
  <c r="X483" i="10"/>
  <c r="Y483" i="10" s="1"/>
  <c r="X484" i="10"/>
  <c r="Y484" i="10" s="1"/>
  <c r="X485" i="10"/>
  <c r="Y485" i="10" s="1"/>
  <c r="X486" i="10"/>
  <c r="Y486" i="10" s="1"/>
  <c r="X487" i="10"/>
  <c r="Y487" i="10" s="1"/>
  <c r="X488" i="10"/>
  <c r="Y488" i="10" s="1"/>
  <c r="X489" i="10"/>
  <c r="Y489" i="10" s="1"/>
  <c r="X490" i="10"/>
  <c r="Y490" i="10" s="1"/>
  <c r="X491" i="10"/>
  <c r="Y491" i="10" s="1"/>
  <c r="X492" i="10"/>
  <c r="Y492" i="10" s="1"/>
  <c r="X493" i="10"/>
  <c r="Y493" i="10" s="1"/>
  <c r="X494" i="10"/>
  <c r="Y494" i="10" s="1"/>
  <c r="X495" i="10"/>
  <c r="Y495" i="10" s="1"/>
  <c r="X496" i="10"/>
  <c r="Y496" i="10" s="1"/>
  <c r="X497" i="10"/>
  <c r="Y497" i="10" s="1"/>
  <c r="X498" i="10"/>
  <c r="Y498" i="10" s="1"/>
  <c r="X499" i="10"/>
  <c r="Y499" i="10" s="1"/>
  <c r="X500" i="10"/>
  <c r="Y500" i="10" s="1"/>
  <c r="X501" i="10"/>
  <c r="Y501" i="10" s="1"/>
  <c r="X502" i="10"/>
  <c r="Y502" i="10" s="1"/>
  <c r="X503" i="10"/>
  <c r="Y503" i="10" s="1"/>
  <c r="X504" i="10"/>
  <c r="Y504" i="10" s="1"/>
  <c r="X505" i="10"/>
  <c r="Y505" i="10" s="1"/>
  <c r="X506" i="10"/>
  <c r="Y506" i="10" s="1"/>
  <c r="X507" i="10"/>
  <c r="Y507" i="10" s="1"/>
  <c r="X508" i="10"/>
  <c r="Y508" i="10" s="1"/>
  <c r="X509" i="10"/>
  <c r="Y509" i="10" s="1"/>
  <c r="X510" i="10"/>
  <c r="Y510" i="10" s="1"/>
  <c r="X511" i="10"/>
  <c r="Y511" i="10" s="1"/>
  <c r="X512" i="10"/>
  <c r="Y512" i="10" s="1"/>
  <c r="X513" i="10"/>
  <c r="Y513" i="10" s="1"/>
  <c r="X514" i="10"/>
  <c r="Y514" i="10" s="1"/>
  <c r="X515" i="10"/>
  <c r="Y515" i="10" s="1"/>
  <c r="X516" i="10"/>
  <c r="Y516" i="10" s="1"/>
  <c r="X517" i="10"/>
  <c r="Y517" i="10" s="1"/>
  <c r="X518" i="10"/>
  <c r="Y518" i="10" s="1"/>
  <c r="X519" i="10"/>
  <c r="Y519" i="10" s="1"/>
  <c r="X520" i="10"/>
  <c r="Y520" i="10" s="1"/>
  <c r="X521" i="10"/>
  <c r="Y521" i="10" s="1"/>
  <c r="X522" i="10"/>
  <c r="Y522" i="10" s="1"/>
  <c r="X523" i="10"/>
  <c r="Y523" i="10" s="1"/>
  <c r="X524" i="10"/>
  <c r="Y524" i="10" s="1"/>
  <c r="X525" i="10"/>
  <c r="Y525" i="10" s="1"/>
  <c r="X526" i="10"/>
  <c r="Y526" i="10" s="1"/>
  <c r="X527" i="10"/>
  <c r="Y527" i="10" s="1"/>
  <c r="X528" i="10"/>
  <c r="Y528" i="10" s="1"/>
  <c r="X529" i="10"/>
  <c r="Y529" i="10" s="1"/>
  <c r="X530" i="10"/>
  <c r="Y530" i="10" s="1"/>
  <c r="X531" i="10"/>
  <c r="Y531" i="10" s="1"/>
  <c r="X532" i="10"/>
  <c r="Y532" i="10" s="1"/>
  <c r="X533" i="10"/>
  <c r="Y533" i="10" s="1"/>
  <c r="X534" i="10"/>
  <c r="Y534" i="10" s="1"/>
  <c r="X535" i="10"/>
  <c r="Y535" i="10" s="1"/>
  <c r="X536" i="10"/>
  <c r="Y536" i="10" s="1"/>
  <c r="X537" i="10"/>
  <c r="Y537" i="10" s="1"/>
  <c r="X538" i="10"/>
  <c r="Y538" i="10" s="1"/>
  <c r="X539" i="10"/>
  <c r="Y539" i="10" s="1"/>
  <c r="X540" i="10"/>
  <c r="Y540" i="10" s="1"/>
  <c r="X541" i="10"/>
  <c r="Y541" i="10" s="1"/>
  <c r="X542" i="10"/>
  <c r="Y542" i="10" s="1"/>
  <c r="X543" i="10"/>
  <c r="Y543" i="10" s="1"/>
  <c r="X544" i="10"/>
  <c r="Y544" i="10" s="1"/>
  <c r="X545" i="10"/>
  <c r="Y545" i="10" s="1"/>
  <c r="X546" i="10"/>
  <c r="Y546" i="10" s="1"/>
  <c r="X547" i="10"/>
  <c r="Y547" i="10" s="1"/>
  <c r="X548" i="10"/>
  <c r="Y548" i="10" s="1"/>
  <c r="X549" i="10"/>
  <c r="Y549" i="10" s="1"/>
  <c r="X550" i="10"/>
  <c r="Y550" i="10" s="1"/>
  <c r="X551" i="10"/>
  <c r="Y551" i="10" s="1"/>
  <c r="X552" i="10"/>
  <c r="Y552" i="10" s="1"/>
  <c r="X553" i="10"/>
  <c r="Y553" i="10" s="1"/>
  <c r="X554" i="10"/>
  <c r="Y554" i="10" s="1"/>
  <c r="X555" i="10"/>
  <c r="Y555" i="10" s="1"/>
  <c r="X556" i="10"/>
  <c r="Y556" i="10" s="1"/>
  <c r="X557" i="10"/>
  <c r="Y557" i="10" s="1"/>
  <c r="X558" i="10"/>
  <c r="Y558" i="10" s="1"/>
  <c r="X559" i="10"/>
  <c r="Y559" i="10" s="1"/>
  <c r="X560" i="10"/>
  <c r="Y560" i="10" s="1"/>
  <c r="X561" i="10"/>
  <c r="Y561" i="10" s="1"/>
  <c r="X562" i="10"/>
  <c r="Y562" i="10" s="1"/>
  <c r="X563" i="10"/>
  <c r="Y563" i="10" s="1"/>
  <c r="X564" i="10"/>
  <c r="Y564" i="10" s="1"/>
  <c r="X565" i="10"/>
  <c r="Y565" i="10" s="1"/>
  <c r="X566" i="10"/>
  <c r="Y566" i="10" s="1"/>
  <c r="X567" i="10"/>
  <c r="Y567" i="10" s="1"/>
  <c r="X568" i="10"/>
  <c r="Y568" i="10" s="1"/>
  <c r="X569" i="10"/>
  <c r="Y569" i="10" s="1"/>
  <c r="X570" i="10"/>
  <c r="Y570" i="10" s="1"/>
  <c r="X571" i="10"/>
  <c r="Y571" i="10" s="1"/>
  <c r="X572" i="10"/>
  <c r="Y572" i="10" s="1"/>
  <c r="X573" i="10"/>
  <c r="Y573" i="10" s="1"/>
  <c r="X574" i="10"/>
  <c r="Y574" i="10" s="1"/>
  <c r="X575" i="10"/>
  <c r="Y575" i="10" s="1"/>
  <c r="X576" i="10"/>
  <c r="Y576" i="10" s="1"/>
  <c r="X577" i="10"/>
  <c r="Y577" i="10" s="1"/>
  <c r="X578" i="10"/>
  <c r="Y578" i="10" s="1"/>
  <c r="X579" i="10"/>
  <c r="Y579" i="10" s="1"/>
  <c r="X580" i="10"/>
  <c r="Y580" i="10" s="1"/>
  <c r="X581" i="10"/>
  <c r="Y581" i="10" s="1"/>
  <c r="X582" i="10"/>
  <c r="Y582" i="10" s="1"/>
  <c r="X583" i="10"/>
  <c r="Y583" i="10" s="1"/>
  <c r="X584" i="10"/>
  <c r="Y584" i="10" s="1"/>
  <c r="X585" i="10"/>
  <c r="Y585" i="10" s="1"/>
  <c r="X586" i="10"/>
  <c r="Y586" i="10" s="1"/>
  <c r="X587" i="10"/>
  <c r="Y587" i="10" s="1"/>
  <c r="X588" i="10"/>
  <c r="Y588" i="10" s="1"/>
  <c r="X589" i="10"/>
  <c r="Y589" i="10" s="1"/>
  <c r="X590" i="10"/>
  <c r="Y590" i="10" s="1"/>
  <c r="X591" i="10"/>
  <c r="Y591" i="10" s="1"/>
  <c r="X592" i="10"/>
  <c r="Y592" i="10" s="1"/>
  <c r="X593" i="10"/>
  <c r="Y593" i="10" s="1"/>
  <c r="X594" i="10"/>
  <c r="Y594" i="10" s="1"/>
  <c r="X595" i="10"/>
  <c r="Y595" i="10" s="1"/>
  <c r="X596" i="10"/>
  <c r="Y596" i="10" s="1"/>
  <c r="X597" i="10"/>
  <c r="Y597" i="10" s="1"/>
  <c r="X598" i="10"/>
  <c r="Y598" i="10" s="1"/>
  <c r="X599" i="10"/>
  <c r="Y599" i="10" s="1"/>
  <c r="X600" i="10"/>
  <c r="Y600" i="10" s="1"/>
  <c r="X601" i="10"/>
  <c r="Y601" i="10" s="1"/>
  <c r="X602" i="10"/>
  <c r="Y602" i="10" s="1"/>
  <c r="X603" i="10"/>
  <c r="Y603" i="10" s="1"/>
  <c r="X604" i="10"/>
  <c r="Y604" i="10" s="1"/>
  <c r="X605" i="10"/>
  <c r="Y605" i="10" s="1"/>
  <c r="X606" i="10"/>
  <c r="Y606" i="10" s="1"/>
  <c r="X607" i="10"/>
  <c r="Y607" i="10" s="1"/>
  <c r="X608" i="10"/>
  <c r="Y608" i="10" s="1"/>
  <c r="X609" i="10"/>
  <c r="Y609" i="10" s="1"/>
  <c r="X610" i="10"/>
  <c r="Y610" i="10" s="1"/>
  <c r="X611" i="10"/>
  <c r="Y611" i="10" s="1"/>
  <c r="X612" i="10"/>
  <c r="Y612" i="10" s="1"/>
  <c r="X613" i="10"/>
  <c r="Y613" i="10" s="1"/>
  <c r="X614" i="10"/>
  <c r="Y614" i="10" s="1"/>
  <c r="X615" i="10"/>
  <c r="Y615" i="10" s="1"/>
  <c r="X616" i="10"/>
  <c r="Y616" i="10" s="1"/>
  <c r="X617" i="10"/>
  <c r="Y617" i="10" s="1"/>
  <c r="X618" i="10"/>
  <c r="Y618" i="10" s="1"/>
  <c r="X619" i="10"/>
  <c r="Y619" i="10" s="1"/>
  <c r="X620" i="10"/>
  <c r="Y620" i="10" s="1"/>
  <c r="X621" i="10"/>
  <c r="Y621" i="10" s="1"/>
  <c r="X622" i="10"/>
  <c r="Y622" i="10" s="1"/>
  <c r="X623" i="10"/>
  <c r="Y623" i="10" s="1"/>
  <c r="X624" i="10"/>
  <c r="Y624" i="10" s="1"/>
  <c r="X625" i="10"/>
  <c r="Y625" i="10" s="1"/>
  <c r="X626" i="10"/>
  <c r="Y626" i="10" s="1"/>
  <c r="X627" i="10"/>
  <c r="Y627" i="10" s="1"/>
  <c r="X628" i="10"/>
  <c r="Y628" i="10" s="1"/>
  <c r="X629" i="10"/>
  <c r="Y629" i="10" s="1"/>
  <c r="X630" i="10"/>
  <c r="Y630" i="10" s="1"/>
  <c r="X631" i="10"/>
  <c r="Y631" i="10" s="1"/>
  <c r="X632" i="10"/>
  <c r="Y632" i="10" s="1"/>
  <c r="X633" i="10"/>
  <c r="Y633" i="10" s="1"/>
  <c r="X634" i="10"/>
  <c r="Y634" i="10" s="1"/>
  <c r="X635" i="10"/>
  <c r="Y635" i="10" s="1"/>
  <c r="X636" i="10"/>
  <c r="Y636" i="10" s="1"/>
  <c r="X637" i="10"/>
  <c r="Y637" i="10" s="1"/>
  <c r="X638" i="10"/>
  <c r="Y638" i="10" s="1"/>
  <c r="X639" i="10"/>
  <c r="Y639" i="10" s="1"/>
  <c r="X640" i="10"/>
  <c r="Y640" i="10" s="1"/>
  <c r="X641" i="10"/>
  <c r="Y641" i="10" s="1"/>
  <c r="X642" i="10"/>
  <c r="Y642" i="10" s="1"/>
  <c r="X643" i="10"/>
  <c r="Y643" i="10" s="1"/>
  <c r="X644" i="10"/>
  <c r="Y644" i="10" s="1"/>
  <c r="X645" i="10"/>
  <c r="Y645" i="10" s="1"/>
  <c r="X646" i="10"/>
  <c r="Y646" i="10" s="1"/>
  <c r="X647" i="10"/>
  <c r="Y647" i="10" s="1"/>
  <c r="X648" i="10"/>
  <c r="Y648" i="10" s="1"/>
  <c r="X649" i="10"/>
  <c r="Y649" i="10" s="1"/>
  <c r="X650" i="10"/>
  <c r="Y650" i="10" s="1"/>
  <c r="X651" i="10"/>
  <c r="Y651" i="10" s="1"/>
  <c r="X652" i="10"/>
  <c r="Y652" i="10" s="1"/>
  <c r="X653" i="10"/>
  <c r="Y653" i="10" s="1"/>
  <c r="X654" i="10"/>
  <c r="Y654" i="10" s="1"/>
  <c r="X655" i="10"/>
  <c r="Y655" i="10" s="1"/>
  <c r="X656" i="10"/>
  <c r="Y656" i="10" s="1"/>
  <c r="X657" i="10"/>
  <c r="Y657" i="10" s="1"/>
  <c r="X658" i="10"/>
  <c r="Y658" i="10" s="1"/>
  <c r="X659" i="10"/>
  <c r="Y659" i="10" s="1"/>
  <c r="X660" i="10"/>
  <c r="Y660" i="10" s="1"/>
  <c r="X661" i="10"/>
  <c r="Y661" i="10" s="1"/>
  <c r="X662" i="10"/>
  <c r="Y662" i="10" s="1"/>
  <c r="X663" i="10"/>
  <c r="Y663" i="10" s="1"/>
  <c r="X664" i="10"/>
  <c r="Y664" i="10" s="1"/>
  <c r="X665" i="10"/>
  <c r="Y665" i="10" s="1"/>
  <c r="X666" i="10"/>
  <c r="Y666" i="10" s="1"/>
  <c r="X667" i="10"/>
  <c r="Y667" i="10" s="1"/>
  <c r="X668" i="10"/>
  <c r="Y668" i="10" s="1"/>
  <c r="X669" i="10"/>
  <c r="Y669" i="10" s="1"/>
  <c r="X670" i="10"/>
  <c r="Y670" i="10" s="1"/>
  <c r="X671" i="10"/>
  <c r="Y671" i="10" s="1"/>
  <c r="X672" i="10"/>
  <c r="Y672" i="10" s="1"/>
  <c r="X673" i="10"/>
  <c r="Y673" i="10" s="1"/>
  <c r="X674" i="10"/>
  <c r="Y674" i="10" s="1"/>
  <c r="X675" i="10"/>
  <c r="Y675" i="10" s="1"/>
  <c r="X676" i="10"/>
  <c r="Y676" i="10" s="1"/>
  <c r="X677" i="10"/>
  <c r="Y677" i="10" s="1"/>
  <c r="X678" i="10"/>
  <c r="Y678" i="10" s="1"/>
  <c r="X679" i="10"/>
  <c r="Y679" i="10" s="1"/>
  <c r="X680" i="10"/>
  <c r="Y680" i="10" s="1"/>
  <c r="X681" i="10"/>
  <c r="Y681" i="10" s="1"/>
  <c r="X682" i="10"/>
  <c r="Y682" i="10" s="1"/>
  <c r="X683" i="10"/>
  <c r="Y683" i="10" s="1"/>
  <c r="X684" i="10"/>
  <c r="Y684" i="10" s="1"/>
  <c r="X685" i="10"/>
  <c r="Y685" i="10" s="1"/>
  <c r="X686" i="10"/>
  <c r="Y686" i="10" s="1"/>
  <c r="X687" i="10"/>
  <c r="Y687" i="10" s="1"/>
  <c r="X688" i="10"/>
  <c r="Y688" i="10" s="1"/>
  <c r="X689" i="10"/>
  <c r="Y689" i="10" s="1"/>
  <c r="X690" i="10"/>
  <c r="Y690" i="10" s="1"/>
  <c r="X691" i="10"/>
  <c r="Y691" i="10" s="1"/>
  <c r="X692" i="10"/>
  <c r="Y692" i="10" s="1"/>
  <c r="X693" i="10"/>
  <c r="Y693" i="10" s="1"/>
  <c r="X694" i="10"/>
  <c r="Y694" i="10" s="1"/>
  <c r="X695" i="10"/>
  <c r="Y695" i="10" s="1"/>
  <c r="X696" i="10"/>
  <c r="Y696" i="10" s="1"/>
  <c r="X697" i="10"/>
  <c r="Y697" i="10" s="1"/>
  <c r="X698" i="10"/>
  <c r="Y698" i="10" s="1"/>
  <c r="X699" i="10"/>
  <c r="Y699" i="10" s="1"/>
  <c r="X700" i="10"/>
  <c r="Y700" i="10" s="1"/>
  <c r="X701" i="10"/>
  <c r="Y701" i="10" s="1"/>
  <c r="X702" i="10"/>
  <c r="Y702" i="10" s="1"/>
  <c r="X703" i="10"/>
  <c r="Y703" i="10" s="1"/>
  <c r="X704" i="10"/>
  <c r="Y704" i="10" s="1"/>
  <c r="X705" i="10"/>
  <c r="Y705" i="10" s="1"/>
  <c r="X706" i="10"/>
  <c r="Y706" i="10" s="1"/>
  <c r="X707" i="10"/>
  <c r="Y707" i="10" s="1"/>
  <c r="X708" i="10"/>
  <c r="Y708" i="10" s="1"/>
  <c r="X709" i="10"/>
  <c r="Y709" i="10" s="1"/>
  <c r="X710" i="10"/>
  <c r="Y710" i="10" s="1"/>
  <c r="X711" i="10"/>
  <c r="Y711" i="10" s="1"/>
  <c r="X712" i="10"/>
  <c r="Y712" i="10" s="1"/>
  <c r="X713" i="10"/>
  <c r="Y713" i="10" s="1"/>
  <c r="X714" i="10"/>
  <c r="Y714" i="10" s="1"/>
  <c r="X715" i="10"/>
  <c r="Y715" i="10" s="1"/>
  <c r="X716" i="10"/>
  <c r="Y716" i="10" s="1"/>
  <c r="X717" i="10"/>
  <c r="Y717" i="10" s="1"/>
  <c r="X718" i="10"/>
  <c r="Y718" i="10" s="1"/>
  <c r="X719" i="10"/>
  <c r="Y719" i="10" s="1"/>
  <c r="X720" i="10"/>
  <c r="Y720" i="10" s="1"/>
  <c r="X721" i="10"/>
  <c r="Y721" i="10" s="1"/>
  <c r="X722" i="10"/>
  <c r="Y722" i="10" s="1"/>
  <c r="X723" i="10"/>
  <c r="Y723" i="10" s="1"/>
  <c r="X724" i="10"/>
  <c r="Y724" i="10" s="1"/>
  <c r="X725" i="10"/>
  <c r="Y725" i="10" s="1"/>
  <c r="X726" i="10"/>
  <c r="Y726" i="10" s="1"/>
  <c r="X727" i="10"/>
  <c r="Y727" i="10" s="1"/>
  <c r="X728" i="10"/>
  <c r="Y728" i="10" s="1"/>
  <c r="X729" i="10"/>
  <c r="Y729" i="10" s="1"/>
  <c r="X730" i="10"/>
  <c r="Y730" i="10" s="1"/>
  <c r="X731" i="10"/>
  <c r="Y731" i="10" s="1"/>
  <c r="X732" i="10"/>
  <c r="Y732" i="10" s="1"/>
  <c r="X733" i="10"/>
  <c r="Y733" i="10" s="1"/>
  <c r="X734" i="10"/>
  <c r="Y734" i="10" s="1"/>
  <c r="X735" i="10"/>
  <c r="Y735" i="10" s="1"/>
  <c r="X736" i="10"/>
  <c r="Y736" i="10" s="1"/>
  <c r="X737" i="10"/>
  <c r="Y737" i="10" s="1"/>
  <c r="X738" i="10"/>
  <c r="Y738" i="10" s="1"/>
  <c r="X739" i="10"/>
  <c r="Y739" i="10" s="1"/>
  <c r="X740" i="10"/>
  <c r="Y740" i="10" s="1"/>
  <c r="X741" i="10"/>
  <c r="Y741" i="10" s="1"/>
  <c r="X742" i="10"/>
  <c r="Y742" i="10" s="1"/>
  <c r="X743" i="10"/>
  <c r="Y743" i="10" s="1"/>
  <c r="X744" i="10"/>
  <c r="Y744" i="10" s="1"/>
  <c r="X745" i="10"/>
  <c r="Y745" i="10" s="1"/>
  <c r="X746" i="10"/>
  <c r="Y746" i="10" s="1"/>
  <c r="X747" i="10"/>
  <c r="Y747" i="10" s="1"/>
  <c r="X748" i="10"/>
  <c r="Y748" i="10" s="1"/>
  <c r="X749" i="10"/>
  <c r="Y749" i="10" s="1"/>
  <c r="X750" i="10"/>
  <c r="Y750" i="10" s="1"/>
  <c r="X751" i="10"/>
  <c r="Y751" i="10" s="1"/>
  <c r="X752" i="10"/>
  <c r="Y752" i="10" s="1"/>
  <c r="X753" i="10"/>
  <c r="Y753" i="10" s="1"/>
  <c r="X754" i="10"/>
  <c r="Y754" i="10" s="1"/>
  <c r="X755" i="10"/>
  <c r="Y755" i="10" s="1"/>
  <c r="X756" i="10"/>
  <c r="Y756" i="10" s="1"/>
  <c r="X757" i="10"/>
  <c r="Y757" i="10" s="1"/>
  <c r="X758" i="10"/>
  <c r="Y758" i="10" s="1"/>
  <c r="X759" i="10"/>
  <c r="Y759" i="10" s="1"/>
  <c r="X760" i="10"/>
  <c r="Y760" i="10" s="1"/>
  <c r="X761" i="10"/>
  <c r="Y761" i="10" s="1"/>
  <c r="X762" i="10"/>
  <c r="Y762" i="10" s="1"/>
  <c r="X763" i="10"/>
  <c r="Y763" i="10" s="1"/>
  <c r="X764" i="10"/>
  <c r="Y764" i="10" s="1"/>
  <c r="X765" i="10"/>
  <c r="Y765" i="10" s="1"/>
  <c r="X766" i="10"/>
  <c r="Y766" i="10" s="1"/>
  <c r="X767" i="10"/>
  <c r="Y767" i="10" s="1"/>
  <c r="X768" i="10"/>
  <c r="Y768" i="10" s="1"/>
  <c r="X769" i="10"/>
  <c r="Y769" i="10" s="1"/>
  <c r="X770" i="10"/>
  <c r="Y770" i="10" s="1"/>
  <c r="X771" i="10"/>
  <c r="Y771" i="10" s="1"/>
  <c r="X772" i="10"/>
  <c r="Y772" i="10" s="1"/>
  <c r="X773" i="10"/>
  <c r="Y773" i="10" s="1"/>
  <c r="X774" i="10"/>
  <c r="Y774" i="10" s="1"/>
  <c r="X775" i="10"/>
  <c r="Y775" i="10" s="1"/>
  <c r="X776" i="10"/>
  <c r="Y776" i="10" s="1"/>
  <c r="X777" i="10"/>
  <c r="Y777" i="10" s="1"/>
  <c r="X778" i="10"/>
  <c r="Y778" i="10" s="1"/>
  <c r="X779" i="10"/>
  <c r="Y779" i="10" s="1"/>
  <c r="X780" i="10"/>
  <c r="Y780" i="10" s="1"/>
  <c r="X781" i="10"/>
  <c r="Y781" i="10" s="1"/>
  <c r="X782" i="10"/>
  <c r="Y782" i="10" s="1"/>
  <c r="X783" i="10"/>
  <c r="Y783" i="10" s="1"/>
  <c r="X784" i="10"/>
  <c r="Y784" i="10" s="1"/>
  <c r="X785" i="10"/>
  <c r="Y785" i="10" s="1"/>
  <c r="X786" i="10"/>
  <c r="Y786" i="10" s="1"/>
  <c r="X787" i="10"/>
  <c r="Y787" i="10" s="1"/>
  <c r="X788" i="10"/>
  <c r="Y788" i="10" s="1"/>
  <c r="X789" i="10"/>
  <c r="Y789" i="10" s="1"/>
  <c r="X790" i="10"/>
  <c r="Y790" i="10" s="1"/>
  <c r="X791" i="10"/>
  <c r="Y791" i="10" s="1"/>
  <c r="X792" i="10"/>
  <c r="Y792" i="10" s="1"/>
  <c r="X793" i="10"/>
  <c r="Y793" i="10" s="1"/>
  <c r="X794" i="10"/>
  <c r="Y794" i="10" s="1"/>
  <c r="X795" i="10"/>
  <c r="Y795" i="10" s="1"/>
  <c r="X796" i="10"/>
  <c r="Y796" i="10" s="1"/>
  <c r="X797" i="10"/>
  <c r="Y797" i="10" s="1"/>
  <c r="X798" i="10"/>
  <c r="Y798" i="10" s="1"/>
  <c r="X799" i="10"/>
  <c r="Y799" i="10" s="1"/>
  <c r="X800" i="10"/>
  <c r="Y800" i="10" s="1"/>
  <c r="X801" i="10"/>
  <c r="Y801" i="10" s="1"/>
  <c r="X802" i="10"/>
  <c r="Y802" i="10" s="1"/>
  <c r="X803" i="10"/>
  <c r="Y803" i="10" s="1"/>
  <c r="X804" i="10"/>
  <c r="Y804" i="10" s="1"/>
  <c r="X805" i="10"/>
  <c r="Y805" i="10" s="1"/>
  <c r="X806" i="10"/>
  <c r="Y806" i="10" s="1"/>
  <c r="X807" i="10"/>
  <c r="Y807" i="10" s="1"/>
  <c r="X808" i="10"/>
  <c r="Y808" i="10" s="1"/>
  <c r="X809" i="10"/>
  <c r="Y809" i="10" s="1"/>
  <c r="X810" i="10"/>
  <c r="Y810" i="10" s="1"/>
  <c r="X811" i="10"/>
  <c r="Y811" i="10" s="1"/>
  <c r="X812" i="10"/>
  <c r="Y812" i="10" s="1"/>
  <c r="X813" i="10"/>
  <c r="Y813" i="10" s="1"/>
  <c r="X814" i="10"/>
  <c r="Y814" i="10" s="1"/>
  <c r="X815" i="10"/>
  <c r="Y815" i="10" s="1"/>
  <c r="X816" i="10"/>
  <c r="Y816" i="10" s="1"/>
  <c r="X817" i="10"/>
  <c r="Y817" i="10" s="1"/>
  <c r="X818" i="10"/>
  <c r="Y818" i="10" s="1"/>
  <c r="X819" i="10"/>
  <c r="Y819" i="10" s="1"/>
  <c r="X820" i="10"/>
  <c r="Y820" i="10" s="1"/>
  <c r="X821" i="10"/>
  <c r="Y821" i="10" s="1"/>
  <c r="X822" i="10"/>
  <c r="Y822" i="10" s="1"/>
  <c r="X823" i="10"/>
  <c r="Y823" i="10" s="1"/>
  <c r="X824" i="10"/>
  <c r="Y824" i="10" s="1"/>
  <c r="X825" i="10"/>
  <c r="Y825" i="10" s="1"/>
  <c r="X826" i="10"/>
  <c r="Y826" i="10" s="1"/>
  <c r="X827" i="10"/>
  <c r="Y827" i="10" s="1"/>
  <c r="X828" i="10"/>
  <c r="Y828" i="10" s="1"/>
  <c r="X829" i="10"/>
  <c r="Y829" i="10" s="1"/>
  <c r="X830" i="10"/>
  <c r="Y830" i="10" s="1"/>
  <c r="X831" i="10"/>
  <c r="Y831" i="10" s="1"/>
  <c r="X832" i="10"/>
  <c r="Y832" i="10" s="1"/>
  <c r="X833" i="10"/>
  <c r="Y833" i="10" s="1"/>
  <c r="X834" i="10"/>
  <c r="Y834" i="10" s="1"/>
  <c r="X835" i="10"/>
  <c r="Y835" i="10" s="1"/>
  <c r="X836" i="10"/>
  <c r="Y836" i="10" s="1"/>
  <c r="X837" i="10"/>
  <c r="Y837" i="10" s="1"/>
  <c r="X838" i="10"/>
  <c r="Y838" i="10" s="1"/>
  <c r="X839" i="10"/>
  <c r="Y839" i="10" s="1"/>
  <c r="X840" i="10"/>
  <c r="Y840" i="10" s="1"/>
  <c r="X841" i="10"/>
  <c r="Y841" i="10" s="1"/>
  <c r="X842" i="10"/>
  <c r="Y842" i="10" s="1"/>
  <c r="X843" i="10"/>
  <c r="Y843" i="10" s="1"/>
  <c r="X844" i="10"/>
  <c r="Y844" i="10" s="1"/>
  <c r="X845" i="10"/>
  <c r="Y845" i="10" s="1"/>
  <c r="X846" i="10"/>
  <c r="Y846" i="10" s="1"/>
  <c r="X847" i="10"/>
  <c r="Y847" i="10" s="1"/>
  <c r="X848" i="10"/>
  <c r="Y848" i="10" s="1"/>
  <c r="X849" i="10"/>
  <c r="Y849" i="10" s="1"/>
  <c r="X850" i="10"/>
  <c r="Y850" i="10" s="1"/>
  <c r="X851" i="10"/>
  <c r="Y851" i="10" s="1"/>
  <c r="X852" i="10"/>
  <c r="Y852" i="10" s="1"/>
  <c r="X853" i="10"/>
  <c r="Y853" i="10" s="1"/>
  <c r="X854" i="10"/>
  <c r="Y854" i="10" s="1"/>
  <c r="X855" i="10"/>
  <c r="Y855" i="10" s="1"/>
  <c r="X856" i="10"/>
  <c r="Y856" i="10" s="1"/>
  <c r="X857" i="10"/>
  <c r="Y857" i="10" s="1"/>
  <c r="X858" i="10"/>
  <c r="Y858" i="10" s="1"/>
  <c r="X859" i="10"/>
  <c r="Y859" i="10" s="1"/>
  <c r="X860" i="10"/>
  <c r="Y860" i="10" s="1"/>
  <c r="X861" i="10"/>
  <c r="Y861" i="10" s="1"/>
  <c r="X862" i="10"/>
  <c r="Y862" i="10" s="1"/>
  <c r="X863" i="10"/>
  <c r="Y863" i="10" s="1"/>
  <c r="X864" i="10"/>
  <c r="Y864" i="10" s="1"/>
  <c r="X865" i="10"/>
  <c r="Y865" i="10" s="1"/>
  <c r="X866" i="10"/>
  <c r="Y866" i="10" s="1"/>
  <c r="X867" i="10"/>
  <c r="Y867" i="10" s="1"/>
  <c r="X868" i="10"/>
  <c r="Y868" i="10" s="1"/>
  <c r="X869" i="10"/>
  <c r="Y869" i="10" s="1"/>
  <c r="X870" i="10"/>
  <c r="Y870" i="10" s="1"/>
  <c r="X871" i="10"/>
  <c r="Y871" i="10" s="1"/>
  <c r="X872" i="10"/>
  <c r="Y872" i="10" s="1"/>
  <c r="X873" i="10"/>
  <c r="Y873" i="10" s="1"/>
  <c r="X874" i="10"/>
  <c r="Y874" i="10" s="1"/>
  <c r="X875" i="10"/>
  <c r="Y875" i="10" s="1"/>
  <c r="X876" i="10"/>
  <c r="Y876" i="10" s="1"/>
  <c r="X877" i="10"/>
  <c r="Y877" i="10" s="1"/>
  <c r="X878" i="10"/>
  <c r="Y878" i="10" s="1"/>
  <c r="X879" i="10"/>
  <c r="Y879" i="10" s="1"/>
  <c r="X880" i="10"/>
  <c r="Y880" i="10" s="1"/>
  <c r="X881" i="10"/>
  <c r="Y881" i="10" s="1"/>
  <c r="X882" i="10"/>
  <c r="Y882" i="10" s="1"/>
  <c r="X883" i="10"/>
  <c r="Y883" i="10" s="1"/>
  <c r="X884" i="10"/>
  <c r="Y884" i="10" s="1"/>
  <c r="X885" i="10"/>
  <c r="Y885" i="10" s="1"/>
  <c r="X886" i="10"/>
  <c r="Y886" i="10" s="1"/>
  <c r="X887" i="10"/>
  <c r="Y887" i="10" s="1"/>
  <c r="X888" i="10"/>
  <c r="Y888" i="10" s="1"/>
  <c r="X889" i="10"/>
  <c r="Y889" i="10" s="1"/>
  <c r="X890" i="10"/>
  <c r="Y890" i="10" s="1"/>
  <c r="X891" i="10"/>
  <c r="Y891" i="10" s="1"/>
  <c r="X892" i="10"/>
  <c r="Y892" i="10" s="1"/>
  <c r="X893" i="10"/>
  <c r="Y893" i="10" s="1"/>
  <c r="X894" i="10"/>
  <c r="Y894" i="10" s="1"/>
  <c r="X895" i="10"/>
  <c r="Y895" i="10" s="1"/>
  <c r="X896" i="10"/>
  <c r="Y896" i="10" s="1"/>
  <c r="X897" i="10"/>
  <c r="Y897" i="10" s="1"/>
  <c r="X898" i="10"/>
  <c r="Y898" i="10" s="1"/>
  <c r="X899" i="10"/>
  <c r="Y899" i="10" s="1"/>
  <c r="X900" i="10"/>
  <c r="Y900" i="10" s="1"/>
  <c r="X901" i="10"/>
  <c r="Y901" i="10" s="1"/>
  <c r="X902" i="10"/>
  <c r="Y902" i="10" s="1"/>
  <c r="X903" i="10"/>
  <c r="Y903" i="10" s="1"/>
  <c r="X904" i="10"/>
  <c r="Y904" i="10" s="1"/>
  <c r="X905" i="10"/>
  <c r="Y905" i="10" s="1"/>
  <c r="X906" i="10"/>
  <c r="Y906" i="10" s="1"/>
  <c r="X907" i="10"/>
  <c r="Y907" i="10" s="1"/>
  <c r="X908" i="10"/>
  <c r="Y908" i="10" s="1"/>
  <c r="X909" i="10"/>
  <c r="Y909" i="10" s="1"/>
  <c r="X910" i="10"/>
  <c r="Y910" i="10" s="1"/>
  <c r="X911" i="10"/>
  <c r="Y911" i="10" s="1"/>
  <c r="X912" i="10"/>
  <c r="Y912" i="10" s="1"/>
  <c r="X913" i="10"/>
  <c r="Y913" i="10" s="1"/>
  <c r="X914" i="10"/>
  <c r="Y914" i="10" s="1"/>
  <c r="X915" i="10"/>
  <c r="Y915" i="10" s="1"/>
  <c r="X916" i="10"/>
  <c r="Y916" i="10" s="1"/>
  <c r="X917" i="10"/>
  <c r="Y917" i="10" s="1"/>
  <c r="X918" i="10"/>
  <c r="Y918" i="10" s="1"/>
  <c r="X919" i="10"/>
  <c r="Y919" i="10" s="1"/>
  <c r="X920" i="10"/>
  <c r="Y920" i="10" s="1"/>
  <c r="X921" i="10"/>
  <c r="Y921" i="10" s="1"/>
  <c r="X922" i="10"/>
  <c r="Y922" i="10" s="1"/>
  <c r="X923" i="10"/>
  <c r="Y923" i="10" s="1"/>
  <c r="X924" i="10"/>
  <c r="Y924" i="10" s="1"/>
  <c r="X925" i="10"/>
  <c r="Y925" i="10" s="1"/>
  <c r="X926" i="10"/>
  <c r="Y926" i="10" s="1"/>
  <c r="X927" i="10"/>
  <c r="Y927" i="10" s="1"/>
  <c r="X928" i="10"/>
  <c r="Y928" i="10" s="1"/>
  <c r="X929" i="10"/>
  <c r="Y929" i="10" s="1"/>
  <c r="X930" i="10"/>
  <c r="Y930" i="10" s="1"/>
  <c r="X931" i="10"/>
  <c r="Y931" i="10" s="1"/>
  <c r="X932" i="10"/>
  <c r="Y932" i="10" s="1"/>
  <c r="X933" i="10"/>
  <c r="Y933" i="10" s="1"/>
  <c r="X934" i="10"/>
  <c r="Y934" i="10" s="1"/>
  <c r="X935" i="10"/>
  <c r="Y935" i="10" s="1"/>
  <c r="X936" i="10"/>
  <c r="Y936" i="10" s="1"/>
  <c r="X937" i="10"/>
  <c r="Y937" i="10" s="1"/>
  <c r="X938" i="10"/>
  <c r="Y938" i="10" s="1"/>
  <c r="X939" i="10"/>
  <c r="Y939" i="10" s="1"/>
  <c r="X940" i="10"/>
  <c r="Y940" i="10" s="1"/>
  <c r="X941" i="10"/>
  <c r="Y941" i="10" s="1"/>
  <c r="X942" i="10"/>
  <c r="Y942" i="10" s="1"/>
  <c r="X943" i="10"/>
  <c r="Y943" i="10" s="1"/>
  <c r="X944" i="10"/>
  <c r="Y944" i="10" s="1"/>
  <c r="X945" i="10"/>
  <c r="Y945" i="10" s="1"/>
  <c r="X946" i="10"/>
  <c r="Y946" i="10" s="1"/>
  <c r="X947" i="10"/>
  <c r="Y947" i="10" s="1"/>
  <c r="X948" i="10"/>
  <c r="Y948" i="10" s="1"/>
  <c r="X949" i="10"/>
  <c r="Y949" i="10" s="1"/>
  <c r="X950" i="10"/>
  <c r="Y950" i="10" s="1"/>
  <c r="X951" i="10"/>
  <c r="Y951" i="10" s="1"/>
  <c r="X952" i="10"/>
  <c r="Y952" i="10" s="1"/>
  <c r="X953" i="10"/>
  <c r="Y953" i="10" s="1"/>
  <c r="X954" i="10"/>
  <c r="Y954" i="10" s="1"/>
  <c r="X955" i="10"/>
  <c r="Y955" i="10" s="1"/>
  <c r="X956" i="10"/>
  <c r="Y956" i="10" s="1"/>
  <c r="X957" i="10"/>
  <c r="Y957" i="10" s="1"/>
  <c r="X958" i="10"/>
  <c r="Y958" i="10" s="1"/>
  <c r="X959" i="10"/>
  <c r="Y959" i="10" s="1"/>
  <c r="X960" i="10"/>
  <c r="Y960" i="10" s="1"/>
  <c r="X961" i="10"/>
  <c r="Y961" i="10" s="1"/>
  <c r="X962" i="10"/>
  <c r="Y962" i="10" s="1"/>
  <c r="X963" i="10"/>
  <c r="Y963" i="10" s="1"/>
  <c r="X964" i="10"/>
  <c r="Y964" i="10" s="1"/>
  <c r="X965" i="10"/>
  <c r="Y965" i="10" s="1"/>
  <c r="X966" i="10"/>
  <c r="Y966" i="10" s="1"/>
  <c r="X967" i="10"/>
  <c r="Y967" i="10" s="1"/>
  <c r="X968" i="10"/>
  <c r="Y968" i="10" s="1"/>
  <c r="X969" i="10"/>
  <c r="Y969" i="10" s="1"/>
  <c r="X970" i="10"/>
  <c r="Y970" i="10" s="1"/>
  <c r="X971" i="10"/>
  <c r="Y971" i="10" s="1"/>
  <c r="X972" i="10"/>
  <c r="Y972" i="10" s="1"/>
  <c r="X973" i="10"/>
  <c r="Y973" i="10" s="1"/>
  <c r="X974" i="10"/>
  <c r="Y974" i="10" s="1"/>
  <c r="X975" i="10"/>
  <c r="Y975" i="10" s="1"/>
  <c r="X976" i="10"/>
  <c r="Y976" i="10" s="1"/>
  <c r="X977" i="10"/>
  <c r="Y977" i="10" s="1"/>
  <c r="X978" i="10"/>
  <c r="Y978" i="10" s="1"/>
  <c r="X979" i="10"/>
  <c r="Y979" i="10" s="1"/>
  <c r="X980" i="10"/>
  <c r="Y980" i="10" s="1"/>
  <c r="X981" i="10"/>
  <c r="Y981" i="10" s="1"/>
  <c r="X982" i="10"/>
  <c r="Y982" i="10" s="1"/>
  <c r="X983" i="10"/>
  <c r="Y983" i="10" s="1"/>
  <c r="X984" i="10"/>
  <c r="Y984" i="10" s="1"/>
  <c r="X985" i="10"/>
  <c r="Y985" i="10" s="1"/>
  <c r="X986" i="10"/>
  <c r="Y986" i="10" s="1"/>
  <c r="X987" i="10"/>
  <c r="Y987" i="10" s="1"/>
  <c r="X988" i="10"/>
  <c r="Y988" i="10" s="1"/>
  <c r="X989" i="10"/>
  <c r="Y989" i="10" s="1"/>
  <c r="X990" i="10"/>
  <c r="Y990" i="10" s="1"/>
  <c r="X991" i="10"/>
  <c r="Y991" i="10" s="1"/>
  <c r="X992" i="10"/>
  <c r="Y992" i="10" s="1"/>
  <c r="X993" i="10"/>
  <c r="Y993" i="10" s="1"/>
  <c r="X994" i="10"/>
  <c r="Y994" i="10" s="1"/>
  <c r="X995" i="10"/>
  <c r="Y995" i="10" s="1"/>
  <c r="X996" i="10"/>
  <c r="Y996" i="10" s="1"/>
  <c r="X997" i="10"/>
  <c r="Y997" i="10" s="1"/>
  <c r="X998" i="10"/>
  <c r="Y998" i="10" s="1"/>
  <c r="X999" i="10"/>
  <c r="Y999" i="10" s="1"/>
  <c r="X1000" i="10"/>
  <c r="Y1000" i="10" s="1"/>
  <c r="X1001" i="10"/>
  <c r="Y1001" i="10" s="1"/>
  <c r="X1002" i="10"/>
  <c r="Y1002" i="10" s="1"/>
  <c r="X1003" i="10"/>
  <c r="Y1003" i="10" s="1"/>
  <c r="X1004" i="10"/>
  <c r="Y1004" i="10" s="1"/>
  <c r="X1005" i="10"/>
  <c r="Y1005" i="10" s="1"/>
  <c r="X1006" i="10"/>
  <c r="Y1006" i="10" s="1"/>
  <c r="X1007" i="10"/>
  <c r="Y1007" i="10" s="1"/>
  <c r="X1008" i="10"/>
  <c r="Y1008" i="10" s="1"/>
  <c r="X1009" i="10"/>
  <c r="Y1009" i="10" s="1"/>
  <c r="X1010" i="10"/>
  <c r="Y1010" i="10" s="1"/>
  <c r="X1011" i="10"/>
  <c r="Y1011" i="10" s="1"/>
  <c r="X1012" i="10"/>
  <c r="Y1012" i="10" s="1"/>
  <c r="X1013" i="10"/>
  <c r="Y1013" i="10" s="1"/>
  <c r="X1014" i="10"/>
  <c r="Y1014" i="10" s="1"/>
  <c r="X1015" i="10"/>
  <c r="Y1015" i="10" s="1"/>
  <c r="X1016" i="10"/>
  <c r="Y1016" i="10" s="1"/>
  <c r="X1017" i="10"/>
  <c r="Y1017" i="10" s="1"/>
  <c r="X1018" i="10"/>
  <c r="Y1018" i="10" s="1"/>
  <c r="X1019" i="10"/>
  <c r="Y1019" i="10" s="1"/>
  <c r="X1020" i="10"/>
  <c r="Y1020" i="10" s="1"/>
  <c r="X1021" i="10"/>
  <c r="Y1021" i="10" s="1"/>
  <c r="X1022" i="10"/>
  <c r="Y1022" i="10" s="1"/>
  <c r="X1023" i="10"/>
  <c r="Y1023" i="10" s="1"/>
  <c r="X1024" i="10"/>
  <c r="Y1024" i="10" s="1"/>
  <c r="X1025" i="10"/>
  <c r="Y1025" i="10" s="1"/>
  <c r="X1026" i="10"/>
  <c r="Y1026" i="10" s="1"/>
  <c r="X1027" i="10"/>
  <c r="Y1027" i="10" s="1"/>
  <c r="X1028" i="10"/>
  <c r="Y1028" i="10" s="1"/>
  <c r="X1029" i="10"/>
  <c r="Y1029" i="10" s="1"/>
  <c r="X1030" i="10"/>
  <c r="Y1030" i="10" s="1"/>
  <c r="X1031" i="10"/>
  <c r="Y1031" i="10" s="1"/>
  <c r="X1032" i="10"/>
  <c r="Y1032" i="10" s="1"/>
  <c r="X1033" i="10"/>
  <c r="Y1033" i="10" s="1"/>
  <c r="X1034" i="10"/>
  <c r="Y1034" i="10" s="1"/>
  <c r="X1035" i="10"/>
  <c r="Y1035" i="10" s="1"/>
  <c r="X1036" i="10"/>
  <c r="Y1036" i="10" s="1"/>
  <c r="X1037" i="10"/>
  <c r="Y1037" i="10" s="1"/>
  <c r="X1038" i="10"/>
  <c r="Y1038" i="10" s="1"/>
  <c r="X1039" i="10"/>
  <c r="Y1039" i="10" s="1"/>
  <c r="X1040" i="10"/>
  <c r="Y1040" i="10" s="1"/>
  <c r="X1041" i="10"/>
  <c r="Y1041" i="10" s="1"/>
  <c r="X1042" i="10"/>
  <c r="Y1042" i="10" s="1"/>
  <c r="X1043" i="10"/>
  <c r="Y1043" i="10" s="1"/>
  <c r="X1044" i="10"/>
  <c r="Y1044" i="10" s="1"/>
  <c r="X1045" i="10"/>
  <c r="Y1045" i="10" s="1"/>
  <c r="X1046" i="10"/>
  <c r="Y1046" i="10" s="1"/>
  <c r="X1047" i="10"/>
  <c r="Y1047" i="10" s="1"/>
  <c r="X1048" i="10"/>
  <c r="Y1048" i="10" s="1"/>
  <c r="X1049" i="10"/>
  <c r="Y1049" i="10" s="1"/>
  <c r="X1050" i="10"/>
  <c r="Y1050" i="10" s="1"/>
  <c r="X1051" i="10"/>
  <c r="Y1051" i="10" s="1"/>
  <c r="X1052" i="10"/>
  <c r="Y1052" i="10" s="1"/>
  <c r="X1053" i="10"/>
  <c r="Y1053" i="10" s="1"/>
  <c r="X1054" i="10"/>
  <c r="Y1054" i="10" s="1"/>
  <c r="X1055" i="10"/>
  <c r="Y1055" i="10" s="1"/>
  <c r="X1056" i="10"/>
  <c r="Y1056" i="10" s="1"/>
  <c r="X1057" i="10"/>
  <c r="Y1057" i="10" s="1"/>
  <c r="X1058" i="10"/>
  <c r="Y1058" i="10" s="1"/>
  <c r="X1059" i="10"/>
  <c r="Y1059" i="10" s="1"/>
  <c r="X1060" i="10"/>
  <c r="Y1060" i="10" s="1"/>
  <c r="X1061" i="10"/>
  <c r="Y1061" i="10" s="1"/>
  <c r="X1062" i="10"/>
  <c r="Y1062" i="10" s="1"/>
  <c r="X1063" i="10"/>
  <c r="Y1063" i="10" s="1"/>
  <c r="X1064" i="10"/>
  <c r="Y1064" i="10" s="1"/>
  <c r="AH23" i="20" l="1"/>
  <c r="AK22" i="20"/>
  <c r="AJ22" i="20"/>
  <c r="I18" i="19"/>
  <c r="H103" i="19"/>
  <c r="AH17" i="19"/>
  <c r="AJ16" i="19"/>
  <c r="AK16" i="19"/>
  <c r="S19" i="19"/>
  <c r="R1367" i="2"/>
  <c r="S1367" i="2" s="1"/>
  <c r="R1366" i="2"/>
  <c r="U1366" i="2" s="1"/>
  <c r="R1365" i="2"/>
  <c r="V1365" i="2" s="1"/>
  <c r="R1364" i="2"/>
  <c r="R1363" i="2"/>
  <c r="S1363" i="2" s="1"/>
  <c r="R1362" i="2"/>
  <c r="R1361" i="2"/>
  <c r="R1360" i="2"/>
  <c r="R1359" i="2"/>
  <c r="S1359" i="2" s="1"/>
  <c r="R1358" i="2"/>
  <c r="S1358" i="2" s="1"/>
  <c r="R1357" i="2"/>
  <c r="R1356" i="2"/>
  <c r="R1355" i="2"/>
  <c r="S1355" i="2" s="1"/>
  <c r="V1355" i="2" s="1"/>
  <c r="R1354" i="2"/>
  <c r="R1353" i="2"/>
  <c r="R1352" i="2"/>
  <c r="U1352" i="2" s="1"/>
  <c r="R1351" i="2"/>
  <c r="R1350" i="2"/>
  <c r="U1350" i="2" s="1"/>
  <c r="R1349" i="2"/>
  <c r="R1348" i="2"/>
  <c r="R1347" i="2"/>
  <c r="R1346" i="2"/>
  <c r="R1345" i="2"/>
  <c r="R1344" i="2"/>
  <c r="U1344" i="2" s="1"/>
  <c r="R1343" i="2"/>
  <c r="R1342" i="2"/>
  <c r="U1342" i="2" s="1"/>
  <c r="R1341" i="2"/>
  <c r="R1340" i="2"/>
  <c r="R1339" i="2"/>
  <c r="S1339" i="2" s="1"/>
  <c r="V1339" i="2" s="1"/>
  <c r="R1338" i="2"/>
  <c r="R1337" i="2"/>
  <c r="R1336" i="2"/>
  <c r="R1335" i="2"/>
  <c r="R1334" i="2"/>
  <c r="U1334" i="2" s="1"/>
  <c r="R1333" i="2"/>
  <c r="R1332" i="2"/>
  <c r="R1331" i="2"/>
  <c r="R1330" i="2"/>
  <c r="U1330" i="2" s="1"/>
  <c r="R1329" i="2"/>
  <c r="V1329" i="2" s="1"/>
  <c r="R1328" i="2"/>
  <c r="S1328" i="2" s="1"/>
  <c r="R1327" i="2"/>
  <c r="U1327" i="2" s="1"/>
  <c r="R1326" i="2"/>
  <c r="R1325" i="2"/>
  <c r="R1324" i="2"/>
  <c r="R1323" i="2"/>
  <c r="R1322" i="2"/>
  <c r="R1321" i="2"/>
  <c r="R1320" i="2"/>
  <c r="R1319" i="2"/>
  <c r="U1319" i="2" s="1"/>
  <c r="R1318" i="2"/>
  <c r="R1317" i="2"/>
  <c r="R1316" i="2"/>
  <c r="R1315" i="2"/>
  <c r="R1314" i="2"/>
  <c r="R1313" i="2"/>
  <c r="R1312" i="2"/>
  <c r="R1311" i="2"/>
  <c r="R1310" i="2"/>
  <c r="U1310" i="2" s="1"/>
  <c r="R1309" i="2"/>
  <c r="R1308" i="2"/>
  <c r="R1307" i="2"/>
  <c r="R1306" i="2"/>
  <c r="U1306" i="2" s="1"/>
  <c r="R1305" i="2"/>
  <c r="V1305" i="2" s="1"/>
  <c r="R1304" i="2"/>
  <c r="S1304" i="2" s="1"/>
  <c r="R1303" i="2"/>
  <c r="U1303" i="2" s="1"/>
  <c r="R1302" i="2"/>
  <c r="R1301" i="2"/>
  <c r="R1300" i="2"/>
  <c r="R1299" i="2"/>
  <c r="R1298" i="2"/>
  <c r="R1297" i="2"/>
  <c r="R1296" i="2"/>
  <c r="R1295" i="2"/>
  <c r="U1295" i="2" s="1"/>
  <c r="R1294" i="2"/>
  <c r="R1293" i="2"/>
  <c r="R1292" i="2"/>
  <c r="R1291" i="2"/>
  <c r="R1290" i="2"/>
  <c r="R1289" i="2"/>
  <c r="R1288" i="2"/>
  <c r="R1287" i="2"/>
  <c r="R1286" i="2"/>
  <c r="U1286" i="2" s="1"/>
  <c r="R1285" i="2"/>
  <c r="R1284" i="2"/>
  <c r="R1283" i="2"/>
  <c r="R1282" i="2"/>
  <c r="R1281" i="2"/>
  <c r="R1280" i="2"/>
  <c r="R1279" i="2"/>
  <c r="R1278" i="2"/>
  <c r="U1278" i="2" s="1"/>
  <c r="R1277" i="2"/>
  <c r="R1276" i="2"/>
  <c r="U1276" i="2" s="1"/>
  <c r="R1275" i="2"/>
  <c r="R1274" i="2"/>
  <c r="R1273" i="2"/>
  <c r="R1272" i="2"/>
  <c r="R1271" i="2"/>
  <c r="U1271" i="2" s="1"/>
  <c r="R1270" i="2"/>
  <c r="R1269" i="2"/>
  <c r="S1269" i="2" s="1"/>
  <c r="V1269" i="2" s="1"/>
  <c r="R1268" i="2"/>
  <c r="R1267" i="2"/>
  <c r="R1266" i="2"/>
  <c r="R1265" i="2"/>
  <c r="S1265" i="2" s="1"/>
  <c r="V1265" i="2" s="1"/>
  <c r="R1264" i="2"/>
  <c r="R1263" i="2"/>
  <c r="R1262" i="2"/>
  <c r="R1261" i="2"/>
  <c r="S1261" i="2" s="1"/>
  <c r="V1261" i="2" s="1"/>
  <c r="R1260" i="2"/>
  <c r="R1259" i="2"/>
  <c r="R1258" i="2"/>
  <c r="R1257" i="2"/>
  <c r="S1257" i="2" s="1"/>
  <c r="V1257" i="2" s="1"/>
  <c r="R1256" i="2"/>
  <c r="R1255" i="2"/>
  <c r="R1254" i="2"/>
  <c r="R1253" i="2"/>
  <c r="R1252" i="2"/>
  <c r="U1252" i="2" s="1"/>
  <c r="R1251" i="2"/>
  <c r="R1250" i="2"/>
  <c r="U1250" i="2" s="1"/>
  <c r="R1249" i="2"/>
  <c r="S1249" i="2" s="1"/>
  <c r="V1249" i="2" s="1"/>
  <c r="R1248" i="2"/>
  <c r="U1248" i="2" s="1"/>
  <c r="R1247" i="2"/>
  <c r="R1246" i="2"/>
  <c r="U1246" i="2" s="1"/>
  <c r="R1245" i="2"/>
  <c r="R1244" i="2"/>
  <c r="U1244" i="2" s="1"/>
  <c r="R1243" i="2"/>
  <c r="R1242" i="2"/>
  <c r="U1242" i="2" s="1"/>
  <c r="R1241" i="2"/>
  <c r="S1241" i="2" s="1"/>
  <c r="V1241" i="2" s="1"/>
  <c r="R1240" i="2"/>
  <c r="U1240" i="2" s="1"/>
  <c r="R1239" i="2"/>
  <c r="R1238" i="2"/>
  <c r="U1238" i="2" s="1"/>
  <c r="R1237" i="2"/>
  <c r="S1237" i="2" s="1"/>
  <c r="R1236" i="2"/>
  <c r="U1236" i="2" s="1"/>
  <c r="R1235" i="2"/>
  <c r="R1234" i="2"/>
  <c r="U1234" i="2" s="1"/>
  <c r="R1233" i="2"/>
  <c r="R1232" i="2"/>
  <c r="U1232" i="2" s="1"/>
  <c r="R1231" i="2"/>
  <c r="R1230" i="2"/>
  <c r="U1230" i="2" s="1"/>
  <c r="R1229" i="2"/>
  <c r="R1228" i="2"/>
  <c r="U1228" i="2" s="1"/>
  <c r="R1227" i="2"/>
  <c r="R1226" i="2"/>
  <c r="U1226" i="2" s="1"/>
  <c r="R1225" i="2"/>
  <c r="R1224" i="2"/>
  <c r="U1224" i="2" s="1"/>
  <c r="R1223" i="2"/>
  <c r="R1222" i="2"/>
  <c r="U1222" i="2" s="1"/>
  <c r="R1221" i="2"/>
  <c r="S1221" i="2" s="1"/>
  <c r="R1220" i="2"/>
  <c r="U1220" i="2" s="1"/>
  <c r="R1219" i="2"/>
  <c r="R1218" i="2"/>
  <c r="U1218" i="2" s="1"/>
  <c r="R1217" i="2"/>
  <c r="R1216" i="2"/>
  <c r="S1216" i="2" s="1"/>
  <c r="R1215" i="2"/>
  <c r="R1214" i="2"/>
  <c r="R1213" i="2"/>
  <c r="R1212" i="2"/>
  <c r="R1211" i="2"/>
  <c r="U1211" i="2" s="1"/>
  <c r="R1210" i="2"/>
  <c r="R1209" i="2"/>
  <c r="U1209" i="2" s="1"/>
  <c r="R1208" i="2"/>
  <c r="R1207" i="2"/>
  <c r="R1206" i="2"/>
  <c r="S1206" i="2" s="1"/>
  <c r="V1206" i="2" s="1"/>
  <c r="R1205" i="2"/>
  <c r="R1204" i="2"/>
  <c r="R1203" i="2"/>
  <c r="U1203" i="2" s="1"/>
  <c r="R1202" i="2"/>
  <c r="R1201" i="2"/>
  <c r="U1201" i="2" s="1"/>
  <c r="R1200" i="2"/>
  <c r="R1199" i="2"/>
  <c r="R1198" i="2"/>
  <c r="R1197" i="2"/>
  <c r="R1196" i="2"/>
  <c r="U1196" i="2" s="1"/>
  <c r="R1195" i="2"/>
  <c r="U1195" i="2" s="1"/>
  <c r="R1194" i="2"/>
  <c r="R1193" i="2"/>
  <c r="U1193" i="2" s="1"/>
  <c r="R1192" i="2"/>
  <c r="R1191" i="2"/>
  <c r="R1190" i="2"/>
  <c r="S1190" i="2" s="1"/>
  <c r="V1190" i="2" s="1"/>
  <c r="R1189" i="2"/>
  <c r="R1188" i="2"/>
  <c r="R1187" i="2"/>
  <c r="U1187" i="2" s="1"/>
  <c r="R1186" i="2"/>
  <c r="R1185" i="2"/>
  <c r="U1185" i="2" s="1"/>
  <c r="R1184" i="2"/>
  <c r="R1183" i="2"/>
  <c r="R1182" i="2"/>
  <c r="R1181" i="2"/>
  <c r="U1181" i="2" s="1"/>
  <c r="R1180" i="2"/>
  <c r="R1179" i="2"/>
  <c r="R1178" i="2"/>
  <c r="R1177" i="2"/>
  <c r="R1176" i="2"/>
  <c r="U1176" i="2" s="1"/>
  <c r="R1175" i="2"/>
  <c r="S1175" i="2" s="1"/>
  <c r="R1174" i="2"/>
  <c r="U1174" i="2" s="1"/>
  <c r="R1173" i="2"/>
  <c r="S1173" i="2" s="1"/>
  <c r="R1172" i="2"/>
  <c r="S1172" i="2" s="1"/>
  <c r="V1172" i="2" s="1"/>
  <c r="R1171" i="2"/>
  <c r="R1170" i="2"/>
  <c r="R1169" i="2"/>
  <c r="U1169" i="2" s="1"/>
  <c r="R1168" i="2"/>
  <c r="R1167" i="2"/>
  <c r="R1166" i="2"/>
  <c r="R1165" i="2"/>
  <c r="U1165" i="2" s="1"/>
  <c r="R1164" i="2"/>
  <c r="R1163" i="2"/>
  <c r="R1162" i="2"/>
  <c r="U1162" i="2" s="1"/>
  <c r="R1161" i="2"/>
  <c r="R1160" i="2"/>
  <c r="U1160" i="2" s="1"/>
  <c r="R1159" i="2"/>
  <c r="R1158" i="2"/>
  <c r="U1158" i="2" s="1"/>
  <c r="R1157" i="2"/>
  <c r="R1156" i="2"/>
  <c r="R1155" i="2"/>
  <c r="S1155" i="2" s="1"/>
  <c r="R1154" i="2"/>
  <c r="R1153" i="2"/>
  <c r="V1153" i="2" s="1"/>
  <c r="R1152" i="2"/>
  <c r="R1151" i="2"/>
  <c r="R1150" i="2"/>
  <c r="U1150" i="2" s="1"/>
  <c r="R1149" i="2"/>
  <c r="R1148" i="2"/>
  <c r="V1148" i="2" s="1"/>
  <c r="R1147" i="2"/>
  <c r="S1147" i="2" s="1"/>
  <c r="R1146" i="2"/>
  <c r="U1146" i="2" s="1"/>
  <c r="R1145" i="2"/>
  <c r="U1145" i="2" s="1"/>
  <c r="R1144" i="2"/>
  <c r="R1143" i="2"/>
  <c r="S1143" i="2" s="1"/>
  <c r="R1142" i="2"/>
  <c r="R1141" i="2"/>
  <c r="U1141" i="2" s="1"/>
  <c r="R1140" i="2"/>
  <c r="R1139" i="2"/>
  <c r="S1139" i="2" s="1"/>
  <c r="R1138" i="2"/>
  <c r="U1138" i="2" s="1"/>
  <c r="R1137" i="2"/>
  <c r="U1137" i="2" s="1"/>
  <c r="R1136" i="2"/>
  <c r="U1136" i="2" s="1"/>
  <c r="R1135" i="2"/>
  <c r="R1134" i="2"/>
  <c r="U1134" i="2" s="1"/>
  <c r="R1133" i="2"/>
  <c r="R1132" i="2"/>
  <c r="R1131" i="2"/>
  <c r="S1131" i="2" s="1"/>
  <c r="R1130" i="2"/>
  <c r="R1129" i="2"/>
  <c r="U1129" i="2" s="1"/>
  <c r="R1128" i="2"/>
  <c r="R1127" i="2"/>
  <c r="R1126" i="2"/>
  <c r="U1126" i="2" s="1"/>
  <c r="R1125" i="2"/>
  <c r="R1124" i="2"/>
  <c r="U1124" i="2" s="1"/>
  <c r="R1123" i="2"/>
  <c r="S1123" i="2" s="1"/>
  <c r="R1122" i="2"/>
  <c r="U1122" i="2" s="1"/>
  <c r="R1121" i="2"/>
  <c r="U1121" i="2" s="1"/>
  <c r="R1120" i="2"/>
  <c r="R1119" i="2"/>
  <c r="S1119" i="2" s="1"/>
  <c r="R1118" i="2"/>
  <c r="R1117" i="2"/>
  <c r="U1117" i="2" s="1"/>
  <c r="R1116" i="2"/>
  <c r="R1115" i="2"/>
  <c r="S1115" i="2" s="1"/>
  <c r="R1114" i="2"/>
  <c r="U1114" i="2" s="1"/>
  <c r="R1113" i="2"/>
  <c r="R1112" i="2"/>
  <c r="U1112" i="2" s="1"/>
  <c r="R1111" i="2"/>
  <c r="S1111" i="2" s="1"/>
  <c r="R1110" i="2"/>
  <c r="U1110" i="2" s="1"/>
  <c r="R1109" i="2"/>
  <c r="U1109" i="2" s="1"/>
  <c r="R1108" i="2"/>
  <c r="R1107" i="2"/>
  <c r="S1107" i="2" s="1"/>
  <c r="R1106" i="2"/>
  <c r="U1106" i="2" s="1"/>
  <c r="R1105" i="2"/>
  <c r="U1105" i="2" s="1"/>
  <c r="R1104" i="2"/>
  <c r="U1104" i="2" s="1"/>
  <c r="R1103" i="2"/>
  <c r="R1102" i="2"/>
  <c r="U1102" i="2" s="1"/>
  <c r="R1101" i="2"/>
  <c r="R1100" i="2"/>
  <c r="U1100" i="2" s="1"/>
  <c r="R1099" i="2"/>
  <c r="S1099" i="2" s="1"/>
  <c r="R1098" i="2"/>
  <c r="U1098" i="2" s="1"/>
  <c r="R1097" i="2"/>
  <c r="U1097" i="2" s="1"/>
  <c r="R1096" i="2"/>
  <c r="R1095" i="2"/>
  <c r="S1095" i="2" s="1"/>
  <c r="R1094" i="2"/>
  <c r="R1093" i="2"/>
  <c r="V1093" i="2" s="1"/>
  <c r="R1092" i="2"/>
  <c r="R1091" i="2"/>
  <c r="S1091" i="2" s="1"/>
  <c r="R1090" i="2"/>
  <c r="U1090" i="2" s="1"/>
  <c r="R1089" i="2"/>
  <c r="R1088" i="2"/>
  <c r="V1088" i="2" s="1"/>
  <c r="R1087" i="2"/>
  <c r="U1087" i="2" s="1"/>
  <c r="R1086" i="2"/>
  <c r="U1086" i="2" s="1"/>
  <c r="R1085" i="2"/>
  <c r="S1085" i="2" s="1"/>
  <c r="R1084" i="2"/>
  <c r="U1084" i="2" s="1"/>
  <c r="R1083" i="2"/>
  <c r="R1082" i="2"/>
  <c r="R1081" i="2"/>
  <c r="R1080" i="2"/>
  <c r="R1079" i="2"/>
  <c r="U1079" i="2" s="1"/>
  <c r="R1078" i="2"/>
  <c r="V1078" i="2" s="1"/>
  <c r="R1077" i="2"/>
  <c r="S1077" i="2" s="1"/>
  <c r="R1076" i="2"/>
  <c r="U1076" i="2" s="1"/>
  <c r="R1075" i="2"/>
  <c r="R1074" i="2"/>
  <c r="R1073" i="2"/>
  <c r="R1072" i="2"/>
  <c r="U1072" i="2" s="1"/>
  <c r="R1071" i="2"/>
  <c r="R1070" i="2"/>
  <c r="R1069" i="2"/>
  <c r="R1068" i="2"/>
  <c r="R1067" i="2"/>
  <c r="R1066" i="2"/>
  <c r="R1065" i="2"/>
  <c r="R1064" i="2"/>
  <c r="U1064" i="2" s="1"/>
  <c r="R1063" i="2"/>
  <c r="R1062" i="2"/>
  <c r="R1061" i="2"/>
  <c r="R1060" i="2"/>
  <c r="R1059" i="2"/>
  <c r="R1058" i="2"/>
  <c r="R1057" i="2"/>
  <c r="S1057" i="2" s="1"/>
  <c r="R1056" i="2"/>
  <c r="U1056" i="2" s="1"/>
  <c r="R1055" i="2"/>
  <c r="R1054" i="2"/>
  <c r="V1054" i="2" s="1"/>
  <c r="R1053" i="2"/>
  <c r="R1052" i="2"/>
  <c r="R1051" i="2"/>
  <c r="R1050" i="2"/>
  <c r="R1049" i="2"/>
  <c r="S1049" i="2" s="1"/>
  <c r="R1048" i="2"/>
  <c r="R1047" i="2"/>
  <c r="R1046" i="2"/>
  <c r="V1046" i="2" s="1"/>
  <c r="R1045" i="2"/>
  <c r="S1045" i="2" s="1"/>
  <c r="R1044" i="2"/>
  <c r="S1044" i="2" s="1"/>
  <c r="R1043" i="2"/>
  <c r="R1042" i="2"/>
  <c r="S1042" i="2" s="1"/>
  <c r="R1041" i="2"/>
  <c r="R1040" i="2"/>
  <c r="U1040" i="2" s="1"/>
  <c r="R1039" i="2"/>
  <c r="R1038" i="2"/>
  <c r="R1037" i="2"/>
  <c r="S1037" i="2" s="1"/>
  <c r="R1036" i="2"/>
  <c r="R1035" i="2"/>
  <c r="R1034" i="2"/>
  <c r="R1033" i="2"/>
  <c r="R1032" i="2"/>
  <c r="S1032" i="2" s="1"/>
  <c r="R1031" i="2"/>
  <c r="R1030" i="2"/>
  <c r="R1029" i="2"/>
  <c r="R1028" i="2"/>
  <c r="R1027" i="2"/>
  <c r="R1026" i="2"/>
  <c r="R1025" i="2"/>
  <c r="R1024" i="2"/>
  <c r="R1023" i="2"/>
  <c r="R1022" i="2"/>
  <c r="R1021" i="2"/>
  <c r="R1020" i="2"/>
  <c r="R1019" i="2"/>
  <c r="R1018" i="2"/>
  <c r="R1017" i="2"/>
  <c r="R1016" i="2"/>
  <c r="S1016" i="2" s="1"/>
  <c r="R1015" i="2"/>
  <c r="R1014" i="2"/>
  <c r="R1013" i="2"/>
  <c r="R1012" i="2"/>
  <c r="R1011" i="2"/>
  <c r="R1010" i="2"/>
  <c r="R1009" i="2"/>
  <c r="R1008" i="2"/>
  <c r="R1007" i="2"/>
  <c r="R1006" i="2"/>
  <c r="R1005" i="2"/>
  <c r="R1004" i="2"/>
  <c r="R1003" i="2"/>
  <c r="R1002" i="2"/>
  <c r="R1001" i="2"/>
  <c r="R1000" i="2"/>
  <c r="R999" i="2"/>
  <c r="R998" i="2"/>
  <c r="R997" i="2"/>
  <c r="S997" i="2" s="1"/>
  <c r="R996" i="2"/>
  <c r="R995" i="2"/>
  <c r="R994" i="2"/>
  <c r="R993" i="2"/>
  <c r="R992" i="2"/>
  <c r="R991" i="2"/>
  <c r="R990" i="2"/>
  <c r="R989" i="2"/>
  <c r="S989" i="2" s="1"/>
  <c r="R988" i="2"/>
  <c r="R987" i="2"/>
  <c r="R986" i="2"/>
  <c r="R985" i="2"/>
  <c r="R984" i="2"/>
  <c r="R983" i="2"/>
  <c r="R982" i="2"/>
  <c r="R981" i="2"/>
  <c r="S981" i="2" s="1"/>
  <c r="R980" i="2"/>
  <c r="R979" i="2"/>
  <c r="R978" i="2"/>
  <c r="R977" i="2"/>
  <c r="R976" i="2"/>
  <c r="R975" i="2"/>
  <c r="R974" i="2"/>
  <c r="R973" i="2"/>
  <c r="S973" i="2" s="1"/>
  <c r="R972" i="2"/>
  <c r="R971" i="2"/>
  <c r="R970" i="2"/>
  <c r="R969" i="2"/>
  <c r="R968" i="2"/>
  <c r="R967" i="2"/>
  <c r="R966" i="2"/>
  <c r="R965" i="2"/>
  <c r="S965" i="2" s="1"/>
  <c r="R964" i="2"/>
  <c r="R963" i="2"/>
  <c r="R962" i="2"/>
  <c r="R961" i="2"/>
  <c r="R960" i="2"/>
  <c r="R959" i="2"/>
  <c r="R958" i="2"/>
  <c r="R957" i="2"/>
  <c r="S957" i="2" s="1"/>
  <c r="R956" i="2"/>
  <c r="R955" i="2"/>
  <c r="R954" i="2"/>
  <c r="R953" i="2"/>
  <c r="R952" i="2"/>
  <c r="R951" i="2"/>
  <c r="R950" i="2"/>
  <c r="V950" i="2" s="1"/>
  <c r="R949" i="2"/>
  <c r="S949" i="2" s="1"/>
  <c r="R948" i="2"/>
  <c r="R947" i="2"/>
  <c r="R946" i="2"/>
  <c r="R945" i="2"/>
  <c r="S945" i="2" s="1"/>
  <c r="R944" i="2"/>
  <c r="U944" i="2" s="1"/>
  <c r="R943" i="2"/>
  <c r="R942" i="2"/>
  <c r="V942" i="2" s="1"/>
  <c r="R941" i="2"/>
  <c r="S941" i="2" s="1"/>
  <c r="R940" i="2"/>
  <c r="R939" i="2"/>
  <c r="R938" i="2"/>
  <c r="R937" i="2"/>
  <c r="S937" i="2" s="1"/>
  <c r="R936" i="2"/>
  <c r="R935" i="2"/>
  <c r="R934" i="2"/>
  <c r="V934" i="2" s="1"/>
  <c r="R933" i="2"/>
  <c r="S933" i="2" s="1"/>
  <c r="R932" i="2"/>
  <c r="R931" i="2"/>
  <c r="R930" i="2"/>
  <c r="R929" i="2"/>
  <c r="S929" i="2" s="1"/>
  <c r="R928" i="2"/>
  <c r="U928" i="2" s="1"/>
  <c r="R927" i="2"/>
  <c r="R926" i="2"/>
  <c r="V926" i="2" s="1"/>
  <c r="R925" i="2"/>
  <c r="R924" i="2"/>
  <c r="R923" i="2"/>
  <c r="R922" i="2"/>
  <c r="R921" i="2"/>
  <c r="S921" i="2" s="1"/>
  <c r="R920" i="2"/>
  <c r="R919" i="2"/>
  <c r="R918" i="2"/>
  <c r="V918" i="2" s="1"/>
  <c r="R917" i="2"/>
  <c r="R916" i="2"/>
  <c r="R915" i="2"/>
  <c r="R914" i="2"/>
  <c r="R913" i="2"/>
  <c r="S913" i="2" s="1"/>
  <c r="R912" i="2"/>
  <c r="U912" i="2" s="1"/>
  <c r="R911" i="2"/>
  <c r="R910" i="2"/>
  <c r="V910" i="2" s="1"/>
  <c r="R909" i="2"/>
  <c r="R908" i="2"/>
  <c r="R907" i="2"/>
  <c r="R906" i="2"/>
  <c r="R905" i="2"/>
  <c r="S905" i="2" s="1"/>
  <c r="R904" i="2"/>
  <c r="R903" i="2"/>
  <c r="R902" i="2"/>
  <c r="R901" i="2"/>
  <c r="R900" i="2"/>
  <c r="R899" i="2"/>
  <c r="R898" i="2"/>
  <c r="R897" i="2"/>
  <c r="R896" i="2"/>
  <c r="R895" i="2"/>
  <c r="R894" i="2"/>
  <c r="R893" i="2"/>
  <c r="R892" i="2"/>
  <c r="R891" i="2"/>
  <c r="R890" i="2"/>
  <c r="U890" i="2" s="1"/>
  <c r="R889" i="2"/>
  <c r="R888" i="2"/>
  <c r="R887" i="2"/>
  <c r="R886" i="2"/>
  <c r="R885" i="2"/>
  <c r="R884" i="2"/>
  <c r="R883" i="2"/>
  <c r="R882" i="2"/>
  <c r="U882" i="2" s="1"/>
  <c r="R881" i="2"/>
  <c r="R880" i="2"/>
  <c r="R879" i="2"/>
  <c r="R878" i="2"/>
  <c r="R877" i="2"/>
  <c r="R876" i="2"/>
  <c r="R875" i="2"/>
  <c r="R874" i="2"/>
  <c r="U874" i="2" s="1"/>
  <c r="R873" i="2"/>
  <c r="R872" i="2"/>
  <c r="R871" i="2"/>
  <c r="R870" i="2"/>
  <c r="S870" i="2" s="1"/>
  <c r="R869" i="2"/>
  <c r="R868" i="2"/>
  <c r="S868" i="2" s="1"/>
  <c r="V868" i="2" s="1"/>
  <c r="R867" i="2"/>
  <c r="R866" i="2"/>
  <c r="S866" i="2" s="1"/>
  <c r="R865" i="2"/>
  <c r="R864" i="2"/>
  <c r="R863" i="2"/>
  <c r="R862" i="2"/>
  <c r="S862" i="2" s="1"/>
  <c r="R861" i="2"/>
  <c r="R860" i="2"/>
  <c r="R859" i="2"/>
  <c r="R858" i="2"/>
  <c r="S858" i="2" s="1"/>
  <c r="R857" i="2"/>
  <c r="R856" i="2"/>
  <c r="R855" i="2"/>
  <c r="R854" i="2"/>
  <c r="S854" i="2" s="1"/>
  <c r="R853" i="2"/>
  <c r="R852" i="2"/>
  <c r="R851" i="2"/>
  <c r="R850" i="2"/>
  <c r="S850" i="2" s="1"/>
  <c r="R849" i="2"/>
  <c r="U849" i="2" s="1"/>
  <c r="R848" i="2"/>
  <c r="R847" i="2"/>
  <c r="R846" i="2"/>
  <c r="S846" i="2" s="1"/>
  <c r="R845" i="2"/>
  <c r="R844" i="2"/>
  <c r="R843" i="2"/>
  <c r="R842" i="2"/>
  <c r="R841" i="2"/>
  <c r="S841" i="2" s="1"/>
  <c r="R840" i="2"/>
  <c r="S840" i="2" s="1"/>
  <c r="R839" i="2"/>
  <c r="R838" i="2"/>
  <c r="R837" i="2"/>
  <c r="U837" i="2" s="1"/>
  <c r="R836" i="2"/>
  <c r="S836" i="2" s="1"/>
  <c r="R835" i="2"/>
  <c r="R834" i="2"/>
  <c r="R833" i="2"/>
  <c r="U833" i="2" s="1"/>
  <c r="R832" i="2"/>
  <c r="S832" i="2" s="1"/>
  <c r="R831" i="2"/>
  <c r="R830" i="2"/>
  <c r="R829" i="2"/>
  <c r="U829" i="2" s="1"/>
  <c r="R828" i="2"/>
  <c r="S828" i="2" s="1"/>
  <c r="R827" i="2"/>
  <c r="R826" i="2"/>
  <c r="R825" i="2"/>
  <c r="U825" i="2" s="1"/>
  <c r="R824" i="2"/>
  <c r="S824" i="2" s="1"/>
  <c r="R823" i="2"/>
  <c r="R822" i="2"/>
  <c r="R821" i="2"/>
  <c r="U821" i="2" s="1"/>
  <c r="R820" i="2"/>
  <c r="S820" i="2" s="1"/>
  <c r="R819" i="2"/>
  <c r="R818" i="2"/>
  <c r="R817" i="2"/>
  <c r="U817" i="2" s="1"/>
  <c r="R816" i="2"/>
  <c r="S816" i="2" s="1"/>
  <c r="R815" i="2"/>
  <c r="R814" i="2"/>
  <c r="R813" i="2"/>
  <c r="U813" i="2" s="1"/>
  <c r="R812" i="2"/>
  <c r="S812" i="2" s="1"/>
  <c r="R811" i="2"/>
  <c r="R810" i="2"/>
  <c r="R809" i="2"/>
  <c r="U809" i="2" s="1"/>
  <c r="R808" i="2"/>
  <c r="S808" i="2" s="1"/>
  <c r="R807" i="2"/>
  <c r="R806" i="2"/>
  <c r="R805" i="2"/>
  <c r="U805" i="2" s="1"/>
  <c r="R804" i="2"/>
  <c r="S804" i="2" s="1"/>
  <c r="R803" i="2"/>
  <c r="S803" i="2" s="1"/>
  <c r="R802" i="2"/>
  <c r="U802" i="2" s="1"/>
  <c r="R801" i="2"/>
  <c r="R800" i="2"/>
  <c r="R799" i="2"/>
  <c r="S799" i="2" s="1"/>
  <c r="R798" i="2"/>
  <c r="U798" i="2" s="1"/>
  <c r="R797" i="2"/>
  <c r="R796" i="2"/>
  <c r="R795" i="2"/>
  <c r="S795" i="2" s="1"/>
  <c r="R794" i="2"/>
  <c r="R793" i="2"/>
  <c r="R792" i="2"/>
  <c r="R791" i="2"/>
  <c r="U791" i="2" s="1"/>
  <c r="R790" i="2"/>
  <c r="R789" i="2"/>
  <c r="S789" i="2" s="1"/>
  <c r="R788" i="2"/>
  <c r="R787" i="2"/>
  <c r="U787" i="2" s="1"/>
  <c r="R786" i="2"/>
  <c r="R785" i="2"/>
  <c r="R784" i="2"/>
  <c r="R783" i="2"/>
  <c r="U783" i="2" s="1"/>
  <c r="R782" i="2"/>
  <c r="R781" i="2"/>
  <c r="R780" i="2"/>
  <c r="R779" i="2"/>
  <c r="U779" i="2" s="1"/>
  <c r="R778" i="2"/>
  <c r="R777" i="2"/>
  <c r="R776" i="2"/>
  <c r="R775" i="2"/>
  <c r="U775" i="2" s="1"/>
  <c r="R774" i="2"/>
  <c r="R773" i="2"/>
  <c r="S773" i="2" s="1"/>
  <c r="R772" i="2"/>
  <c r="R771" i="2"/>
  <c r="U771" i="2" s="1"/>
  <c r="R770" i="2"/>
  <c r="R769" i="2"/>
  <c r="R768" i="2"/>
  <c r="R767" i="2"/>
  <c r="U767" i="2" s="1"/>
  <c r="R766" i="2"/>
  <c r="R765" i="2"/>
  <c r="R764" i="2"/>
  <c r="R763" i="2"/>
  <c r="R762" i="2"/>
  <c r="R761" i="2"/>
  <c r="R760" i="2"/>
  <c r="R759" i="2"/>
  <c r="R758" i="2"/>
  <c r="S758" i="2" s="1"/>
  <c r="R757" i="2"/>
  <c r="R756" i="2"/>
  <c r="R755" i="2"/>
  <c r="R754" i="2"/>
  <c r="R753" i="2"/>
  <c r="R752" i="2"/>
  <c r="R751" i="2"/>
  <c r="R750" i="2"/>
  <c r="S750" i="2" s="1"/>
  <c r="R749" i="2"/>
  <c r="S749" i="2" s="1"/>
  <c r="R748" i="2"/>
  <c r="R747" i="2"/>
  <c r="R746" i="2"/>
  <c r="U746" i="2" s="1"/>
  <c r="R745" i="2"/>
  <c r="U745" i="2" s="1"/>
  <c r="R744" i="2"/>
  <c r="R743" i="2"/>
  <c r="S743" i="2" s="1"/>
  <c r="R742" i="2"/>
  <c r="R741" i="2"/>
  <c r="U741" i="2" s="1"/>
  <c r="R740" i="2"/>
  <c r="R739" i="2"/>
  <c r="R738" i="2"/>
  <c r="U738" i="2" s="1"/>
  <c r="R737" i="2"/>
  <c r="U737" i="2" s="1"/>
  <c r="R736" i="2"/>
  <c r="R735" i="2"/>
  <c r="S735" i="2" s="1"/>
  <c r="R734" i="2"/>
  <c r="R733" i="2"/>
  <c r="U733" i="2" s="1"/>
  <c r="R732" i="2"/>
  <c r="R731" i="2"/>
  <c r="R730" i="2"/>
  <c r="U730" i="2" s="1"/>
  <c r="R729" i="2"/>
  <c r="U729" i="2" s="1"/>
  <c r="R728" i="2"/>
  <c r="R727" i="2"/>
  <c r="S727" i="2" s="1"/>
  <c r="R726" i="2"/>
  <c r="R725" i="2"/>
  <c r="U725" i="2" s="1"/>
  <c r="R724" i="2"/>
  <c r="R723" i="2"/>
  <c r="R722" i="2"/>
  <c r="U722" i="2" s="1"/>
  <c r="R721" i="2"/>
  <c r="U721" i="2" s="1"/>
  <c r="R720" i="2"/>
  <c r="R719" i="2"/>
  <c r="S719" i="2" s="1"/>
  <c r="R718" i="2"/>
  <c r="R717" i="2"/>
  <c r="U717" i="2" s="1"/>
  <c r="R716" i="2"/>
  <c r="R715" i="2"/>
  <c r="R714" i="2"/>
  <c r="U714" i="2" s="1"/>
  <c r="R713" i="2"/>
  <c r="U713" i="2" s="1"/>
  <c r="R712" i="2"/>
  <c r="R711" i="2"/>
  <c r="S711" i="2" s="1"/>
  <c r="R710" i="2"/>
  <c r="R709" i="2"/>
  <c r="U709" i="2" s="1"/>
  <c r="R708" i="2"/>
  <c r="R707" i="2"/>
  <c r="R706" i="2"/>
  <c r="U706" i="2" s="1"/>
  <c r="R705" i="2"/>
  <c r="U705" i="2" s="1"/>
  <c r="R704" i="2"/>
  <c r="R703" i="2"/>
  <c r="S703" i="2" s="1"/>
  <c r="R702" i="2"/>
  <c r="R701" i="2"/>
  <c r="U701" i="2" s="1"/>
  <c r="R700" i="2"/>
  <c r="R699" i="2"/>
  <c r="R698" i="2"/>
  <c r="U698" i="2" s="1"/>
  <c r="R697" i="2"/>
  <c r="U697" i="2" s="1"/>
  <c r="R696" i="2"/>
  <c r="U696" i="2" s="1"/>
  <c r="R695" i="2"/>
  <c r="R694" i="2"/>
  <c r="R693" i="2"/>
  <c r="R692" i="2"/>
  <c r="R691" i="2"/>
  <c r="U691" i="2" s="1"/>
  <c r="R690" i="2"/>
  <c r="R689" i="2"/>
  <c r="U689" i="2" s="1"/>
  <c r="R688" i="2"/>
  <c r="R687" i="2"/>
  <c r="R686" i="2"/>
  <c r="R685" i="2"/>
  <c r="S685" i="2" s="1"/>
  <c r="V685" i="2" s="1"/>
  <c r="R684" i="2"/>
  <c r="R683" i="2"/>
  <c r="R682" i="2"/>
  <c r="R681" i="2"/>
  <c r="R680" i="2"/>
  <c r="S680" i="2" s="1"/>
  <c r="R679" i="2"/>
  <c r="R678" i="2"/>
  <c r="R677" i="2"/>
  <c r="R676" i="2"/>
  <c r="R675" i="2"/>
  <c r="U675" i="2" s="1"/>
  <c r="R674" i="2"/>
  <c r="R673" i="2"/>
  <c r="U673" i="2" s="1"/>
  <c r="R672" i="2"/>
  <c r="R671" i="2"/>
  <c r="R670" i="2"/>
  <c r="R669" i="2"/>
  <c r="S669" i="2" s="1"/>
  <c r="V669" i="2" s="1"/>
  <c r="R668" i="2"/>
  <c r="R667" i="2"/>
  <c r="R666" i="2"/>
  <c r="R665" i="2"/>
  <c r="R664" i="2"/>
  <c r="S664" i="2" s="1"/>
  <c r="R663" i="2"/>
  <c r="R662" i="2"/>
  <c r="R661" i="2"/>
  <c r="R660" i="2"/>
  <c r="R659" i="2"/>
  <c r="U659" i="2" s="1"/>
  <c r="R658" i="2"/>
  <c r="R657" i="2"/>
  <c r="U657" i="2" s="1"/>
  <c r="R656" i="2"/>
  <c r="R655" i="2"/>
  <c r="R654" i="2"/>
  <c r="R653" i="2"/>
  <c r="R652" i="2"/>
  <c r="S652" i="2" s="1"/>
  <c r="R651" i="2"/>
  <c r="R650" i="2"/>
  <c r="R649" i="2"/>
  <c r="R648" i="2"/>
  <c r="R647" i="2"/>
  <c r="U647" i="2" s="1"/>
  <c r="R646" i="2"/>
  <c r="R645" i="2"/>
  <c r="U645" i="2" s="1"/>
  <c r="R644" i="2"/>
  <c r="R643" i="2"/>
  <c r="R642" i="2"/>
  <c r="R641" i="2"/>
  <c r="R640" i="2"/>
  <c r="R639" i="2"/>
  <c r="R638" i="2"/>
  <c r="R637" i="2"/>
  <c r="R636" i="2"/>
  <c r="R635" i="2"/>
  <c r="R634" i="2"/>
  <c r="R633" i="2"/>
  <c r="R632" i="2"/>
  <c r="R631" i="2"/>
  <c r="R630" i="2"/>
  <c r="R629" i="2"/>
  <c r="S629" i="2" s="1"/>
  <c r="V629" i="2" s="1"/>
  <c r="R628" i="2"/>
  <c r="R627" i="2"/>
  <c r="R626" i="2"/>
  <c r="R625" i="2"/>
  <c r="R624" i="2"/>
  <c r="R623" i="2"/>
  <c r="R622" i="2"/>
  <c r="R621" i="2"/>
  <c r="R620" i="2"/>
  <c r="R619" i="2"/>
  <c r="R618" i="2"/>
  <c r="R617" i="2"/>
  <c r="R616" i="2"/>
  <c r="R615" i="2"/>
  <c r="R614" i="2"/>
  <c r="R613" i="2"/>
  <c r="R612" i="2"/>
  <c r="U612" i="2" s="1"/>
  <c r="R611" i="2"/>
  <c r="R610" i="2"/>
  <c r="R609" i="2"/>
  <c r="R608" i="2"/>
  <c r="R607" i="2"/>
  <c r="R606" i="2"/>
  <c r="R605" i="2"/>
  <c r="R604" i="2"/>
  <c r="R603" i="2"/>
  <c r="S603" i="2" s="1"/>
  <c r="R602" i="2"/>
  <c r="U602" i="2" s="1"/>
  <c r="R601" i="2"/>
  <c r="R600" i="2"/>
  <c r="U600" i="2" s="1"/>
  <c r="R599" i="2"/>
  <c r="U599" i="2" s="1"/>
  <c r="R598" i="2"/>
  <c r="R597" i="2"/>
  <c r="R596" i="2"/>
  <c r="U596" i="2" s="1"/>
  <c r="R595" i="2"/>
  <c r="R594" i="2"/>
  <c r="R593" i="2"/>
  <c r="R592" i="2"/>
  <c r="R591" i="2"/>
  <c r="R590" i="2"/>
  <c r="R589" i="2"/>
  <c r="R588" i="2"/>
  <c r="R587" i="2"/>
  <c r="R586" i="2"/>
  <c r="U586" i="2" s="1"/>
  <c r="R585" i="2"/>
  <c r="R584" i="2"/>
  <c r="U584" i="2" s="1"/>
  <c r="R583" i="2"/>
  <c r="R582" i="2"/>
  <c r="R581" i="2"/>
  <c r="R580" i="2"/>
  <c r="U580" i="2" s="1"/>
  <c r="R579" i="2"/>
  <c r="R578" i="2"/>
  <c r="R577" i="2"/>
  <c r="R576" i="2"/>
  <c r="R575" i="2"/>
  <c r="R574" i="2"/>
  <c r="R573" i="2"/>
  <c r="S573" i="2" s="1"/>
  <c r="R572" i="2"/>
  <c r="R571" i="2"/>
  <c r="R570" i="2"/>
  <c r="U570" i="2" s="1"/>
  <c r="R569" i="2"/>
  <c r="R568" i="2"/>
  <c r="U568" i="2" s="1"/>
  <c r="R567" i="2"/>
  <c r="U567" i="2" s="1"/>
  <c r="R566" i="2"/>
  <c r="R565" i="2"/>
  <c r="R564" i="2"/>
  <c r="U564" i="2" s="1"/>
  <c r="R563" i="2"/>
  <c r="R562" i="2"/>
  <c r="R561" i="2"/>
  <c r="R560" i="2"/>
  <c r="R559" i="2"/>
  <c r="R558" i="2"/>
  <c r="R557" i="2"/>
  <c r="R556" i="2"/>
  <c r="R555" i="2"/>
  <c r="R554" i="2"/>
  <c r="U554" i="2" s="1"/>
  <c r="R553" i="2"/>
  <c r="S553" i="2" s="1"/>
  <c r="R552" i="2"/>
  <c r="U552" i="2" s="1"/>
  <c r="R551" i="2"/>
  <c r="R550" i="2"/>
  <c r="R549" i="2"/>
  <c r="S549" i="2" s="1"/>
  <c r="R548" i="2"/>
  <c r="U548" i="2" s="1"/>
  <c r="R547" i="2"/>
  <c r="U547" i="2" s="1"/>
  <c r="R546" i="2"/>
  <c r="R545" i="2"/>
  <c r="R544" i="2"/>
  <c r="R543" i="2"/>
  <c r="R542" i="2"/>
  <c r="R541" i="2"/>
  <c r="R540" i="2"/>
  <c r="R539" i="2"/>
  <c r="R538" i="2"/>
  <c r="U538" i="2" s="1"/>
  <c r="R537" i="2"/>
  <c r="R536" i="2"/>
  <c r="U536" i="2" s="1"/>
  <c r="R535" i="2"/>
  <c r="R534" i="2"/>
  <c r="R533" i="2"/>
  <c r="R532" i="2"/>
  <c r="U532" i="2" s="1"/>
  <c r="R531" i="2"/>
  <c r="R530" i="2"/>
  <c r="R529" i="2"/>
  <c r="S529" i="2" s="1"/>
  <c r="R528" i="2"/>
  <c r="R527" i="2"/>
  <c r="R526" i="2"/>
  <c r="R525" i="2"/>
  <c r="R524" i="2"/>
  <c r="R523" i="2"/>
  <c r="R522" i="2"/>
  <c r="U522" i="2" s="1"/>
  <c r="R521" i="2"/>
  <c r="R520" i="2"/>
  <c r="R519" i="2"/>
  <c r="R518" i="2"/>
  <c r="R517" i="2"/>
  <c r="R516" i="2"/>
  <c r="U516" i="2" s="1"/>
  <c r="R515" i="2"/>
  <c r="R514" i="2"/>
  <c r="R513" i="2"/>
  <c r="U513" i="2" s="1"/>
  <c r="R512" i="2"/>
  <c r="R511" i="2"/>
  <c r="R510" i="2"/>
  <c r="R509" i="2"/>
  <c r="R508" i="2"/>
  <c r="R507" i="2"/>
  <c r="R506" i="2"/>
  <c r="U506" i="2" s="1"/>
  <c r="R505" i="2"/>
  <c r="U505" i="2" s="1"/>
  <c r="R504" i="2"/>
  <c r="U504" i="2" s="1"/>
  <c r="R503" i="2"/>
  <c r="S503" i="2" s="1"/>
  <c r="R502" i="2"/>
  <c r="R501" i="2"/>
  <c r="U501" i="2" s="1"/>
  <c r="R500" i="2"/>
  <c r="U500" i="2" s="1"/>
  <c r="R499" i="2"/>
  <c r="R498" i="2"/>
  <c r="R497" i="2"/>
  <c r="R496" i="2"/>
  <c r="R495" i="2"/>
  <c r="R494" i="2"/>
  <c r="R493" i="2"/>
  <c r="R492" i="2"/>
  <c r="R491" i="2"/>
  <c r="R490" i="2"/>
  <c r="U490" i="2" s="1"/>
  <c r="R489" i="2"/>
  <c r="S489" i="2" s="1"/>
  <c r="V489" i="2" s="1"/>
  <c r="R488" i="2"/>
  <c r="R487" i="2"/>
  <c r="R486" i="2"/>
  <c r="R485" i="2"/>
  <c r="R484" i="2"/>
  <c r="U484" i="2" s="1"/>
  <c r="R483" i="2"/>
  <c r="R482" i="2"/>
  <c r="R481" i="2"/>
  <c r="R480" i="2"/>
  <c r="R479" i="2"/>
  <c r="R478" i="2"/>
  <c r="R477" i="2"/>
  <c r="U477" i="2" s="1"/>
  <c r="R476" i="2"/>
  <c r="R475" i="2"/>
  <c r="S475" i="2" s="1"/>
  <c r="R474" i="2"/>
  <c r="U474" i="2" s="1"/>
  <c r="R473" i="2"/>
  <c r="U473" i="2" s="1"/>
  <c r="R472" i="2"/>
  <c r="R471" i="2"/>
  <c r="R470" i="2"/>
  <c r="R469" i="2"/>
  <c r="R468" i="2"/>
  <c r="U468" i="2" s="1"/>
  <c r="R467" i="2"/>
  <c r="R466" i="2"/>
  <c r="R465" i="2"/>
  <c r="R464" i="2"/>
  <c r="R463" i="2"/>
  <c r="R462" i="2"/>
  <c r="R461" i="2"/>
  <c r="R460" i="2"/>
  <c r="R459" i="2"/>
  <c r="R458" i="2"/>
  <c r="U458" i="2" s="1"/>
  <c r="R457" i="2"/>
  <c r="R456" i="2"/>
  <c r="U456" i="2" s="1"/>
  <c r="R455" i="2"/>
  <c r="R454" i="2"/>
  <c r="R453" i="2"/>
  <c r="R452" i="2"/>
  <c r="U452" i="2" s="1"/>
  <c r="R451" i="2"/>
  <c r="R450" i="2"/>
  <c r="R449" i="2"/>
  <c r="U449" i="2" s="1"/>
  <c r="R448" i="2"/>
  <c r="R447" i="2"/>
  <c r="R446" i="2"/>
  <c r="U446" i="2" s="1"/>
  <c r="R445" i="2"/>
  <c r="R444" i="2"/>
  <c r="R443" i="2"/>
  <c r="R442" i="2"/>
  <c r="U442" i="2" s="1"/>
  <c r="R441" i="2"/>
  <c r="U441" i="2" s="1"/>
  <c r="R440" i="2"/>
  <c r="R439" i="2"/>
  <c r="R438" i="2"/>
  <c r="R437" i="2"/>
  <c r="U437" i="2" s="1"/>
  <c r="R436" i="2"/>
  <c r="U436" i="2" s="1"/>
  <c r="R435" i="2"/>
  <c r="U435" i="2" s="1"/>
  <c r="R434" i="2"/>
  <c r="R433" i="2"/>
  <c r="S433" i="2" s="1"/>
  <c r="R432" i="2"/>
  <c r="R431" i="2"/>
  <c r="U431" i="2" s="1"/>
  <c r="R430" i="2"/>
  <c r="U430" i="2" s="1"/>
  <c r="R429" i="2"/>
  <c r="U429" i="2" s="1"/>
  <c r="R428" i="2"/>
  <c r="R427" i="2"/>
  <c r="U427" i="2" s="1"/>
  <c r="R426" i="2"/>
  <c r="U426" i="2" s="1"/>
  <c r="R425" i="2"/>
  <c r="R424" i="2"/>
  <c r="R423" i="2"/>
  <c r="U423" i="2" s="1"/>
  <c r="R422" i="2"/>
  <c r="R421" i="2"/>
  <c r="R420" i="2"/>
  <c r="S420" i="2" s="1"/>
  <c r="R419" i="2"/>
  <c r="U419" i="2" s="1"/>
  <c r="R418" i="2"/>
  <c r="R417" i="2"/>
  <c r="R416" i="2"/>
  <c r="V416" i="2" s="1"/>
  <c r="R415" i="2"/>
  <c r="R414" i="2"/>
  <c r="S414" i="2" s="1"/>
  <c r="V414" i="2" s="1"/>
  <c r="R413" i="2"/>
  <c r="U413" i="2" s="1"/>
  <c r="R412" i="2"/>
  <c r="R411" i="2"/>
  <c r="U411" i="2" s="1"/>
  <c r="R410" i="2"/>
  <c r="R409" i="2"/>
  <c r="U409" i="2" s="1"/>
  <c r="R408" i="2"/>
  <c r="R407" i="2"/>
  <c r="V407" i="2" s="1"/>
  <c r="R406" i="2"/>
  <c r="R405" i="2"/>
  <c r="U405" i="2" s="1"/>
  <c r="R404" i="2"/>
  <c r="R403" i="2"/>
  <c r="U403" i="2" s="1"/>
  <c r="R402" i="2"/>
  <c r="R401" i="2"/>
  <c r="U401" i="2" s="1"/>
  <c r="R400" i="2"/>
  <c r="R399" i="2"/>
  <c r="R398" i="2"/>
  <c r="R397" i="2"/>
  <c r="U397" i="2" s="1"/>
  <c r="R396" i="2"/>
  <c r="R395" i="2"/>
  <c r="R394" i="2"/>
  <c r="S394" i="2" s="1"/>
  <c r="V394" i="2" s="1"/>
  <c r="R393" i="2"/>
  <c r="U393" i="2" s="1"/>
  <c r="R392" i="2"/>
  <c r="R391" i="2"/>
  <c r="R390" i="2"/>
  <c r="S390" i="2" s="1"/>
  <c r="V390" i="2" s="1"/>
  <c r="R389" i="2"/>
  <c r="R388" i="2"/>
  <c r="R387" i="2"/>
  <c r="R386" i="2"/>
  <c r="S386" i="2" s="1"/>
  <c r="V386" i="2" s="1"/>
  <c r="R385" i="2"/>
  <c r="U385" i="2" s="1"/>
  <c r="R384" i="2"/>
  <c r="R383" i="2"/>
  <c r="U383" i="2" s="1"/>
  <c r="R382" i="2"/>
  <c r="R381" i="2"/>
  <c r="U381" i="2" s="1"/>
  <c r="R380" i="2"/>
  <c r="V380" i="2" s="1"/>
  <c r="R379" i="2"/>
  <c r="U379" i="2" s="1"/>
  <c r="R378" i="2"/>
  <c r="R377" i="2"/>
  <c r="U377" i="2" s="1"/>
  <c r="R376" i="2"/>
  <c r="R375" i="2"/>
  <c r="U375" i="2" s="1"/>
  <c r="R374" i="2"/>
  <c r="S374" i="2" s="1"/>
  <c r="V374" i="2" s="1"/>
  <c r="R373" i="2"/>
  <c r="U373" i="2" s="1"/>
  <c r="R372" i="2"/>
  <c r="R371" i="2"/>
  <c r="R370" i="2"/>
  <c r="S370" i="2" s="1"/>
  <c r="V370" i="2" s="1"/>
  <c r="R369" i="2"/>
  <c r="U369" i="2" s="1"/>
  <c r="R368" i="2"/>
  <c r="R367" i="2"/>
  <c r="R366" i="2"/>
  <c r="S366" i="2" s="1"/>
  <c r="V366" i="2" s="1"/>
  <c r="R365" i="2"/>
  <c r="U365" i="2" s="1"/>
  <c r="R364" i="2"/>
  <c r="R363" i="2"/>
  <c r="U363" i="2" s="1"/>
  <c r="R362" i="2"/>
  <c r="S362" i="2" s="1"/>
  <c r="R361" i="2"/>
  <c r="U361" i="2" s="1"/>
  <c r="R360" i="2"/>
  <c r="R359" i="2"/>
  <c r="U359" i="2" s="1"/>
  <c r="R358" i="2"/>
  <c r="S358" i="2" s="1"/>
  <c r="V358" i="2" s="1"/>
  <c r="R357" i="2"/>
  <c r="U357" i="2" s="1"/>
  <c r="R356" i="2"/>
  <c r="R355" i="2"/>
  <c r="U355" i="2" s="1"/>
  <c r="R354" i="2"/>
  <c r="R353" i="2"/>
  <c r="U353" i="2" s="1"/>
  <c r="R352" i="2"/>
  <c r="R351" i="2"/>
  <c r="U351" i="2" s="1"/>
  <c r="R350" i="2"/>
  <c r="R349" i="2"/>
  <c r="U349" i="2" s="1"/>
  <c r="R348" i="2"/>
  <c r="R347" i="2"/>
  <c r="U347" i="2" s="1"/>
  <c r="R346" i="2"/>
  <c r="S346" i="2" s="1"/>
  <c r="V346" i="2" s="1"/>
  <c r="R345" i="2"/>
  <c r="U345" i="2" s="1"/>
  <c r="R344" i="2"/>
  <c r="V344" i="2" s="1"/>
  <c r="R343" i="2"/>
  <c r="R342" i="2"/>
  <c r="S342" i="2" s="1"/>
  <c r="V342" i="2" s="1"/>
  <c r="R341" i="2"/>
  <c r="U341" i="2" s="1"/>
  <c r="R340" i="2"/>
  <c r="R339" i="2"/>
  <c r="U339" i="2" s="1"/>
  <c r="R338" i="2"/>
  <c r="S338" i="2" s="1"/>
  <c r="V338" i="2" s="1"/>
  <c r="R337" i="2"/>
  <c r="U337" i="2" s="1"/>
  <c r="R336" i="2"/>
  <c r="R335" i="2"/>
  <c r="V335" i="2" s="1"/>
  <c r="R334" i="2"/>
  <c r="S334" i="2" s="1"/>
  <c r="V334" i="2" s="1"/>
  <c r="R333" i="2"/>
  <c r="U333" i="2" s="1"/>
  <c r="R332" i="2"/>
  <c r="R331" i="2"/>
  <c r="U331" i="2" s="1"/>
  <c r="R330" i="2"/>
  <c r="R329" i="2"/>
  <c r="U329" i="2" s="1"/>
  <c r="R328" i="2"/>
  <c r="R327" i="2"/>
  <c r="U327" i="2" s="1"/>
  <c r="R326" i="2"/>
  <c r="R325" i="2"/>
  <c r="U325" i="2" s="1"/>
  <c r="R324" i="2"/>
  <c r="R323" i="2"/>
  <c r="U323" i="2" s="1"/>
  <c r="R322" i="2"/>
  <c r="S322" i="2" s="1"/>
  <c r="V322" i="2" s="1"/>
  <c r="R321" i="2"/>
  <c r="U321" i="2" s="1"/>
  <c r="R320" i="2"/>
  <c r="R319" i="2"/>
  <c r="R318" i="2"/>
  <c r="S318" i="2" s="1"/>
  <c r="V318" i="2" s="1"/>
  <c r="R317" i="2"/>
  <c r="R316" i="2"/>
  <c r="R315" i="2"/>
  <c r="R314" i="2"/>
  <c r="S314" i="2" s="1"/>
  <c r="V314" i="2" s="1"/>
  <c r="R313" i="2"/>
  <c r="U313" i="2" s="1"/>
  <c r="R312" i="2"/>
  <c r="R311" i="2"/>
  <c r="U311" i="2" s="1"/>
  <c r="R310" i="2"/>
  <c r="S310" i="2" s="1"/>
  <c r="V310" i="2" s="1"/>
  <c r="R309" i="2"/>
  <c r="U309" i="2" s="1"/>
  <c r="R308" i="2"/>
  <c r="V308" i="2" s="1"/>
  <c r="R307" i="2"/>
  <c r="U307" i="2" s="1"/>
  <c r="R306" i="2"/>
  <c r="R305" i="2"/>
  <c r="U305" i="2" s="1"/>
  <c r="R304" i="2"/>
  <c r="R303" i="2"/>
  <c r="U303" i="2" s="1"/>
  <c r="R302" i="2"/>
  <c r="S302" i="2" s="1"/>
  <c r="V302" i="2" s="1"/>
  <c r="R301" i="2"/>
  <c r="U301" i="2" s="1"/>
  <c r="R300" i="2"/>
  <c r="R299" i="2"/>
  <c r="R298" i="2"/>
  <c r="S298" i="2" s="1"/>
  <c r="V298" i="2" s="1"/>
  <c r="R297" i="2"/>
  <c r="U297" i="2" s="1"/>
  <c r="R296" i="2"/>
  <c r="R295" i="2"/>
  <c r="R294" i="2"/>
  <c r="S294" i="2" s="1"/>
  <c r="V294" i="2" s="1"/>
  <c r="R293" i="2"/>
  <c r="U293" i="2" s="1"/>
  <c r="R292" i="2"/>
  <c r="R291" i="2"/>
  <c r="S291" i="2" s="1"/>
  <c r="V291" i="2" s="1"/>
  <c r="R290" i="2"/>
  <c r="S290" i="2" s="1"/>
  <c r="R289" i="2"/>
  <c r="U289" i="2" s="1"/>
  <c r="R288" i="2"/>
  <c r="R287" i="2"/>
  <c r="S287" i="2" s="1"/>
  <c r="V287" i="2" s="1"/>
  <c r="R286" i="2"/>
  <c r="S286" i="2" s="1"/>
  <c r="V286" i="2" s="1"/>
  <c r="R285" i="2"/>
  <c r="U285" i="2" s="1"/>
  <c r="R284" i="2"/>
  <c r="R283" i="2"/>
  <c r="U283" i="2" s="1"/>
  <c r="R282" i="2"/>
  <c r="R281" i="2"/>
  <c r="U281" i="2" s="1"/>
  <c r="R280" i="2"/>
  <c r="R279" i="2"/>
  <c r="U279" i="2" s="1"/>
  <c r="R278" i="2"/>
  <c r="R277" i="2"/>
  <c r="U277" i="2" s="1"/>
  <c r="R276" i="2"/>
  <c r="R275" i="2"/>
  <c r="U275" i="2" s="1"/>
  <c r="R274" i="2"/>
  <c r="S274" i="2" s="1"/>
  <c r="V274" i="2" s="1"/>
  <c r="R273" i="2"/>
  <c r="U273" i="2" s="1"/>
  <c r="R272" i="2"/>
  <c r="V272" i="2" s="1"/>
  <c r="R271" i="2"/>
  <c r="R270" i="2"/>
  <c r="S270" i="2" s="1"/>
  <c r="V270" i="2" s="1"/>
  <c r="R269" i="2"/>
  <c r="U269" i="2" s="1"/>
  <c r="R268" i="2"/>
  <c r="R267" i="2"/>
  <c r="U267" i="2" s="1"/>
  <c r="R266" i="2"/>
  <c r="S266" i="2" s="1"/>
  <c r="V266" i="2" s="1"/>
  <c r="R265" i="2"/>
  <c r="U265" i="2" s="1"/>
  <c r="R264" i="2"/>
  <c r="R263" i="2"/>
  <c r="V263" i="2" s="1"/>
  <c r="R262" i="2"/>
  <c r="S262" i="2" s="1"/>
  <c r="V262" i="2" s="1"/>
  <c r="R261" i="2"/>
  <c r="U261" i="2" s="1"/>
  <c r="R260" i="2"/>
  <c r="R259" i="2"/>
  <c r="U259" i="2" s="1"/>
  <c r="R258" i="2"/>
  <c r="R257" i="2"/>
  <c r="U257" i="2" s="1"/>
  <c r="R256" i="2"/>
  <c r="R255" i="2"/>
  <c r="U255" i="2" s="1"/>
  <c r="R254" i="2"/>
  <c r="R253" i="2"/>
  <c r="U253" i="2" s="1"/>
  <c r="R252" i="2"/>
  <c r="R251" i="2"/>
  <c r="U251" i="2" s="1"/>
  <c r="R250" i="2"/>
  <c r="S250" i="2" s="1"/>
  <c r="V250" i="2" s="1"/>
  <c r="R249" i="2"/>
  <c r="U249" i="2" s="1"/>
  <c r="R248" i="2"/>
  <c r="R245" i="2"/>
  <c r="S245" i="2" s="1"/>
  <c r="R246" i="2"/>
  <c r="S246" i="2" s="1"/>
  <c r="V246" i="2" s="1"/>
  <c r="W246" i="2" s="1"/>
  <c r="R247" i="2"/>
  <c r="U247" i="2" s="1"/>
  <c r="S247" i="2"/>
  <c r="V247" i="2" s="1"/>
  <c r="W247" i="2" s="1"/>
  <c r="U246" i="2" l="1"/>
  <c r="V245" i="2"/>
  <c r="W245" i="2" s="1"/>
  <c r="AJ23" i="20"/>
  <c r="AH24" i="20"/>
  <c r="AK23" i="20"/>
  <c r="I19" i="19"/>
  <c r="H104" i="19"/>
  <c r="AH18" i="19"/>
  <c r="AJ17" i="19"/>
  <c r="AK17" i="19"/>
  <c r="S20" i="19"/>
  <c r="S254" i="2"/>
  <c r="V254" i="2"/>
  <c r="U254" i="2"/>
  <c r="S258" i="2"/>
  <c r="V258" i="2" s="1"/>
  <c r="W258" i="2" s="1"/>
  <c r="U258" i="2"/>
  <c r="U271" i="2"/>
  <c r="S271" i="2"/>
  <c r="V271" i="2" s="1"/>
  <c r="S278" i="2"/>
  <c r="V278" i="2" s="1"/>
  <c r="U278" i="2"/>
  <c r="S282" i="2"/>
  <c r="V282" i="2" s="1"/>
  <c r="U282" i="2"/>
  <c r="U295" i="2"/>
  <c r="S295" i="2"/>
  <c r="V295" i="2" s="1"/>
  <c r="V299" i="2"/>
  <c r="U299" i="2"/>
  <c r="S306" i="2"/>
  <c r="V306" i="2" s="1"/>
  <c r="U306" i="2"/>
  <c r="U315" i="2"/>
  <c r="S315" i="2"/>
  <c r="V315" i="2" s="1"/>
  <c r="U317" i="2"/>
  <c r="V317" i="2"/>
  <c r="U319" i="2"/>
  <c r="S319" i="2"/>
  <c r="V319" i="2" s="1"/>
  <c r="S326" i="2"/>
  <c r="V326" i="2"/>
  <c r="U326" i="2"/>
  <c r="S330" i="2"/>
  <c r="V330" i="2" s="1"/>
  <c r="W330" i="2" s="1"/>
  <c r="U330" i="2"/>
  <c r="U343" i="2"/>
  <c r="S343" i="2"/>
  <c r="V343" i="2" s="1"/>
  <c r="S350" i="2"/>
  <c r="V350" i="2" s="1"/>
  <c r="U350" i="2"/>
  <c r="S354" i="2"/>
  <c r="V354" i="2" s="1"/>
  <c r="U354" i="2"/>
  <c r="U367" i="2"/>
  <c r="S367" i="2"/>
  <c r="V367" i="2" s="1"/>
  <c r="W367" i="2" s="1"/>
  <c r="V371" i="2"/>
  <c r="U371" i="2"/>
  <c r="S378" i="2"/>
  <c r="V378" i="2" s="1"/>
  <c r="U378" i="2"/>
  <c r="S382" i="2"/>
  <c r="V382" i="2" s="1"/>
  <c r="U382" i="2"/>
  <c r="U387" i="2"/>
  <c r="S387" i="2"/>
  <c r="V387" i="2" s="1"/>
  <c r="W387" i="2" s="1"/>
  <c r="U389" i="2"/>
  <c r="V389" i="2"/>
  <c r="U391" i="2"/>
  <c r="S391" i="2"/>
  <c r="V391" i="2" s="1"/>
  <c r="U395" i="2"/>
  <c r="S395" i="2"/>
  <c r="V395" i="2" s="1"/>
  <c r="S398" i="2"/>
  <c r="V398" i="2"/>
  <c r="W398" i="2" s="1"/>
  <c r="U398" i="2"/>
  <c r="U399" i="2"/>
  <c r="S399" i="2"/>
  <c r="V399" i="2" s="1"/>
  <c r="S402" i="2"/>
  <c r="V402" i="2" s="1"/>
  <c r="U402" i="2"/>
  <c r="S406" i="2"/>
  <c r="V406" i="2" s="1"/>
  <c r="U406" i="2"/>
  <c r="S410" i="2"/>
  <c r="V410" i="2" s="1"/>
  <c r="U410" i="2"/>
  <c r="U415" i="2"/>
  <c r="S415" i="2"/>
  <c r="V415" i="2" s="1"/>
  <c r="U421" i="2"/>
  <c r="S421" i="2"/>
  <c r="V421" i="2" s="1"/>
  <c r="V425" i="2"/>
  <c r="U425" i="2"/>
  <c r="S425" i="2"/>
  <c r="S445" i="2"/>
  <c r="V445" i="2" s="1"/>
  <c r="U445" i="2"/>
  <c r="S453" i="2"/>
  <c r="V453" i="2" s="1"/>
  <c r="W453" i="2" s="1"/>
  <c r="U453" i="2"/>
  <c r="U455" i="2"/>
  <c r="S455" i="2"/>
  <c r="V455" i="2" s="1"/>
  <c r="W455" i="2" s="1"/>
  <c r="S457" i="2"/>
  <c r="V457" i="2" s="1"/>
  <c r="W457" i="2" s="1"/>
  <c r="U457" i="2"/>
  <c r="U459" i="2"/>
  <c r="S459" i="2"/>
  <c r="V459" i="2" s="1"/>
  <c r="V461" i="2"/>
  <c r="U461" i="2"/>
  <c r="S461" i="2"/>
  <c r="U463" i="2"/>
  <c r="S463" i="2"/>
  <c r="V463" i="2" s="1"/>
  <c r="W463" i="2" s="1"/>
  <c r="U465" i="2"/>
  <c r="S465" i="2"/>
  <c r="V465" i="2" s="1"/>
  <c r="U467" i="2"/>
  <c r="S467" i="2"/>
  <c r="V467" i="2" s="1"/>
  <c r="U469" i="2"/>
  <c r="S469" i="2"/>
  <c r="U471" i="2"/>
  <c r="S471" i="2"/>
  <c r="V471" i="2" s="1"/>
  <c r="W471" i="2" s="1"/>
  <c r="U481" i="2"/>
  <c r="S481" i="2"/>
  <c r="V481" i="2" s="1"/>
  <c r="S485" i="2"/>
  <c r="V485" i="2" s="1"/>
  <c r="W485" i="2" s="1"/>
  <c r="U485" i="2"/>
  <c r="U487" i="2"/>
  <c r="S487" i="2"/>
  <c r="V487" i="2" s="1"/>
  <c r="W487" i="2" s="1"/>
  <c r="U491" i="2"/>
  <c r="S491" i="2"/>
  <c r="V491" i="2" s="1"/>
  <c r="V493" i="2"/>
  <c r="U493" i="2"/>
  <c r="S493" i="2"/>
  <c r="U495" i="2"/>
  <c r="S495" i="2"/>
  <c r="V495" i="2" s="1"/>
  <c r="U497" i="2"/>
  <c r="S497" i="2"/>
  <c r="V497" i="2" s="1"/>
  <c r="W497" i="2" s="1"/>
  <c r="U499" i="2"/>
  <c r="S499" i="2"/>
  <c r="V499" i="2" s="1"/>
  <c r="S509" i="2"/>
  <c r="V509" i="2" s="1"/>
  <c r="U509" i="2"/>
  <c r="S517" i="2"/>
  <c r="V517" i="2"/>
  <c r="U517" i="2"/>
  <c r="U519" i="2"/>
  <c r="S519" i="2"/>
  <c r="V519" i="2" s="1"/>
  <c r="S521" i="2"/>
  <c r="V521" i="2" s="1"/>
  <c r="U521" i="2"/>
  <c r="U523" i="2"/>
  <c r="V523" i="2"/>
  <c r="S523" i="2"/>
  <c r="U525" i="2"/>
  <c r="S525" i="2"/>
  <c r="V525" i="2" s="1"/>
  <c r="W525" i="2" s="1"/>
  <c r="U527" i="2"/>
  <c r="S527" i="2"/>
  <c r="V527" i="2" s="1"/>
  <c r="U531" i="2"/>
  <c r="S531" i="2"/>
  <c r="V531" i="2" s="1"/>
  <c r="V533" i="2"/>
  <c r="U533" i="2"/>
  <c r="S533" i="2"/>
  <c r="U535" i="2"/>
  <c r="S535" i="2"/>
  <c r="V535" i="2" s="1"/>
  <c r="U537" i="2"/>
  <c r="S537" i="2"/>
  <c r="V537" i="2" s="1"/>
  <c r="U539" i="2"/>
  <c r="S539" i="2"/>
  <c r="V539" i="2" s="1"/>
  <c r="U541" i="2"/>
  <c r="S541" i="2"/>
  <c r="V541" i="2" s="1"/>
  <c r="U543" i="2"/>
  <c r="V543" i="2"/>
  <c r="S543" i="2"/>
  <c r="U545" i="2"/>
  <c r="S545" i="2"/>
  <c r="V545" i="2" s="1"/>
  <c r="U555" i="2"/>
  <c r="S555" i="2"/>
  <c r="V555" i="2" s="1"/>
  <c r="U557" i="2"/>
  <c r="S557" i="2"/>
  <c r="V557" i="2" s="1"/>
  <c r="U559" i="2"/>
  <c r="S559" i="2"/>
  <c r="V559" i="2" s="1"/>
  <c r="U563" i="2"/>
  <c r="V563" i="2"/>
  <c r="S563" i="2"/>
  <c r="U565" i="2"/>
  <c r="S565" i="2"/>
  <c r="V565" i="2" s="1"/>
  <c r="W565" i="2" s="1"/>
  <c r="U569" i="2"/>
  <c r="S569" i="2"/>
  <c r="V569" i="2" s="1"/>
  <c r="U583" i="2"/>
  <c r="V583" i="2"/>
  <c r="S583" i="2"/>
  <c r="U585" i="2"/>
  <c r="S585" i="2"/>
  <c r="V585" i="2" s="1"/>
  <c r="U587" i="2"/>
  <c r="S587" i="2"/>
  <c r="V587" i="2" s="1"/>
  <c r="W587" i="2" s="1"/>
  <c r="U589" i="2"/>
  <c r="S589" i="2"/>
  <c r="V589" i="2" s="1"/>
  <c r="U591" i="2"/>
  <c r="S591" i="2"/>
  <c r="V591" i="2" s="1"/>
  <c r="V593" i="2"/>
  <c r="U593" i="2"/>
  <c r="S593" i="2"/>
  <c r="U595" i="2"/>
  <c r="S595" i="2"/>
  <c r="V595" i="2" s="1"/>
  <c r="U597" i="2"/>
  <c r="S597" i="2"/>
  <c r="V597" i="2" s="1"/>
  <c r="U601" i="2"/>
  <c r="S601" i="2"/>
  <c r="V601" i="2" s="1"/>
  <c r="U605" i="2"/>
  <c r="S605" i="2"/>
  <c r="V605" i="2" s="1"/>
  <c r="W605" i="2" s="1"/>
  <c r="U607" i="2"/>
  <c r="S607" i="2"/>
  <c r="V607" i="2" s="1"/>
  <c r="U609" i="2"/>
  <c r="S609" i="2"/>
  <c r="V609" i="2" s="1"/>
  <c r="U611" i="2"/>
  <c r="S611" i="2"/>
  <c r="V611" i="2" s="1"/>
  <c r="U613" i="2"/>
  <c r="S613" i="2"/>
  <c r="S616" i="2"/>
  <c r="V616" i="2" s="1"/>
  <c r="W616" i="2" s="1"/>
  <c r="U616" i="2"/>
  <c r="S620" i="2"/>
  <c r="U620" i="2"/>
  <c r="U621" i="2"/>
  <c r="S621" i="2"/>
  <c r="V621" i="2" s="1"/>
  <c r="U623" i="2"/>
  <c r="V623" i="2"/>
  <c r="W623" i="2" s="1"/>
  <c r="S623" i="2"/>
  <c r="U625" i="2"/>
  <c r="S625" i="2"/>
  <c r="V625" i="2" s="1"/>
  <c r="U627" i="2"/>
  <c r="S627" i="2"/>
  <c r="V627" i="2" s="1"/>
  <c r="S628" i="2"/>
  <c r="U628" i="2"/>
  <c r="U631" i="2"/>
  <c r="S631" i="2"/>
  <c r="V631" i="2" s="1"/>
  <c r="W631" i="2" s="1"/>
  <c r="S632" i="2"/>
  <c r="U632" i="2"/>
  <c r="U635" i="2"/>
  <c r="S635" i="2"/>
  <c r="V635" i="2" s="1"/>
  <c r="U637" i="2"/>
  <c r="S637" i="2"/>
  <c r="V637" i="2" s="1"/>
  <c r="U639" i="2"/>
  <c r="S639" i="2"/>
  <c r="V639" i="2" s="1"/>
  <c r="W639" i="2" s="1"/>
  <c r="S640" i="2"/>
  <c r="U640" i="2"/>
  <c r="U641" i="2"/>
  <c r="S641" i="2"/>
  <c r="V641" i="2" s="1"/>
  <c r="U643" i="2"/>
  <c r="S643" i="2"/>
  <c r="S644" i="2"/>
  <c r="U644" i="2"/>
  <c r="S648" i="2"/>
  <c r="U648" i="2"/>
  <c r="U649" i="2"/>
  <c r="S649" i="2"/>
  <c r="V649" i="2" s="1"/>
  <c r="U651" i="2"/>
  <c r="S651" i="2"/>
  <c r="V651" i="2" s="1"/>
  <c r="U653" i="2"/>
  <c r="S653" i="2"/>
  <c r="U655" i="2"/>
  <c r="S655" i="2"/>
  <c r="S656" i="2"/>
  <c r="U656" i="2"/>
  <c r="S660" i="2"/>
  <c r="U660" i="2"/>
  <c r="U661" i="2"/>
  <c r="S661" i="2"/>
  <c r="V661" i="2" s="1"/>
  <c r="W661" i="2" s="1"/>
  <c r="U663" i="2"/>
  <c r="S663" i="2"/>
  <c r="V663" i="2" s="1"/>
  <c r="U665" i="2"/>
  <c r="S665" i="2"/>
  <c r="V665" i="2" s="1"/>
  <c r="U667" i="2"/>
  <c r="S667" i="2"/>
  <c r="V667" i="2" s="1"/>
  <c r="S668" i="2"/>
  <c r="V668" i="2" s="1"/>
  <c r="W668" i="2" s="1"/>
  <c r="U668" i="2"/>
  <c r="U671" i="2"/>
  <c r="S671" i="2"/>
  <c r="S672" i="2"/>
  <c r="U672" i="2"/>
  <c r="S676" i="2"/>
  <c r="U676" i="2"/>
  <c r="U677" i="2"/>
  <c r="S677" i="2"/>
  <c r="V677" i="2" s="1"/>
  <c r="W677" i="2" s="1"/>
  <c r="U679" i="2"/>
  <c r="S679" i="2"/>
  <c r="V679" i="2" s="1"/>
  <c r="U681" i="2"/>
  <c r="S681" i="2"/>
  <c r="V681" i="2" s="1"/>
  <c r="U683" i="2"/>
  <c r="S683" i="2"/>
  <c r="V683" i="2" s="1"/>
  <c r="S684" i="2"/>
  <c r="V684" i="2" s="1"/>
  <c r="W684" i="2" s="1"/>
  <c r="U684" i="2"/>
  <c r="U687" i="2"/>
  <c r="S687" i="2"/>
  <c r="S688" i="2"/>
  <c r="U688" i="2"/>
  <c r="S692" i="2"/>
  <c r="U692" i="2"/>
  <c r="U693" i="2"/>
  <c r="S693" i="2"/>
  <c r="V693" i="2" s="1"/>
  <c r="W693" i="2" s="1"/>
  <c r="U695" i="2"/>
  <c r="S695" i="2"/>
  <c r="V695" i="2" s="1"/>
  <c r="S699" i="2"/>
  <c r="V699" i="2" s="1"/>
  <c r="W699" i="2" s="1"/>
  <c r="U702" i="2"/>
  <c r="V702" i="2"/>
  <c r="U704" i="2"/>
  <c r="S704" i="2"/>
  <c r="V704" i="2" s="1"/>
  <c r="W704" i="2" s="1"/>
  <c r="S707" i="2"/>
  <c r="V707" i="2"/>
  <c r="U710" i="2"/>
  <c r="V710" i="2"/>
  <c r="U712" i="2"/>
  <c r="S712" i="2"/>
  <c r="S715" i="2"/>
  <c r="V715" i="2"/>
  <c r="W715" i="2" s="1"/>
  <c r="U718" i="2"/>
  <c r="V718" i="2"/>
  <c r="U720" i="2"/>
  <c r="S720" i="2"/>
  <c r="S723" i="2"/>
  <c r="V723" i="2"/>
  <c r="U726" i="2"/>
  <c r="V726" i="2"/>
  <c r="W726" i="2" s="1"/>
  <c r="U728" i="2"/>
  <c r="S728" i="2"/>
  <c r="S731" i="2"/>
  <c r="V731" i="2" s="1"/>
  <c r="W731" i="2" s="1"/>
  <c r="U734" i="2"/>
  <c r="V734" i="2"/>
  <c r="U736" i="2"/>
  <c r="S736" i="2"/>
  <c r="V736" i="2" s="1"/>
  <c r="W736" i="2" s="1"/>
  <c r="S739" i="2"/>
  <c r="V739" i="2"/>
  <c r="U742" i="2"/>
  <c r="V742" i="2"/>
  <c r="U744" i="2"/>
  <c r="S744" i="2"/>
  <c r="S747" i="2"/>
  <c r="V747" i="2"/>
  <c r="W747" i="2" s="1"/>
  <c r="U752" i="2"/>
  <c r="S752" i="2"/>
  <c r="V752" i="2" s="1"/>
  <c r="U753" i="2"/>
  <c r="S753" i="2"/>
  <c r="S756" i="2"/>
  <c r="V756" i="2" s="1"/>
  <c r="U757" i="2"/>
  <c r="S757" i="2"/>
  <c r="V757" i="2" s="1"/>
  <c r="W757" i="2" s="1"/>
  <c r="U760" i="2"/>
  <c r="S760" i="2"/>
  <c r="V760" i="2" s="1"/>
  <c r="U761" i="2"/>
  <c r="S761" i="2"/>
  <c r="U764" i="2"/>
  <c r="S764" i="2"/>
  <c r="U765" i="2"/>
  <c r="S765" i="2"/>
  <c r="S768" i="2"/>
  <c r="V768" i="2" s="1"/>
  <c r="W768" i="2" s="1"/>
  <c r="U769" i="2"/>
  <c r="S769" i="2"/>
  <c r="U776" i="2"/>
  <c r="S776" i="2"/>
  <c r="V776" i="2" s="1"/>
  <c r="U777" i="2"/>
  <c r="S777" i="2"/>
  <c r="U780" i="2"/>
  <c r="S780" i="2"/>
  <c r="V780" i="2" s="1"/>
  <c r="W780" i="2" s="1"/>
  <c r="U781" i="2"/>
  <c r="S781" i="2"/>
  <c r="S784" i="2"/>
  <c r="V784" i="2" s="1"/>
  <c r="U785" i="2"/>
  <c r="S785" i="2"/>
  <c r="U792" i="2"/>
  <c r="S792" i="2"/>
  <c r="V792" i="2" s="1"/>
  <c r="W792" i="2" s="1"/>
  <c r="U793" i="2"/>
  <c r="S793" i="2"/>
  <c r="U796" i="2"/>
  <c r="S796" i="2"/>
  <c r="V796" i="2" s="1"/>
  <c r="U800" i="2"/>
  <c r="S800" i="2"/>
  <c r="V800" i="2" s="1"/>
  <c r="U806" i="2"/>
  <c r="V806" i="2"/>
  <c r="W806" i="2" s="1"/>
  <c r="S807" i="2"/>
  <c r="V807" i="2" s="1"/>
  <c r="W807" i="2" s="1"/>
  <c r="U810" i="2"/>
  <c r="V810" i="2"/>
  <c r="W810" i="2" s="1"/>
  <c r="S811" i="2"/>
  <c r="V811" i="2" s="1"/>
  <c r="W811" i="2" s="1"/>
  <c r="U814" i="2"/>
  <c r="V814" i="2"/>
  <c r="W814" i="2" s="1"/>
  <c r="S815" i="2"/>
  <c r="V815" i="2" s="1"/>
  <c r="W815" i="2" s="1"/>
  <c r="U818" i="2"/>
  <c r="V818" i="2"/>
  <c r="W818" i="2" s="1"/>
  <c r="S819" i="2"/>
  <c r="V819" i="2" s="1"/>
  <c r="W819" i="2" s="1"/>
  <c r="U822" i="2"/>
  <c r="V822" i="2"/>
  <c r="W822" i="2" s="1"/>
  <c r="S823" i="2"/>
  <c r="V823" i="2" s="1"/>
  <c r="W823" i="2" s="1"/>
  <c r="U826" i="2"/>
  <c r="V826" i="2"/>
  <c r="W826" i="2" s="1"/>
  <c r="S827" i="2"/>
  <c r="V827" i="2" s="1"/>
  <c r="W827" i="2" s="1"/>
  <c r="U830" i="2"/>
  <c r="V830" i="2"/>
  <c r="W830" i="2" s="1"/>
  <c r="S831" i="2"/>
  <c r="V831" i="2" s="1"/>
  <c r="W831" i="2" s="1"/>
  <c r="U834" i="2"/>
  <c r="V834" i="2"/>
  <c r="W834" i="2" s="1"/>
  <c r="S835" i="2"/>
  <c r="V835" i="2" s="1"/>
  <c r="W835" i="2" s="1"/>
  <c r="U844" i="2"/>
  <c r="S844" i="2"/>
  <c r="V844" i="2" s="1"/>
  <c r="W844" i="2" s="1"/>
  <c r="U845" i="2"/>
  <c r="S845" i="2"/>
  <c r="U852" i="2"/>
  <c r="S852" i="2"/>
  <c r="V852" i="2" s="1"/>
  <c r="U853" i="2"/>
  <c r="S853" i="2"/>
  <c r="S856" i="2"/>
  <c r="V856" i="2" s="1"/>
  <c r="U857" i="2"/>
  <c r="S857" i="2"/>
  <c r="V857" i="2" s="1"/>
  <c r="W857" i="2" s="1"/>
  <c r="U860" i="2"/>
  <c r="S860" i="2"/>
  <c r="V860" i="2" s="1"/>
  <c r="U861" i="2"/>
  <c r="S861" i="2"/>
  <c r="U864" i="2"/>
  <c r="S864" i="2"/>
  <c r="U865" i="2"/>
  <c r="S865" i="2"/>
  <c r="V865" i="2" s="1"/>
  <c r="W865" i="2" s="1"/>
  <c r="U869" i="2"/>
  <c r="S869" i="2"/>
  <c r="U872" i="2"/>
  <c r="S872" i="2"/>
  <c r="U876" i="2"/>
  <c r="S876" i="2"/>
  <c r="U880" i="2"/>
  <c r="S880" i="2"/>
  <c r="U884" i="2"/>
  <c r="S884" i="2"/>
  <c r="U888" i="2"/>
  <c r="S888" i="2"/>
  <c r="U892" i="2"/>
  <c r="S892" i="2"/>
  <c r="U896" i="2"/>
  <c r="S896" i="2"/>
  <c r="V896" i="2" s="1"/>
  <c r="W896" i="2" s="1"/>
  <c r="U900" i="2"/>
  <c r="S900" i="2"/>
  <c r="V902" i="2"/>
  <c r="U902" i="2"/>
  <c r="U904" i="2"/>
  <c r="S904" i="2"/>
  <c r="S920" i="2"/>
  <c r="V920" i="2" s="1"/>
  <c r="W920" i="2" s="1"/>
  <c r="U920" i="2"/>
  <c r="S936" i="2"/>
  <c r="U936" i="2"/>
  <c r="S952" i="2"/>
  <c r="U952" i="2"/>
  <c r="S953" i="2"/>
  <c r="U953" i="2"/>
  <c r="V958" i="2"/>
  <c r="S958" i="2"/>
  <c r="U960" i="2"/>
  <c r="S960" i="2"/>
  <c r="V960" i="2" s="1"/>
  <c r="S961" i="2"/>
  <c r="U961" i="2"/>
  <c r="V966" i="2"/>
  <c r="S966" i="2"/>
  <c r="U968" i="2"/>
  <c r="S968" i="2"/>
  <c r="V968" i="2" s="1"/>
  <c r="S969" i="2"/>
  <c r="U969" i="2"/>
  <c r="V974" i="2"/>
  <c r="S974" i="2"/>
  <c r="U976" i="2"/>
  <c r="S976" i="2"/>
  <c r="V976" i="2" s="1"/>
  <c r="S977" i="2"/>
  <c r="V977" i="2" s="1"/>
  <c r="W977" i="2" s="1"/>
  <c r="U977" i="2"/>
  <c r="V982" i="2"/>
  <c r="S982" i="2"/>
  <c r="U984" i="2"/>
  <c r="S984" i="2"/>
  <c r="V984" i="2" s="1"/>
  <c r="S985" i="2"/>
  <c r="U985" i="2"/>
  <c r="V990" i="2"/>
  <c r="W990" i="2" s="1"/>
  <c r="S990" i="2"/>
  <c r="U992" i="2"/>
  <c r="S992" i="2"/>
  <c r="V992" i="2" s="1"/>
  <c r="S993" i="2"/>
  <c r="U993" i="2"/>
  <c r="V998" i="2"/>
  <c r="S998" i="2"/>
  <c r="U1000" i="2"/>
  <c r="S1000" i="2"/>
  <c r="V1000" i="2" s="1"/>
  <c r="W1000" i="2" s="1"/>
  <c r="S1001" i="2"/>
  <c r="U1001" i="2"/>
  <c r="S1005" i="2"/>
  <c r="U1005" i="2"/>
  <c r="S1013" i="2"/>
  <c r="U1013" i="2"/>
  <c r="S1021" i="2"/>
  <c r="V1021" i="2" s="1"/>
  <c r="W1021" i="2" s="1"/>
  <c r="U1021" i="2"/>
  <c r="S1029" i="2"/>
  <c r="U1029" i="2"/>
  <c r="S1048" i="2"/>
  <c r="U1048" i="2"/>
  <c r="S1061" i="2"/>
  <c r="V1061" i="2"/>
  <c r="W1061" i="2" s="1"/>
  <c r="S1062" i="2"/>
  <c r="V1062" i="2"/>
  <c r="W1062" i="2" s="1"/>
  <c r="U1062" i="2"/>
  <c r="S1063" i="2"/>
  <c r="U1063" i="2"/>
  <c r="U1068" i="2"/>
  <c r="S1068" i="2"/>
  <c r="V1068" i="2" s="1"/>
  <c r="W1068" i="2" s="1"/>
  <c r="S1069" i="2"/>
  <c r="V1069" i="2"/>
  <c r="W1069" i="2" s="1"/>
  <c r="S1070" i="2"/>
  <c r="V1070" i="2"/>
  <c r="U1070" i="2"/>
  <c r="S1071" i="2"/>
  <c r="U1071" i="2"/>
  <c r="S1073" i="2"/>
  <c r="V1073" i="2"/>
  <c r="W1073" i="2" s="1"/>
  <c r="U1073" i="2"/>
  <c r="V1074" i="2"/>
  <c r="W1074" i="2" s="1"/>
  <c r="U1074" i="2"/>
  <c r="S1074" i="2"/>
  <c r="U1075" i="2"/>
  <c r="S1075" i="2"/>
  <c r="U1080" i="2"/>
  <c r="S1080" i="2"/>
  <c r="V1080" i="2" s="1"/>
  <c r="W1080" i="2" s="1"/>
  <c r="S1081" i="2"/>
  <c r="V1081" i="2"/>
  <c r="W1081" i="2" s="1"/>
  <c r="S1082" i="2"/>
  <c r="V1082" i="2" s="1"/>
  <c r="U1082" i="2"/>
  <c r="V1083" i="2"/>
  <c r="W1083" i="2" s="1"/>
  <c r="U1083" i="2"/>
  <c r="U1094" i="2"/>
  <c r="S1094" i="2"/>
  <c r="V1094" i="2" s="1"/>
  <c r="W1094" i="2" s="1"/>
  <c r="U1096" i="2"/>
  <c r="S1096" i="2"/>
  <c r="V1096" i="2" s="1"/>
  <c r="U1101" i="2"/>
  <c r="S1101" i="2"/>
  <c r="S1103" i="2"/>
  <c r="U1103" i="2"/>
  <c r="S1108" i="2"/>
  <c r="V1108" i="2"/>
  <c r="W1108" i="2" s="1"/>
  <c r="U1108" i="2"/>
  <c r="V1113" i="2"/>
  <c r="W1113" i="2"/>
  <c r="S1113" i="2"/>
  <c r="S1116" i="2"/>
  <c r="V1116" i="2" s="1"/>
  <c r="U1116" i="2"/>
  <c r="U1118" i="2"/>
  <c r="S1118" i="2"/>
  <c r="U1120" i="2"/>
  <c r="S1120" i="2"/>
  <c r="V1120" i="2" s="1"/>
  <c r="U1125" i="2"/>
  <c r="S1125" i="2"/>
  <c r="S1127" i="2"/>
  <c r="U1127" i="2"/>
  <c r="U1128" i="2"/>
  <c r="V1128" i="2"/>
  <c r="W1128" i="2" s="1"/>
  <c r="U1130" i="2"/>
  <c r="S1130" i="2"/>
  <c r="U1132" i="2"/>
  <c r="S1132" i="2"/>
  <c r="V1132" i="2" s="1"/>
  <c r="V1133" i="2"/>
  <c r="W1133" i="2" s="1"/>
  <c r="S1135" i="2"/>
  <c r="U1135" i="2"/>
  <c r="S1140" i="2"/>
  <c r="V1140" i="2" s="1"/>
  <c r="W1140" i="2" s="1"/>
  <c r="U1140" i="2"/>
  <c r="U1142" i="2"/>
  <c r="S1142" i="2"/>
  <c r="U1144" i="2"/>
  <c r="S1144" i="2"/>
  <c r="V1144" i="2" s="1"/>
  <c r="U1149" i="2"/>
  <c r="S1149" i="2"/>
  <c r="S1151" i="2"/>
  <c r="V1151" i="2" s="1"/>
  <c r="W1151" i="2" s="1"/>
  <c r="U1151" i="2"/>
  <c r="S1152" i="2"/>
  <c r="V1152" i="2" s="1"/>
  <c r="U1152" i="2"/>
  <c r="U1154" i="2"/>
  <c r="S1154" i="2"/>
  <c r="U1156" i="2"/>
  <c r="S1156" i="2"/>
  <c r="V1156" i="2" s="1"/>
  <c r="W1156" i="2" s="1"/>
  <c r="U1157" i="2"/>
  <c r="S1157" i="2"/>
  <c r="S1159" i="2"/>
  <c r="U1159" i="2"/>
  <c r="U1161" i="2"/>
  <c r="S1161" i="2"/>
  <c r="S1163" i="2"/>
  <c r="U1163" i="2"/>
  <c r="S1164" i="2"/>
  <c r="V1164" i="2" s="1"/>
  <c r="W1164" i="2" s="1"/>
  <c r="U1164" i="2"/>
  <c r="U1166" i="2"/>
  <c r="S1166" i="2"/>
  <c r="V1168" i="2"/>
  <c r="U1168" i="2"/>
  <c r="S1171" i="2"/>
  <c r="U1171" i="2"/>
  <c r="U1177" i="2"/>
  <c r="S1177" i="2"/>
  <c r="U1182" i="2"/>
  <c r="S1182" i="2"/>
  <c r="V1182" i="2" s="1"/>
  <c r="W1182" i="2" s="1"/>
  <c r="S1186" i="2"/>
  <c r="V1186" i="2" s="1"/>
  <c r="W1186" i="2" s="1"/>
  <c r="V1188" i="2"/>
  <c r="U1188" i="2"/>
  <c r="S1188" i="2"/>
  <c r="U1192" i="2"/>
  <c r="S1192" i="2"/>
  <c r="V1192" i="2" s="1"/>
  <c r="V1198" i="2"/>
  <c r="S1198" i="2"/>
  <c r="U1200" i="2"/>
  <c r="S1200" i="2"/>
  <c r="V1200" i="2" s="1"/>
  <c r="U1212" i="2"/>
  <c r="S1212" i="2"/>
  <c r="V1212" i="2" s="1"/>
  <c r="W1212" i="2" s="1"/>
  <c r="S1213" i="2"/>
  <c r="U1213" i="2"/>
  <c r="U1219" i="2"/>
  <c r="S1219" i="2"/>
  <c r="V1219" i="2" s="1"/>
  <c r="S1225" i="2"/>
  <c r="V1225" i="2"/>
  <c r="U1227" i="2"/>
  <c r="S1227" i="2"/>
  <c r="V1227" i="2" s="1"/>
  <c r="W1227" i="2" s="1"/>
  <c r="S1233" i="2"/>
  <c r="V1233" i="2"/>
  <c r="U1235" i="2"/>
  <c r="S1235" i="2"/>
  <c r="V1235" i="2" s="1"/>
  <c r="U1243" i="2"/>
  <c r="V1243" i="2"/>
  <c r="S1243" i="2"/>
  <c r="S1245" i="2"/>
  <c r="V1245" i="2" s="1"/>
  <c r="W1245" i="2" s="1"/>
  <c r="U1251" i="2"/>
  <c r="S1251" i="2"/>
  <c r="V1251" i="2" s="1"/>
  <c r="V1253" i="2"/>
  <c r="S1253" i="2"/>
  <c r="U1259" i="2"/>
  <c r="S1259" i="2"/>
  <c r="V1259" i="2" s="1"/>
  <c r="U1267" i="2"/>
  <c r="S1267" i="2"/>
  <c r="V1267" i="2" s="1"/>
  <c r="W1267" i="2" s="1"/>
  <c r="S1277" i="2"/>
  <c r="V1277" i="2" s="1"/>
  <c r="U1279" i="2"/>
  <c r="S1279" i="2"/>
  <c r="V1279" i="2" s="1"/>
  <c r="V1281" i="2"/>
  <c r="S1281" i="2"/>
  <c r="U1283" i="2"/>
  <c r="S1283" i="2"/>
  <c r="V1283" i="2" s="1"/>
  <c r="W1283" i="2" s="1"/>
  <c r="S1284" i="2"/>
  <c r="V1284" i="2"/>
  <c r="W1284" i="2" s="1"/>
  <c r="S1285" i="2"/>
  <c r="V1285" i="2" s="1"/>
  <c r="U1285" i="2"/>
  <c r="U1287" i="2"/>
  <c r="S1287" i="2"/>
  <c r="S1288" i="2"/>
  <c r="U1288" i="2"/>
  <c r="U1289" i="2"/>
  <c r="S1289" i="2"/>
  <c r="V1289" i="2" s="1"/>
  <c r="V1290" i="2"/>
  <c r="W1290" i="2" s="1"/>
  <c r="U1290" i="2"/>
  <c r="S1290" i="2"/>
  <c r="U1291" i="2"/>
  <c r="S1291" i="2"/>
  <c r="V1291" i="2" s="1"/>
  <c r="W1291" i="2" s="1"/>
  <c r="S1292" i="2"/>
  <c r="V1292" i="2" s="1"/>
  <c r="W1292" i="2" s="1"/>
  <c r="S1293" i="2"/>
  <c r="V1293" i="2"/>
  <c r="U1293" i="2"/>
  <c r="S1294" i="2"/>
  <c r="U1294" i="2"/>
  <c r="S1296" i="2"/>
  <c r="V1296" i="2"/>
  <c r="W1296" i="2" s="1"/>
  <c r="U1296" i="2"/>
  <c r="U1297" i="2"/>
  <c r="S1297" i="2"/>
  <c r="V1297" i="2" s="1"/>
  <c r="U1298" i="2"/>
  <c r="S1298" i="2"/>
  <c r="U1299" i="2"/>
  <c r="V1299" i="2"/>
  <c r="W1299" i="2" s="1"/>
  <c r="S1300" i="2"/>
  <c r="V1300" i="2" s="1"/>
  <c r="W1300" i="2" s="1"/>
  <c r="S1301" i="2"/>
  <c r="V1301" i="2" s="1"/>
  <c r="U1301" i="2"/>
  <c r="V1302" i="2"/>
  <c r="W1302" i="2" s="1"/>
  <c r="U1302" i="2"/>
  <c r="U1307" i="2"/>
  <c r="S1307" i="2"/>
  <c r="V1307" i="2" s="1"/>
  <c r="W1307" i="2" s="1"/>
  <c r="S1308" i="2"/>
  <c r="V1308" i="2"/>
  <c r="W1308" i="2" s="1"/>
  <c r="S1309" i="2"/>
  <c r="V1309" i="2" s="1"/>
  <c r="U1309" i="2"/>
  <c r="U1311" i="2"/>
  <c r="S1311" i="2"/>
  <c r="S1312" i="2"/>
  <c r="V1312" i="2" s="1"/>
  <c r="W1312" i="2" s="1"/>
  <c r="U1312" i="2"/>
  <c r="U1313" i="2"/>
  <c r="S1313" i="2"/>
  <c r="V1313" i="2" s="1"/>
  <c r="V1314" i="2"/>
  <c r="W1314" i="2" s="1"/>
  <c r="U1314" i="2"/>
  <c r="S1314" i="2"/>
  <c r="U1315" i="2"/>
  <c r="S1315" i="2"/>
  <c r="V1315" i="2" s="1"/>
  <c r="W1315" i="2" s="1"/>
  <c r="S1316" i="2"/>
  <c r="V1316" i="2"/>
  <c r="W1316" i="2" s="1"/>
  <c r="S1317" i="2"/>
  <c r="V1317" i="2"/>
  <c r="U1317" i="2"/>
  <c r="S1318" i="2"/>
  <c r="U1318" i="2"/>
  <c r="S1320" i="2"/>
  <c r="V1320" i="2"/>
  <c r="W1320" i="2" s="1"/>
  <c r="U1320" i="2"/>
  <c r="U1321" i="2"/>
  <c r="S1321" i="2"/>
  <c r="V1321" i="2" s="1"/>
  <c r="U1322" i="2"/>
  <c r="S1322" i="2"/>
  <c r="U1323" i="2"/>
  <c r="V1323" i="2"/>
  <c r="W1323" i="2" s="1"/>
  <c r="S1324" i="2"/>
  <c r="V1324" i="2"/>
  <c r="W1324" i="2" s="1"/>
  <c r="S1325" i="2"/>
  <c r="V1325" i="2" s="1"/>
  <c r="U1325" i="2"/>
  <c r="V1326" i="2"/>
  <c r="W1326" i="2"/>
  <c r="U1326" i="2"/>
  <c r="U1331" i="2"/>
  <c r="S1331" i="2"/>
  <c r="V1331" i="2" s="1"/>
  <c r="W1331" i="2" s="1"/>
  <c r="S1332" i="2"/>
  <c r="V1332" i="2"/>
  <c r="W1332" i="2" s="1"/>
  <c r="S1333" i="2"/>
  <c r="V1333" i="2" s="1"/>
  <c r="U1333" i="2"/>
  <c r="U1335" i="2"/>
  <c r="S1335" i="2"/>
  <c r="S1336" i="2"/>
  <c r="V1336" i="2" s="1"/>
  <c r="W1336" i="2" s="1"/>
  <c r="U1336" i="2"/>
  <c r="U1337" i="2"/>
  <c r="S1337" i="2"/>
  <c r="V1337" i="2" s="1"/>
  <c r="V1338" i="2"/>
  <c r="U1338" i="2"/>
  <c r="S1338" i="2"/>
  <c r="S1341" i="2"/>
  <c r="V1341" i="2"/>
  <c r="W1341" i="2" s="1"/>
  <c r="U1341" i="2"/>
  <c r="S1343" i="2"/>
  <c r="V1343" i="2" s="1"/>
  <c r="V1347" i="2"/>
  <c r="S1347" i="2"/>
  <c r="U1349" i="2"/>
  <c r="S1349" i="2"/>
  <c r="V1349" i="2" s="1"/>
  <c r="S1351" i="2"/>
  <c r="V1351" i="2" s="1"/>
  <c r="U1361" i="2"/>
  <c r="S1361" i="2"/>
  <c r="V1361" i="2" s="1"/>
  <c r="U1362" i="2"/>
  <c r="S1362" i="2"/>
  <c r="S259" i="2"/>
  <c r="V259" i="2" s="1"/>
  <c r="U263" i="2"/>
  <c r="U270" i="2"/>
  <c r="S279" i="2"/>
  <c r="V279" i="2" s="1"/>
  <c r="V281" i="2"/>
  <c r="W281" i="2" s="1"/>
  <c r="S283" i="2"/>
  <c r="V283" i="2" s="1"/>
  <c r="U287" i="2"/>
  <c r="U290" i="2"/>
  <c r="U291" i="2"/>
  <c r="U294" i="2"/>
  <c r="W299" i="2"/>
  <c r="S307" i="2"/>
  <c r="V307" i="2" s="1"/>
  <c r="W307" i="2" s="1"/>
  <c r="U314" i="2"/>
  <c r="U318" i="2"/>
  <c r="S331" i="2"/>
  <c r="V331" i="2" s="1"/>
  <c r="U335" i="2"/>
  <c r="U342" i="2"/>
  <c r="S351" i="2"/>
  <c r="V351" i="2" s="1"/>
  <c r="V353" i="2"/>
  <c r="S355" i="2"/>
  <c r="V355" i="2" s="1"/>
  <c r="W355" i="2" s="1"/>
  <c r="U362" i="2"/>
  <c r="U366" i="2"/>
  <c r="W371" i="2"/>
  <c r="S379" i="2"/>
  <c r="V379" i="2" s="1"/>
  <c r="U386" i="2"/>
  <c r="U390" i="2"/>
  <c r="W395" i="2"/>
  <c r="W399" i="2"/>
  <c r="S403" i="2"/>
  <c r="V403" i="2" s="1"/>
  <c r="W403" i="2" s="1"/>
  <c r="U407" i="2"/>
  <c r="U414" i="2"/>
  <c r="S427" i="2"/>
  <c r="S429" i="2"/>
  <c r="V429" i="2" s="1"/>
  <c r="S431" i="2"/>
  <c r="V431" i="2" s="1"/>
  <c r="U433" i="2"/>
  <c r="S435" i="2"/>
  <c r="V435" i="2" s="1"/>
  <c r="W435" i="2" s="1"/>
  <c r="S437" i="2"/>
  <c r="V437" i="2" s="1"/>
  <c r="W437" i="2" s="1"/>
  <c r="U439" i="2"/>
  <c r="S439" i="2"/>
  <c r="V439" i="2" s="1"/>
  <c r="U447" i="2"/>
  <c r="S447" i="2"/>
  <c r="V447" i="2" s="1"/>
  <c r="V469" i="2"/>
  <c r="S473" i="2"/>
  <c r="V473" i="2" s="1"/>
  <c r="U475" i="2"/>
  <c r="V475" i="2"/>
  <c r="W475" i="2" s="1"/>
  <c r="S477" i="2"/>
  <c r="V477" i="2" s="1"/>
  <c r="U489" i="2"/>
  <c r="S501" i="2"/>
  <c r="V501" i="2" s="1"/>
  <c r="W501" i="2" s="1"/>
  <c r="U511" i="2"/>
  <c r="S511" i="2"/>
  <c r="V511" i="2" s="1"/>
  <c r="V513" i="2"/>
  <c r="U529" i="2"/>
  <c r="S547" i="2"/>
  <c r="V547" i="2" s="1"/>
  <c r="U553" i="2"/>
  <c r="V553" i="2"/>
  <c r="U575" i="2"/>
  <c r="S575" i="2"/>
  <c r="V575" i="2" s="1"/>
  <c r="S581" i="2"/>
  <c r="V581" i="2" s="1"/>
  <c r="U581" i="2"/>
  <c r="U274" i="2"/>
  <c r="S251" i="2"/>
  <c r="V251" i="2" s="1"/>
  <c r="W251" i="2" s="1"/>
  <c r="S255" i="2"/>
  <c r="V255" i="2" s="1"/>
  <c r="W255" i="2" s="1"/>
  <c r="U262" i="2"/>
  <c r="U266" i="2"/>
  <c r="S275" i="2"/>
  <c r="V275" i="2" s="1"/>
  <c r="W275" i="2" s="1"/>
  <c r="U286" i="2"/>
  <c r="V290" i="2"/>
  <c r="S299" i="2"/>
  <c r="S303" i="2"/>
  <c r="V303" i="2" s="1"/>
  <c r="W303" i="2" s="1"/>
  <c r="U310" i="2"/>
  <c r="S323" i="2"/>
  <c r="V323" i="2" s="1"/>
  <c r="W323" i="2" s="1"/>
  <c r="S327" i="2"/>
  <c r="V327" i="2" s="1"/>
  <c r="W327" i="2" s="1"/>
  <c r="U334" i="2"/>
  <c r="U338" i="2"/>
  <c r="S347" i="2"/>
  <c r="V347" i="2" s="1"/>
  <c r="W347" i="2" s="1"/>
  <c r="U358" i="2"/>
  <c r="V362" i="2"/>
  <c r="W362" i="2" s="1"/>
  <c r="S371" i="2"/>
  <c r="S375" i="2"/>
  <c r="V375" i="2" s="1"/>
  <c r="W375" i="2" s="1"/>
  <c r="V427" i="2"/>
  <c r="V433" i="2"/>
  <c r="U483" i="2"/>
  <c r="S483" i="2"/>
  <c r="V483" i="2" s="1"/>
  <c r="V529" i="2"/>
  <c r="W529" i="2" s="1"/>
  <c r="U573" i="2"/>
  <c r="V573" i="2"/>
  <c r="W573" i="2" s="1"/>
  <c r="U579" i="2"/>
  <c r="S579" i="2"/>
  <c r="V579" i="2" s="1"/>
  <c r="S617" i="2"/>
  <c r="V617" i="2" s="1"/>
  <c r="W617" i="2" s="1"/>
  <c r="U617" i="2"/>
  <c r="S624" i="2"/>
  <c r="U624" i="2"/>
  <c r="W263" i="2"/>
  <c r="W291" i="2"/>
  <c r="W335" i="2"/>
  <c r="W407" i="2"/>
  <c r="U443" i="2"/>
  <c r="S443" i="2"/>
  <c r="U451" i="2"/>
  <c r="S451" i="2"/>
  <c r="V451" i="2" s="1"/>
  <c r="U479" i="2"/>
  <c r="V479" i="2"/>
  <c r="U507" i="2"/>
  <c r="S507" i="2"/>
  <c r="V507" i="2" s="1"/>
  <c r="W507" i="2" s="1"/>
  <c r="U515" i="2"/>
  <c r="S515" i="2"/>
  <c r="V515" i="2" s="1"/>
  <c r="U551" i="2"/>
  <c r="S551" i="2"/>
  <c r="V551" i="2" s="1"/>
  <c r="W551" i="2" s="1"/>
  <c r="U571" i="2"/>
  <c r="U577" i="2"/>
  <c r="U603" i="2"/>
  <c r="V603" i="2"/>
  <c r="U615" i="2"/>
  <c r="S615" i="2"/>
  <c r="V615" i="2" s="1"/>
  <c r="S633" i="2"/>
  <c r="V633" i="2"/>
  <c r="W633" i="2" s="1"/>
  <c r="U633" i="2"/>
  <c r="W287" i="2"/>
  <c r="U250" i="2"/>
  <c r="S263" i="2"/>
  <c r="S267" i="2"/>
  <c r="V267" i="2" s="1"/>
  <c r="W267" i="2" s="1"/>
  <c r="U298" i="2"/>
  <c r="U302" i="2"/>
  <c r="S311" i="2"/>
  <c r="V311" i="2" s="1"/>
  <c r="W311" i="2" s="1"/>
  <c r="U322" i="2"/>
  <c r="S335" i="2"/>
  <c r="S339" i="2"/>
  <c r="V339" i="2" s="1"/>
  <c r="W339" i="2" s="1"/>
  <c r="U346" i="2"/>
  <c r="S359" i="2"/>
  <c r="V359" i="2" s="1"/>
  <c r="W359" i="2" s="1"/>
  <c r="S363" i="2"/>
  <c r="V363" i="2" s="1"/>
  <c r="W363" i="2" s="1"/>
  <c r="U370" i="2"/>
  <c r="U374" i="2"/>
  <c r="S383" i="2"/>
  <c r="V383" i="2" s="1"/>
  <c r="W383" i="2" s="1"/>
  <c r="U394" i="2"/>
  <c r="S407" i="2"/>
  <c r="S411" i="2"/>
  <c r="V411" i="2" s="1"/>
  <c r="W411" i="2" s="1"/>
  <c r="S423" i="2"/>
  <c r="V423" i="2" s="1"/>
  <c r="S441" i="2"/>
  <c r="V441" i="2" s="1"/>
  <c r="V443" i="2"/>
  <c r="S449" i="2"/>
  <c r="V449" i="2" s="1"/>
  <c r="W449" i="2" s="1"/>
  <c r="S479" i="2"/>
  <c r="U503" i="2"/>
  <c r="V503" i="2"/>
  <c r="S505" i="2"/>
  <c r="V505" i="2" s="1"/>
  <c r="S513" i="2"/>
  <c r="U549" i="2"/>
  <c r="V549" i="2"/>
  <c r="W549" i="2" s="1"/>
  <c r="S561" i="2"/>
  <c r="V561" i="2" s="1"/>
  <c r="W561" i="2" s="1"/>
  <c r="U561" i="2"/>
  <c r="S567" i="2"/>
  <c r="V567" i="2" s="1"/>
  <c r="S571" i="2"/>
  <c r="V571" i="2" s="1"/>
  <c r="S577" i="2"/>
  <c r="V577" i="2" s="1"/>
  <c r="W577" i="2" s="1"/>
  <c r="S599" i="2"/>
  <c r="V599" i="2" s="1"/>
  <c r="U619" i="2"/>
  <c r="S619" i="2"/>
  <c r="V619" i="2" s="1"/>
  <c r="W619" i="2" s="1"/>
  <c r="S636" i="2"/>
  <c r="U636" i="2"/>
  <c r="V613" i="2"/>
  <c r="W625" i="2"/>
  <c r="W637" i="2"/>
  <c r="W665" i="2"/>
  <c r="W681" i="2"/>
  <c r="U700" i="2"/>
  <c r="U708" i="2"/>
  <c r="U716" i="2"/>
  <c r="U724" i="2"/>
  <c r="U732" i="2"/>
  <c r="U740" i="2"/>
  <c r="U748" i="2"/>
  <c r="U749" i="2"/>
  <c r="U772" i="2"/>
  <c r="U773" i="2"/>
  <c r="U788" i="2"/>
  <c r="U789" i="2"/>
  <c r="U804" i="2"/>
  <c r="U808" i="2"/>
  <c r="U812" i="2"/>
  <c r="U816" i="2"/>
  <c r="U820" i="2"/>
  <c r="U824" i="2"/>
  <c r="U828" i="2"/>
  <c r="U832" i="2"/>
  <c r="U836" i="2"/>
  <c r="U840" i="2"/>
  <c r="U841" i="2"/>
  <c r="V864" i="2"/>
  <c r="W864" i="2" s="1"/>
  <c r="V874" i="2"/>
  <c r="W874" i="2" s="1"/>
  <c r="S874" i="2"/>
  <c r="V882" i="2"/>
  <c r="W882" i="2" s="1"/>
  <c r="S882" i="2"/>
  <c r="V890" i="2"/>
  <c r="W890" i="2" s="1"/>
  <c r="S890" i="2"/>
  <c r="V898" i="2"/>
  <c r="W898" i="2" s="1"/>
  <c r="U898" i="2"/>
  <c r="S898" i="2"/>
  <c r="S901" i="2"/>
  <c r="U901" i="2"/>
  <c r="S917" i="2"/>
  <c r="U917" i="2"/>
  <c r="W629" i="2"/>
  <c r="W669" i="2"/>
  <c r="W685" i="2"/>
  <c r="W756" i="2"/>
  <c r="W784" i="2"/>
  <c r="V804" i="2"/>
  <c r="V808" i="2"/>
  <c r="V812" i="2"/>
  <c r="V816" i="2"/>
  <c r="W816" i="2" s="1"/>
  <c r="V820" i="2"/>
  <c r="W820" i="2" s="1"/>
  <c r="V824" i="2"/>
  <c r="V828" i="2"/>
  <c r="V832" i="2"/>
  <c r="V836" i="2"/>
  <c r="V840" i="2"/>
  <c r="W856" i="2"/>
  <c r="S877" i="2"/>
  <c r="V877" i="2" s="1"/>
  <c r="W877" i="2" s="1"/>
  <c r="U877" i="2"/>
  <c r="S885" i="2"/>
  <c r="U885" i="2"/>
  <c r="S893" i="2"/>
  <c r="U893" i="2"/>
  <c r="U908" i="2"/>
  <c r="S908" i="2"/>
  <c r="V908" i="2" s="1"/>
  <c r="V914" i="2"/>
  <c r="W914" i="2" s="1"/>
  <c r="S914" i="2"/>
  <c r="U924" i="2"/>
  <c r="S924" i="2"/>
  <c r="V924" i="2" s="1"/>
  <c r="W924" i="2" s="1"/>
  <c r="V930" i="2"/>
  <c r="W930" i="2" s="1"/>
  <c r="S930" i="2"/>
  <c r="S848" i="2"/>
  <c r="V848" i="2" s="1"/>
  <c r="W848" i="2" s="1"/>
  <c r="S849" i="2"/>
  <c r="S878" i="2"/>
  <c r="V878" i="2"/>
  <c r="W878" i="2" s="1"/>
  <c r="S886" i="2"/>
  <c r="V886" i="2"/>
  <c r="W886" i="2" s="1"/>
  <c r="S894" i="2"/>
  <c r="V894" i="2"/>
  <c r="W894" i="2" s="1"/>
  <c r="S909" i="2"/>
  <c r="U909" i="2"/>
  <c r="S925" i="2"/>
  <c r="V925" i="2" s="1"/>
  <c r="W925" i="2" s="1"/>
  <c r="U925" i="2"/>
  <c r="W461" i="2"/>
  <c r="W493" i="2"/>
  <c r="W621" i="2"/>
  <c r="U629" i="2"/>
  <c r="V643" i="2"/>
  <c r="S645" i="2"/>
  <c r="V645" i="2" s="1"/>
  <c r="W645" i="2" s="1"/>
  <c r="S647" i="2"/>
  <c r="V647" i="2" s="1"/>
  <c r="W647" i="2" s="1"/>
  <c r="U652" i="2"/>
  <c r="V653" i="2"/>
  <c r="W653" i="2" s="1"/>
  <c r="V655" i="2"/>
  <c r="S657" i="2"/>
  <c r="V657" i="2" s="1"/>
  <c r="W657" i="2" s="1"/>
  <c r="S659" i="2"/>
  <c r="V659" i="2" s="1"/>
  <c r="W659" i="2" s="1"/>
  <c r="U664" i="2"/>
  <c r="U669" i="2"/>
  <c r="V671" i="2"/>
  <c r="S673" i="2"/>
  <c r="V673" i="2" s="1"/>
  <c r="W673" i="2" s="1"/>
  <c r="S675" i="2"/>
  <c r="V675" i="2" s="1"/>
  <c r="W675" i="2" s="1"/>
  <c r="U680" i="2"/>
  <c r="U685" i="2"/>
  <c r="V687" i="2"/>
  <c r="W687" i="2" s="1"/>
  <c r="S689" i="2"/>
  <c r="V689" i="2" s="1"/>
  <c r="W689" i="2" s="1"/>
  <c r="S691" i="2"/>
  <c r="V691" i="2" s="1"/>
  <c r="W691" i="2" s="1"/>
  <c r="V698" i="2"/>
  <c r="S700" i="2"/>
  <c r="V700" i="2" s="1"/>
  <c r="W700" i="2" s="1"/>
  <c r="V703" i="2"/>
  <c r="V706" i="2"/>
  <c r="W706" i="2" s="1"/>
  <c r="S708" i="2"/>
  <c r="V708" i="2" s="1"/>
  <c r="W708" i="2" s="1"/>
  <c r="V711" i="2"/>
  <c r="V712" i="2"/>
  <c r="W712" i="2" s="1"/>
  <c r="V714" i="2"/>
  <c r="S716" i="2"/>
  <c r="V716" i="2" s="1"/>
  <c r="W716" i="2" s="1"/>
  <c r="V719" i="2"/>
  <c r="V720" i="2"/>
  <c r="W720" i="2" s="1"/>
  <c r="V722" i="2"/>
  <c r="W722" i="2" s="1"/>
  <c r="S724" i="2"/>
  <c r="V724" i="2" s="1"/>
  <c r="W724" i="2" s="1"/>
  <c r="V727" i="2"/>
  <c r="V728" i="2"/>
  <c r="W728" i="2" s="1"/>
  <c r="V730" i="2"/>
  <c r="S732" i="2"/>
  <c r="V732" i="2" s="1"/>
  <c r="W732" i="2" s="1"/>
  <c r="V735" i="2"/>
  <c r="V738" i="2"/>
  <c r="W738" i="2" s="1"/>
  <c r="S740" i="2"/>
  <c r="V740" i="2" s="1"/>
  <c r="W740" i="2" s="1"/>
  <c r="V743" i="2"/>
  <c r="V744" i="2"/>
  <c r="W744" i="2" s="1"/>
  <c r="V746" i="2"/>
  <c r="S748" i="2"/>
  <c r="V748" i="2" s="1"/>
  <c r="W748" i="2" s="1"/>
  <c r="U756" i="2"/>
  <c r="V764" i="2"/>
  <c r="W764" i="2" s="1"/>
  <c r="U768" i="2"/>
  <c r="S772" i="2"/>
  <c r="V772" i="2" s="1"/>
  <c r="W772" i="2" s="1"/>
  <c r="W776" i="2"/>
  <c r="U784" i="2"/>
  <c r="S788" i="2"/>
  <c r="V788" i="2" s="1"/>
  <c r="W788" i="2" s="1"/>
  <c r="U848" i="2"/>
  <c r="W852" i="2"/>
  <c r="U856" i="2"/>
  <c r="S873" i="2"/>
  <c r="U873" i="2"/>
  <c r="U878" i="2"/>
  <c r="S881" i="2"/>
  <c r="U881" i="2"/>
  <c r="U886" i="2"/>
  <c r="S889" i="2"/>
  <c r="V889" i="2" s="1"/>
  <c r="W889" i="2" s="1"/>
  <c r="U889" i="2"/>
  <c r="U894" i="2"/>
  <c r="S897" i="2"/>
  <c r="U897" i="2"/>
  <c r="V906" i="2"/>
  <c r="W906" i="2" s="1"/>
  <c r="S906" i="2"/>
  <c r="U916" i="2"/>
  <c r="S916" i="2"/>
  <c r="V916" i="2" s="1"/>
  <c r="W916" i="2" s="1"/>
  <c r="V922" i="2"/>
  <c r="W922" i="2" s="1"/>
  <c r="S922" i="2"/>
  <c r="U932" i="2"/>
  <c r="S932" i="2"/>
  <c r="V932" i="2" s="1"/>
  <c r="W932" i="2" s="1"/>
  <c r="S1008" i="2"/>
  <c r="S1024" i="2"/>
  <c r="V1024" i="2" s="1"/>
  <c r="W1024" i="2" s="1"/>
  <c r="U1037" i="2"/>
  <c r="S1040" i="2"/>
  <c r="V1040" i="2" s="1"/>
  <c r="W1040" i="2" s="1"/>
  <c r="V1044" i="2"/>
  <c r="W1044" i="2" s="1"/>
  <c r="U1045" i="2"/>
  <c r="S1065" i="2"/>
  <c r="V1065" i="2"/>
  <c r="W1065" i="2" s="1"/>
  <c r="U1065" i="2"/>
  <c r="W868" i="2"/>
  <c r="V872" i="2"/>
  <c r="W872" i="2" s="1"/>
  <c r="V880" i="2"/>
  <c r="W880" i="2" s="1"/>
  <c r="V888" i="2"/>
  <c r="V904" i="2"/>
  <c r="U933" i="2"/>
  <c r="V936" i="2"/>
  <c r="S938" i="2"/>
  <c r="S940" i="2"/>
  <c r="V940" i="2" s="1"/>
  <c r="W940" i="2" s="1"/>
  <c r="U941" i="2"/>
  <c r="S946" i="2"/>
  <c r="S948" i="2"/>
  <c r="U949" i="2"/>
  <c r="V952" i="2"/>
  <c r="S954" i="2"/>
  <c r="S956" i="2"/>
  <c r="V956" i="2" s="1"/>
  <c r="W956" i="2" s="1"/>
  <c r="U957" i="2"/>
  <c r="S962" i="2"/>
  <c r="S964" i="2"/>
  <c r="V964" i="2" s="1"/>
  <c r="W964" i="2" s="1"/>
  <c r="U965" i="2"/>
  <c r="S970" i="2"/>
  <c r="S972" i="2"/>
  <c r="V972" i="2" s="1"/>
  <c r="W972" i="2" s="1"/>
  <c r="U973" i="2"/>
  <c r="S978" i="2"/>
  <c r="S980" i="2"/>
  <c r="V980" i="2" s="1"/>
  <c r="W980" i="2" s="1"/>
  <c r="U981" i="2"/>
  <c r="S986" i="2"/>
  <c r="S988" i="2"/>
  <c r="V988" i="2" s="1"/>
  <c r="W988" i="2" s="1"/>
  <c r="U989" i="2"/>
  <c r="S994" i="2"/>
  <c r="S996" i="2"/>
  <c r="U997" i="2"/>
  <c r="S1002" i="2"/>
  <c r="S1004" i="2"/>
  <c r="V1004" i="2" s="1"/>
  <c r="S1006" i="2"/>
  <c r="U1008" i="2"/>
  <c r="S1010" i="2"/>
  <c r="S1012" i="2"/>
  <c r="V1012" i="2" s="1"/>
  <c r="W1012" i="2" s="1"/>
  <c r="S1014" i="2"/>
  <c r="U1016" i="2"/>
  <c r="S1018" i="2"/>
  <c r="S1020" i="2"/>
  <c r="V1020" i="2" s="1"/>
  <c r="W1020" i="2" s="1"/>
  <c r="S1022" i="2"/>
  <c r="U1024" i="2"/>
  <c r="S1026" i="2"/>
  <c r="S1028" i="2"/>
  <c r="V1028" i="2" s="1"/>
  <c r="W1028" i="2" s="1"/>
  <c r="S1030" i="2"/>
  <c r="U1032" i="2"/>
  <c r="S1034" i="2"/>
  <c r="S1036" i="2"/>
  <c r="V1036" i="2" s="1"/>
  <c r="W1036" i="2" s="1"/>
  <c r="S1038" i="2"/>
  <c r="U1052" i="2"/>
  <c r="S1052" i="2"/>
  <c r="V1052" i="2" s="1"/>
  <c r="W1052" i="2" s="1"/>
  <c r="V1058" i="2"/>
  <c r="W1058" i="2" s="1"/>
  <c r="S1058" i="2"/>
  <c r="V1066" i="2"/>
  <c r="U1066" i="2"/>
  <c r="S1066" i="2"/>
  <c r="W902" i="2"/>
  <c r="W910" i="2"/>
  <c r="W918" i="2"/>
  <c r="W926" i="2"/>
  <c r="W934" i="2"/>
  <c r="V938" i="2"/>
  <c r="W938" i="2" s="1"/>
  <c r="U940" i="2"/>
  <c r="W942" i="2"/>
  <c r="V946" i="2"/>
  <c r="W946" i="2" s="1"/>
  <c r="U948" i="2"/>
  <c r="W950" i="2"/>
  <c r="V954" i="2"/>
  <c r="W954" i="2" s="1"/>
  <c r="U956" i="2"/>
  <c r="W958" i="2"/>
  <c r="W960" i="2"/>
  <c r="V962" i="2"/>
  <c r="W962" i="2" s="1"/>
  <c r="U964" i="2"/>
  <c r="W966" i="2"/>
  <c r="V970" i="2"/>
  <c r="W970" i="2" s="1"/>
  <c r="U972" i="2"/>
  <c r="W974" i="2"/>
  <c r="W976" i="2"/>
  <c r="V978" i="2"/>
  <c r="W978" i="2" s="1"/>
  <c r="U980" i="2"/>
  <c r="W982" i="2"/>
  <c r="V986" i="2"/>
  <c r="W986" i="2" s="1"/>
  <c r="U988" i="2"/>
  <c r="W992" i="2"/>
  <c r="V994" i="2"/>
  <c r="W994" i="2" s="1"/>
  <c r="U996" i="2"/>
  <c r="W998" i="2"/>
  <c r="V1002" i="2"/>
  <c r="W1002" i="2" s="1"/>
  <c r="U1004" i="2"/>
  <c r="V1006" i="2"/>
  <c r="W1006" i="2" s="1"/>
  <c r="V1008" i="2"/>
  <c r="W1008" i="2" s="1"/>
  <c r="V1010" i="2"/>
  <c r="W1010" i="2" s="1"/>
  <c r="U1012" i="2"/>
  <c r="V1014" i="2"/>
  <c r="W1014" i="2" s="1"/>
  <c r="V1016" i="2"/>
  <c r="V1018" i="2"/>
  <c r="W1018" i="2" s="1"/>
  <c r="U1020" i="2"/>
  <c r="V1022" i="2"/>
  <c r="W1022" i="2" s="1"/>
  <c r="V1026" i="2"/>
  <c r="W1026" i="2" s="1"/>
  <c r="U1028" i="2"/>
  <c r="V1030" i="2"/>
  <c r="W1030" i="2" s="1"/>
  <c r="V1032" i="2"/>
  <c r="V1034" i="2"/>
  <c r="W1034" i="2" s="1"/>
  <c r="U1036" i="2"/>
  <c r="V1038" i="2"/>
  <c r="W1038" i="2" s="1"/>
  <c r="V1042" i="2"/>
  <c r="W1042" i="2" s="1"/>
  <c r="U1044" i="2"/>
  <c r="S1053" i="2"/>
  <c r="V1053" i="2" s="1"/>
  <c r="W1053" i="2" s="1"/>
  <c r="U1053" i="2"/>
  <c r="U1067" i="2"/>
  <c r="S1067" i="2"/>
  <c r="U868" i="2"/>
  <c r="V876" i="2"/>
  <c r="V884" i="2"/>
  <c r="V892" i="2"/>
  <c r="V900" i="2"/>
  <c r="W900" i="2" s="1"/>
  <c r="S902" i="2"/>
  <c r="U905" i="2"/>
  <c r="S910" i="2"/>
  <c r="S912" i="2"/>
  <c r="V912" i="2" s="1"/>
  <c r="W912" i="2" s="1"/>
  <c r="U913" i="2"/>
  <c r="S918" i="2"/>
  <c r="U921" i="2"/>
  <c r="S926" i="2"/>
  <c r="S928" i="2"/>
  <c r="V928" i="2" s="1"/>
  <c r="W928" i="2" s="1"/>
  <c r="U929" i="2"/>
  <c r="S934" i="2"/>
  <c r="U937" i="2"/>
  <c r="S942" i="2"/>
  <c r="S944" i="2"/>
  <c r="V944" i="2" s="1"/>
  <c r="W944" i="2" s="1"/>
  <c r="U945" i="2"/>
  <c r="V948" i="2"/>
  <c r="W948" i="2" s="1"/>
  <c r="S950" i="2"/>
  <c r="V996" i="2"/>
  <c r="W996" i="2" s="1"/>
  <c r="S1009" i="2"/>
  <c r="U1009" i="2"/>
  <c r="S1017" i="2"/>
  <c r="U1017" i="2"/>
  <c r="S1025" i="2"/>
  <c r="V1025" i="2" s="1"/>
  <c r="W1025" i="2" s="1"/>
  <c r="U1025" i="2"/>
  <c r="S1033" i="2"/>
  <c r="U1033" i="2"/>
  <c r="S1041" i="2"/>
  <c r="U1041" i="2"/>
  <c r="V1050" i="2"/>
  <c r="W1050" i="2" s="1"/>
  <c r="S1050" i="2"/>
  <c r="U1060" i="2"/>
  <c r="S1060" i="2"/>
  <c r="V1060" i="2" s="1"/>
  <c r="W1060" i="2" s="1"/>
  <c r="V1173" i="2"/>
  <c r="W1173" i="2" s="1"/>
  <c r="U1184" i="2"/>
  <c r="S1184" i="2"/>
  <c r="V1184" i="2" s="1"/>
  <c r="V1216" i="2"/>
  <c r="W1216" i="2" s="1"/>
  <c r="U1216" i="2"/>
  <c r="V1221" i="2"/>
  <c r="W1221" i="2" s="1"/>
  <c r="U1223" i="2"/>
  <c r="V1223" i="2"/>
  <c r="S1223" i="2"/>
  <c r="V1237" i="2"/>
  <c r="U1239" i="2"/>
  <c r="S1239" i="2"/>
  <c r="V1239" i="2" s="1"/>
  <c r="V1048" i="2"/>
  <c r="U1077" i="2"/>
  <c r="S1078" i="2"/>
  <c r="S1079" i="2"/>
  <c r="S1088" i="2"/>
  <c r="S1090" i="2"/>
  <c r="S1092" i="2"/>
  <c r="V1092" i="2" s="1"/>
  <c r="W1092" i="2" s="1"/>
  <c r="S1093" i="2"/>
  <c r="S1098" i="2"/>
  <c r="S1100" i="2"/>
  <c r="V1100" i="2" s="1"/>
  <c r="W1100" i="2" s="1"/>
  <c r="S1105" i="2"/>
  <c r="U1107" i="2"/>
  <c r="S1110" i="2"/>
  <c r="S1112" i="2"/>
  <c r="V1112" i="2" s="1"/>
  <c r="U1115" i="2"/>
  <c r="S1122" i="2"/>
  <c r="S1124" i="2"/>
  <c r="V1124" i="2" s="1"/>
  <c r="W1124" i="2" s="1"/>
  <c r="S1137" i="2"/>
  <c r="V1137" i="2" s="1"/>
  <c r="W1137" i="2" s="1"/>
  <c r="U1139" i="2"/>
  <c r="S1146" i="2"/>
  <c r="S1148" i="2"/>
  <c r="S1167" i="2"/>
  <c r="U1167" i="2"/>
  <c r="U1178" i="2"/>
  <c r="V1178" i="2"/>
  <c r="W1178" i="2" s="1"/>
  <c r="S1178" i="2"/>
  <c r="U1180" i="2"/>
  <c r="S1180" i="2"/>
  <c r="V1180" i="2" s="1"/>
  <c r="U1247" i="2"/>
  <c r="S1247" i="2"/>
  <c r="V1247" i="2" s="1"/>
  <c r="U1255" i="2"/>
  <c r="S1255" i="2"/>
  <c r="V1255" i="2" s="1"/>
  <c r="W1046" i="2"/>
  <c r="W1054" i="2"/>
  <c r="S1064" i="2"/>
  <c r="V1064" i="2" s="1"/>
  <c r="W1064" i="2" s="1"/>
  <c r="S1072" i="2"/>
  <c r="V1072" i="2" s="1"/>
  <c r="W1072" i="2" s="1"/>
  <c r="V1077" i="2"/>
  <c r="W1077" i="2" s="1"/>
  <c r="U1078" i="2"/>
  <c r="U1085" i="2"/>
  <c r="S1086" i="2"/>
  <c r="V1086" i="2" s="1"/>
  <c r="S1087" i="2"/>
  <c r="V1087" i="2" s="1"/>
  <c r="W1087" i="2" s="1"/>
  <c r="U1092" i="2"/>
  <c r="W1093" i="2"/>
  <c r="U1095" i="2"/>
  <c r="S1102" i="2"/>
  <c r="S1104" i="2"/>
  <c r="V1104" i="2" s="1"/>
  <c r="S1117" i="2"/>
  <c r="U1119" i="2"/>
  <c r="S1126" i="2"/>
  <c r="S1128" i="2"/>
  <c r="S1129" i="2"/>
  <c r="U1131" i="2"/>
  <c r="S1134" i="2"/>
  <c r="S1136" i="2"/>
  <c r="V1136" i="2" s="1"/>
  <c r="S1141" i="2"/>
  <c r="U1143" i="2"/>
  <c r="U1148" i="2"/>
  <c r="S1153" i="2"/>
  <c r="S1158" i="2"/>
  <c r="S1160" i="2"/>
  <c r="V1160" i="2" s="1"/>
  <c r="S1165" i="2"/>
  <c r="S1169" i="2"/>
  <c r="S1176" i="2"/>
  <c r="V1176" i="2" s="1"/>
  <c r="S1183" i="2"/>
  <c r="V1183" i="2"/>
  <c r="W1183" i="2" s="1"/>
  <c r="U1183" i="2"/>
  <c r="U1204" i="2"/>
  <c r="S1204" i="2"/>
  <c r="V1204" i="2" s="1"/>
  <c r="W1204" i="2" s="1"/>
  <c r="V1208" i="2"/>
  <c r="U1208" i="2"/>
  <c r="S1214" i="2"/>
  <c r="V1214" i="2" s="1"/>
  <c r="W1214" i="2" s="1"/>
  <c r="U1231" i="2"/>
  <c r="S1231" i="2"/>
  <c r="V1231" i="2" s="1"/>
  <c r="W1231" i="2" s="1"/>
  <c r="S1046" i="2"/>
  <c r="U1049" i="2"/>
  <c r="S1054" i="2"/>
  <c r="S1056" i="2"/>
  <c r="V1056" i="2" s="1"/>
  <c r="W1056" i="2" s="1"/>
  <c r="U1057" i="2"/>
  <c r="U1061" i="2"/>
  <c r="U1069" i="2"/>
  <c r="S1076" i="2"/>
  <c r="V1076" i="2" s="1"/>
  <c r="W1076" i="2" s="1"/>
  <c r="U1081" i="2"/>
  <c r="S1083" i="2"/>
  <c r="S1084" i="2"/>
  <c r="V1084" i="2" s="1"/>
  <c r="W1084" i="2" s="1"/>
  <c r="V1085" i="2"/>
  <c r="W1085" i="2" s="1"/>
  <c r="U1091" i="2"/>
  <c r="S1097" i="2"/>
  <c r="U1099" i="2"/>
  <c r="S1106" i="2"/>
  <c r="S1109" i="2"/>
  <c r="U1111" i="2"/>
  <c r="S1114" i="2"/>
  <c r="S1121" i="2"/>
  <c r="U1123" i="2"/>
  <c r="S1133" i="2"/>
  <c r="S1138" i="2"/>
  <c r="S1145" i="2"/>
  <c r="U1147" i="2"/>
  <c r="S1150" i="2"/>
  <c r="W1153" i="2"/>
  <c r="U1155" i="2"/>
  <c r="S1162" i="2"/>
  <c r="S1168" i="2"/>
  <c r="U1170" i="2"/>
  <c r="S1170" i="2"/>
  <c r="U1172" i="2"/>
  <c r="S1174" i="2"/>
  <c r="S1179" i="2"/>
  <c r="V1179" i="2" s="1"/>
  <c r="W1179" i="2" s="1"/>
  <c r="U1179" i="2"/>
  <c r="S1181" i="2"/>
  <c r="S1194" i="2"/>
  <c r="V1194" i="2" s="1"/>
  <c r="W1194" i="2" s="1"/>
  <c r="S1202" i="2"/>
  <c r="V1202" i="2" s="1"/>
  <c r="W1202" i="2" s="1"/>
  <c r="S1208" i="2"/>
  <c r="S1229" i="2"/>
  <c r="V1229" i="2" s="1"/>
  <c r="U1263" i="2"/>
  <c r="V1263" i="2"/>
  <c r="S1263" i="2"/>
  <c r="S1365" i="2"/>
  <c r="S1366" i="2"/>
  <c r="V1366" i="2" s="1"/>
  <c r="W1366" i="2" s="1"/>
  <c r="U1253" i="2"/>
  <c r="S1273" i="2"/>
  <c r="S1275" i="2"/>
  <c r="V1275" i="2" s="1"/>
  <c r="W1275" i="2" s="1"/>
  <c r="S1286" i="2"/>
  <c r="V1287" i="2"/>
  <c r="V1288" i="2"/>
  <c r="W1288" i="2" s="1"/>
  <c r="S1295" i="2"/>
  <c r="V1295" i="2" s="1"/>
  <c r="W1295" i="2" s="1"/>
  <c r="U1304" i="2"/>
  <c r="S1305" i="2"/>
  <c r="S1306" i="2"/>
  <c r="S1310" i="2"/>
  <c r="V1311" i="2"/>
  <c r="W1311" i="2" s="1"/>
  <c r="S1319" i="2"/>
  <c r="V1319" i="2" s="1"/>
  <c r="W1319" i="2" s="1"/>
  <c r="U1328" i="2"/>
  <c r="S1329" i="2"/>
  <c r="S1330" i="2"/>
  <c r="S1334" i="2"/>
  <c r="V1335" i="2"/>
  <c r="W1335" i="2" s="1"/>
  <c r="W1338" i="2"/>
  <c r="S1345" i="2"/>
  <c r="V1345" i="2" s="1"/>
  <c r="W1345" i="2" s="1"/>
  <c r="W1347" i="2"/>
  <c r="S1353" i="2"/>
  <c r="S1357" i="2"/>
  <c r="U1358" i="2"/>
  <c r="W1361" i="2"/>
  <c r="U1365" i="2"/>
  <c r="U1175" i="2"/>
  <c r="W1188" i="2"/>
  <c r="S1196" i="2"/>
  <c r="V1196" i="2" s="1"/>
  <c r="W1196" i="2" s="1"/>
  <c r="W1198" i="2"/>
  <c r="S1210" i="2"/>
  <c r="V1210" i="2" s="1"/>
  <c r="W1210" i="2" s="1"/>
  <c r="S1271" i="2"/>
  <c r="V1271" i="2" s="1"/>
  <c r="V1273" i="2"/>
  <c r="W1273" i="2" s="1"/>
  <c r="U1275" i="2"/>
  <c r="W1277" i="2"/>
  <c r="U1284" i="2"/>
  <c r="W1287" i="2"/>
  <c r="U1292" i="2"/>
  <c r="S1299" i="2"/>
  <c r="U1300" i="2"/>
  <c r="S1302" i="2"/>
  <c r="S1303" i="2"/>
  <c r="V1303" i="2" s="1"/>
  <c r="W1303" i="2" s="1"/>
  <c r="V1304" i="2"/>
  <c r="U1305" i="2"/>
  <c r="U1308" i="2"/>
  <c r="U1316" i="2"/>
  <c r="S1323" i="2"/>
  <c r="U1324" i="2"/>
  <c r="S1326" i="2"/>
  <c r="S1327" i="2"/>
  <c r="V1327" i="2" s="1"/>
  <c r="W1327" i="2" s="1"/>
  <c r="V1328" i="2"/>
  <c r="W1328" i="2" s="1"/>
  <c r="U1329" i="2"/>
  <c r="U1332" i="2"/>
  <c r="U1345" i="2"/>
  <c r="U1353" i="2"/>
  <c r="U1357" i="2"/>
  <c r="W1253" i="2"/>
  <c r="W1304" i="2"/>
  <c r="W1343" i="2"/>
  <c r="V1353" i="2"/>
  <c r="W1353" i="2" s="1"/>
  <c r="V1357" i="2"/>
  <c r="W1357" i="2" s="1"/>
  <c r="W271" i="2"/>
  <c r="W295" i="2"/>
  <c r="W315" i="2"/>
  <c r="W319" i="2"/>
  <c r="W343" i="2"/>
  <c r="W391" i="2"/>
  <c r="W415" i="2"/>
  <c r="W259" i="2"/>
  <c r="W279" i="2"/>
  <c r="W283" i="2"/>
  <c r="W331" i="2"/>
  <c r="W351" i="2"/>
  <c r="W379" i="2"/>
  <c r="W272" i="2"/>
  <c r="W344" i="2"/>
  <c r="W429" i="2"/>
  <c r="S462" i="2"/>
  <c r="V462" i="2" s="1"/>
  <c r="W462" i="2" s="1"/>
  <c r="S472" i="2"/>
  <c r="V472" i="2" s="1"/>
  <c r="W472" i="2" s="1"/>
  <c r="S478" i="2"/>
  <c r="V478" i="2" s="1"/>
  <c r="W478" i="2" s="1"/>
  <c r="W509" i="2"/>
  <c r="S526" i="2"/>
  <c r="V526" i="2" s="1"/>
  <c r="W526" i="2" s="1"/>
  <c r="W541" i="2"/>
  <c r="V558" i="2"/>
  <c r="S558" i="2"/>
  <c r="S574" i="2"/>
  <c r="V574" i="2" s="1"/>
  <c r="W574" i="2" s="1"/>
  <c r="W589" i="2"/>
  <c r="S272" i="2"/>
  <c r="W317" i="2"/>
  <c r="S324" i="2"/>
  <c r="V324" i="2" s="1"/>
  <c r="W324" i="2" s="1"/>
  <c r="S328" i="2"/>
  <c r="V328" i="2" s="1"/>
  <c r="W328" i="2" s="1"/>
  <c r="S332" i="2"/>
  <c r="V332" i="2" s="1"/>
  <c r="W332" i="2" s="1"/>
  <c r="S336" i="2"/>
  <c r="V336" i="2" s="1"/>
  <c r="W336" i="2" s="1"/>
  <c r="S340" i="2"/>
  <c r="V340" i="2" s="1"/>
  <c r="W340" i="2" s="1"/>
  <c r="S344" i="2"/>
  <c r="S348" i="2"/>
  <c r="V348" i="2" s="1"/>
  <c r="W348" i="2" s="1"/>
  <c r="S352" i="2"/>
  <c r="V352" i="2" s="1"/>
  <c r="W352" i="2" s="1"/>
  <c r="W353" i="2"/>
  <c r="S356" i="2"/>
  <c r="V356" i="2" s="1"/>
  <c r="W356" i="2" s="1"/>
  <c r="S360" i="2"/>
  <c r="V360" i="2" s="1"/>
  <c r="W360" i="2" s="1"/>
  <c r="S364" i="2"/>
  <c r="V364" i="2" s="1"/>
  <c r="W364" i="2" s="1"/>
  <c r="S368" i="2"/>
  <c r="V368" i="2" s="1"/>
  <c r="W368" i="2" s="1"/>
  <c r="S372" i="2"/>
  <c r="V372" i="2" s="1"/>
  <c r="W372" i="2" s="1"/>
  <c r="S376" i="2"/>
  <c r="V376" i="2" s="1"/>
  <c r="W376" i="2" s="1"/>
  <c r="S380" i="2"/>
  <c r="S384" i="2"/>
  <c r="V384" i="2" s="1"/>
  <c r="W384" i="2" s="1"/>
  <c r="S388" i="2"/>
  <c r="V388" i="2" s="1"/>
  <c r="W388" i="2" s="1"/>
  <c r="W389" i="2"/>
  <c r="S392" i="2"/>
  <c r="V392" i="2" s="1"/>
  <c r="W392" i="2" s="1"/>
  <c r="S396" i="2"/>
  <c r="V396" i="2" s="1"/>
  <c r="W396" i="2" s="1"/>
  <c r="S400" i="2"/>
  <c r="V400" i="2" s="1"/>
  <c r="W400" i="2" s="1"/>
  <c r="S404" i="2"/>
  <c r="V404" i="2" s="1"/>
  <c r="W404" i="2" s="1"/>
  <c r="S408" i="2"/>
  <c r="V408" i="2" s="1"/>
  <c r="W408" i="2" s="1"/>
  <c r="S412" i="2"/>
  <c r="V412" i="2" s="1"/>
  <c r="W412" i="2" s="1"/>
  <c r="S416" i="2"/>
  <c r="W421" i="2"/>
  <c r="U424" i="2"/>
  <c r="S428" i="2"/>
  <c r="V428" i="2" s="1"/>
  <c r="W428" i="2" s="1"/>
  <c r="W433" i="2"/>
  <c r="V434" i="2"/>
  <c r="W434" i="2" s="1"/>
  <c r="S434" i="2"/>
  <c r="U440" i="2"/>
  <c r="S444" i="2"/>
  <c r="V444" i="2" s="1"/>
  <c r="W444" i="2" s="1"/>
  <c r="S450" i="2"/>
  <c r="V450" i="2" s="1"/>
  <c r="W450" i="2" s="1"/>
  <c r="S460" i="2"/>
  <c r="V460" i="2"/>
  <c r="W460" i="2" s="1"/>
  <c r="U462" i="2"/>
  <c r="W465" i="2"/>
  <c r="S466" i="2"/>
  <c r="V466" i="2" s="1"/>
  <c r="W466" i="2" s="1"/>
  <c r="U472" i="2"/>
  <c r="S476" i="2"/>
  <c r="V476" i="2" s="1"/>
  <c r="W476" i="2" s="1"/>
  <c r="U478" i="2"/>
  <c r="W481" i="2"/>
  <c r="S482" i="2"/>
  <c r="V482" i="2" s="1"/>
  <c r="W482" i="2" s="1"/>
  <c r="U488" i="2"/>
  <c r="S492" i="2"/>
  <c r="V492" i="2" s="1"/>
  <c r="W492" i="2" s="1"/>
  <c r="U494" i="2"/>
  <c r="V498" i="2"/>
  <c r="W498" i="2" s="1"/>
  <c r="S498" i="2"/>
  <c r="S508" i="2"/>
  <c r="V508" i="2"/>
  <c r="W508" i="2" s="1"/>
  <c r="U510" i="2"/>
  <c r="W513" i="2"/>
  <c r="S514" i="2"/>
  <c r="V514" i="2" s="1"/>
  <c r="W514" i="2" s="1"/>
  <c r="U520" i="2"/>
  <c r="S524" i="2"/>
  <c r="V524" i="2" s="1"/>
  <c r="W524" i="2" s="1"/>
  <c r="U526" i="2"/>
  <c r="S530" i="2"/>
  <c r="V530" i="2" s="1"/>
  <c r="W530" i="2" s="1"/>
  <c r="S540" i="2"/>
  <c r="V540" i="2" s="1"/>
  <c r="W540" i="2" s="1"/>
  <c r="U542" i="2"/>
  <c r="W545" i="2"/>
  <c r="S546" i="2"/>
  <c r="V546" i="2" s="1"/>
  <c r="W546" i="2" s="1"/>
  <c r="S556" i="2"/>
  <c r="V556" i="2" s="1"/>
  <c r="W556" i="2" s="1"/>
  <c r="U558" i="2"/>
  <c r="S562" i="2"/>
  <c r="V562" i="2" s="1"/>
  <c r="W562" i="2" s="1"/>
  <c r="S572" i="2"/>
  <c r="V572" i="2" s="1"/>
  <c r="W572" i="2" s="1"/>
  <c r="U574" i="2"/>
  <c r="V578" i="2"/>
  <c r="S578" i="2"/>
  <c r="S588" i="2"/>
  <c r="V588" i="2"/>
  <c r="W588" i="2" s="1"/>
  <c r="U590" i="2"/>
  <c r="W593" i="2"/>
  <c r="S594" i="2"/>
  <c r="V594" i="2" s="1"/>
  <c r="S604" i="2"/>
  <c r="V604" i="2" s="1"/>
  <c r="W604" i="2" s="1"/>
  <c r="U606" i="2"/>
  <c r="W609" i="2"/>
  <c r="S610" i="2"/>
  <c r="V610" i="2" s="1"/>
  <c r="W610" i="2" s="1"/>
  <c r="V618" i="2"/>
  <c r="W618" i="2" s="1"/>
  <c r="U618" i="2"/>
  <c r="S618" i="2"/>
  <c r="U626" i="2"/>
  <c r="S626" i="2"/>
  <c r="V626" i="2" s="1"/>
  <c r="W626" i="2" s="1"/>
  <c r="U654" i="2"/>
  <c r="S654" i="2"/>
  <c r="V654" i="2" s="1"/>
  <c r="W654" i="2" s="1"/>
  <c r="V662" i="2"/>
  <c r="W662" i="2" s="1"/>
  <c r="U662" i="2"/>
  <c r="S662" i="2"/>
  <c r="V670" i="2"/>
  <c r="W670" i="2" s="1"/>
  <c r="U670" i="2"/>
  <c r="S670" i="2"/>
  <c r="V678" i="2"/>
  <c r="W678" i="2" s="1"/>
  <c r="U678" i="2"/>
  <c r="S678" i="2"/>
  <c r="V686" i="2"/>
  <c r="W686" i="2" s="1"/>
  <c r="U686" i="2"/>
  <c r="S686" i="2"/>
  <c r="V694" i="2"/>
  <c r="U694" i="2"/>
  <c r="S694" i="2"/>
  <c r="U919" i="2"/>
  <c r="S919" i="2"/>
  <c r="V919" i="2" s="1"/>
  <c r="W919" i="2" s="1"/>
  <c r="W380" i="2"/>
  <c r="W416" i="2"/>
  <c r="S430" i="2"/>
  <c r="V430" i="2" s="1"/>
  <c r="S446" i="2"/>
  <c r="V446" i="2" s="1"/>
  <c r="W446" i="2" s="1"/>
  <c r="S456" i="2"/>
  <c r="V456" i="2" s="1"/>
  <c r="W456" i="2" s="1"/>
  <c r="W477" i="2"/>
  <c r="S504" i="2"/>
  <c r="V504" i="2" s="1"/>
  <c r="W504" i="2" s="1"/>
  <c r="S536" i="2"/>
  <c r="V536" i="2"/>
  <c r="W536" i="2" s="1"/>
  <c r="S552" i="2"/>
  <c r="V552" i="2" s="1"/>
  <c r="W552" i="2" s="1"/>
  <c r="S568" i="2"/>
  <c r="V568" i="2"/>
  <c r="W568" i="2" s="1"/>
  <c r="S584" i="2"/>
  <c r="V584" i="2" s="1"/>
  <c r="W584" i="2" s="1"/>
  <c r="S600" i="2"/>
  <c r="V600" i="2" s="1"/>
  <c r="W600" i="2" s="1"/>
  <c r="U646" i="2"/>
  <c r="S646" i="2"/>
  <c r="V646" i="2" s="1"/>
  <c r="W646" i="2" s="1"/>
  <c r="V782" i="2"/>
  <c r="U782" i="2"/>
  <c r="S782" i="2"/>
  <c r="W782" i="2"/>
  <c r="S1189" i="2"/>
  <c r="V1189" i="2"/>
  <c r="W1189" i="2" s="1"/>
  <c r="U1189" i="2"/>
  <c r="S264" i="2"/>
  <c r="V264" i="2" s="1"/>
  <c r="W264" i="2" s="1"/>
  <c r="S280" i="2"/>
  <c r="V280" i="2" s="1"/>
  <c r="W280" i="2" s="1"/>
  <c r="S292" i="2"/>
  <c r="V292" i="2" s="1"/>
  <c r="W292" i="2" s="1"/>
  <c r="S300" i="2"/>
  <c r="V300" i="2" s="1"/>
  <c r="W300" i="2" s="1"/>
  <c r="S304" i="2"/>
  <c r="V304" i="2" s="1"/>
  <c r="W304" i="2" s="1"/>
  <c r="S308" i="2"/>
  <c r="S316" i="2"/>
  <c r="V316" i="2" s="1"/>
  <c r="W316" i="2" s="1"/>
  <c r="U248" i="2"/>
  <c r="S249" i="2"/>
  <c r="V249" i="2" s="1"/>
  <c r="W249" i="2" s="1"/>
  <c r="W250" i="2"/>
  <c r="U252" i="2"/>
  <c r="S253" i="2"/>
  <c r="V253" i="2" s="1"/>
  <c r="W253" i="2" s="1"/>
  <c r="W254" i="2"/>
  <c r="U256" i="2"/>
  <c r="S257" i="2"/>
  <c r="V257" i="2" s="1"/>
  <c r="W257" i="2" s="1"/>
  <c r="U260" i="2"/>
  <c r="S261" i="2"/>
  <c r="V261" i="2" s="1"/>
  <c r="W262" i="2"/>
  <c r="U264" i="2"/>
  <c r="S265" i="2"/>
  <c r="V265" i="2" s="1"/>
  <c r="W265" i="2" s="1"/>
  <c r="W266" i="2"/>
  <c r="U268" i="2"/>
  <c r="S269" i="2"/>
  <c r="V269" i="2" s="1"/>
  <c r="W269" i="2" s="1"/>
  <c r="W270" i="2"/>
  <c r="U272" i="2"/>
  <c r="S273" i="2"/>
  <c r="V273" i="2" s="1"/>
  <c r="W273" i="2" s="1"/>
  <c r="W274" i="2"/>
  <c r="U276" i="2"/>
  <c r="S277" i="2"/>
  <c r="V277" i="2" s="1"/>
  <c r="W278" i="2"/>
  <c r="U280" i="2"/>
  <c r="W282" i="2"/>
  <c r="U284" i="2"/>
  <c r="S285" i="2"/>
  <c r="V285" i="2" s="1"/>
  <c r="W285" i="2" s="1"/>
  <c r="W286" i="2"/>
  <c r="U288" i="2"/>
  <c r="S289" i="2"/>
  <c r="V289" i="2" s="1"/>
  <c r="W290" i="2"/>
  <c r="U292" i="2"/>
  <c r="S293" i="2"/>
  <c r="V293" i="2" s="1"/>
  <c r="W293" i="2" s="1"/>
  <c r="W294" i="2"/>
  <c r="U296" i="2"/>
  <c r="S297" i="2"/>
  <c r="V297" i="2" s="1"/>
  <c r="W297" i="2" s="1"/>
  <c r="W298" i="2"/>
  <c r="U300" i="2"/>
  <c r="S301" i="2"/>
  <c r="V301" i="2" s="1"/>
  <c r="W301" i="2" s="1"/>
  <c r="W302" i="2"/>
  <c r="U304" i="2"/>
  <c r="S305" i="2"/>
  <c r="V305" i="2" s="1"/>
  <c r="W305" i="2" s="1"/>
  <c r="W306" i="2"/>
  <c r="U308" i="2"/>
  <c r="S309" i="2"/>
  <c r="V309" i="2" s="1"/>
  <c r="W309" i="2" s="1"/>
  <c r="W310" i="2"/>
  <c r="U312" i="2"/>
  <c r="S313" i="2"/>
  <c r="V313" i="2" s="1"/>
  <c r="W313" i="2" s="1"/>
  <c r="W314" i="2"/>
  <c r="U316" i="2"/>
  <c r="S317" i="2"/>
  <c r="W318" i="2"/>
  <c r="U320" i="2"/>
  <c r="S321" i="2"/>
  <c r="V321" i="2" s="1"/>
  <c r="W321" i="2" s="1"/>
  <c r="W322" i="2"/>
  <c r="U324" i="2"/>
  <c r="S325" i="2"/>
  <c r="V325" i="2" s="1"/>
  <c r="W325" i="2" s="1"/>
  <c r="W326" i="2"/>
  <c r="U328" i="2"/>
  <c r="S329" i="2"/>
  <c r="V329" i="2" s="1"/>
  <c r="W329" i="2" s="1"/>
  <c r="U332" i="2"/>
  <c r="S333" i="2"/>
  <c r="V333" i="2" s="1"/>
  <c r="W333" i="2" s="1"/>
  <c r="W334" i="2"/>
  <c r="U336" i="2"/>
  <c r="S337" i="2"/>
  <c r="V337" i="2" s="1"/>
  <c r="W337" i="2" s="1"/>
  <c r="W338" i="2"/>
  <c r="U340" i="2"/>
  <c r="S341" i="2"/>
  <c r="V341" i="2" s="1"/>
  <c r="W341" i="2" s="1"/>
  <c r="W342" i="2"/>
  <c r="U344" i="2"/>
  <c r="S345" i="2"/>
  <c r="V345" i="2" s="1"/>
  <c r="W345" i="2" s="1"/>
  <c r="W346" i="2"/>
  <c r="U348" i="2"/>
  <c r="S349" i="2"/>
  <c r="V349" i="2" s="1"/>
  <c r="W349" i="2" s="1"/>
  <c r="W350" i="2"/>
  <c r="U352" i="2"/>
  <c r="S353" i="2"/>
  <c r="W354" i="2"/>
  <c r="U356" i="2"/>
  <c r="S357" i="2"/>
  <c r="V357" i="2" s="1"/>
  <c r="W357" i="2" s="1"/>
  <c r="W358" i="2"/>
  <c r="U360" i="2"/>
  <c r="S361" i="2"/>
  <c r="V361" i="2" s="1"/>
  <c r="W361" i="2" s="1"/>
  <c r="U364" i="2"/>
  <c r="S365" i="2"/>
  <c r="V365" i="2" s="1"/>
  <c r="W365" i="2" s="1"/>
  <c r="W366" i="2"/>
  <c r="U368" i="2"/>
  <c r="S369" i="2"/>
  <c r="V369" i="2" s="1"/>
  <c r="W369" i="2" s="1"/>
  <c r="W370" i="2"/>
  <c r="U372" i="2"/>
  <c r="S373" i="2"/>
  <c r="V373" i="2" s="1"/>
  <c r="W373" i="2" s="1"/>
  <c r="W374" i="2"/>
  <c r="U376" i="2"/>
  <c r="S377" i="2"/>
  <c r="V377" i="2" s="1"/>
  <c r="W377" i="2" s="1"/>
  <c r="W378" i="2"/>
  <c r="U380" i="2"/>
  <c r="S381" i="2"/>
  <c r="V381" i="2" s="1"/>
  <c r="W381" i="2" s="1"/>
  <c r="W382" i="2"/>
  <c r="U384" i="2"/>
  <c r="S385" i="2"/>
  <c r="V385" i="2" s="1"/>
  <c r="W385" i="2" s="1"/>
  <c r="W386" i="2"/>
  <c r="U388" i="2"/>
  <c r="S389" i="2"/>
  <c r="W390" i="2"/>
  <c r="U392" i="2"/>
  <c r="S393" i="2"/>
  <c r="V393" i="2" s="1"/>
  <c r="W393" i="2" s="1"/>
  <c r="W394" i="2"/>
  <c r="U396" i="2"/>
  <c r="S397" i="2"/>
  <c r="V397" i="2" s="1"/>
  <c r="W397" i="2" s="1"/>
  <c r="U400" i="2"/>
  <c r="S401" i="2"/>
  <c r="V401" i="2" s="1"/>
  <c r="W401" i="2" s="1"/>
  <c r="W402" i="2"/>
  <c r="U404" i="2"/>
  <c r="S405" i="2"/>
  <c r="V405" i="2" s="1"/>
  <c r="W405" i="2" s="1"/>
  <c r="W406" i="2"/>
  <c r="U408" i="2"/>
  <c r="S409" i="2"/>
  <c r="V409" i="2" s="1"/>
  <c r="W409" i="2" s="1"/>
  <c r="W410" i="2"/>
  <c r="U412" i="2"/>
  <c r="S413" i="2"/>
  <c r="V413" i="2" s="1"/>
  <c r="W413" i="2" s="1"/>
  <c r="W414" i="2"/>
  <c r="U416" i="2"/>
  <c r="S417" i="2"/>
  <c r="V417" i="2" s="1"/>
  <c r="W417" i="2" s="1"/>
  <c r="S418" i="2"/>
  <c r="V418" i="2" s="1"/>
  <c r="W418" i="2" s="1"/>
  <c r="S419" i="2"/>
  <c r="U420" i="2"/>
  <c r="S422" i="2"/>
  <c r="V422" i="2" s="1"/>
  <c r="W422" i="2" s="1"/>
  <c r="U428" i="2"/>
  <c r="W430" i="2"/>
  <c r="S432" i="2"/>
  <c r="V432" i="2" s="1"/>
  <c r="W432" i="2" s="1"/>
  <c r="U434" i="2"/>
  <c r="S438" i="2"/>
  <c r="V438" i="2" s="1"/>
  <c r="W438" i="2" s="1"/>
  <c r="U444" i="2"/>
  <c r="S448" i="2"/>
  <c r="V448" i="2" s="1"/>
  <c r="W448" i="2" s="1"/>
  <c r="U450" i="2"/>
  <c r="S454" i="2"/>
  <c r="V454" i="2" s="1"/>
  <c r="W454" i="2" s="1"/>
  <c r="U460" i="2"/>
  <c r="S464" i="2"/>
  <c r="V464" i="2" s="1"/>
  <c r="W464" i="2" s="1"/>
  <c r="U466" i="2"/>
  <c r="W469" i="2"/>
  <c r="V470" i="2"/>
  <c r="W470" i="2" s="1"/>
  <c r="S470" i="2"/>
  <c r="U476" i="2"/>
  <c r="S480" i="2"/>
  <c r="V480" i="2" s="1"/>
  <c r="W480" i="2" s="1"/>
  <c r="U482" i="2"/>
  <c r="S486" i="2"/>
  <c r="V486" i="2" s="1"/>
  <c r="W486" i="2" s="1"/>
  <c r="U492" i="2"/>
  <c r="S496" i="2"/>
  <c r="V496" i="2" s="1"/>
  <c r="W496" i="2" s="1"/>
  <c r="U498" i="2"/>
  <c r="S502" i="2"/>
  <c r="V502" i="2" s="1"/>
  <c r="W502" i="2" s="1"/>
  <c r="U508" i="2"/>
  <c r="S512" i="2"/>
  <c r="V512" i="2" s="1"/>
  <c r="W512" i="2" s="1"/>
  <c r="U514" i="2"/>
  <c r="W517" i="2"/>
  <c r="V518" i="2"/>
  <c r="W518" i="2" s="1"/>
  <c r="S518" i="2"/>
  <c r="U524" i="2"/>
  <c r="S528" i="2"/>
  <c r="V528" i="2"/>
  <c r="W528" i="2" s="1"/>
  <c r="U530" i="2"/>
  <c r="W533" i="2"/>
  <c r="S534" i="2"/>
  <c r="V534" i="2" s="1"/>
  <c r="W534" i="2" s="1"/>
  <c r="U540" i="2"/>
  <c r="S544" i="2"/>
  <c r="V544" i="2" s="1"/>
  <c r="W544" i="2" s="1"/>
  <c r="U546" i="2"/>
  <c r="S550" i="2"/>
  <c r="V550" i="2" s="1"/>
  <c r="W550" i="2" s="1"/>
  <c r="U556" i="2"/>
  <c r="W558" i="2"/>
  <c r="S560" i="2"/>
  <c r="V560" i="2" s="1"/>
  <c r="W560" i="2" s="1"/>
  <c r="U562" i="2"/>
  <c r="S566" i="2"/>
  <c r="V566" i="2" s="1"/>
  <c r="W566" i="2" s="1"/>
  <c r="U572" i="2"/>
  <c r="S576" i="2"/>
  <c r="V576" i="2" s="1"/>
  <c r="W576" i="2" s="1"/>
  <c r="U578" i="2"/>
  <c r="W581" i="2"/>
  <c r="S582" i="2"/>
  <c r="V582" i="2" s="1"/>
  <c r="W582" i="2" s="1"/>
  <c r="U588" i="2"/>
  <c r="S592" i="2"/>
  <c r="V592" i="2" s="1"/>
  <c r="W592" i="2" s="1"/>
  <c r="U594" i="2"/>
  <c r="W597" i="2"/>
  <c r="V598" i="2"/>
  <c r="W598" i="2" s="1"/>
  <c r="S598" i="2"/>
  <c r="U604" i="2"/>
  <c r="S608" i="2"/>
  <c r="V608" i="2"/>
  <c r="W608" i="2" s="1"/>
  <c r="U610" i="2"/>
  <c r="W613" i="2"/>
  <c r="S614" i="2"/>
  <c r="V614" i="2" s="1"/>
  <c r="W614" i="2" s="1"/>
  <c r="U634" i="2"/>
  <c r="S634" i="2"/>
  <c r="V634" i="2" s="1"/>
  <c r="W634" i="2" s="1"/>
  <c r="U642" i="2"/>
  <c r="S642" i="2"/>
  <c r="V642" i="2" s="1"/>
  <c r="W642" i="2" s="1"/>
  <c r="U650" i="2"/>
  <c r="S650" i="2"/>
  <c r="V650" i="2" s="1"/>
  <c r="W650" i="2" s="1"/>
  <c r="W694" i="2"/>
  <c r="V766" i="2"/>
  <c r="W766" i="2" s="1"/>
  <c r="U766" i="2"/>
  <c r="S766" i="2"/>
  <c r="U983" i="2"/>
  <c r="S983" i="2"/>
  <c r="V983" i="2" s="1"/>
  <c r="W983" i="2" s="1"/>
  <c r="W308" i="2"/>
  <c r="S424" i="2"/>
  <c r="V424" i="2" s="1"/>
  <c r="W424" i="2" s="1"/>
  <c r="S440" i="2"/>
  <c r="V440" i="2" s="1"/>
  <c r="W440" i="2" s="1"/>
  <c r="W445" i="2"/>
  <c r="S488" i="2"/>
  <c r="V488" i="2"/>
  <c r="W488" i="2" s="1"/>
  <c r="S494" i="2"/>
  <c r="V494" i="2" s="1"/>
  <c r="W494" i="2" s="1"/>
  <c r="S510" i="2"/>
  <c r="V510" i="2" s="1"/>
  <c r="W510" i="2" s="1"/>
  <c r="S520" i="2"/>
  <c r="V520" i="2" s="1"/>
  <c r="W520" i="2" s="1"/>
  <c r="S542" i="2"/>
  <c r="V542" i="2" s="1"/>
  <c r="W542" i="2" s="1"/>
  <c r="W557" i="2"/>
  <c r="S590" i="2"/>
  <c r="V590" i="2" s="1"/>
  <c r="W590" i="2" s="1"/>
  <c r="S606" i="2"/>
  <c r="V606" i="2" s="1"/>
  <c r="W606" i="2" s="1"/>
  <c r="V638" i="2"/>
  <c r="W638" i="2" s="1"/>
  <c r="U638" i="2"/>
  <c r="S638" i="2"/>
  <c r="V762" i="2"/>
  <c r="W762" i="2" s="1"/>
  <c r="U762" i="2"/>
  <c r="S762" i="2"/>
  <c r="S248" i="2"/>
  <c r="V248" i="2" s="1"/>
  <c r="W248" i="2" s="1"/>
  <c r="S252" i="2"/>
  <c r="V252" i="2" s="1"/>
  <c r="W252" i="2" s="1"/>
  <c r="S256" i="2"/>
  <c r="V256" i="2" s="1"/>
  <c r="W256" i="2" s="1"/>
  <c r="S260" i="2"/>
  <c r="V260" i="2" s="1"/>
  <c r="W260" i="2" s="1"/>
  <c r="W261" i="2"/>
  <c r="S268" i="2"/>
  <c r="V268" i="2" s="1"/>
  <c r="W268" i="2" s="1"/>
  <c r="S276" i="2"/>
  <c r="V276" i="2" s="1"/>
  <c r="W276" i="2" s="1"/>
  <c r="W277" i="2"/>
  <c r="S284" i="2"/>
  <c r="V284" i="2" s="1"/>
  <c r="W284" i="2" s="1"/>
  <c r="S288" i="2"/>
  <c r="V288" i="2" s="1"/>
  <c r="W288" i="2" s="1"/>
  <c r="W289" i="2"/>
  <c r="S296" i="2"/>
  <c r="V296" i="2" s="1"/>
  <c r="W296" i="2" s="1"/>
  <c r="S312" i="2"/>
  <c r="V312" i="2" s="1"/>
  <c r="W312" i="2" s="1"/>
  <c r="S320" i="2"/>
  <c r="V320" i="2" s="1"/>
  <c r="W320" i="2" s="1"/>
  <c r="S281" i="2"/>
  <c r="U417" i="2"/>
  <c r="U418" i="2"/>
  <c r="V419" i="2"/>
  <c r="W419" i="2" s="1"/>
  <c r="V420" i="2"/>
  <c r="W420" i="2" s="1"/>
  <c r="U422" i="2"/>
  <c r="W425" i="2"/>
  <c r="S426" i="2"/>
  <c r="V426" i="2" s="1"/>
  <c r="W426" i="2" s="1"/>
  <c r="U432" i="2"/>
  <c r="S436" i="2"/>
  <c r="V436" i="2" s="1"/>
  <c r="W436" i="2" s="1"/>
  <c r="U438" i="2"/>
  <c r="W441" i="2"/>
  <c r="S442" i="2"/>
  <c r="V442" i="2" s="1"/>
  <c r="W442" i="2" s="1"/>
  <c r="U448" i="2"/>
  <c r="S452" i="2"/>
  <c r="V452" i="2"/>
  <c r="W452" i="2" s="1"/>
  <c r="U454" i="2"/>
  <c r="S458" i="2"/>
  <c r="V458" i="2" s="1"/>
  <c r="W458" i="2" s="1"/>
  <c r="U464" i="2"/>
  <c r="S468" i="2"/>
  <c r="V468" i="2"/>
  <c r="W468" i="2" s="1"/>
  <c r="U470" i="2"/>
  <c r="W473" i="2"/>
  <c r="S474" i="2"/>
  <c r="V474" i="2" s="1"/>
  <c r="W474" i="2" s="1"/>
  <c r="U480" i="2"/>
  <c r="S484" i="2"/>
  <c r="V484" i="2" s="1"/>
  <c r="W484" i="2" s="1"/>
  <c r="U486" i="2"/>
  <c r="W489" i="2"/>
  <c r="S490" i="2"/>
  <c r="V490" i="2" s="1"/>
  <c r="W490" i="2" s="1"/>
  <c r="U496" i="2"/>
  <c r="S500" i="2"/>
  <c r="V500" i="2" s="1"/>
  <c r="W500" i="2" s="1"/>
  <c r="U502" i="2"/>
  <c r="W505" i="2"/>
  <c r="S506" i="2"/>
  <c r="V506" i="2" s="1"/>
  <c r="W506" i="2" s="1"/>
  <c r="U512" i="2"/>
  <c r="S516" i="2"/>
  <c r="V516" i="2" s="1"/>
  <c r="W516" i="2" s="1"/>
  <c r="U518" i="2"/>
  <c r="W521" i="2"/>
  <c r="S522" i="2"/>
  <c r="V522" i="2" s="1"/>
  <c r="W522" i="2" s="1"/>
  <c r="U528" i="2"/>
  <c r="S532" i="2"/>
  <c r="V532" i="2" s="1"/>
  <c r="W532" i="2" s="1"/>
  <c r="U534" i="2"/>
  <c r="W537" i="2"/>
  <c r="V538" i="2"/>
  <c r="W538" i="2" s="1"/>
  <c r="S538" i="2"/>
  <c r="U544" i="2"/>
  <c r="S548" i="2"/>
  <c r="V548" i="2"/>
  <c r="W548" i="2" s="1"/>
  <c r="U550" i="2"/>
  <c r="W553" i="2"/>
  <c r="S554" i="2"/>
  <c r="V554" i="2" s="1"/>
  <c r="W554" i="2" s="1"/>
  <c r="U560" i="2"/>
  <c r="S564" i="2"/>
  <c r="V564" i="2" s="1"/>
  <c r="W564" i="2" s="1"/>
  <c r="U566" i="2"/>
  <c r="W569" i="2"/>
  <c r="S570" i="2"/>
  <c r="V570" i="2" s="1"/>
  <c r="W570" i="2" s="1"/>
  <c r="U576" i="2"/>
  <c r="W578" i="2"/>
  <c r="S580" i="2"/>
  <c r="V580" i="2" s="1"/>
  <c r="W580" i="2" s="1"/>
  <c r="U582" i="2"/>
  <c r="W585" i="2"/>
  <c r="S586" i="2"/>
  <c r="V586" i="2" s="1"/>
  <c r="W586" i="2" s="1"/>
  <c r="U592" i="2"/>
  <c r="W594" i="2"/>
  <c r="S596" i="2"/>
  <c r="V596" i="2" s="1"/>
  <c r="W596" i="2" s="1"/>
  <c r="U598" i="2"/>
  <c r="W601" i="2"/>
  <c r="S602" i="2"/>
  <c r="V602" i="2" s="1"/>
  <c r="W602" i="2" s="1"/>
  <c r="U608" i="2"/>
  <c r="S612" i="2"/>
  <c r="V612" i="2" s="1"/>
  <c r="W612" i="2" s="1"/>
  <c r="U614" i="2"/>
  <c r="U622" i="2"/>
  <c r="S622" i="2"/>
  <c r="V622" i="2" s="1"/>
  <c r="W622" i="2" s="1"/>
  <c r="U630" i="2"/>
  <c r="S630" i="2"/>
  <c r="V630" i="2" s="1"/>
  <c r="W630" i="2" s="1"/>
  <c r="W641" i="2"/>
  <c r="W649" i="2"/>
  <c r="V658" i="2"/>
  <c r="W658" i="2" s="1"/>
  <c r="U658" i="2"/>
  <c r="S658" i="2"/>
  <c r="V666" i="2"/>
  <c r="W666" i="2" s="1"/>
  <c r="U666" i="2"/>
  <c r="S666" i="2"/>
  <c r="V674" i="2"/>
  <c r="W674" i="2" s="1"/>
  <c r="U674" i="2"/>
  <c r="S674" i="2"/>
  <c r="V682" i="2"/>
  <c r="W682" i="2" s="1"/>
  <c r="U682" i="2"/>
  <c r="S682" i="2"/>
  <c r="V690" i="2"/>
  <c r="W690" i="2" s="1"/>
  <c r="U690" i="2"/>
  <c r="S690" i="2"/>
  <c r="U751" i="2"/>
  <c r="S751" i="2"/>
  <c r="V751" i="2"/>
  <c r="W751" i="2" s="1"/>
  <c r="U875" i="2"/>
  <c r="S875" i="2"/>
  <c r="V875" i="2" s="1"/>
  <c r="W875" i="2" s="1"/>
  <c r="U1047" i="2"/>
  <c r="S1047" i="2"/>
  <c r="V1047" i="2" s="1"/>
  <c r="W1047" i="2"/>
  <c r="W423" i="2"/>
  <c r="W427" i="2"/>
  <c r="W431" i="2"/>
  <c r="W439" i="2"/>
  <c r="W443" i="2"/>
  <c r="W447" i="2"/>
  <c r="W451" i="2"/>
  <c r="W459" i="2"/>
  <c r="W467" i="2"/>
  <c r="W479" i="2"/>
  <c r="W483" i="2"/>
  <c r="W491" i="2"/>
  <c r="W495" i="2"/>
  <c r="W499" i="2"/>
  <c r="W503" i="2"/>
  <c r="W511" i="2"/>
  <c r="W515" i="2"/>
  <c r="W519" i="2"/>
  <c r="W523" i="2"/>
  <c r="W527" i="2"/>
  <c r="W531" i="2"/>
  <c r="W535" i="2"/>
  <c r="W539" i="2"/>
  <c r="W543" i="2"/>
  <c r="W547" i="2"/>
  <c r="W555" i="2"/>
  <c r="W559" i="2"/>
  <c r="W563" i="2"/>
  <c r="W567" i="2"/>
  <c r="W571" i="2"/>
  <c r="W575" i="2"/>
  <c r="W579" i="2"/>
  <c r="W583" i="2"/>
  <c r="W591" i="2"/>
  <c r="W595" i="2"/>
  <c r="W599" i="2"/>
  <c r="W603" i="2"/>
  <c r="W607" i="2"/>
  <c r="W611" i="2"/>
  <c r="W615" i="2"/>
  <c r="V620" i="2"/>
  <c r="W620" i="2" s="1"/>
  <c r="V624" i="2"/>
  <c r="W624" i="2" s="1"/>
  <c r="W627" i="2"/>
  <c r="V628" i="2"/>
  <c r="W628" i="2" s="1"/>
  <c r="V632" i="2"/>
  <c r="W632" i="2" s="1"/>
  <c r="W635" i="2"/>
  <c r="V636" i="2"/>
  <c r="W636" i="2" s="1"/>
  <c r="V640" i="2"/>
  <c r="W643" i="2"/>
  <c r="V644" i="2"/>
  <c r="W644" i="2" s="1"/>
  <c r="V648" i="2"/>
  <c r="W648" i="2" s="1"/>
  <c r="W651" i="2"/>
  <c r="V652" i="2"/>
  <c r="W652" i="2" s="1"/>
  <c r="W655" i="2"/>
  <c r="V656" i="2"/>
  <c r="V660" i="2"/>
  <c r="W660" i="2" s="1"/>
  <c r="W663" i="2"/>
  <c r="V664" i="2"/>
  <c r="W664" i="2" s="1"/>
  <c r="W667" i="2"/>
  <c r="W671" i="2"/>
  <c r="V672" i="2"/>
  <c r="V676" i="2"/>
  <c r="W676" i="2" s="1"/>
  <c r="W679" i="2"/>
  <c r="V680" i="2"/>
  <c r="W680" i="2" s="1"/>
  <c r="W683" i="2"/>
  <c r="V688" i="2"/>
  <c r="V692" i="2"/>
  <c r="W692" i="2" s="1"/>
  <c r="W695" i="2"/>
  <c r="W698" i="2"/>
  <c r="W702" i="2"/>
  <c r="W703" i="2"/>
  <c r="W707" i="2"/>
  <c r="W710" i="2"/>
  <c r="W711" i="2"/>
  <c r="W714" i="2"/>
  <c r="W718" i="2"/>
  <c r="W719" i="2"/>
  <c r="W723" i="2"/>
  <c r="W727" i="2"/>
  <c r="W730" i="2"/>
  <c r="W734" i="2"/>
  <c r="W735" i="2"/>
  <c r="W739" i="2"/>
  <c r="W742" i="2"/>
  <c r="W743" i="2"/>
  <c r="W746" i="2"/>
  <c r="V750" i="2"/>
  <c r="W750" i="2" s="1"/>
  <c r="U750" i="2"/>
  <c r="U755" i="2"/>
  <c r="S755" i="2"/>
  <c r="V755" i="2" s="1"/>
  <c r="W760" i="2"/>
  <c r="V778" i="2"/>
  <c r="W778" i="2" s="1"/>
  <c r="U778" i="2"/>
  <c r="S778" i="2"/>
  <c r="V794" i="2"/>
  <c r="W794" i="2" s="1"/>
  <c r="U794" i="2"/>
  <c r="S794" i="2"/>
  <c r="U891" i="2"/>
  <c r="S891" i="2"/>
  <c r="V891" i="2" s="1"/>
  <c r="W891" i="2" s="1"/>
  <c r="U935" i="2"/>
  <c r="S935" i="2"/>
  <c r="V935" i="2" s="1"/>
  <c r="W935" i="2" s="1"/>
  <c r="U999" i="2"/>
  <c r="S999" i="2"/>
  <c r="V999" i="2" s="1"/>
  <c r="W999" i="2" s="1"/>
  <c r="W640" i="2"/>
  <c r="W656" i="2"/>
  <c r="W672" i="2"/>
  <c r="W688" i="2"/>
  <c r="V754" i="2"/>
  <c r="W754" i="2" s="1"/>
  <c r="U754" i="2"/>
  <c r="U759" i="2"/>
  <c r="S759" i="2"/>
  <c r="V759" i="2" s="1"/>
  <c r="W759" i="2" s="1"/>
  <c r="V774" i="2"/>
  <c r="U774" i="2"/>
  <c r="S774" i="2"/>
  <c r="V790" i="2"/>
  <c r="W790" i="2" s="1"/>
  <c r="U790" i="2"/>
  <c r="S790" i="2"/>
  <c r="U843" i="2"/>
  <c r="S843" i="2"/>
  <c r="V843" i="2" s="1"/>
  <c r="W843" i="2" s="1"/>
  <c r="U951" i="2"/>
  <c r="S951" i="2"/>
  <c r="V951" i="2" s="1"/>
  <c r="W951" i="2" s="1"/>
  <c r="U1015" i="2"/>
  <c r="S1015" i="2"/>
  <c r="V1015" i="2" s="1"/>
  <c r="W1015" i="2"/>
  <c r="S696" i="2"/>
  <c r="V696" i="2" s="1"/>
  <c r="W696" i="2" s="1"/>
  <c r="S697" i="2"/>
  <c r="V697" i="2" s="1"/>
  <c r="W697" i="2" s="1"/>
  <c r="S698" i="2"/>
  <c r="U699" i="2"/>
  <c r="S701" i="2"/>
  <c r="V701" i="2" s="1"/>
  <c r="W701" i="2" s="1"/>
  <c r="S702" i="2"/>
  <c r="U703" i="2"/>
  <c r="S705" i="2"/>
  <c r="V705" i="2" s="1"/>
  <c r="W705" i="2" s="1"/>
  <c r="S706" i="2"/>
  <c r="U707" i="2"/>
  <c r="S709" i="2"/>
  <c r="V709" i="2" s="1"/>
  <c r="W709" i="2" s="1"/>
  <c r="S710" i="2"/>
  <c r="U711" i="2"/>
  <c r="S713" i="2"/>
  <c r="V713" i="2" s="1"/>
  <c r="W713" i="2" s="1"/>
  <c r="S714" i="2"/>
  <c r="U715" i="2"/>
  <c r="S717" i="2"/>
  <c r="V717" i="2" s="1"/>
  <c r="W717" i="2" s="1"/>
  <c r="S718" i="2"/>
  <c r="U719" i="2"/>
  <c r="S721" i="2"/>
  <c r="V721" i="2" s="1"/>
  <c r="W721" i="2" s="1"/>
  <c r="S722" i="2"/>
  <c r="U723" i="2"/>
  <c r="S725" i="2"/>
  <c r="V725" i="2" s="1"/>
  <c r="W725" i="2" s="1"/>
  <c r="S726" i="2"/>
  <c r="U727" i="2"/>
  <c r="S729" i="2"/>
  <c r="V729" i="2" s="1"/>
  <c r="W729" i="2" s="1"/>
  <c r="S730" i="2"/>
  <c r="U731" i="2"/>
  <c r="S733" i="2"/>
  <c r="V733" i="2" s="1"/>
  <c r="W733" i="2" s="1"/>
  <c r="S734" i="2"/>
  <c r="U735" i="2"/>
  <c r="S737" i="2"/>
  <c r="V737" i="2" s="1"/>
  <c r="W737" i="2" s="1"/>
  <c r="S738" i="2"/>
  <c r="U739" i="2"/>
  <c r="S741" i="2"/>
  <c r="V741" i="2" s="1"/>
  <c r="W741" i="2" s="1"/>
  <c r="S742" i="2"/>
  <c r="U743" i="2"/>
  <c r="S745" i="2"/>
  <c r="V745" i="2" s="1"/>
  <c r="W745" i="2" s="1"/>
  <c r="S746" i="2"/>
  <c r="U747" i="2"/>
  <c r="W752" i="2"/>
  <c r="S754" i="2"/>
  <c r="W755" i="2"/>
  <c r="V758" i="2"/>
  <c r="W758" i="2" s="1"/>
  <c r="U758" i="2"/>
  <c r="U763" i="2"/>
  <c r="S763" i="2"/>
  <c r="V763" i="2" s="1"/>
  <c r="W763" i="2" s="1"/>
  <c r="V770" i="2"/>
  <c r="W770" i="2" s="1"/>
  <c r="U770" i="2"/>
  <c r="S770" i="2"/>
  <c r="W774" i="2"/>
  <c r="V786" i="2"/>
  <c r="W786" i="2" s="1"/>
  <c r="U786" i="2"/>
  <c r="S786" i="2"/>
  <c r="V838" i="2"/>
  <c r="W838" i="2" s="1"/>
  <c r="U838" i="2"/>
  <c r="S838" i="2"/>
  <c r="U859" i="2"/>
  <c r="S859" i="2"/>
  <c r="V859" i="2" s="1"/>
  <c r="W859" i="2" s="1"/>
  <c r="U967" i="2"/>
  <c r="S967" i="2"/>
  <c r="V967" i="2" s="1"/>
  <c r="W967" i="2" s="1"/>
  <c r="U1031" i="2"/>
  <c r="S1031" i="2"/>
  <c r="V1031" i="2" s="1"/>
  <c r="W1031" i="2" s="1"/>
  <c r="W796" i="2"/>
  <c r="W800" i="2"/>
  <c r="W804" i="2"/>
  <c r="W808" i="2"/>
  <c r="W812" i="2"/>
  <c r="W824" i="2"/>
  <c r="W828" i="2"/>
  <c r="W832" i="2"/>
  <c r="W836" i="2"/>
  <c r="V842" i="2"/>
  <c r="W842" i="2" s="1"/>
  <c r="U842" i="2"/>
  <c r="U847" i="2"/>
  <c r="S847" i="2"/>
  <c r="V847" i="2" s="1"/>
  <c r="W847" i="2" s="1"/>
  <c r="U855" i="2"/>
  <c r="S855" i="2"/>
  <c r="V855" i="2" s="1"/>
  <c r="W855" i="2" s="1"/>
  <c r="U871" i="2"/>
  <c r="S871" i="2"/>
  <c r="V871" i="2" s="1"/>
  <c r="W871" i="2" s="1"/>
  <c r="U887" i="2"/>
  <c r="S887" i="2"/>
  <c r="V887" i="2" s="1"/>
  <c r="W887" i="2" s="1"/>
  <c r="U903" i="2"/>
  <c r="S903" i="2"/>
  <c r="V903" i="2" s="1"/>
  <c r="W903" i="2" s="1"/>
  <c r="W908" i="2"/>
  <c r="U915" i="2"/>
  <c r="S915" i="2"/>
  <c r="V915" i="2" s="1"/>
  <c r="W915" i="2" s="1"/>
  <c r="U931" i="2"/>
  <c r="S931" i="2"/>
  <c r="V931" i="2" s="1"/>
  <c r="W931" i="2" s="1"/>
  <c r="U947" i="2"/>
  <c r="S947" i="2"/>
  <c r="V947" i="2" s="1"/>
  <c r="W947" i="2" s="1"/>
  <c r="U963" i="2"/>
  <c r="S963" i="2"/>
  <c r="V963" i="2" s="1"/>
  <c r="W963" i="2" s="1"/>
  <c r="U979" i="2"/>
  <c r="S979" i="2"/>
  <c r="V979" i="2" s="1"/>
  <c r="W979" i="2" s="1"/>
  <c r="U995" i="2"/>
  <c r="S995" i="2"/>
  <c r="V995" i="2" s="1"/>
  <c r="W995" i="2" s="1"/>
  <c r="W1004" i="2"/>
  <c r="U1011" i="2"/>
  <c r="S1011" i="2"/>
  <c r="V1011" i="2" s="1"/>
  <c r="W1011" i="2" s="1"/>
  <c r="U1027" i="2"/>
  <c r="S1027" i="2"/>
  <c r="V1027" i="2" s="1"/>
  <c r="W1027" i="2" s="1"/>
  <c r="U1043" i="2"/>
  <c r="S1043" i="2"/>
  <c r="V1043" i="2" s="1"/>
  <c r="W1043" i="2" s="1"/>
  <c r="U1059" i="2"/>
  <c r="S1059" i="2"/>
  <c r="V1059" i="2" s="1"/>
  <c r="W1059" i="2" s="1"/>
  <c r="V749" i="2"/>
  <c r="W749" i="2" s="1"/>
  <c r="V753" i="2"/>
  <c r="W753" i="2" s="1"/>
  <c r="V761" i="2"/>
  <c r="W761" i="2" s="1"/>
  <c r="V765" i="2"/>
  <c r="W765" i="2" s="1"/>
  <c r="S767" i="2"/>
  <c r="V767" i="2" s="1"/>
  <c r="W767" i="2" s="1"/>
  <c r="V769" i="2"/>
  <c r="W769" i="2" s="1"/>
  <c r="S771" i="2"/>
  <c r="V771" i="2" s="1"/>
  <c r="W771" i="2" s="1"/>
  <c r="V773" i="2"/>
  <c r="W773" i="2" s="1"/>
  <c r="S775" i="2"/>
  <c r="V775" i="2" s="1"/>
  <c r="W775" i="2" s="1"/>
  <c r="V777" i="2"/>
  <c r="W777" i="2" s="1"/>
  <c r="S779" i="2"/>
  <c r="V779" i="2" s="1"/>
  <c r="W779" i="2" s="1"/>
  <c r="V781" i="2"/>
  <c r="W781" i="2" s="1"/>
  <c r="S783" i="2"/>
  <c r="V783" i="2" s="1"/>
  <c r="W783" i="2" s="1"/>
  <c r="V785" i="2"/>
  <c r="W785" i="2" s="1"/>
  <c r="S787" i="2"/>
  <c r="V787" i="2" s="1"/>
  <c r="W787" i="2" s="1"/>
  <c r="V789" i="2"/>
  <c r="W789" i="2" s="1"/>
  <c r="S791" i="2"/>
  <c r="V791" i="2" s="1"/>
  <c r="W791" i="2" s="1"/>
  <c r="V793" i="2"/>
  <c r="W793" i="2" s="1"/>
  <c r="U795" i="2"/>
  <c r="S797" i="2"/>
  <c r="V797" i="2" s="1"/>
  <c r="W797" i="2" s="1"/>
  <c r="S798" i="2"/>
  <c r="U799" i="2"/>
  <c r="S801" i="2"/>
  <c r="V801" i="2" s="1"/>
  <c r="W801" i="2" s="1"/>
  <c r="S802" i="2"/>
  <c r="U803" i="2"/>
  <c r="S805" i="2"/>
  <c r="V805" i="2" s="1"/>
  <c r="W805" i="2" s="1"/>
  <c r="S806" i="2"/>
  <c r="U807" i="2"/>
  <c r="S809" i="2"/>
  <c r="V809" i="2" s="1"/>
  <c r="W809" i="2" s="1"/>
  <c r="S810" i="2"/>
  <c r="U811" i="2"/>
  <c r="S813" i="2"/>
  <c r="V813" i="2" s="1"/>
  <c r="W813" i="2" s="1"/>
  <c r="S814" i="2"/>
  <c r="U815" i="2"/>
  <c r="S817" i="2"/>
  <c r="V817" i="2" s="1"/>
  <c r="W817" i="2" s="1"/>
  <c r="S818" i="2"/>
  <c r="U819" i="2"/>
  <c r="S821" i="2"/>
  <c r="V821" i="2" s="1"/>
  <c r="W821" i="2" s="1"/>
  <c r="S822" i="2"/>
  <c r="U823" i="2"/>
  <c r="S825" i="2"/>
  <c r="V825" i="2" s="1"/>
  <c r="W825" i="2" s="1"/>
  <c r="S826" i="2"/>
  <c r="U827" i="2"/>
  <c r="S829" i="2"/>
  <c r="V829" i="2" s="1"/>
  <c r="W829" i="2" s="1"/>
  <c r="S830" i="2"/>
  <c r="U831" i="2"/>
  <c r="S833" i="2"/>
  <c r="V833" i="2" s="1"/>
  <c r="W833" i="2" s="1"/>
  <c r="S834" i="2"/>
  <c r="U835" i="2"/>
  <c r="S837" i="2"/>
  <c r="V837" i="2" s="1"/>
  <c r="W837" i="2" s="1"/>
  <c r="W840" i="2"/>
  <c r="S842" i="2"/>
  <c r="V846" i="2"/>
  <c r="W846" i="2" s="1"/>
  <c r="U846" i="2"/>
  <c r="U851" i="2"/>
  <c r="S851" i="2"/>
  <c r="V851" i="2" s="1"/>
  <c r="W851" i="2" s="1"/>
  <c r="W860" i="2"/>
  <c r="U867" i="2"/>
  <c r="S867" i="2"/>
  <c r="V867" i="2" s="1"/>
  <c r="W867" i="2" s="1"/>
  <c r="U883" i="2"/>
  <c r="S883" i="2"/>
  <c r="V883" i="2" s="1"/>
  <c r="W883" i="2" s="1"/>
  <c r="U899" i="2"/>
  <c r="S899" i="2"/>
  <c r="V899" i="2" s="1"/>
  <c r="W899" i="2" s="1"/>
  <c r="U911" i="2"/>
  <c r="S911" i="2"/>
  <c r="V911" i="2" s="1"/>
  <c r="W911" i="2" s="1"/>
  <c r="U927" i="2"/>
  <c r="S927" i="2"/>
  <c r="V927" i="2" s="1"/>
  <c r="W927" i="2" s="1"/>
  <c r="W936" i="2"/>
  <c r="U943" i="2"/>
  <c r="S943" i="2"/>
  <c r="V943" i="2" s="1"/>
  <c r="W943" i="2" s="1"/>
  <c r="W952" i="2"/>
  <c r="U959" i="2"/>
  <c r="S959" i="2"/>
  <c r="V959" i="2" s="1"/>
  <c r="W959" i="2" s="1"/>
  <c r="W968" i="2"/>
  <c r="U975" i="2"/>
  <c r="S975" i="2"/>
  <c r="V975" i="2" s="1"/>
  <c r="W975" i="2" s="1"/>
  <c r="W984" i="2"/>
  <c r="U991" i="2"/>
  <c r="S991" i="2"/>
  <c r="V991" i="2" s="1"/>
  <c r="W991" i="2" s="1"/>
  <c r="U1007" i="2"/>
  <c r="S1007" i="2"/>
  <c r="V1007" i="2" s="1"/>
  <c r="W1007" i="2" s="1"/>
  <c r="W1016" i="2"/>
  <c r="U1023" i="2"/>
  <c r="S1023" i="2"/>
  <c r="V1023" i="2" s="1"/>
  <c r="W1023" i="2" s="1"/>
  <c r="W1032" i="2"/>
  <c r="U1039" i="2"/>
  <c r="S1039" i="2"/>
  <c r="V1039" i="2" s="1"/>
  <c r="W1039" i="2" s="1"/>
  <c r="W1048" i="2"/>
  <c r="U1055" i="2"/>
  <c r="S1055" i="2"/>
  <c r="V1055" i="2" s="1"/>
  <c r="W1055" i="2" s="1"/>
  <c r="V795" i="2"/>
  <c r="W795" i="2" s="1"/>
  <c r="U797" i="2"/>
  <c r="V798" i="2"/>
  <c r="W798" i="2" s="1"/>
  <c r="V799" i="2"/>
  <c r="W799" i="2" s="1"/>
  <c r="U801" i="2"/>
  <c r="V802" i="2"/>
  <c r="W802" i="2" s="1"/>
  <c r="V803" i="2"/>
  <c r="W803" i="2" s="1"/>
  <c r="U839" i="2"/>
  <c r="S839" i="2"/>
  <c r="V839" i="2" s="1"/>
  <c r="W839" i="2" s="1"/>
  <c r="V850" i="2"/>
  <c r="W850" i="2" s="1"/>
  <c r="U850" i="2"/>
  <c r="U863" i="2"/>
  <c r="S863" i="2"/>
  <c r="V863" i="2" s="1"/>
  <c r="W863" i="2" s="1"/>
  <c r="U879" i="2"/>
  <c r="S879" i="2"/>
  <c r="V879" i="2" s="1"/>
  <c r="W879" i="2" s="1"/>
  <c r="U895" i="2"/>
  <c r="S895" i="2"/>
  <c r="V895" i="2" s="1"/>
  <c r="W895" i="2" s="1"/>
  <c r="U907" i="2"/>
  <c r="S907" i="2"/>
  <c r="V907" i="2" s="1"/>
  <c r="W907" i="2" s="1"/>
  <c r="U923" i="2"/>
  <c r="S923" i="2"/>
  <c r="V923" i="2" s="1"/>
  <c r="W923" i="2" s="1"/>
  <c r="U939" i="2"/>
  <c r="S939" i="2"/>
  <c r="V939" i="2" s="1"/>
  <c r="W939" i="2" s="1"/>
  <c r="U955" i="2"/>
  <c r="S955" i="2"/>
  <c r="V955" i="2" s="1"/>
  <c r="W955" i="2" s="1"/>
  <c r="U971" i="2"/>
  <c r="S971" i="2"/>
  <c r="V971" i="2" s="1"/>
  <c r="W971" i="2" s="1"/>
  <c r="U987" i="2"/>
  <c r="S987" i="2"/>
  <c r="V987" i="2" s="1"/>
  <c r="W987" i="2" s="1"/>
  <c r="U1003" i="2"/>
  <c r="S1003" i="2"/>
  <c r="V1003" i="2" s="1"/>
  <c r="W1003" i="2" s="1"/>
  <c r="U1019" i="2"/>
  <c r="S1019" i="2"/>
  <c r="V1019" i="2" s="1"/>
  <c r="W1019" i="2" s="1"/>
  <c r="U1035" i="2"/>
  <c r="S1035" i="2"/>
  <c r="V1035" i="2" s="1"/>
  <c r="W1035" i="2" s="1"/>
  <c r="U1051" i="2"/>
  <c r="S1051" i="2"/>
  <c r="V1051" i="2" s="1"/>
  <c r="W1051" i="2" s="1"/>
  <c r="U1089" i="2"/>
  <c r="S1089" i="2"/>
  <c r="V1089" i="2" s="1"/>
  <c r="W1089" i="2" s="1"/>
  <c r="V841" i="2"/>
  <c r="W841" i="2" s="1"/>
  <c r="V845" i="2"/>
  <c r="W845" i="2" s="1"/>
  <c r="V849" i="2"/>
  <c r="W849" i="2" s="1"/>
  <c r="V853" i="2"/>
  <c r="W853" i="2" s="1"/>
  <c r="U854" i="2"/>
  <c r="U858" i="2"/>
  <c r="V861" i="2"/>
  <c r="W861" i="2" s="1"/>
  <c r="U862" i="2"/>
  <c r="U866" i="2"/>
  <c r="V869" i="2"/>
  <c r="W869" i="2" s="1"/>
  <c r="U870" i="2"/>
  <c r="V873" i="2"/>
  <c r="W873" i="2" s="1"/>
  <c r="W876" i="2"/>
  <c r="V881" i="2"/>
  <c r="W881" i="2" s="1"/>
  <c r="W884" i="2"/>
  <c r="V885" i="2"/>
  <c r="W888" i="2"/>
  <c r="W892" i="2"/>
  <c r="V893" i="2"/>
  <c r="V897" i="2"/>
  <c r="W897" i="2" s="1"/>
  <c r="V901" i="2"/>
  <c r="W904" i="2"/>
  <c r="V905" i="2"/>
  <c r="U906" i="2"/>
  <c r="V909" i="2"/>
  <c r="U910" i="2"/>
  <c r="V913" i="2"/>
  <c r="W913" i="2" s="1"/>
  <c r="U914" i="2"/>
  <c r="V917" i="2"/>
  <c r="U918" i="2"/>
  <c r="V921" i="2"/>
  <c r="W921" i="2" s="1"/>
  <c r="U922" i="2"/>
  <c r="U926" i="2"/>
  <c r="V929" i="2"/>
  <c r="W929" i="2" s="1"/>
  <c r="U930" i="2"/>
  <c r="V933" i="2"/>
  <c r="U934" i="2"/>
  <c r="V937" i="2"/>
  <c r="W937" i="2" s="1"/>
  <c r="U938" i="2"/>
  <c r="V941" i="2"/>
  <c r="U942" i="2"/>
  <c r="V945" i="2"/>
  <c r="W945" i="2" s="1"/>
  <c r="U946" i="2"/>
  <c r="V949" i="2"/>
  <c r="U950" i="2"/>
  <c r="V953" i="2"/>
  <c r="U954" i="2"/>
  <c r="V957" i="2"/>
  <c r="U958" i="2"/>
  <c r="V961" i="2"/>
  <c r="W961" i="2" s="1"/>
  <c r="U962" i="2"/>
  <c r="V965" i="2"/>
  <c r="U966" i="2"/>
  <c r="V969" i="2"/>
  <c r="W969" i="2" s="1"/>
  <c r="U970" i="2"/>
  <c r="V973" i="2"/>
  <c r="U974" i="2"/>
  <c r="U978" i="2"/>
  <c r="V981" i="2"/>
  <c r="U982" i="2"/>
  <c r="V985" i="2"/>
  <c r="W985" i="2" s="1"/>
  <c r="U986" i="2"/>
  <c r="V989" i="2"/>
  <c r="U990" i="2"/>
  <c r="V993" i="2"/>
  <c r="W993" i="2" s="1"/>
  <c r="U994" i="2"/>
  <c r="V997" i="2"/>
  <c r="W997" i="2" s="1"/>
  <c r="U998" i="2"/>
  <c r="V1001" i="2"/>
  <c r="U1002" i="2"/>
  <c r="V1005" i="2"/>
  <c r="U1006" i="2"/>
  <c r="V1009" i="2"/>
  <c r="W1009" i="2" s="1"/>
  <c r="U1010" i="2"/>
  <c r="V1013" i="2"/>
  <c r="W1013" i="2" s="1"/>
  <c r="U1014" i="2"/>
  <c r="V1017" i="2"/>
  <c r="W1017" i="2" s="1"/>
  <c r="U1018" i="2"/>
  <c r="U1022" i="2"/>
  <c r="U1026" i="2"/>
  <c r="V1029" i="2"/>
  <c r="W1029" i="2" s="1"/>
  <c r="U1030" i="2"/>
  <c r="V1033" i="2"/>
  <c r="W1033" i="2" s="1"/>
  <c r="U1034" i="2"/>
  <c r="V1037" i="2"/>
  <c r="U1038" i="2"/>
  <c r="V1041" i="2"/>
  <c r="W1041" i="2" s="1"/>
  <c r="U1042" i="2"/>
  <c r="V1045" i="2"/>
  <c r="W1045" i="2" s="1"/>
  <c r="U1046" i="2"/>
  <c r="V1049" i="2"/>
  <c r="W1049" i="2" s="1"/>
  <c r="U1050" i="2"/>
  <c r="U1054" i="2"/>
  <c r="V1057" i="2"/>
  <c r="W1057" i="2" s="1"/>
  <c r="U1058" i="2"/>
  <c r="V1063" i="2"/>
  <c r="W1063" i="2" s="1"/>
  <c r="W1066" i="2"/>
  <c r="V1067" i="2"/>
  <c r="W1067" i="2" s="1"/>
  <c r="W1070" i="2"/>
  <c r="V1071" i="2"/>
  <c r="W1071" i="2" s="1"/>
  <c r="V1075" i="2"/>
  <c r="W1075" i="2" s="1"/>
  <c r="W1078" i="2"/>
  <c r="V1079" i="2"/>
  <c r="W1079" i="2" s="1"/>
  <c r="W1082" i="2"/>
  <c r="W1086" i="2"/>
  <c r="W1088" i="2"/>
  <c r="U1088" i="2"/>
  <c r="S1199" i="2"/>
  <c r="V1199" i="2" s="1"/>
  <c r="W1199" i="2" s="1"/>
  <c r="U1199" i="2"/>
  <c r="S1260" i="2"/>
  <c r="V1260" i="2"/>
  <c r="W1260" i="2" s="1"/>
  <c r="U1260" i="2"/>
  <c r="S1264" i="2"/>
  <c r="V1264" i="2"/>
  <c r="W1264" i="2" s="1"/>
  <c r="U1264" i="2"/>
  <c r="V854" i="2"/>
  <c r="W854" i="2" s="1"/>
  <c r="V858" i="2"/>
  <c r="W858" i="2" s="1"/>
  <c r="V862" i="2"/>
  <c r="W862" i="2" s="1"/>
  <c r="V866" i="2"/>
  <c r="W866" i="2" s="1"/>
  <c r="V870" i="2"/>
  <c r="W870" i="2" s="1"/>
  <c r="W885" i="2"/>
  <c r="W893" i="2"/>
  <c r="W901" i="2"/>
  <c r="W905" i="2"/>
  <c r="W909" i="2"/>
  <c r="W917" i="2"/>
  <c r="W933" i="2"/>
  <c r="W941" i="2"/>
  <c r="W949" i="2"/>
  <c r="W953" i="2"/>
  <c r="W957" i="2"/>
  <c r="W965" i="2"/>
  <c r="W973" i="2"/>
  <c r="W981" i="2"/>
  <c r="W989" i="2"/>
  <c r="W1001" i="2"/>
  <c r="W1005" i="2"/>
  <c r="W1037" i="2"/>
  <c r="S1205" i="2"/>
  <c r="V1205" i="2" s="1"/>
  <c r="W1205" i="2" s="1"/>
  <c r="U1205" i="2"/>
  <c r="V1090" i="2"/>
  <c r="W1090" i="2" s="1"/>
  <c r="V1091" i="2"/>
  <c r="W1091" i="2" s="1"/>
  <c r="U1093" i="2"/>
  <c r="V1095" i="2"/>
  <c r="W1095" i="2" s="1"/>
  <c r="V1098" i="2"/>
  <c r="W1098" i="2" s="1"/>
  <c r="V1099" i="2"/>
  <c r="W1099" i="2" s="1"/>
  <c r="V1102" i="2"/>
  <c r="W1102" i="2" s="1"/>
  <c r="V1103" i="2"/>
  <c r="W1103" i="2" s="1"/>
  <c r="V1106" i="2"/>
  <c r="W1106" i="2" s="1"/>
  <c r="V1107" i="2"/>
  <c r="W1107" i="2" s="1"/>
  <c r="V1110" i="2"/>
  <c r="W1110" i="2" s="1"/>
  <c r="V1111" i="2"/>
  <c r="W1111" i="2" s="1"/>
  <c r="U1113" i="2"/>
  <c r="V1114" i="2"/>
  <c r="W1114" i="2" s="1"/>
  <c r="V1115" i="2"/>
  <c r="W1115" i="2" s="1"/>
  <c r="V1118" i="2"/>
  <c r="W1118" i="2" s="1"/>
  <c r="V1119" i="2"/>
  <c r="W1119" i="2" s="1"/>
  <c r="V1122" i="2"/>
  <c r="W1122" i="2" s="1"/>
  <c r="V1123" i="2"/>
  <c r="W1123" i="2" s="1"/>
  <c r="V1126" i="2"/>
  <c r="W1126" i="2" s="1"/>
  <c r="V1127" i="2"/>
  <c r="W1127" i="2" s="1"/>
  <c r="V1130" i="2"/>
  <c r="W1130" i="2" s="1"/>
  <c r="V1131" i="2"/>
  <c r="W1131" i="2" s="1"/>
  <c r="U1133" i="2"/>
  <c r="V1134" i="2"/>
  <c r="W1134" i="2" s="1"/>
  <c r="V1135" i="2"/>
  <c r="W1135" i="2" s="1"/>
  <c r="V1138" i="2"/>
  <c r="W1138" i="2" s="1"/>
  <c r="V1139" i="2"/>
  <c r="W1139" i="2" s="1"/>
  <c r="V1142" i="2"/>
  <c r="W1142" i="2" s="1"/>
  <c r="V1143" i="2"/>
  <c r="W1143" i="2" s="1"/>
  <c r="V1146" i="2"/>
  <c r="W1146" i="2" s="1"/>
  <c r="V1147" i="2"/>
  <c r="W1147" i="2" s="1"/>
  <c r="V1150" i="2"/>
  <c r="W1150" i="2" s="1"/>
  <c r="U1153" i="2"/>
  <c r="V1154" i="2"/>
  <c r="W1154" i="2" s="1"/>
  <c r="V1155" i="2"/>
  <c r="W1155" i="2" s="1"/>
  <c r="V1158" i="2"/>
  <c r="W1158" i="2" s="1"/>
  <c r="V1159" i="2"/>
  <c r="W1159" i="2" s="1"/>
  <c r="V1162" i="2"/>
  <c r="W1162" i="2" s="1"/>
  <c r="V1163" i="2"/>
  <c r="W1163" i="2" s="1"/>
  <c r="V1166" i="2"/>
  <c r="W1166" i="2" s="1"/>
  <c r="V1167" i="2"/>
  <c r="W1167" i="2" s="1"/>
  <c r="V1170" i="2"/>
  <c r="W1170" i="2" s="1"/>
  <c r="V1171" i="2"/>
  <c r="W1171" i="2" s="1"/>
  <c r="U1173" i="2"/>
  <c r="V1174" i="2"/>
  <c r="W1174" i="2" s="1"/>
  <c r="V1175" i="2"/>
  <c r="W1175" i="2" s="1"/>
  <c r="S1187" i="2"/>
  <c r="V1187" i="2" s="1"/>
  <c r="W1187" i="2" s="1"/>
  <c r="W1192" i="2"/>
  <c r="S1193" i="2"/>
  <c r="V1193" i="2"/>
  <c r="W1193" i="2" s="1"/>
  <c r="V1203" i="2"/>
  <c r="W1203" i="2" s="1"/>
  <c r="S1203" i="2"/>
  <c r="W1208" i="2"/>
  <c r="S1209" i="2"/>
  <c r="V1209" i="2"/>
  <c r="W1209" i="2" s="1"/>
  <c r="S1256" i="2"/>
  <c r="V1256" i="2" s="1"/>
  <c r="W1256" i="2" s="1"/>
  <c r="U1256" i="2"/>
  <c r="S1191" i="2"/>
  <c r="V1191" i="2" s="1"/>
  <c r="W1191" i="2" s="1"/>
  <c r="S1197" i="2"/>
  <c r="V1197" i="2" s="1"/>
  <c r="W1197" i="2" s="1"/>
  <c r="S1207" i="2"/>
  <c r="V1207" i="2" s="1"/>
  <c r="W1207" i="2" s="1"/>
  <c r="U1215" i="2"/>
  <c r="S1215" i="2"/>
  <c r="V1215" i="2" s="1"/>
  <c r="W1215" i="2" s="1"/>
  <c r="S1272" i="2"/>
  <c r="V1272" i="2" s="1"/>
  <c r="W1272" i="2" s="1"/>
  <c r="U1272" i="2"/>
  <c r="W1096" i="2"/>
  <c r="V1097" i="2"/>
  <c r="W1097" i="2" s="1"/>
  <c r="V1101" i="2"/>
  <c r="W1101" i="2" s="1"/>
  <c r="W1104" i="2"/>
  <c r="V1105" i="2"/>
  <c r="W1105" i="2" s="1"/>
  <c r="V1109" i="2"/>
  <c r="W1109" i="2" s="1"/>
  <c r="W1112" i="2"/>
  <c r="W1116" i="2"/>
  <c r="V1117" i="2"/>
  <c r="W1117" i="2" s="1"/>
  <c r="W1120" i="2"/>
  <c r="V1121" i="2"/>
  <c r="W1121" i="2" s="1"/>
  <c r="V1125" i="2"/>
  <c r="W1125" i="2" s="1"/>
  <c r="V1129" i="2"/>
  <c r="W1129" i="2" s="1"/>
  <c r="W1132" i="2"/>
  <c r="W1136" i="2"/>
  <c r="V1141" i="2"/>
  <c r="W1141" i="2" s="1"/>
  <c r="W1144" i="2"/>
  <c r="V1145" i="2"/>
  <c r="W1145" i="2" s="1"/>
  <c r="W1148" i="2"/>
  <c r="V1149" i="2"/>
  <c r="W1149" i="2" s="1"/>
  <c r="W1152" i="2"/>
  <c r="V1157" i="2"/>
  <c r="W1157" i="2" s="1"/>
  <c r="W1160" i="2"/>
  <c r="V1161" i="2"/>
  <c r="W1161" i="2" s="1"/>
  <c r="V1165" i="2"/>
  <c r="W1165" i="2" s="1"/>
  <c r="W1168" i="2"/>
  <c r="V1169" i="2"/>
  <c r="W1169" i="2" s="1"/>
  <c r="W1172" i="2"/>
  <c r="W1176" i="2"/>
  <c r="V1177" i="2"/>
  <c r="W1177" i="2" s="1"/>
  <c r="W1180" i="2"/>
  <c r="V1181" i="2"/>
  <c r="W1181" i="2" s="1"/>
  <c r="W1184" i="2"/>
  <c r="S1185" i="2"/>
  <c r="V1185" i="2" s="1"/>
  <c r="W1185" i="2" s="1"/>
  <c r="W1190" i="2"/>
  <c r="U1191" i="2"/>
  <c r="S1195" i="2"/>
  <c r="V1195" i="2" s="1"/>
  <c r="W1195" i="2" s="1"/>
  <c r="U1197" i="2"/>
  <c r="W1200" i="2"/>
  <c r="S1201" i="2"/>
  <c r="V1201" i="2" s="1"/>
  <c r="W1201" i="2" s="1"/>
  <c r="W1206" i="2"/>
  <c r="U1207" i="2"/>
  <c r="S1211" i="2"/>
  <c r="V1211" i="2" s="1"/>
  <c r="W1211" i="2" s="1"/>
  <c r="S1268" i="2"/>
  <c r="V1268" i="2"/>
  <c r="W1268" i="2" s="1"/>
  <c r="U1268" i="2"/>
  <c r="S1282" i="2"/>
  <c r="V1282" i="2" s="1"/>
  <c r="W1282" i="2" s="1"/>
  <c r="U1282" i="2"/>
  <c r="S1340" i="2"/>
  <c r="V1340" i="2" s="1"/>
  <c r="W1340" i="2" s="1"/>
  <c r="U1340" i="2"/>
  <c r="U1186" i="2"/>
  <c r="U1190" i="2"/>
  <c r="U1194" i="2"/>
  <c r="U1198" i="2"/>
  <c r="U1202" i="2"/>
  <c r="U1206" i="2"/>
  <c r="U1210" i="2"/>
  <c r="V1213" i="2"/>
  <c r="U1214" i="2"/>
  <c r="V1218" i="2"/>
  <c r="W1218" i="2" s="1"/>
  <c r="S1218" i="2"/>
  <c r="S1222" i="2"/>
  <c r="V1222" i="2" s="1"/>
  <c r="W1222" i="2" s="1"/>
  <c r="S1226" i="2"/>
  <c r="V1226" i="2" s="1"/>
  <c r="W1226" i="2" s="1"/>
  <c r="S1230" i="2"/>
  <c r="V1230" i="2" s="1"/>
  <c r="W1230" i="2" s="1"/>
  <c r="S1234" i="2"/>
  <c r="V1234" i="2" s="1"/>
  <c r="W1234" i="2" s="1"/>
  <c r="V1238" i="2"/>
  <c r="W1238" i="2" s="1"/>
  <c r="S1238" i="2"/>
  <c r="S1242" i="2"/>
  <c r="V1242" i="2" s="1"/>
  <c r="W1242" i="2" s="1"/>
  <c r="S1246" i="2"/>
  <c r="V1246" i="2" s="1"/>
  <c r="W1246" i="2" s="1"/>
  <c r="S1250" i="2"/>
  <c r="V1250" i="2" s="1"/>
  <c r="W1250" i="2" s="1"/>
  <c r="S1276" i="2"/>
  <c r="V1276" i="2" s="1"/>
  <c r="W1276" i="2" s="1"/>
  <c r="W1281" i="2"/>
  <c r="S1346" i="2"/>
  <c r="V1346" i="2" s="1"/>
  <c r="W1346" i="2" s="1"/>
  <c r="U1346" i="2"/>
  <c r="W1213" i="2"/>
  <c r="U1217" i="2"/>
  <c r="W1225" i="2"/>
  <c r="W1229" i="2"/>
  <c r="W1233" i="2"/>
  <c r="W1237" i="2"/>
  <c r="W1241" i="2"/>
  <c r="W1249" i="2"/>
  <c r="S1254" i="2"/>
  <c r="V1254" i="2" s="1"/>
  <c r="W1254" i="2" s="1"/>
  <c r="V1258" i="2"/>
  <c r="W1258" i="2" s="1"/>
  <c r="S1258" i="2"/>
  <c r="S1262" i="2"/>
  <c r="V1262" i="2" s="1"/>
  <c r="W1262" i="2" s="1"/>
  <c r="S1266" i="2"/>
  <c r="V1266" i="2" s="1"/>
  <c r="W1266" i="2" s="1"/>
  <c r="S1270" i="2"/>
  <c r="V1270" i="2" s="1"/>
  <c r="W1270" i="2" s="1"/>
  <c r="S1274" i="2"/>
  <c r="V1274" i="2" s="1"/>
  <c r="W1274" i="2" s="1"/>
  <c r="W1279" i="2"/>
  <c r="S1280" i="2"/>
  <c r="V1280" i="2" s="1"/>
  <c r="W1280" i="2" s="1"/>
  <c r="S1348" i="2"/>
  <c r="V1348" i="2" s="1"/>
  <c r="W1348" i="2" s="1"/>
  <c r="U1348" i="2"/>
  <c r="W1351" i="2"/>
  <c r="S1217" i="2"/>
  <c r="V1217" i="2" s="1"/>
  <c r="W1217" i="2" s="1"/>
  <c r="S1220" i="2"/>
  <c r="V1220" i="2" s="1"/>
  <c r="W1220" i="2" s="1"/>
  <c r="S1224" i="2"/>
  <c r="V1224" i="2"/>
  <c r="W1224" i="2" s="1"/>
  <c r="S1228" i="2"/>
  <c r="V1228" i="2"/>
  <c r="W1228" i="2" s="1"/>
  <c r="S1232" i="2"/>
  <c r="V1232" i="2"/>
  <c r="W1232" i="2" s="1"/>
  <c r="S1236" i="2"/>
  <c r="V1236" i="2" s="1"/>
  <c r="W1236" i="2" s="1"/>
  <c r="S1240" i="2"/>
  <c r="V1240" i="2"/>
  <c r="W1240" i="2" s="1"/>
  <c r="S1244" i="2"/>
  <c r="V1244" i="2" s="1"/>
  <c r="W1244" i="2" s="1"/>
  <c r="S1248" i="2"/>
  <c r="V1248" i="2"/>
  <c r="W1248" i="2" s="1"/>
  <c r="S1252" i="2"/>
  <c r="V1252" i="2" s="1"/>
  <c r="W1252" i="2" s="1"/>
  <c r="U1254" i="2"/>
  <c r="W1257" i="2"/>
  <c r="U1258" i="2"/>
  <c r="W1261" i="2"/>
  <c r="U1262" i="2"/>
  <c r="W1265" i="2"/>
  <c r="U1266" i="2"/>
  <c r="W1269" i="2"/>
  <c r="U1270" i="2"/>
  <c r="U1274" i="2"/>
  <c r="V1278" i="2"/>
  <c r="W1278" i="2" s="1"/>
  <c r="S1278" i="2"/>
  <c r="U1280" i="2"/>
  <c r="S1354" i="2"/>
  <c r="V1354" i="2" s="1"/>
  <c r="W1354" i="2" s="1"/>
  <c r="U1354" i="2"/>
  <c r="V1356" i="2"/>
  <c r="W1356" i="2" s="1"/>
  <c r="U1356" i="2"/>
  <c r="S1356" i="2"/>
  <c r="W1219" i="2"/>
  <c r="U1221" i="2"/>
  <c r="W1223" i="2"/>
  <c r="U1225" i="2"/>
  <c r="U1229" i="2"/>
  <c r="U1233" i="2"/>
  <c r="W1235" i="2"/>
  <c r="U1237" i="2"/>
  <c r="W1239" i="2"/>
  <c r="U1241" i="2"/>
  <c r="W1243" i="2"/>
  <c r="U1245" i="2"/>
  <c r="W1247" i="2"/>
  <c r="U1249" i="2"/>
  <c r="W1251" i="2"/>
  <c r="W1255" i="2"/>
  <c r="U1257" i="2"/>
  <c r="W1259" i="2"/>
  <c r="U1261" i="2"/>
  <c r="W1263" i="2"/>
  <c r="U1265" i="2"/>
  <c r="U1269" i="2"/>
  <c r="W1271" i="2"/>
  <c r="U1273" i="2"/>
  <c r="U1277" i="2"/>
  <c r="U1281" i="2"/>
  <c r="W1285" i="2"/>
  <c r="V1286" i="2"/>
  <c r="W1286" i="2" s="1"/>
  <c r="W1289" i="2"/>
  <c r="W1293" i="2"/>
  <c r="V1294" i="2"/>
  <c r="W1294" i="2" s="1"/>
  <c r="W1297" i="2"/>
  <c r="V1298" i="2"/>
  <c r="W1298" i="2" s="1"/>
  <c r="W1301" i="2"/>
  <c r="W1305" i="2"/>
  <c r="V1306" i="2"/>
  <c r="W1306" i="2" s="1"/>
  <c r="W1309" i="2"/>
  <c r="V1310" i="2"/>
  <c r="W1310" i="2" s="1"/>
  <c r="W1313" i="2"/>
  <c r="W1317" i="2"/>
  <c r="V1318" i="2"/>
  <c r="W1318" i="2" s="1"/>
  <c r="W1321" i="2"/>
  <c r="V1322" i="2"/>
  <c r="W1322" i="2" s="1"/>
  <c r="W1325" i="2"/>
  <c r="W1329" i="2"/>
  <c r="V1330" i="2"/>
  <c r="W1330" i="2" s="1"/>
  <c r="W1333" i="2"/>
  <c r="V1334" i="2"/>
  <c r="W1334" i="2" s="1"/>
  <c r="W1337" i="2"/>
  <c r="W1339" i="2"/>
  <c r="V1344" i="2"/>
  <c r="W1344" i="2" s="1"/>
  <c r="S1344" i="2"/>
  <c r="W1349" i="2"/>
  <c r="S1350" i="2"/>
  <c r="V1350" i="2"/>
  <c r="W1350" i="2" s="1"/>
  <c r="W1355" i="2"/>
  <c r="U1364" i="2"/>
  <c r="S1364" i="2"/>
  <c r="V1364" i="2" s="1"/>
  <c r="W1364" i="2" s="1"/>
  <c r="U1360" i="2"/>
  <c r="S1360" i="2"/>
  <c r="V1360" i="2" s="1"/>
  <c r="W1360" i="2" s="1"/>
  <c r="S1342" i="2"/>
  <c r="V1342" i="2" s="1"/>
  <c r="W1342" i="2" s="1"/>
  <c r="S1352" i="2"/>
  <c r="V1352" i="2" s="1"/>
  <c r="W1352" i="2" s="1"/>
  <c r="W1365" i="2"/>
  <c r="U1339" i="2"/>
  <c r="U1343" i="2"/>
  <c r="U1347" i="2"/>
  <c r="U1351" i="2"/>
  <c r="U1355" i="2"/>
  <c r="V1358" i="2"/>
  <c r="W1358" i="2" s="1"/>
  <c r="U1359" i="2"/>
  <c r="V1362" i="2"/>
  <c r="W1362" i="2" s="1"/>
  <c r="U1363" i="2"/>
  <c r="U1367" i="2"/>
  <c r="V1359" i="2"/>
  <c r="W1359" i="2" s="1"/>
  <c r="V1363" i="2"/>
  <c r="W1363" i="2" s="1"/>
  <c r="V1367" i="2"/>
  <c r="W1367" i="2" s="1"/>
  <c r="U245" i="2"/>
  <c r="AH25" i="20" l="1"/>
  <c r="AK24" i="20"/>
  <c r="AJ24" i="20"/>
  <c r="I20" i="19"/>
  <c r="H105" i="19"/>
  <c r="AH19" i="19"/>
  <c r="AK18" i="19"/>
  <c r="AJ18" i="19"/>
  <c r="S21" i="19"/>
  <c r="R2" i="2"/>
  <c r="R3" i="2"/>
  <c r="R4" i="2"/>
  <c r="T4" i="2" s="1"/>
  <c r="R5" i="2"/>
  <c r="V5" i="2" s="1"/>
  <c r="R6" i="2"/>
  <c r="S6" i="2" s="1"/>
  <c r="R7" i="2"/>
  <c r="S7" i="2" s="1"/>
  <c r="R8" i="2"/>
  <c r="R9" i="2"/>
  <c r="S9" i="2" s="1"/>
  <c r="R10" i="2"/>
  <c r="T10" i="2" s="1"/>
  <c r="R11" i="2"/>
  <c r="R12" i="2"/>
  <c r="T12" i="2" s="1"/>
  <c r="S12" i="2"/>
  <c r="R13" i="2"/>
  <c r="S13" i="2" s="1"/>
  <c r="R14" i="2"/>
  <c r="S14" i="2" s="1"/>
  <c r="R15" i="2"/>
  <c r="S15" i="2" s="1"/>
  <c r="R16" i="2"/>
  <c r="R17" i="2"/>
  <c r="V17" i="2" s="1"/>
  <c r="R18" i="2"/>
  <c r="S18" i="2" s="1"/>
  <c r="R19" i="2"/>
  <c r="S19" i="2" s="1"/>
  <c r="R20" i="2"/>
  <c r="T20" i="2" s="1"/>
  <c r="R21" i="2"/>
  <c r="T21" i="2" s="1"/>
  <c r="R22" i="2"/>
  <c r="S22" i="2" s="1"/>
  <c r="R23" i="2"/>
  <c r="V23" i="2" s="1"/>
  <c r="R24" i="2"/>
  <c r="R25" i="2"/>
  <c r="S25" i="2" s="1"/>
  <c r="R26" i="2"/>
  <c r="S26" i="2" s="1"/>
  <c r="T26" i="2"/>
  <c r="R27" i="2"/>
  <c r="S27" i="2" s="1"/>
  <c r="R28" i="2"/>
  <c r="T28" i="2" s="1"/>
  <c r="R29" i="2"/>
  <c r="V29" i="2" s="1"/>
  <c r="R30" i="2"/>
  <c r="S30" i="2" s="1"/>
  <c r="R31" i="2"/>
  <c r="S31" i="2" s="1"/>
  <c r="R32" i="2"/>
  <c r="R33" i="2"/>
  <c r="S33" i="2" s="1"/>
  <c r="R34" i="2"/>
  <c r="T34" i="2" s="1"/>
  <c r="R35" i="2"/>
  <c r="V35" i="2" s="1"/>
  <c r="R36" i="2"/>
  <c r="T36" i="2" s="1"/>
  <c r="R37" i="2"/>
  <c r="S37" i="2" s="1"/>
  <c r="R38" i="2"/>
  <c r="S38" i="2" s="1"/>
  <c r="R39" i="2"/>
  <c r="S39" i="2" s="1"/>
  <c r="R40" i="2"/>
  <c r="R41" i="2"/>
  <c r="V41" i="2" s="1"/>
  <c r="R42" i="2"/>
  <c r="S42" i="2" s="1"/>
  <c r="R43" i="2"/>
  <c r="S43" i="2" s="1"/>
  <c r="R44" i="2"/>
  <c r="T44" i="2" s="1"/>
  <c r="R45" i="2"/>
  <c r="T45" i="2" s="1"/>
  <c r="R46" i="2"/>
  <c r="S46" i="2" s="1"/>
  <c r="R47" i="2"/>
  <c r="V47" i="2" s="1"/>
  <c r="U47" i="2"/>
  <c r="R48" i="2"/>
  <c r="R49" i="2"/>
  <c r="S49" i="2" s="1"/>
  <c r="R50" i="2"/>
  <c r="S50" i="2" s="1"/>
  <c r="R51" i="2"/>
  <c r="S51" i="2" s="1"/>
  <c r="R52" i="2"/>
  <c r="T52" i="2" s="1"/>
  <c r="R53" i="2"/>
  <c r="V53" i="2" s="1"/>
  <c r="R54" i="2"/>
  <c r="S54" i="2" s="1"/>
  <c r="R55" i="2"/>
  <c r="S55" i="2" s="1"/>
  <c r="R56" i="2"/>
  <c r="R57" i="2"/>
  <c r="S57" i="2" s="1"/>
  <c r="R58" i="2"/>
  <c r="T58" i="2" s="1"/>
  <c r="R59" i="2"/>
  <c r="V59" i="2" s="1"/>
  <c r="R60" i="2"/>
  <c r="T60" i="2" s="1"/>
  <c r="R61" i="2"/>
  <c r="S61" i="2" s="1"/>
  <c r="R62" i="2"/>
  <c r="S62" i="2" s="1"/>
  <c r="R63" i="2"/>
  <c r="S63" i="2" s="1"/>
  <c r="R64" i="2"/>
  <c r="T64" i="2" s="1"/>
  <c r="R65" i="2"/>
  <c r="V65" i="2" s="1"/>
  <c r="R66" i="2"/>
  <c r="S66" i="2" s="1"/>
  <c r="R67" i="2"/>
  <c r="S67" i="2" s="1"/>
  <c r="R68" i="2"/>
  <c r="T68" i="2" s="1"/>
  <c r="R69" i="2"/>
  <c r="T69" i="2" s="1"/>
  <c r="S69" i="2"/>
  <c r="R70" i="2"/>
  <c r="S70" i="2" s="1"/>
  <c r="R71" i="2"/>
  <c r="V71" i="2" s="1"/>
  <c r="R72" i="2"/>
  <c r="R73" i="2"/>
  <c r="S73" i="2" s="1"/>
  <c r="R74" i="2"/>
  <c r="S74" i="2" s="1"/>
  <c r="R75" i="2"/>
  <c r="S75" i="2" s="1"/>
  <c r="R76" i="2"/>
  <c r="T76" i="2" s="1"/>
  <c r="R77" i="2"/>
  <c r="V77" i="2" s="1"/>
  <c r="R78" i="2"/>
  <c r="S78" i="2" s="1"/>
  <c r="R79" i="2"/>
  <c r="S79" i="2" s="1"/>
  <c r="R80" i="2"/>
  <c r="R81" i="2"/>
  <c r="S81" i="2" s="1"/>
  <c r="R82" i="2"/>
  <c r="T82" i="2" s="1"/>
  <c r="S82" i="2"/>
  <c r="R83" i="2"/>
  <c r="V83" i="2" s="1"/>
  <c r="R84" i="2"/>
  <c r="T84" i="2" s="1"/>
  <c r="S84" i="2"/>
  <c r="R85" i="2"/>
  <c r="S85" i="2" s="1"/>
  <c r="R86" i="2"/>
  <c r="S86" i="2" s="1"/>
  <c r="R87" i="2"/>
  <c r="S87" i="2" s="1"/>
  <c r="R88" i="2"/>
  <c r="R89" i="2"/>
  <c r="V89" i="2" s="1"/>
  <c r="R90" i="2"/>
  <c r="S90" i="2" s="1"/>
  <c r="R91" i="2"/>
  <c r="S91" i="2" s="1"/>
  <c r="R92" i="2"/>
  <c r="T92" i="2" s="1"/>
  <c r="R93" i="2"/>
  <c r="T93" i="2" s="1"/>
  <c r="R94" i="2"/>
  <c r="S94" i="2" s="1"/>
  <c r="R95" i="2"/>
  <c r="V95" i="2" s="1"/>
  <c r="U95" i="2"/>
  <c r="R96" i="2"/>
  <c r="R97" i="2"/>
  <c r="S97" i="2" s="1"/>
  <c r="R98" i="2"/>
  <c r="S98" i="2" s="1"/>
  <c r="R99" i="2"/>
  <c r="S99" i="2" s="1"/>
  <c r="R100" i="2"/>
  <c r="T100" i="2" s="1"/>
  <c r="R101" i="2"/>
  <c r="V101" i="2" s="1"/>
  <c r="R102" i="2"/>
  <c r="S102" i="2" s="1"/>
  <c r="R103" i="2"/>
  <c r="S103" i="2" s="1"/>
  <c r="R104" i="2"/>
  <c r="R105" i="2"/>
  <c r="S105" i="2" s="1"/>
  <c r="U105" i="2"/>
  <c r="R106" i="2"/>
  <c r="T106" i="2" s="1"/>
  <c r="R107" i="2"/>
  <c r="V107" i="2" s="1"/>
  <c r="R108" i="2"/>
  <c r="T108" i="2" s="1"/>
  <c r="R109" i="2"/>
  <c r="S109" i="2" s="1"/>
  <c r="R110" i="2"/>
  <c r="S110" i="2" s="1"/>
  <c r="R111" i="2"/>
  <c r="S111" i="2" s="1"/>
  <c r="R112" i="2"/>
  <c r="R113" i="2"/>
  <c r="V113" i="2" s="1"/>
  <c r="R114" i="2"/>
  <c r="S114" i="2" s="1"/>
  <c r="R115" i="2"/>
  <c r="S115" i="2" s="1"/>
  <c r="R116" i="2"/>
  <c r="T116" i="2" s="1"/>
  <c r="R117" i="2"/>
  <c r="T117" i="2" s="1"/>
  <c r="S117" i="2"/>
  <c r="R118" i="2"/>
  <c r="S118" i="2" s="1"/>
  <c r="R119" i="2"/>
  <c r="V119" i="2" s="1"/>
  <c r="R120" i="2"/>
  <c r="S120" i="2" s="1"/>
  <c r="R121" i="2"/>
  <c r="T121" i="2" s="1"/>
  <c r="R122" i="2"/>
  <c r="V122" i="2" s="1"/>
  <c r="R123" i="2"/>
  <c r="S123" i="2" s="1"/>
  <c r="R124" i="2"/>
  <c r="S124" i="2"/>
  <c r="R125" i="2"/>
  <c r="V125" i="2" s="1"/>
  <c r="R126" i="2"/>
  <c r="S126" i="2" s="1"/>
  <c r="R127" i="2"/>
  <c r="R128" i="2"/>
  <c r="V128" i="2" s="1"/>
  <c r="R129" i="2"/>
  <c r="S129" i="2" s="1"/>
  <c r="R130" i="2"/>
  <c r="S130" i="2" s="1"/>
  <c r="R131" i="2"/>
  <c r="V131" i="2" s="1"/>
  <c r="R132" i="2"/>
  <c r="S132" i="2" s="1"/>
  <c r="R133" i="2"/>
  <c r="T133" i="2" s="1"/>
  <c r="R134" i="2"/>
  <c r="V134" i="2" s="1"/>
  <c r="R135" i="2"/>
  <c r="S135" i="2" s="1"/>
  <c r="T135" i="2"/>
  <c r="R136" i="2"/>
  <c r="S136" i="2" s="1"/>
  <c r="R137" i="2"/>
  <c r="V137" i="2" s="1"/>
  <c r="R138" i="2"/>
  <c r="S138" i="2" s="1"/>
  <c r="R139" i="2"/>
  <c r="U139" i="2" s="1"/>
  <c r="R140" i="2"/>
  <c r="V140" i="2" s="1"/>
  <c r="T140" i="2"/>
  <c r="U140" i="2"/>
  <c r="R141" i="2"/>
  <c r="S141" i="2" s="1"/>
  <c r="R142" i="2"/>
  <c r="S142" i="2" s="1"/>
  <c r="R143" i="2"/>
  <c r="V143" i="2" s="1"/>
  <c r="R144" i="2"/>
  <c r="S144" i="2" s="1"/>
  <c r="R145" i="2"/>
  <c r="T145" i="2" s="1"/>
  <c r="R146" i="2"/>
  <c r="V146" i="2" s="1"/>
  <c r="S146" i="2"/>
  <c r="R147" i="2"/>
  <c r="S147" i="2" s="1"/>
  <c r="R148" i="2"/>
  <c r="R149" i="2"/>
  <c r="V149" i="2" s="1"/>
  <c r="R150" i="2"/>
  <c r="S150" i="2" s="1"/>
  <c r="R151" i="2"/>
  <c r="R152" i="2"/>
  <c r="V152" i="2" s="1"/>
  <c r="R153" i="2"/>
  <c r="S153" i="2" s="1"/>
  <c r="R154" i="2"/>
  <c r="S154" i="2" s="1"/>
  <c r="R155" i="2"/>
  <c r="V155" i="2" s="1"/>
  <c r="R156" i="2"/>
  <c r="S156" i="2" s="1"/>
  <c r="R157" i="2"/>
  <c r="T157" i="2" s="1"/>
  <c r="R158" i="2"/>
  <c r="V158" i="2" s="1"/>
  <c r="R159" i="2"/>
  <c r="S159" i="2" s="1"/>
  <c r="U159" i="2"/>
  <c r="R160" i="2"/>
  <c r="T160" i="2" s="1"/>
  <c r="R161" i="2"/>
  <c r="V161" i="2" s="1"/>
  <c r="S161" i="2"/>
  <c r="R162" i="2"/>
  <c r="S162" i="2" s="1"/>
  <c r="R163" i="2"/>
  <c r="R164" i="2"/>
  <c r="V164" i="2" s="1"/>
  <c r="R165" i="2"/>
  <c r="S165" i="2" s="1"/>
  <c r="R166" i="2"/>
  <c r="S166" i="2" s="1"/>
  <c r="R167" i="2"/>
  <c r="V167" i="2" s="1"/>
  <c r="S167" i="2"/>
  <c r="R168" i="2"/>
  <c r="S168" i="2" s="1"/>
  <c r="R169" i="2"/>
  <c r="T169" i="2" s="1"/>
  <c r="S169" i="2"/>
  <c r="R170" i="2"/>
  <c r="V170" i="2" s="1"/>
  <c r="R171" i="2"/>
  <c r="S171" i="2" s="1"/>
  <c r="R172" i="2"/>
  <c r="S172" i="2" s="1"/>
  <c r="R173" i="2"/>
  <c r="U173" i="2" s="1"/>
  <c r="R174" i="2"/>
  <c r="T174" i="2" s="1"/>
  <c r="R175" i="2"/>
  <c r="T175" i="2" s="1"/>
  <c r="R176" i="2"/>
  <c r="S176" i="2" s="1"/>
  <c r="R177" i="2"/>
  <c r="U177" i="2" s="1"/>
  <c r="S177" i="2"/>
  <c r="V177" i="2" s="1"/>
  <c r="R178" i="2"/>
  <c r="S178" i="2" s="1"/>
  <c r="V178" i="2" s="1"/>
  <c r="W178" i="2" s="1"/>
  <c r="R179" i="2"/>
  <c r="S179" i="2" s="1"/>
  <c r="R180" i="2"/>
  <c r="U180" i="2" s="1"/>
  <c r="R181" i="2"/>
  <c r="U181" i="2" s="1"/>
  <c r="R182" i="2"/>
  <c r="S182" i="2" s="1"/>
  <c r="R183" i="2"/>
  <c r="R184" i="2"/>
  <c r="R185" i="2"/>
  <c r="R186" i="2"/>
  <c r="R187" i="2"/>
  <c r="S187" i="2" s="1"/>
  <c r="R188" i="2"/>
  <c r="R189" i="2"/>
  <c r="U189" i="2" s="1"/>
  <c r="R190" i="2"/>
  <c r="S190" i="2" s="1"/>
  <c r="V190" i="2" s="1"/>
  <c r="W190" i="2" s="1"/>
  <c r="R191" i="2"/>
  <c r="R192" i="2"/>
  <c r="R193" i="2"/>
  <c r="U193" i="2" s="1"/>
  <c r="R194" i="2"/>
  <c r="R195" i="2"/>
  <c r="U195" i="2" s="1"/>
  <c r="R196" i="2"/>
  <c r="S196" i="2" s="1"/>
  <c r="R197" i="2"/>
  <c r="U197" i="2" s="1"/>
  <c r="R198" i="2"/>
  <c r="S198" i="2" s="1"/>
  <c r="R199" i="2"/>
  <c r="R200" i="2"/>
  <c r="S200" i="2" s="1"/>
  <c r="R201" i="2"/>
  <c r="R202" i="2"/>
  <c r="U202" i="2" s="1"/>
  <c r="R203" i="2"/>
  <c r="R204" i="2"/>
  <c r="U204" i="2" s="1"/>
  <c r="R205" i="2"/>
  <c r="R206" i="2"/>
  <c r="U206" i="2" s="1"/>
  <c r="R207" i="2"/>
  <c r="U207" i="2" s="1"/>
  <c r="R208" i="2"/>
  <c r="S208" i="2" s="1"/>
  <c r="R209" i="2"/>
  <c r="R210" i="2"/>
  <c r="R211" i="2"/>
  <c r="U211" i="2" s="1"/>
  <c r="R212" i="2"/>
  <c r="R213" i="2"/>
  <c r="R214" i="2"/>
  <c r="U214" i="2" s="1"/>
  <c r="R215" i="2"/>
  <c r="S215" i="2" s="1"/>
  <c r="V215" i="2" s="1"/>
  <c r="W215" i="2" s="1"/>
  <c r="R216" i="2"/>
  <c r="R217" i="2"/>
  <c r="S217" i="2" s="1"/>
  <c r="V217" i="2" s="1"/>
  <c r="W217" i="2" s="1"/>
  <c r="R218" i="2"/>
  <c r="R219" i="2"/>
  <c r="R220" i="2"/>
  <c r="U220" i="2" s="1"/>
  <c r="R221" i="2"/>
  <c r="R222" i="2"/>
  <c r="U222" i="2" s="1"/>
  <c r="R223" i="2"/>
  <c r="U223" i="2" s="1"/>
  <c r="R224" i="2"/>
  <c r="U224" i="2" s="1"/>
  <c r="R225" i="2"/>
  <c r="R226" i="2"/>
  <c r="U226" i="2" s="1"/>
  <c r="R227" i="2"/>
  <c r="R228" i="2"/>
  <c r="R229" i="2"/>
  <c r="R230" i="2"/>
  <c r="S230" i="2" s="1"/>
  <c r="V230" i="2" s="1"/>
  <c r="R231" i="2"/>
  <c r="R232" i="2"/>
  <c r="R233" i="2"/>
  <c r="S233" i="2" s="1"/>
  <c r="V233" i="2" s="1"/>
  <c r="R234" i="2"/>
  <c r="R235" i="2"/>
  <c r="U235" i="2" s="1"/>
  <c r="R236" i="2"/>
  <c r="U236" i="2" s="1"/>
  <c r="R237" i="2"/>
  <c r="S237" i="2" s="1"/>
  <c r="V237" i="2" s="1"/>
  <c r="R238" i="2"/>
  <c r="U238" i="2" s="1"/>
  <c r="R239" i="2"/>
  <c r="R240" i="2"/>
  <c r="R241" i="2"/>
  <c r="R242" i="2"/>
  <c r="R243" i="2"/>
  <c r="R244" i="2"/>
  <c r="S242" i="2"/>
  <c r="U240" i="2"/>
  <c r="U234" i="2"/>
  <c r="S234" i="2"/>
  <c r="S228" i="2"/>
  <c r="U228" i="2"/>
  <c r="S226" i="2"/>
  <c r="S225" i="2"/>
  <c r="U225" i="2"/>
  <c r="U218" i="2"/>
  <c r="S218" i="2"/>
  <c r="U217" i="2"/>
  <c r="U205" i="2"/>
  <c r="S204" i="2"/>
  <c r="V204" i="2" s="1"/>
  <c r="U201" i="2"/>
  <c r="S201" i="2"/>
  <c r="V201" i="2" s="1"/>
  <c r="W201" i="2" s="1"/>
  <c r="V200" i="2"/>
  <c r="U200" i="2"/>
  <c r="U198" i="2"/>
  <c r="S195" i="2"/>
  <c r="U194" i="2"/>
  <c r="S194" i="2"/>
  <c r="V194" i="2" s="1"/>
  <c r="S193" i="2"/>
  <c r="U192" i="2"/>
  <c r="V191" i="2"/>
  <c r="U188" i="2"/>
  <c r="S188" i="2"/>
  <c r="V188" i="2" s="1"/>
  <c r="U186" i="2"/>
  <c r="S186" i="2"/>
  <c r="U183" i="2"/>
  <c r="U237" i="2" l="1"/>
  <c r="S197" i="2"/>
  <c r="S238" i="2"/>
  <c r="V238" i="2" s="1"/>
  <c r="W238" i="2" s="1"/>
  <c r="T177" i="2"/>
  <c r="T173" i="2"/>
  <c r="S131" i="2"/>
  <c r="T90" i="2"/>
  <c r="S34" i="2"/>
  <c r="V34" i="2" s="1"/>
  <c r="W34" i="2" s="1"/>
  <c r="S206" i="2"/>
  <c r="V206" i="2" s="1"/>
  <c r="S222" i="2"/>
  <c r="T171" i="2"/>
  <c r="T129" i="2"/>
  <c r="T74" i="2"/>
  <c r="S4" i="2"/>
  <c r="U175" i="2"/>
  <c r="S214" i="2"/>
  <c r="V214" i="2" s="1"/>
  <c r="W214" i="2" s="1"/>
  <c r="T164" i="2"/>
  <c r="U138" i="2"/>
  <c r="U15" i="2"/>
  <c r="U9" i="2"/>
  <c r="U178" i="2"/>
  <c r="U131" i="2"/>
  <c r="U57" i="2"/>
  <c r="U190" i="2"/>
  <c r="T131" i="2"/>
  <c r="T42" i="2"/>
  <c r="AH26" i="20"/>
  <c r="AK25" i="20"/>
  <c r="AJ25" i="20"/>
  <c r="I21" i="19"/>
  <c r="H106" i="19"/>
  <c r="AH20" i="19"/>
  <c r="AJ19" i="19"/>
  <c r="AK19" i="19"/>
  <c r="S22" i="19"/>
  <c r="W237" i="2"/>
  <c r="V228" i="2"/>
  <c r="W191" i="2"/>
  <c r="V11" i="2"/>
  <c r="W11" i="2"/>
  <c r="V2" i="2"/>
  <c r="W2" i="2"/>
  <c r="U215" i="2"/>
  <c r="S224" i="2"/>
  <c r="V236" i="2"/>
  <c r="W230" i="2"/>
  <c r="W206" i="2"/>
  <c r="W194" i="2"/>
  <c r="V182" i="2"/>
  <c r="T178" i="2"/>
  <c r="U136" i="2"/>
  <c r="S101" i="2"/>
  <c r="T97" i="2"/>
  <c r="S92" i="2"/>
  <c r="U87" i="2"/>
  <c r="S76" i="2"/>
  <c r="V76" i="2" s="1"/>
  <c r="W76" i="2" s="1"/>
  <c r="S53" i="2"/>
  <c r="T49" i="2"/>
  <c r="S44" i="2"/>
  <c r="U39" i="2"/>
  <c r="S36" i="2"/>
  <c r="S28" i="2"/>
  <c r="S21" i="2"/>
  <c r="V21" i="2" s="1"/>
  <c r="W21" i="2" s="1"/>
  <c r="U17" i="2"/>
  <c r="W177" i="2"/>
  <c r="W131" i="2"/>
  <c r="W83" i="2"/>
  <c r="W35" i="2"/>
  <c r="S2" i="2"/>
  <c r="V242" i="2"/>
  <c r="W242" i="2" s="1"/>
  <c r="S160" i="2"/>
  <c r="V160" i="2" s="1"/>
  <c r="W160" i="2" s="1"/>
  <c r="S158" i="2"/>
  <c r="S155" i="2"/>
  <c r="S152" i="2"/>
  <c r="U149" i="2"/>
  <c r="T147" i="2"/>
  <c r="S145" i="2"/>
  <c r="U137" i="2"/>
  <c r="T136" i="2"/>
  <c r="U128" i="2"/>
  <c r="S119" i="2"/>
  <c r="T114" i="2"/>
  <c r="S106" i="2"/>
  <c r="T98" i="2"/>
  <c r="U81" i="2"/>
  <c r="U71" i="2"/>
  <c r="T66" i="2"/>
  <c r="S58" i="2"/>
  <c r="V58" i="2" s="1"/>
  <c r="W58" i="2" s="1"/>
  <c r="T50" i="2"/>
  <c r="U33" i="2"/>
  <c r="U23" i="2"/>
  <c r="T18" i="2"/>
  <c r="S5" i="2"/>
  <c r="W167" i="2"/>
  <c r="W119" i="2"/>
  <c r="W71" i="2"/>
  <c r="W23" i="2"/>
  <c r="T2" i="2"/>
  <c r="W236" i="2"/>
  <c r="W228" i="2"/>
  <c r="W204" i="2"/>
  <c r="W200" i="2"/>
  <c r="W188" i="2"/>
  <c r="W182" i="2"/>
  <c r="S174" i="2"/>
  <c r="V174" i="2" s="1"/>
  <c r="S170" i="2"/>
  <c r="T149" i="2"/>
  <c r="S137" i="2"/>
  <c r="S128" i="2"/>
  <c r="S116" i="2"/>
  <c r="U111" i="2"/>
  <c r="S108" i="2"/>
  <c r="V108" i="2" s="1"/>
  <c r="W108" i="2" s="1"/>
  <c r="S100" i="2"/>
  <c r="S93" i="2"/>
  <c r="S77" i="2"/>
  <c r="T73" i="2"/>
  <c r="S68" i="2"/>
  <c r="U63" i="2"/>
  <c r="S60" i="2"/>
  <c r="V60" i="2" s="1"/>
  <c r="W60" i="2" s="1"/>
  <c r="S52" i="2"/>
  <c r="V52" i="2" s="1"/>
  <c r="W52" i="2" s="1"/>
  <c r="S45" i="2"/>
  <c r="S29" i="2"/>
  <c r="T25" i="2"/>
  <c r="S20" i="2"/>
  <c r="S10" i="2"/>
  <c r="W155" i="2"/>
  <c r="W107" i="2"/>
  <c r="W59" i="2"/>
  <c r="U2" i="2"/>
  <c r="S240" i="2"/>
  <c r="V240" i="2" s="1"/>
  <c r="W240" i="2" s="1"/>
  <c r="W143" i="2"/>
  <c r="W95" i="2"/>
  <c r="W47" i="2"/>
  <c r="S173" i="2"/>
  <c r="S164" i="2"/>
  <c r="U126" i="2"/>
  <c r="S122" i="2"/>
  <c r="T105" i="2"/>
  <c r="T81" i="2"/>
  <c r="T57" i="2"/>
  <c r="T33" i="2"/>
  <c r="T9" i="2"/>
  <c r="S3" i="2"/>
  <c r="V3" i="2" s="1"/>
  <c r="W3" i="2" s="1"/>
  <c r="S235" i="2"/>
  <c r="V235" i="2" s="1"/>
  <c r="W235" i="2" s="1"/>
  <c r="T180" i="2"/>
  <c r="S175" i="2"/>
  <c r="V175" i="2" s="1"/>
  <c r="W175" i="2" s="1"/>
  <c r="U172" i="2"/>
  <c r="U167" i="2"/>
  <c r="T159" i="2"/>
  <c r="T153" i="2"/>
  <c r="S149" i="2"/>
  <c r="S140" i="2"/>
  <c r="T125" i="2"/>
  <c r="S121" i="2"/>
  <c r="T109" i="2"/>
  <c r="T85" i="2"/>
  <c r="T61" i="2"/>
  <c r="T37" i="2"/>
  <c r="T13" i="2"/>
  <c r="W164" i="2"/>
  <c r="W152" i="2"/>
  <c r="W140" i="2"/>
  <c r="W128" i="2"/>
  <c r="T3" i="2"/>
  <c r="S180" i="2"/>
  <c r="V180" i="2" s="1"/>
  <c r="W180" i="2" s="1"/>
  <c r="T172" i="2"/>
  <c r="T167" i="2"/>
  <c r="U162" i="2"/>
  <c r="U135" i="2"/>
  <c r="S125" i="2"/>
  <c r="U103" i="2"/>
  <c r="U97" i="2"/>
  <c r="U79" i="2"/>
  <c r="U73" i="2"/>
  <c r="U55" i="2"/>
  <c r="U49" i="2"/>
  <c r="U31" i="2"/>
  <c r="U25" i="2"/>
  <c r="U7" i="2"/>
  <c r="U209" i="2"/>
  <c r="U148" i="2"/>
  <c r="U143" i="2"/>
  <c r="W174" i="2"/>
  <c r="S211" i="2"/>
  <c r="U221" i="2"/>
  <c r="U182" i="2"/>
  <c r="V179" i="2"/>
  <c r="W179" i="2" s="1"/>
  <c r="U174" i="2"/>
  <c r="U161" i="2"/>
  <c r="U152" i="2"/>
  <c r="T148" i="2"/>
  <c r="T143" i="2"/>
  <c r="U124" i="2"/>
  <c r="U119" i="2"/>
  <c r="W233" i="2"/>
  <c r="W161" i="2"/>
  <c r="W149" i="2"/>
  <c r="W137" i="2"/>
  <c r="W125" i="2"/>
  <c r="W113" i="2"/>
  <c r="W101" i="2"/>
  <c r="W89" i="2"/>
  <c r="W77" i="2"/>
  <c r="W65" i="2"/>
  <c r="W53" i="2"/>
  <c r="W41" i="2"/>
  <c r="W29" i="2"/>
  <c r="W17" i="2"/>
  <c r="W5" i="2"/>
  <c r="T182" i="2"/>
  <c r="U179" i="2"/>
  <c r="U171" i="2"/>
  <c r="T161" i="2"/>
  <c r="S157" i="2"/>
  <c r="V157" i="2" s="1"/>
  <c r="W157" i="2" s="1"/>
  <c r="T152" i="2"/>
  <c r="S148" i="2"/>
  <c r="S143" i="2"/>
  <c r="S134" i="2"/>
  <c r="T124" i="2"/>
  <c r="T119" i="2"/>
  <c r="T101" i="2"/>
  <c r="T77" i="2"/>
  <c r="T53" i="2"/>
  <c r="T29" i="2"/>
  <c r="T5" i="2"/>
  <c r="V211" i="2"/>
  <c r="W211" i="2" s="1"/>
  <c r="T179" i="2"/>
  <c r="V176" i="2"/>
  <c r="W176" i="2" s="1"/>
  <c r="T165" i="2"/>
  <c r="U113" i="2"/>
  <c r="U89" i="2"/>
  <c r="U65" i="2"/>
  <c r="U41" i="2"/>
  <c r="U176" i="2"/>
  <c r="U147" i="2"/>
  <c r="T137" i="2"/>
  <c r="S133" i="2"/>
  <c r="T128" i="2"/>
  <c r="T113" i="2"/>
  <c r="T89" i="2"/>
  <c r="T65" i="2"/>
  <c r="T41" i="2"/>
  <c r="T17" i="2"/>
  <c r="W170" i="2"/>
  <c r="W158" i="2"/>
  <c r="W146" i="2"/>
  <c r="W134" i="2"/>
  <c r="W122" i="2"/>
  <c r="U187" i="2"/>
  <c r="S223" i="2"/>
  <c r="V223" i="2" s="1"/>
  <c r="W223" i="2" s="1"/>
  <c r="U233" i="2"/>
  <c r="T181" i="2"/>
  <c r="T176" i="2"/>
  <c r="V173" i="2"/>
  <c r="W173" i="2" s="1"/>
  <c r="U160" i="2"/>
  <c r="U155" i="2"/>
  <c r="T141" i="2"/>
  <c r="U123" i="2"/>
  <c r="S181" i="2"/>
  <c r="V181" i="2" s="1"/>
  <c r="W181" i="2" s="1"/>
  <c r="U164" i="2"/>
  <c r="T155" i="2"/>
  <c r="U150" i="2"/>
  <c r="T123" i="2"/>
  <c r="U112" i="2"/>
  <c r="U88" i="2"/>
  <c r="U56" i="2"/>
  <c r="V56" i="2"/>
  <c r="W56" i="2" s="1"/>
  <c r="U24" i="2"/>
  <c r="V165" i="2"/>
  <c r="W165" i="2" s="1"/>
  <c r="V109" i="2"/>
  <c r="W109" i="2" s="1"/>
  <c r="V93" i="2"/>
  <c r="W93" i="2" s="1"/>
  <c r="V61" i="2"/>
  <c r="W61" i="2" s="1"/>
  <c r="V45" i="2"/>
  <c r="W45" i="2" s="1"/>
  <c r="V153" i="2"/>
  <c r="W153" i="2" s="1"/>
  <c r="V129" i="2"/>
  <c r="W129" i="2" s="1"/>
  <c r="V85" i="2"/>
  <c r="W85" i="2" s="1"/>
  <c r="V69" i="2"/>
  <c r="W69" i="2" s="1"/>
  <c r="V37" i="2"/>
  <c r="W37" i="2" s="1"/>
  <c r="V13" i="2"/>
  <c r="W13" i="2" s="1"/>
  <c r="V172" i="2"/>
  <c r="W172" i="2" s="1"/>
  <c r="U169" i="2"/>
  <c r="T162" i="2"/>
  <c r="U157" i="2"/>
  <c r="T150" i="2"/>
  <c r="V148" i="2"/>
  <c r="W148" i="2" s="1"/>
  <c r="U145" i="2"/>
  <c r="T138" i="2"/>
  <c r="V136" i="2"/>
  <c r="W136" i="2" s="1"/>
  <c r="U133" i="2"/>
  <c r="T126" i="2"/>
  <c r="V124" i="2"/>
  <c r="W124" i="2" s="1"/>
  <c r="U121" i="2"/>
  <c r="U114" i="2"/>
  <c r="V114" i="2"/>
  <c r="W114" i="2" s="1"/>
  <c r="T111" i="2"/>
  <c r="U106" i="2"/>
  <c r="V106" i="2"/>
  <c r="W106" i="2" s="1"/>
  <c r="T103" i="2"/>
  <c r="U98" i="2"/>
  <c r="V98" i="2"/>
  <c r="W98" i="2" s="1"/>
  <c r="T95" i="2"/>
  <c r="U90" i="2"/>
  <c r="V90" i="2"/>
  <c r="W90" i="2" s="1"/>
  <c r="T87" i="2"/>
  <c r="U82" i="2"/>
  <c r="V82" i="2"/>
  <c r="W82" i="2" s="1"/>
  <c r="T79" i="2"/>
  <c r="U74" i="2"/>
  <c r="V74" i="2"/>
  <c r="W74" i="2" s="1"/>
  <c r="T71" i="2"/>
  <c r="U66" i="2"/>
  <c r="V66" i="2"/>
  <c r="W66" i="2" s="1"/>
  <c r="T63" i="2"/>
  <c r="U58" i="2"/>
  <c r="T55" i="2"/>
  <c r="U50" i="2"/>
  <c r="V50" i="2"/>
  <c r="W50" i="2" s="1"/>
  <c r="T47" i="2"/>
  <c r="U42" i="2"/>
  <c r="V42" i="2"/>
  <c r="W42" i="2" s="1"/>
  <c r="T39" i="2"/>
  <c r="U34" i="2"/>
  <c r="T31" i="2"/>
  <c r="U26" i="2"/>
  <c r="V26" i="2"/>
  <c r="W26" i="2" s="1"/>
  <c r="T23" i="2"/>
  <c r="U18" i="2"/>
  <c r="V18" i="2"/>
  <c r="W18" i="2" s="1"/>
  <c r="T15" i="2"/>
  <c r="U10" i="2"/>
  <c r="V10" i="2"/>
  <c r="W10" i="2" s="1"/>
  <c r="T7" i="2"/>
  <c r="U104" i="2"/>
  <c r="V104" i="2"/>
  <c r="W104" i="2" s="1"/>
  <c r="V141" i="2"/>
  <c r="W141" i="2" s="1"/>
  <c r="V117" i="2"/>
  <c r="W117" i="2" s="1"/>
  <c r="S95" i="2"/>
  <c r="S71" i="2"/>
  <c r="S47" i="2"/>
  <c r="S23" i="2"/>
  <c r="U72" i="2"/>
  <c r="V162" i="2"/>
  <c r="W162" i="2" s="1"/>
  <c r="V138" i="2"/>
  <c r="W138" i="2" s="1"/>
  <c r="V111" i="2"/>
  <c r="W111" i="2" s="1"/>
  <c r="V103" i="2"/>
  <c r="W103" i="2" s="1"/>
  <c r="V87" i="2"/>
  <c r="W87" i="2" s="1"/>
  <c r="V79" i="2"/>
  <c r="W79" i="2" s="1"/>
  <c r="V39" i="2"/>
  <c r="W39" i="2" s="1"/>
  <c r="V31" i="2"/>
  <c r="W31" i="2" s="1"/>
  <c r="V15" i="2"/>
  <c r="W15" i="2" s="1"/>
  <c r="V7" i="2"/>
  <c r="W7" i="2" s="1"/>
  <c r="U48" i="2"/>
  <c r="U8" i="2"/>
  <c r="V8" i="2"/>
  <c r="W8" i="2" s="1"/>
  <c r="V63" i="2"/>
  <c r="W63" i="2" s="1"/>
  <c r="V169" i="2"/>
  <c r="W169" i="2" s="1"/>
  <c r="U166" i="2"/>
  <c r="U154" i="2"/>
  <c r="V145" i="2"/>
  <c r="W145" i="2" s="1"/>
  <c r="U142" i="2"/>
  <c r="V133" i="2"/>
  <c r="W133" i="2" s="1"/>
  <c r="U130" i="2"/>
  <c r="V121" i="2"/>
  <c r="W121" i="2" s="1"/>
  <c r="U118" i="2"/>
  <c r="U116" i="2"/>
  <c r="V116" i="2"/>
  <c r="W116" i="2" s="1"/>
  <c r="U108" i="2"/>
  <c r="U100" i="2"/>
  <c r="V100" i="2"/>
  <c r="W100" i="2" s="1"/>
  <c r="U92" i="2"/>
  <c r="V92" i="2"/>
  <c r="W92" i="2" s="1"/>
  <c r="U84" i="2"/>
  <c r="V84" i="2"/>
  <c r="W84" i="2" s="1"/>
  <c r="U76" i="2"/>
  <c r="U68" i="2"/>
  <c r="V68" i="2"/>
  <c r="W68" i="2" s="1"/>
  <c r="U60" i="2"/>
  <c r="U52" i="2"/>
  <c r="U44" i="2"/>
  <c r="V44" i="2"/>
  <c r="W44" i="2" s="1"/>
  <c r="U36" i="2"/>
  <c r="V36" i="2"/>
  <c r="W36" i="2" s="1"/>
  <c r="U28" i="2"/>
  <c r="V28" i="2"/>
  <c r="W28" i="2" s="1"/>
  <c r="U20" i="2"/>
  <c r="V20" i="2"/>
  <c r="W20" i="2" s="1"/>
  <c r="U12" i="2"/>
  <c r="V12" i="2"/>
  <c r="W12" i="2" s="1"/>
  <c r="U4" i="2"/>
  <c r="V4" i="2"/>
  <c r="W4" i="2" s="1"/>
  <c r="V150" i="2"/>
  <c r="W150" i="2" s="1"/>
  <c r="T166" i="2"/>
  <c r="T154" i="2"/>
  <c r="T142" i="2"/>
  <c r="T130" i="2"/>
  <c r="U125" i="2"/>
  <c r="T118" i="2"/>
  <c r="S113" i="2"/>
  <c r="T110" i="2"/>
  <c r="T102" i="2"/>
  <c r="T94" i="2"/>
  <c r="S89" i="2"/>
  <c r="T86" i="2"/>
  <c r="T78" i="2"/>
  <c r="T70" i="2"/>
  <c r="S65" i="2"/>
  <c r="T62" i="2"/>
  <c r="T54" i="2"/>
  <c r="T46" i="2"/>
  <c r="S41" i="2"/>
  <c r="T38" i="2"/>
  <c r="T30" i="2"/>
  <c r="T22" i="2"/>
  <c r="S17" i="2"/>
  <c r="T14" i="2"/>
  <c r="T6" i="2"/>
  <c r="V126" i="2"/>
  <c r="W126" i="2" s="1"/>
  <c r="V55" i="2"/>
  <c r="W55" i="2" s="1"/>
  <c r="V171" i="2"/>
  <c r="W171" i="2" s="1"/>
  <c r="U168" i="2"/>
  <c r="V159" i="2"/>
  <c r="W159" i="2" s="1"/>
  <c r="U156" i="2"/>
  <c r="V147" i="2"/>
  <c r="W147" i="2" s="1"/>
  <c r="U144" i="2"/>
  <c r="V135" i="2"/>
  <c r="W135" i="2" s="1"/>
  <c r="U132" i="2"/>
  <c r="V123" i="2"/>
  <c r="W123" i="2" s="1"/>
  <c r="U120" i="2"/>
  <c r="U115" i="2"/>
  <c r="U107" i="2"/>
  <c r="V105" i="2"/>
  <c r="W105" i="2" s="1"/>
  <c r="U99" i="2"/>
  <c r="V97" i="2"/>
  <c r="W97" i="2" s="1"/>
  <c r="U91" i="2"/>
  <c r="U83" i="2"/>
  <c r="V81" i="2"/>
  <c r="W81" i="2" s="1"/>
  <c r="U75" i="2"/>
  <c r="V73" i="2"/>
  <c r="W73" i="2" s="1"/>
  <c r="U67" i="2"/>
  <c r="U59" i="2"/>
  <c r="V57" i="2"/>
  <c r="W57" i="2" s="1"/>
  <c r="U51" i="2"/>
  <c r="V49" i="2"/>
  <c r="W49" i="2" s="1"/>
  <c r="U43" i="2"/>
  <c r="U35" i="2"/>
  <c r="V33" i="2"/>
  <c r="W33" i="2" s="1"/>
  <c r="U27" i="2"/>
  <c r="V25" i="2"/>
  <c r="W25" i="2" s="1"/>
  <c r="U19" i="2"/>
  <c r="U11" i="2"/>
  <c r="V9" i="2"/>
  <c r="W9" i="2" s="1"/>
  <c r="U96" i="2"/>
  <c r="U80" i="2"/>
  <c r="V80" i="2"/>
  <c r="W80" i="2" s="1"/>
  <c r="U32" i="2"/>
  <c r="V32" i="2"/>
  <c r="W32" i="2" s="1"/>
  <c r="V166" i="2"/>
  <c r="W166" i="2" s="1"/>
  <c r="U163" i="2"/>
  <c r="T156" i="2"/>
  <c r="T144" i="2"/>
  <c r="V130" i="2"/>
  <c r="W130" i="2" s="1"/>
  <c r="U127" i="2"/>
  <c r="T120" i="2"/>
  <c r="V118" i="2"/>
  <c r="W118" i="2" s="1"/>
  <c r="T115" i="2"/>
  <c r="U110" i="2"/>
  <c r="V110" i="2"/>
  <c r="W110" i="2" s="1"/>
  <c r="T107" i="2"/>
  <c r="U102" i="2"/>
  <c r="V102" i="2"/>
  <c r="W102" i="2" s="1"/>
  <c r="T99" i="2"/>
  <c r="U94" i="2"/>
  <c r="V94" i="2"/>
  <c r="W94" i="2" s="1"/>
  <c r="T91" i="2"/>
  <c r="T83" i="2"/>
  <c r="U78" i="2"/>
  <c r="V78" i="2"/>
  <c r="W78" i="2" s="1"/>
  <c r="T75" i="2"/>
  <c r="U70" i="2"/>
  <c r="V70" i="2"/>
  <c r="W70" i="2" s="1"/>
  <c r="T67" i="2"/>
  <c r="U62" i="2"/>
  <c r="V62" i="2"/>
  <c r="W62" i="2" s="1"/>
  <c r="T59" i="2"/>
  <c r="U54" i="2"/>
  <c r="V54" i="2"/>
  <c r="W54" i="2" s="1"/>
  <c r="T51" i="2"/>
  <c r="U46" i="2"/>
  <c r="V46" i="2"/>
  <c r="W46" i="2" s="1"/>
  <c r="T43" i="2"/>
  <c r="U38" i="2"/>
  <c r="V38" i="2"/>
  <c r="W38" i="2" s="1"/>
  <c r="T35" i="2"/>
  <c r="U30" i="2"/>
  <c r="V30" i="2"/>
  <c r="W30" i="2" s="1"/>
  <c r="T27" i="2"/>
  <c r="U22" i="2"/>
  <c r="V22" i="2"/>
  <c r="W22" i="2" s="1"/>
  <c r="T19" i="2"/>
  <c r="U14" i="2"/>
  <c r="V14" i="2"/>
  <c r="W14" i="2" s="1"/>
  <c r="T11" i="2"/>
  <c r="U6" i="2"/>
  <c r="V6" i="2"/>
  <c r="W6" i="2" s="1"/>
  <c r="U40" i="2"/>
  <c r="U16" i="2"/>
  <c r="T168" i="2"/>
  <c r="V154" i="2"/>
  <c r="W154" i="2" s="1"/>
  <c r="U151" i="2"/>
  <c r="V142" i="2"/>
  <c r="W142" i="2" s="1"/>
  <c r="T132" i="2"/>
  <c r="U86" i="2"/>
  <c r="V86" i="2"/>
  <c r="W86" i="2" s="1"/>
  <c r="U170" i="2"/>
  <c r="T163" i="2"/>
  <c r="U158" i="2"/>
  <c r="T151" i="2"/>
  <c r="U146" i="2"/>
  <c r="T139" i="2"/>
  <c r="U134" i="2"/>
  <c r="T127" i="2"/>
  <c r="U122" i="2"/>
  <c r="T112" i="2"/>
  <c r="S107" i="2"/>
  <c r="T104" i="2"/>
  <c r="T96" i="2"/>
  <c r="T88" i="2"/>
  <c r="S83" i="2"/>
  <c r="T80" i="2"/>
  <c r="T72" i="2"/>
  <c r="S59" i="2"/>
  <c r="T56" i="2"/>
  <c r="T48" i="2"/>
  <c r="T40" i="2"/>
  <c r="S35" i="2"/>
  <c r="T32" i="2"/>
  <c r="T24" i="2"/>
  <c r="T16" i="2"/>
  <c r="S11" i="2"/>
  <c r="T8" i="2"/>
  <c r="U64" i="2"/>
  <c r="T170" i="2"/>
  <c r="V168" i="2"/>
  <c r="W168" i="2" s="1"/>
  <c r="U165" i="2"/>
  <c r="S163" i="2"/>
  <c r="V163" i="2" s="1"/>
  <c r="W163" i="2" s="1"/>
  <c r="T158" i="2"/>
  <c r="V156" i="2"/>
  <c r="W156" i="2" s="1"/>
  <c r="U153" i="2"/>
  <c r="S151" i="2"/>
  <c r="T146" i="2"/>
  <c r="V144" i="2"/>
  <c r="W144" i="2" s="1"/>
  <c r="U141" i="2"/>
  <c r="S139" i="2"/>
  <c r="T134" i="2"/>
  <c r="V132" i="2"/>
  <c r="W132" i="2" s="1"/>
  <c r="U129" i="2"/>
  <c r="S127" i="2"/>
  <c r="V127" i="2" s="1"/>
  <c r="W127" i="2" s="1"/>
  <c r="T122" i="2"/>
  <c r="V120" i="2"/>
  <c r="W120" i="2" s="1"/>
  <c r="U117" i="2"/>
  <c r="V115" i="2"/>
  <c r="W115" i="2" s="1"/>
  <c r="S112" i="2"/>
  <c r="V112" i="2" s="1"/>
  <c r="W112" i="2" s="1"/>
  <c r="U109" i="2"/>
  <c r="S104" i="2"/>
  <c r="U101" i="2"/>
  <c r="V99" i="2"/>
  <c r="W99" i="2" s="1"/>
  <c r="S96" i="2"/>
  <c r="U93" i="2"/>
  <c r="V91" i="2"/>
  <c r="W91" i="2" s="1"/>
  <c r="S88" i="2"/>
  <c r="V88" i="2" s="1"/>
  <c r="W88" i="2" s="1"/>
  <c r="U85" i="2"/>
  <c r="S80" i="2"/>
  <c r="U77" i="2"/>
  <c r="V75" i="2"/>
  <c r="W75" i="2" s="1"/>
  <c r="S72" i="2"/>
  <c r="V72" i="2" s="1"/>
  <c r="W72" i="2" s="1"/>
  <c r="U69" i="2"/>
  <c r="V67" i="2"/>
  <c r="W67" i="2" s="1"/>
  <c r="S64" i="2"/>
  <c r="V64" i="2" s="1"/>
  <c r="W64" i="2" s="1"/>
  <c r="U61" i="2"/>
  <c r="S56" i="2"/>
  <c r="U53" i="2"/>
  <c r="V51" i="2"/>
  <c r="W51" i="2" s="1"/>
  <c r="S48" i="2"/>
  <c r="U45" i="2"/>
  <c r="V43" i="2"/>
  <c r="W43" i="2" s="1"/>
  <c r="S40" i="2"/>
  <c r="V40" i="2" s="1"/>
  <c r="W40" i="2" s="1"/>
  <c r="U37" i="2"/>
  <c r="S32" i="2"/>
  <c r="U29" i="2"/>
  <c r="V27" i="2"/>
  <c r="W27" i="2" s="1"/>
  <c r="S24" i="2"/>
  <c r="V24" i="2" s="1"/>
  <c r="W24" i="2" s="1"/>
  <c r="U21" i="2"/>
  <c r="V19" i="2"/>
  <c r="W19" i="2" s="1"/>
  <c r="S16" i="2"/>
  <c r="V16" i="2" s="1"/>
  <c r="W16" i="2" s="1"/>
  <c r="U13" i="2"/>
  <c r="S8" i="2"/>
  <c r="U5" i="2"/>
  <c r="V187" i="2"/>
  <c r="W187" i="2" s="1"/>
  <c r="S209" i="2"/>
  <c r="V209" i="2"/>
  <c r="W209" i="2" s="1"/>
  <c r="U213" i="2"/>
  <c r="S213" i="2"/>
  <c r="V222" i="2"/>
  <c r="W222" i="2" s="1"/>
  <c r="V225" i="2"/>
  <c r="W225" i="2" s="1"/>
  <c r="U230" i="2"/>
  <c r="S231" i="2"/>
  <c r="V231" i="2" s="1"/>
  <c r="W231" i="2" s="1"/>
  <c r="U231" i="2"/>
  <c r="S243" i="2"/>
  <c r="V243" i="2" s="1"/>
  <c r="W243" i="2" s="1"/>
  <c r="U199" i="2"/>
  <c r="U210" i="2"/>
  <c r="U227" i="2"/>
  <c r="S227" i="2"/>
  <c r="U239" i="2"/>
  <c r="S239" i="2"/>
  <c r="V239" i="2" s="1"/>
  <c r="W239" i="2" s="1"/>
  <c r="S210" i="2"/>
  <c r="V210" i="2" s="1"/>
  <c r="W210" i="2" s="1"/>
  <c r="V226" i="2"/>
  <c r="W226" i="2" s="1"/>
  <c r="S244" i="2"/>
  <c r="S185" i="2"/>
  <c r="S192" i="2"/>
  <c r="V192" i="2" s="1"/>
  <c r="W192" i="2" s="1"/>
  <c r="S199" i="2"/>
  <c r="V199" i="2" s="1"/>
  <c r="W199" i="2" s="1"/>
  <c r="U203" i="2"/>
  <c r="S219" i="2"/>
  <c r="V227" i="2"/>
  <c r="W227" i="2" s="1"/>
  <c r="S232" i="2"/>
  <c r="U232" i="2"/>
  <c r="U244" i="2"/>
  <c r="U184" i="2"/>
  <c r="S184" i="2"/>
  <c r="V184" i="2" s="1"/>
  <c r="W184" i="2" s="1"/>
  <c r="V198" i="2"/>
  <c r="W198" i="2" s="1"/>
  <c r="U243" i="2"/>
  <c r="U185" i="2"/>
  <c r="S203" i="2"/>
  <c r="V203" i="2" s="1"/>
  <c r="W203" i="2" s="1"/>
  <c r="U219" i="2"/>
  <c r="S236" i="2"/>
  <c r="S189" i="2"/>
  <c r="V189" i="2" s="1"/>
  <c r="W189" i="2" s="1"/>
  <c r="U196" i="2"/>
  <c r="V196" i="2"/>
  <c r="W196" i="2" s="1"/>
  <c r="S207" i="2"/>
  <c r="S216" i="2"/>
  <c r="V216" i="2" s="1"/>
  <c r="W216" i="2" s="1"/>
  <c r="S212" i="2"/>
  <c r="V212" i="2" s="1"/>
  <c r="W212" i="2" s="1"/>
  <c r="U212" i="2"/>
  <c r="U216" i="2"/>
  <c r="U241" i="2"/>
  <c r="V186" i="2"/>
  <c r="W186" i="2" s="1"/>
  <c r="V193" i="2"/>
  <c r="W193" i="2" s="1"/>
  <c r="S221" i="2"/>
  <c r="V221" i="2" s="1"/>
  <c r="W221" i="2" s="1"/>
  <c r="S241" i="2"/>
  <c r="V241" i="2" s="1"/>
  <c r="W241" i="2" s="1"/>
  <c r="V195" i="2"/>
  <c r="W195" i="2" s="1"/>
  <c r="V218" i="2"/>
  <c r="W218" i="2" s="1"/>
  <c r="V224" i="2"/>
  <c r="W224" i="2" s="1"/>
  <c r="S183" i="2"/>
  <c r="S191" i="2"/>
  <c r="S202" i="2"/>
  <c r="V202" i="2" s="1"/>
  <c r="W202" i="2" s="1"/>
  <c r="S205" i="2"/>
  <c r="S229" i="2"/>
  <c r="U191" i="2"/>
  <c r="V197" i="2"/>
  <c r="W197" i="2" s="1"/>
  <c r="V208" i="2"/>
  <c r="W208" i="2" s="1"/>
  <c r="U208" i="2"/>
  <c r="U229" i="2"/>
  <c r="S220" i="2"/>
  <c r="V220" i="2" s="1"/>
  <c r="W220" i="2" s="1"/>
  <c r="V234" i="2"/>
  <c r="W234" i="2" s="1"/>
  <c r="U242" i="2"/>
  <c r="AH27" i="20" l="1"/>
  <c r="AK26" i="20"/>
  <c r="AJ26" i="20"/>
  <c r="I22" i="19"/>
  <c r="H107" i="19"/>
  <c r="AH21" i="19"/>
  <c r="AJ20" i="19"/>
  <c r="AK20" i="19"/>
  <c r="S23" i="19"/>
  <c r="V96" i="2"/>
  <c r="W96" i="2" s="1"/>
  <c r="V48" i="2"/>
  <c r="W48" i="2" s="1"/>
  <c r="V139" i="2"/>
  <c r="W139" i="2" s="1"/>
  <c r="V151" i="2"/>
  <c r="W151" i="2" s="1"/>
  <c r="V205" i="2"/>
  <c r="W205" i="2" s="1"/>
  <c r="V229" i="2"/>
  <c r="W229" i="2" s="1"/>
  <c r="V232" i="2"/>
  <c r="W232" i="2" s="1"/>
  <c r="V244" i="2"/>
  <c r="W244" i="2" s="1"/>
  <c r="V185" i="2"/>
  <c r="W185" i="2" s="1"/>
  <c r="V183" i="2"/>
  <c r="W183" i="2" s="1"/>
  <c r="V219" i="2"/>
  <c r="W219" i="2" s="1"/>
  <c r="V213" i="2"/>
  <c r="W213" i="2" s="1"/>
  <c r="V207" i="2"/>
  <c r="W207" i="2" s="1"/>
  <c r="AH28" i="20" l="1"/>
  <c r="AJ27" i="20"/>
  <c r="AK27" i="20"/>
  <c r="I23" i="19"/>
  <c r="H108" i="19"/>
  <c r="AH22" i="19"/>
  <c r="AJ21" i="19"/>
  <c r="AK21" i="19"/>
  <c r="S24" i="19"/>
  <c r="AH29" i="20" l="1"/>
  <c r="AK28" i="20"/>
  <c r="AJ28" i="20"/>
  <c r="I24" i="19"/>
  <c r="H109" i="19"/>
  <c r="AH23" i="19"/>
  <c r="AK22" i="19"/>
  <c r="AJ22" i="19"/>
  <c r="S25" i="19"/>
  <c r="AK29" i="20" l="1"/>
  <c r="AJ29" i="20"/>
  <c r="AH30" i="20"/>
  <c r="I25" i="19"/>
  <c r="H110" i="19"/>
  <c r="AH24" i="19"/>
  <c r="AJ23" i="19"/>
  <c r="AK23" i="19"/>
  <c r="S26" i="19"/>
  <c r="AH31" i="20" l="1"/>
  <c r="AK30" i="20"/>
  <c r="AJ30" i="20"/>
  <c r="I26" i="19"/>
  <c r="H111" i="19"/>
  <c r="H112" i="19" s="1"/>
  <c r="H113" i="19" s="1"/>
  <c r="H114" i="19" s="1"/>
  <c r="H115" i="19" s="1"/>
  <c r="H116" i="19" s="1"/>
  <c r="H117" i="19" s="1"/>
  <c r="H118" i="19" s="1"/>
  <c r="H119" i="19" s="1"/>
  <c r="H120" i="19" s="1"/>
  <c r="H121" i="19" s="1"/>
  <c r="H122" i="19" s="1"/>
  <c r="H123" i="19" s="1"/>
  <c r="H124" i="19" s="1"/>
  <c r="H125" i="19" s="1"/>
  <c r="H126" i="19" s="1"/>
  <c r="H127" i="19" s="1"/>
  <c r="H128" i="19" s="1"/>
  <c r="H129" i="19" s="1"/>
  <c r="H130" i="19" s="1"/>
  <c r="H131" i="19" s="1"/>
  <c r="H132" i="19" s="1"/>
  <c r="H133" i="19" s="1"/>
  <c r="H134" i="19" s="1"/>
  <c r="H135" i="19" s="1"/>
  <c r="H136" i="19" s="1"/>
  <c r="H137" i="19" s="1"/>
  <c r="H138" i="19" s="1"/>
  <c r="H139" i="19" s="1"/>
  <c r="H140" i="19" s="1"/>
  <c r="H141" i="19" s="1"/>
  <c r="H142" i="19" s="1"/>
  <c r="H143" i="19" s="1"/>
  <c r="H144" i="19" s="1"/>
  <c r="H145" i="19" s="1"/>
  <c r="H146" i="19" s="1"/>
  <c r="H147" i="19" s="1"/>
  <c r="H148" i="19" s="1"/>
  <c r="H149" i="19" s="1"/>
  <c r="H150" i="19" s="1"/>
  <c r="H151" i="19" s="1"/>
  <c r="H152" i="19" s="1"/>
  <c r="H153" i="19" s="1"/>
  <c r="H154" i="19" s="1"/>
  <c r="H155" i="19" s="1"/>
  <c r="H156" i="19" s="1"/>
  <c r="H157" i="19" s="1"/>
  <c r="H158" i="19" s="1"/>
  <c r="H159" i="19" s="1"/>
  <c r="H160" i="19" s="1"/>
  <c r="H161" i="19" s="1"/>
  <c r="H162" i="19" s="1"/>
  <c r="H163" i="19" s="1"/>
  <c r="H164" i="19" s="1"/>
  <c r="H165" i="19" s="1"/>
  <c r="H166" i="19" s="1"/>
  <c r="H167" i="19" s="1"/>
  <c r="H168" i="19" s="1"/>
  <c r="H169" i="19" s="1"/>
  <c r="H170" i="19" s="1"/>
  <c r="H171" i="19" s="1"/>
  <c r="H172" i="19" s="1"/>
  <c r="H173" i="19" s="1"/>
  <c r="H174" i="19" s="1"/>
  <c r="H175" i="19" s="1"/>
  <c r="H176" i="19" s="1"/>
  <c r="H177" i="19" s="1"/>
  <c r="H178" i="19" s="1"/>
  <c r="H179" i="19" s="1"/>
  <c r="AH25" i="19"/>
  <c r="AJ24" i="19"/>
  <c r="AK24" i="19"/>
  <c r="S27" i="19"/>
  <c r="AJ31" i="20" l="1"/>
  <c r="AH32" i="20"/>
  <c r="AK31" i="20"/>
  <c r="I27" i="19"/>
  <c r="H180" i="19"/>
  <c r="H181" i="19" s="1"/>
  <c r="H182" i="19" s="1"/>
  <c r="H183" i="19" s="1"/>
  <c r="H184" i="19" s="1"/>
  <c r="H185" i="19" s="1"/>
  <c r="H186" i="19" s="1"/>
  <c r="H187" i="19" s="1"/>
  <c r="H188" i="19" s="1"/>
  <c r="H189" i="19" s="1"/>
  <c r="H190" i="19" s="1"/>
  <c r="H191" i="19" s="1"/>
  <c r="H192" i="19" s="1"/>
  <c r="H193" i="19" s="1"/>
  <c r="H194" i="19" s="1"/>
  <c r="H195" i="19" s="1"/>
  <c r="H196" i="19" s="1"/>
  <c r="H197" i="19" s="1"/>
  <c r="H198" i="19" s="1"/>
  <c r="H199" i="19" s="1"/>
  <c r="H200" i="19" s="1"/>
  <c r="H201" i="19" s="1"/>
  <c r="H202" i="19" s="1"/>
  <c r="AH26" i="19"/>
  <c r="AJ25" i="19"/>
  <c r="AK25" i="19"/>
  <c r="S28" i="19"/>
  <c r="AH33" i="20" l="1"/>
  <c r="AK32" i="20"/>
  <c r="AJ32" i="20"/>
  <c r="I28" i="19"/>
  <c r="AH27" i="19"/>
  <c r="AK26" i="19"/>
  <c r="AJ26" i="19"/>
  <c r="S29" i="19"/>
  <c r="AH34" i="20" l="1"/>
  <c r="AK33" i="20"/>
  <c r="AJ33" i="20"/>
  <c r="I29" i="19"/>
  <c r="AH28" i="19"/>
  <c r="AJ27" i="19"/>
  <c r="AK27" i="19"/>
  <c r="S30" i="19"/>
  <c r="AH35" i="20" l="1"/>
  <c r="AK34" i="20"/>
  <c r="AJ34" i="20"/>
  <c r="I30" i="19"/>
  <c r="AH29" i="19"/>
  <c r="AJ28" i="19"/>
  <c r="AK28" i="19"/>
  <c r="S31" i="19"/>
  <c r="AJ35" i="20" l="1"/>
  <c r="AH36" i="20"/>
  <c r="AK35" i="20"/>
  <c r="I31" i="19"/>
  <c r="AH30" i="19"/>
  <c r="AJ29" i="19"/>
  <c r="AK29" i="19"/>
  <c r="S32" i="19"/>
  <c r="AH37" i="20" l="1"/>
  <c r="AK36" i="20"/>
  <c r="AJ36" i="20"/>
  <c r="I32" i="19"/>
  <c r="AH31" i="19"/>
  <c r="AK30" i="19"/>
  <c r="AJ30" i="19"/>
  <c r="S33" i="19"/>
  <c r="AH38" i="20" l="1"/>
  <c r="AK37" i="20"/>
  <c r="AJ37" i="20"/>
  <c r="I33" i="19"/>
  <c r="AH32" i="19"/>
  <c r="AJ31" i="19"/>
  <c r="AK31" i="19"/>
  <c r="S34" i="19"/>
  <c r="AK38" i="20" l="1"/>
  <c r="AJ38" i="20"/>
  <c r="AH39" i="20"/>
  <c r="I34" i="19"/>
  <c r="AH33" i="19"/>
  <c r="AJ32" i="19"/>
  <c r="AK32" i="19"/>
  <c r="S35" i="19"/>
  <c r="AJ39" i="20" l="1"/>
  <c r="AK39" i="20"/>
  <c r="AH40" i="20"/>
  <c r="I35" i="19"/>
  <c r="AH34" i="19"/>
  <c r="AJ33" i="19"/>
  <c r="AK33" i="19"/>
  <c r="S36" i="19"/>
  <c r="AH41" i="20" l="1"/>
  <c r="AK40" i="20"/>
  <c r="AJ40" i="20"/>
  <c r="I36" i="19"/>
  <c r="AH35" i="19"/>
  <c r="AK34" i="19"/>
  <c r="AJ34" i="19"/>
  <c r="S37" i="19"/>
  <c r="AK41" i="20" l="1"/>
  <c r="AJ41" i="20"/>
  <c r="AH42" i="20"/>
  <c r="I37" i="19"/>
  <c r="AH36" i="19"/>
  <c r="AJ35" i="19"/>
  <c r="AK35" i="19"/>
  <c r="S38" i="19"/>
  <c r="AH43" i="20" l="1"/>
  <c r="AK42" i="20"/>
  <c r="AJ42" i="20"/>
  <c r="I38" i="19"/>
  <c r="AH37" i="19"/>
  <c r="AJ36" i="19"/>
  <c r="AK36" i="19"/>
  <c r="S39" i="19"/>
  <c r="AJ43" i="20" l="1"/>
  <c r="AH44" i="20"/>
  <c r="AK43" i="20"/>
  <c r="I39" i="19"/>
  <c r="I40" i="19" s="1"/>
  <c r="I41" i="19" s="1"/>
  <c r="I42" i="19" s="1"/>
  <c r="I43" i="19" s="1"/>
  <c r="I44" i="19" s="1"/>
  <c r="I45" i="19" s="1"/>
  <c r="I46" i="19" s="1"/>
  <c r="I47" i="19" s="1"/>
  <c r="I48" i="19" s="1"/>
  <c r="I49" i="19" s="1"/>
  <c r="I50" i="19" s="1"/>
  <c r="I51" i="19" s="1"/>
  <c r="I52" i="19" s="1"/>
  <c r="I53" i="19" s="1"/>
  <c r="I54" i="19" s="1"/>
  <c r="I55" i="19" s="1"/>
  <c r="I56" i="19" s="1"/>
  <c r="I57" i="19" s="1"/>
  <c r="I58" i="19" s="1"/>
  <c r="AH38" i="19"/>
  <c r="AJ37" i="19"/>
  <c r="AK37" i="19"/>
  <c r="S40" i="19"/>
  <c r="AH45" i="20" l="1"/>
  <c r="AK44" i="20"/>
  <c r="AJ44" i="20"/>
  <c r="AH39" i="19"/>
  <c r="AK38" i="19"/>
  <c r="AJ38" i="19"/>
  <c r="S41" i="19"/>
  <c r="AH46" i="20" l="1"/>
  <c r="AK45" i="20"/>
  <c r="AJ45" i="20"/>
  <c r="AH40" i="19"/>
  <c r="AJ39" i="19"/>
  <c r="AK39" i="19"/>
  <c r="S42" i="19"/>
  <c r="AK46" i="20" l="1"/>
  <c r="AJ46" i="20"/>
  <c r="AH47" i="20"/>
  <c r="AH41" i="19"/>
  <c r="AJ40" i="19"/>
  <c r="AK40" i="19"/>
  <c r="S43" i="19"/>
  <c r="AJ47" i="20" l="1"/>
  <c r="AK47" i="20"/>
  <c r="AH48" i="20"/>
  <c r="AH42" i="19"/>
  <c r="AJ41" i="19"/>
  <c r="AK41" i="19"/>
  <c r="S44" i="19"/>
  <c r="AH49" i="20" l="1"/>
  <c r="AK48" i="20"/>
  <c r="AJ48" i="20"/>
  <c r="AH43" i="19"/>
  <c r="AK42" i="19"/>
  <c r="AJ42" i="19"/>
  <c r="S45" i="19"/>
  <c r="AH50" i="20" l="1"/>
  <c r="AK49" i="20"/>
  <c r="AJ49" i="20"/>
  <c r="AH44" i="19"/>
  <c r="AJ43" i="19"/>
  <c r="AK43" i="19"/>
  <c r="S46" i="19"/>
  <c r="AH51" i="20" l="1"/>
  <c r="AJ50" i="20"/>
  <c r="AK50" i="20"/>
  <c r="AH45" i="19"/>
  <c r="AJ44" i="19"/>
  <c r="AK44" i="19"/>
  <c r="S47" i="19"/>
  <c r="AJ51" i="20" l="1"/>
  <c r="AK51" i="20"/>
  <c r="AH52" i="20"/>
  <c r="AH46" i="19"/>
  <c r="AJ45" i="19"/>
  <c r="AK45" i="19"/>
  <c r="S48" i="19"/>
  <c r="AH53" i="20" l="1"/>
  <c r="AK52" i="20"/>
  <c r="AJ52" i="20"/>
  <c r="AH47" i="19"/>
  <c r="AK46" i="19"/>
  <c r="AJ46" i="19"/>
  <c r="S49" i="19"/>
  <c r="AH54" i="20" l="1"/>
  <c r="AK53" i="20"/>
  <c r="AJ53" i="20"/>
  <c r="AH48" i="19"/>
  <c r="AJ47" i="19"/>
  <c r="AK47" i="19"/>
  <c r="S50" i="19"/>
  <c r="AK54" i="20" l="1"/>
  <c r="AJ54" i="20"/>
  <c r="AH55" i="20"/>
  <c r="AH49" i="19"/>
  <c r="AJ48" i="19"/>
  <c r="AK48" i="19"/>
  <c r="S51" i="19"/>
  <c r="AH56" i="20" l="1"/>
  <c r="AJ55" i="20"/>
  <c r="AK55" i="20"/>
  <c r="AH50" i="19"/>
  <c r="AJ49" i="19"/>
  <c r="AK49" i="19"/>
  <c r="S52" i="19"/>
  <c r="AH57" i="20" l="1"/>
  <c r="AK56" i="20"/>
  <c r="AJ56" i="20"/>
  <c r="AH51" i="19"/>
  <c r="AK50" i="19"/>
  <c r="AJ50" i="19"/>
  <c r="S53" i="19"/>
  <c r="AJ57" i="20" l="1"/>
  <c r="AK57" i="20"/>
  <c r="AH58" i="20"/>
  <c r="AH52" i="19"/>
  <c r="AJ51" i="19"/>
  <c r="AK51" i="19"/>
  <c r="S54" i="19"/>
  <c r="AH59" i="20" l="1"/>
  <c r="AK58" i="20"/>
  <c r="AJ58" i="20"/>
  <c r="AH53" i="19"/>
  <c r="AJ52" i="19"/>
  <c r="AK52" i="19"/>
  <c r="S55" i="19"/>
  <c r="AJ59" i="20" l="1"/>
  <c r="AH60" i="20"/>
  <c r="AK59" i="20"/>
  <c r="AH54" i="19"/>
  <c r="AJ53" i="19"/>
  <c r="AK53" i="19"/>
  <c r="S56" i="19"/>
  <c r="AH61" i="20" l="1"/>
  <c r="AK60" i="20"/>
  <c r="AJ60" i="20"/>
  <c r="AH55" i="19"/>
  <c r="AK54" i="19"/>
  <c r="AJ54" i="19"/>
  <c r="S57" i="19"/>
  <c r="AK61" i="20" l="1"/>
  <c r="AJ61" i="20"/>
  <c r="AH62" i="20"/>
  <c r="AH56" i="19"/>
  <c r="AJ55" i="19"/>
  <c r="AK55" i="19"/>
  <c r="S58" i="19"/>
  <c r="AJ62" i="20" l="1"/>
  <c r="AK62" i="20"/>
  <c r="AH63" i="20"/>
  <c r="AH57" i="19"/>
  <c r="AJ56" i="19"/>
  <c r="AK56" i="19"/>
  <c r="S59" i="19"/>
  <c r="AJ63" i="20" l="1"/>
  <c r="AH64" i="20"/>
  <c r="AK63" i="20"/>
  <c r="I59" i="19"/>
  <c r="AH58" i="19"/>
  <c r="AJ57" i="19"/>
  <c r="AK57" i="19"/>
  <c r="S60" i="19"/>
  <c r="AH65" i="20" l="1"/>
  <c r="AK64" i="20"/>
  <c r="AJ64" i="20"/>
  <c r="I60" i="19"/>
  <c r="AH59" i="19"/>
  <c r="AK58" i="19"/>
  <c r="AJ58" i="19"/>
  <c r="S61" i="19"/>
  <c r="AH66" i="20" l="1"/>
  <c r="AK65" i="20"/>
  <c r="AJ65" i="20"/>
  <c r="I61" i="19"/>
  <c r="AH60" i="19"/>
  <c r="AJ59" i="19"/>
  <c r="AK59" i="19"/>
  <c r="S62" i="19"/>
  <c r="AH67" i="20" l="1"/>
  <c r="AK66" i="20"/>
  <c r="AJ66" i="20"/>
  <c r="I62" i="19"/>
  <c r="AH61" i="19"/>
  <c r="AJ60" i="19"/>
  <c r="AK60" i="19"/>
  <c r="S63" i="19"/>
  <c r="AJ67" i="20" l="1"/>
  <c r="AH68" i="20"/>
  <c r="AK67" i="20"/>
  <c r="I63" i="19"/>
  <c r="AH62" i="19"/>
  <c r="AJ61" i="19"/>
  <c r="AK61" i="19"/>
  <c r="S64" i="19"/>
  <c r="AH69" i="20" l="1"/>
  <c r="AK68" i="20"/>
  <c r="AJ68" i="20"/>
  <c r="I64" i="19"/>
  <c r="AH63" i="19"/>
  <c r="AK62" i="19"/>
  <c r="AJ62" i="19"/>
  <c r="S65" i="19"/>
  <c r="AK69" i="20" l="1"/>
  <c r="AJ69" i="20"/>
  <c r="AH70" i="20"/>
  <c r="I65" i="19"/>
  <c r="AH64" i="19"/>
  <c r="AJ63" i="19"/>
  <c r="AK63" i="19"/>
  <c r="S66" i="19"/>
  <c r="AH71" i="20" l="1"/>
  <c r="AK70" i="20"/>
  <c r="AJ70" i="20"/>
  <c r="I66" i="19"/>
  <c r="AH65" i="19"/>
  <c r="AJ64" i="19"/>
  <c r="AK64" i="19"/>
  <c r="S67" i="19"/>
  <c r="AJ71" i="20" l="1"/>
  <c r="AH72" i="20"/>
  <c r="AK71" i="20"/>
  <c r="I67" i="19"/>
  <c r="AH66" i="19"/>
  <c r="AJ65" i="19"/>
  <c r="AK65" i="19"/>
  <c r="S68" i="19"/>
  <c r="AH73" i="20" l="1"/>
  <c r="AK72" i="20"/>
  <c r="AJ72" i="20"/>
  <c r="I68" i="19"/>
  <c r="AH67" i="19"/>
  <c r="AK66" i="19"/>
  <c r="AJ66" i="19"/>
  <c r="S69" i="19"/>
  <c r="AH74" i="20" l="1"/>
  <c r="AK73" i="20"/>
  <c r="AJ73" i="20"/>
  <c r="I69" i="19"/>
  <c r="AH68" i="19"/>
  <c r="AJ67" i="19"/>
  <c r="AK67" i="19"/>
  <c r="S70" i="19"/>
  <c r="AH75" i="20" l="1"/>
  <c r="AK74" i="20"/>
  <c r="AJ74" i="20"/>
  <c r="I70" i="19"/>
  <c r="AH69" i="19"/>
  <c r="AJ68" i="19"/>
  <c r="AK68" i="19"/>
  <c r="S71" i="19"/>
  <c r="AJ75" i="20" l="1"/>
  <c r="AK75" i="20"/>
  <c r="AH76" i="20"/>
  <c r="I71" i="19"/>
  <c r="AH70" i="19"/>
  <c r="AJ69" i="19"/>
  <c r="AK69" i="19"/>
  <c r="S72" i="19"/>
  <c r="AH77" i="20" l="1"/>
  <c r="AK76" i="20"/>
  <c r="AJ76" i="20"/>
  <c r="I72" i="19"/>
  <c r="AH71" i="19"/>
  <c r="AK70" i="19"/>
  <c r="AJ70" i="19"/>
  <c r="S73" i="19"/>
  <c r="AH78" i="20" l="1"/>
  <c r="AJ77" i="20"/>
  <c r="AK77" i="20"/>
  <c r="I73" i="19"/>
  <c r="AH72" i="19"/>
  <c r="AJ71" i="19"/>
  <c r="AK71" i="19"/>
  <c r="S74" i="19"/>
  <c r="AK78" i="20" l="1"/>
  <c r="AJ78" i="20"/>
  <c r="AH79" i="20"/>
  <c r="I74" i="19"/>
  <c r="AH73" i="19"/>
  <c r="AJ72" i="19"/>
  <c r="AK72" i="19"/>
  <c r="S75" i="19"/>
  <c r="AH80" i="20" l="1"/>
  <c r="AK79" i="20"/>
  <c r="AJ79" i="20"/>
  <c r="I75" i="19"/>
  <c r="AH74" i="19"/>
  <c r="AJ73" i="19"/>
  <c r="AK73" i="19"/>
  <c r="S76" i="19"/>
  <c r="AH81" i="20" l="1"/>
  <c r="AK80" i="20"/>
  <c r="AJ80" i="20"/>
  <c r="I76" i="19"/>
  <c r="AH75" i="19"/>
  <c r="AK74" i="19"/>
  <c r="AJ74" i="19"/>
  <c r="S77" i="19"/>
  <c r="AK81" i="20" l="1"/>
  <c r="AH82" i="20"/>
  <c r="AJ81" i="20"/>
  <c r="I77" i="19"/>
  <c r="AH76" i="19"/>
  <c r="AJ75" i="19"/>
  <c r="AK75" i="19"/>
  <c r="S78" i="19"/>
  <c r="AJ82" i="20" l="1"/>
  <c r="AH83" i="20"/>
  <c r="AK82" i="20"/>
  <c r="I78" i="19"/>
  <c r="AH77" i="19"/>
  <c r="AJ76" i="19"/>
  <c r="AK76" i="19"/>
  <c r="S79" i="19"/>
  <c r="AH84" i="20" l="1"/>
  <c r="AK83" i="20"/>
  <c r="AJ83" i="20"/>
  <c r="I79" i="19"/>
  <c r="AH78" i="19"/>
  <c r="AJ77" i="19"/>
  <c r="AK77" i="19"/>
  <c r="S80" i="19"/>
  <c r="AH85" i="20" l="1"/>
  <c r="AK84" i="20"/>
  <c r="AJ84" i="20"/>
  <c r="I80" i="19"/>
  <c r="AH79" i="19"/>
  <c r="AK78" i="19"/>
  <c r="AJ78" i="19"/>
  <c r="S81" i="19"/>
  <c r="AK85" i="20" l="1"/>
  <c r="AJ85" i="20"/>
  <c r="AH86" i="20"/>
  <c r="I81" i="19"/>
  <c r="AH80" i="19"/>
  <c r="AJ79" i="19"/>
  <c r="AK79" i="19"/>
  <c r="S82" i="19"/>
  <c r="AJ86" i="20" l="1"/>
  <c r="AK86" i="20"/>
  <c r="AH87" i="20"/>
  <c r="I82" i="19"/>
  <c r="AH81" i="19"/>
  <c r="AJ80" i="19"/>
  <c r="AK80" i="19"/>
  <c r="S83" i="19"/>
  <c r="AH88" i="20" l="1"/>
  <c r="AK87" i="20"/>
  <c r="AJ87" i="20"/>
  <c r="I83" i="19"/>
  <c r="AH82" i="19"/>
  <c r="AJ81" i="19"/>
  <c r="AK81" i="19"/>
  <c r="S84" i="19"/>
  <c r="AH89" i="20" l="1"/>
  <c r="AK88" i="20"/>
  <c r="AJ88" i="20"/>
  <c r="I84" i="19"/>
  <c r="AH83" i="19"/>
  <c r="AK82" i="19"/>
  <c r="AJ82" i="19"/>
  <c r="S85" i="19"/>
  <c r="AK89" i="20" l="1"/>
  <c r="AJ89" i="20"/>
  <c r="AH90" i="20"/>
  <c r="I85" i="19"/>
  <c r="AH84" i="19"/>
  <c r="AJ83" i="19"/>
  <c r="AK83" i="19"/>
  <c r="S86" i="19"/>
  <c r="AJ90" i="20" l="1"/>
  <c r="AH91" i="20"/>
  <c r="AK90" i="20"/>
  <c r="I86" i="19"/>
  <c r="AH85" i="19"/>
  <c r="AJ84" i="19"/>
  <c r="AK84" i="19"/>
  <c r="S87" i="19"/>
  <c r="AH92" i="20" l="1"/>
  <c r="AK91" i="20"/>
  <c r="AJ91" i="20"/>
  <c r="I87" i="19"/>
  <c r="AH86" i="19"/>
  <c r="AJ85" i="19"/>
  <c r="AK85" i="19"/>
  <c r="S88" i="19"/>
  <c r="AH93" i="20" l="1"/>
  <c r="AH94" i="20" s="1"/>
  <c r="AH95" i="20" s="1"/>
  <c r="AH96" i="20" s="1"/>
  <c r="AH97" i="20" s="1"/>
  <c r="AH98" i="20" s="1"/>
  <c r="AH99" i="20" s="1"/>
  <c r="AH100" i="20" s="1"/>
  <c r="AH101" i="20" s="1"/>
  <c r="AH102" i="20" s="1"/>
  <c r="AH103" i="20" s="1"/>
  <c r="AH104" i="20" s="1"/>
  <c r="AH105" i="20" s="1"/>
  <c r="AH106" i="20" s="1"/>
  <c r="AH107" i="20" s="1"/>
  <c r="AH108" i="20" s="1"/>
  <c r="AH109" i="20" s="1"/>
  <c r="AH110" i="20" s="1"/>
  <c r="AH111" i="20" s="1"/>
  <c r="AH112" i="20" s="1"/>
  <c r="AH113" i="20" s="1"/>
  <c r="AH114" i="20" s="1"/>
  <c r="AH115" i="20" s="1"/>
  <c r="AH116" i="20" s="1"/>
  <c r="AH117" i="20" s="1"/>
  <c r="AH118" i="20" s="1"/>
  <c r="AH119" i="20" s="1"/>
  <c r="AH120" i="20" s="1"/>
  <c r="AH121" i="20" s="1"/>
  <c r="AH122" i="20" s="1"/>
  <c r="AH123" i="20" s="1"/>
  <c r="AH124" i="20" s="1"/>
  <c r="AH125" i="20" s="1"/>
  <c r="AH126" i="20" s="1"/>
  <c r="AH127" i="20" s="1"/>
  <c r="AH128" i="20" s="1"/>
  <c r="AH129" i="20" s="1"/>
  <c r="AH130" i="20" s="1"/>
  <c r="AH131" i="20" s="1"/>
  <c r="AH132" i="20" s="1"/>
  <c r="AH133" i="20" s="1"/>
  <c r="AH134" i="20" s="1"/>
  <c r="AH135" i="20" s="1"/>
  <c r="AH136" i="20" s="1"/>
  <c r="AH137" i="20" s="1"/>
  <c r="AH138" i="20" s="1"/>
  <c r="AH139" i="20" s="1"/>
  <c r="AH140" i="20" s="1"/>
  <c r="AH141" i="20" s="1"/>
  <c r="AH142" i="20" s="1"/>
  <c r="AH143" i="20" s="1"/>
  <c r="AH144" i="20" s="1"/>
  <c r="AH145" i="20" s="1"/>
  <c r="AH146" i="20" s="1"/>
  <c r="AH147" i="20" s="1"/>
  <c r="AH148" i="20" s="1"/>
  <c r="AH149" i="20" s="1"/>
  <c r="AH150" i="20" s="1"/>
  <c r="AH151" i="20" s="1"/>
  <c r="AH152" i="20" s="1"/>
  <c r="AH153" i="20" s="1"/>
  <c r="AH154" i="20" s="1"/>
  <c r="AH155" i="20" s="1"/>
  <c r="AH156" i="20" s="1"/>
  <c r="AH157" i="20" s="1"/>
  <c r="AH158" i="20" s="1"/>
  <c r="AH159" i="20" s="1"/>
  <c r="AH160" i="20" s="1"/>
  <c r="AH161" i="20" s="1"/>
  <c r="AH162" i="20" s="1"/>
  <c r="AH163" i="20" s="1"/>
  <c r="AH164" i="20" s="1"/>
  <c r="AH165" i="20" s="1"/>
  <c r="AH166" i="20" s="1"/>
  <c r="AH167" i="20" s="1"/>
  <c r="AH168" i="20" s="1"/>
  <c r="AH169" i="20" s="1"/>
  <c r="AH170" i="20" s="1"/>
  <c r="AH171" i="20" s="1"/>
  <c r="AH172" i="20" s="1"/>
  <c r="AH173" i="20" s="1"/>
  <c r="AH174" i="20" s="1"/>
  <c r="AH175" i="20" s="1"/>
  <c r="AH176" i="20" s="1"/>
  <c r="AH177" i="20" s="1"/>
  <c r="AH178" i="20" s="1"/>
  <c r="AH179" i="20" s="1"/>
  <c r="AH180" i="20" s="1"/>
  <c r="AH181" i="20" s="1"/>
  <c r="AH182" i="20" s="1"/>
  <c r="AH183" i="20" s="1"/>
  <c r="AH184" i="20" s="1"/>
  <c r="AH185" i="20" s="1"/>
  <c r="AH186" i="20" s="1"/>
  <c r="AH187" i="20" s="1"/>
  <c r="AH188" i="20" s="1"/>
  <c r="AH189" i="20" s="1"/>
  <c r="AH190" i="20" s="1"/>
  <c r="AH191" i="20" s="1"/>
  <c r="AH192" i="20" s="1"/>
  <c r="AH193" i="20" s="1"/>
  <c r="AH194" i="20" s="1"/>
  <c r="AH195" i="20" s="1"/>
  <c r="AH196" i="20" s="1"/>
  <c r="AH197" i="20" s="1"/>
  <c r="AH198" i="20" s="1"/>
  <c r="AH199" i="20" s="1"/>
  <c r="AH200" i="20" s="1"/>
  <c r="AH201" i="20" s="1"/>
  <c r="AH202" i="20" s="1"/>
  <c r="AK92" i="20"/>
  <c r="AK93" i="20" s="1"/>
  <c r="AK94" i="20" s="1"/>
  <c r="AK95" i="20" s="1"/>
  <c r="AK96" i="20" s="1"/>
  <c r="AK97" i="20" s="1"/>
  <c r="AK98" i="20" s="1"/>
  <c r="AK99" i="20" s="1"/>
  <c r="AK100" i="20" s="1"/>
  <c r="AK101" i="20" s="1"/>
  <c r="AK102" i="20" s="1"/>
  <c r="AK103" i="20" s="1"/>
  <c r="AK104" i="20" s="1"/>
  <c r="AK105" i="20" s="1"/>
  <c r="AK106" i="20" s="1"/>
  <c r="AK107" i="20" s="1"/>
  <c r="AK108" i="20" s="1"/>
  <c r="AK109" i="20" s="1"/>
  <c r="AK110" i="20" s="1"/>
  <c r="AK111" i="20" s="1"/>
  <c r="AK112" i="20" s="1"/>
  <c r="AK113" i="20" s="1"/>
  <c r="AK114" i="20" s="1"/>
  <c r="AK115" i="20" s="1"/>
  <c r="AK116" i="20" s="1"/>
  <c r="AK117" i="20" s="1"/>
  <c r="AK118" i="20" s="1"/>
  <c r="AK119" i="20" s="1"/>
  <c r="AK120" i="20" s="1"/>
  <c r="AK121" i="20" s="1"/>
  <c r="AK122" i="20" s="1"/>
  <c r="AK123" i="20" s="1"/>
  <c r="AK124" i="20" s="1"/>
  <c r="AK125" i="20" s="1"/>
  <c r="AK126" i="20" s="1"/>
  <c r="AK127" i="20" s="1"/>
  <c r="AK128" i="20" s="1"/>
  <c r="AK129" i="20" s="1"/>
  <c r="AK130" i="20" s="1"/>
  <c r="AK131" i="20" s="1"/>
  <c r="AK132" i="20" s="1"/>
  <c r="AK133" i="20" s="1"/>
  <c r="AK134" i="20" s="1"/>
  <c r="AK135" i="20" s="1"/>
  <c r="AK136" i="20" s="1"/>
  <c r="AK137" i="20" s="1"/>
  <c r="AK138" i="20" s="1"/>
  <c r="AK139" i="20" s="1"/>
  <c r="AK140" i="20" s="1"/>
  <c r="AK141" i="20" s="1"/>
  <c r="AK142" i="20" s="1"/>
  <c r="AK143" i="20" s="1"/>
  <c r="AK144" i="20" s="1"/>
  <c r="AK145" i="20" s="1"/>
  <c r="AK146" i="20" s="1"/>
  <c r="AK147" i="20" s="1"/>
  <c r="AK148" i="20" s="1"/>
  <c r="AK149" i="20" s="1"/>
  <c r="AK150" i="20" s="1"/>
  <c r="AK151" i="20" s="1"/>
  <c r="AK152" i="20" s="1"/>
  <c r="AK153" i="20" s="1"/>
  <c r="AK154" i="20" s="1"/>
  <c r="AK155" i="20" s="1"/>
  <c r="AK156" i="20" s="1"/>
  <c r="AK157" i="20" s="1"/>
  <c r="AK158" i="20" s="1"/>
  <c r="AK159" i="20" s="1"/>
  <c r="AK160" i="20" s="1"/>
  <c r="AK161" i="20" s="1"/>
  <c r="AK162" i="20" s="1"/>
  <c r="AK163" i="20" s="1"/>
  <c r="AK164" i="20" s="1"/>
  <c r="AK165" i="20" s="1"/>
  <c r="AK166" i="20" s="1"/>
  <c r="AK167" i="20" s="1"/>
  <c r="AK168" i="20" s="1"/>
  <c r="AK169" i="20" s="1"/>
  <c r="AK170" i="20" s="1"/>
  <c r="AK171" i="20" s="1"/>
  <c r="AK172" i="20" s="1"/>
  <c r="AK173" i="20" s="1"/>
  <c r="AK174" i="20" s="1"/>
  <c r="AK175" i="20" s="1"/>
  <c r="AK176" i="20" s="1"/>
  <c r="AK177" i="20" s="1"/>
  <c r="AK178" i="20" s="1"/>
  <c r="AK179" i="20" s="1"/>
  <c r="AK180" i="20" s="1"/>
  <c r="AK181" i="20" s="1"/>
  <c r="AK182" i="20" s="1"/>
  <c r="AK183" i="20" s="1"/>
  <c r="AK184" i="20" s="1"/>
  <c r="AK185" i="20" s="1"/>
  <c r="AK186" i="20" s="1"/>
  <c r="AK187" i="20" s="1"/>
  <c r="AK188" i="20" s="1"/>
  <c r="AK189" i="20" s="1"/>
  <c r="AK190" i="20" s="1"/>
  <c r="AK191" i="20" s="1"/>
  <c r="AK192" i="20" s="1"/>
  <c r="AK193" i="20" s="1"/>
  <c r="AK194" i="20" s="1"/>
  <c r="AK195" i="20" s="1"/>
  <c r="AK196" i="20" s="1"/>
  <c r="AK197" i="20" s="1"/>
  <c r="AK198" i="20" s="1"/>
  <c r="AK199" i="20" s="1"/>
  <c r="AK200" i="20" s="1"/>
  <c r="AK201" i="20" s="1"/>
  <c r="AK202" i="20" s="1"/>
  <c r="AJ92" i="20"/>
  <c r="AJ93" i="20" s="1"/>
  <c r="AJ94" i="20" s="1"/>
  <c r="AJ95" i="20" s="1"/>
  <c r="AJ96" i="20" s="1"/>
  <c r="AJ97" i="20" s="1"/>
  <c r="AJ98" i="20" s="1"/>
  <c r="AJ99" i="20" s="1"/>
  <c r="AJ100" i="20" s="1"/>
  <c r="AJ101" i="20" s="1"/>
  <c r="AJ102" i="20" s="1"/>
  <c r="AJ103" i="20" s="1"/>
  <c r="AJ104" i="20" s="1"/>
  <c r="AJ105" i="20" s="1"/>
  <c r="AJ106" i="20" s="1"/>
  <c r="AJ107" i="20" s="1"/>
  <c r="AJ108" i="20" s="1"/>
  <c r="AJ109" i="20" s="1"/>
  <c r="AJ110" i="20" s="1"/>
  <c r="AJ111" i="20" s="1"/>
  <c r="AJ112" i="20" s="1"/>
  <c r="AJ113" i="20" s="1"/>
  <c r="AJ114" i="20" s="1"/>
  <c r="AJ115" i="20" s="1"/>
  <c r="AJ116" i="20" s="1"/>
  <c r="AJ117" i="20" s="1"/>
  <c r="AJ118" i="20" s="1"/>
  <c r="AJ119" i="20" s="1"/>
  <c r="AJ120" i="20" s="1"/>
  <c r="AJ121" i="20" s="1"/>
  <c r="AJ122" i="20" s="1"/>
  <c r="AJ123" i="20" s="1"/>
  <c r="AJ124" i="20" s="1"/>
  <c r="AJ125" i="20" s="1"/>
  <c r="AJ126" i="20" s="1"/>
  <c r="AJ127" i="20" s="1"/>
  <c r="AJ128" i="20" s="1"/>
  <c r="AJ129" i="20" s="1"/>
  <c r="AJ130" i="20" s="1"/>
  <c r="AJ131" i="20" s="1"/>
  <c r="AJ132" i="20" s="1"/>
  <c r="AJ133" i="20" s="1"/>
  <c r="AJ134" i="20" s="1"/>
  <c r="AJ135" i="20" s="1"/>
  <c r="AJ136" i="20" s="1"/>
  <c r="AJ137" i="20" s="1"/>
  <c r="AJ138" i="20" s="1"/>
  <c r="AJ139" i="20" s="1"/>
  <c r="AJ140" i="20" s="1"/>
  <c r="AJ141" i="20" s="1"/>
  <c r="AJ142" i="20" s="1"/>
  <c r="AJ143" i="20" s="1"/>
  <c r="AJ144" i="20" s="1"/>
  <c r="AJ145" i="20" s="1"/>
  <c r="AJ146" i="20" s="1"/>
  <c r="AJ147" i="20" s="1"/>
  <c r="AJ148" i="20" s="1"/>
  <c r="AJ149" i="20" s="1"/>
  <c r="AJ150" i="20" s="1"/>
  <c r="AJ151" i="20" s="1"/>
  <c r="AJ152" i="20" s="1"/>
  <c r="AJ153" i="20" s="1"/>
  <c r="AJ154" i="20" s="1"/>
  <c r="AJ155" i="20" s="1"/>
  <c r="AJ156" i="20" s="1"/>
  <c r="AJ157" i="20" s="1"/>
  <c r="AJ158" i="20" s="1"/>
  <c r="AJ159" i="20" s="1"/>
  <c r="AJ160" i="20" s="1"/>
  <c r="AJ161" i="20" s="1"/>
  <c r="AJ162" i="20" s="1"/>
  <c r="AJ163" i="20" s="1"/>
  <c r="AJ164" i="20" s="1"/>
  <c r="AJ165" i="20" s="1"/>
  <c r="AJ166" i="20" s="1"/>
  <c r="AJ167" i="20" s="1"/>
  <c r="AJ168" i="20" s="1"/>
  <c r="AJ169" i="20" s="1"/>
  <c r="AJ170" i="20" s="1"/>
  <c r="AJ171" i="20" s="1"/>
  <c r="AJ172" i="20" s="1"/>
  <c r="AJ173" i="20" s="1"/>
  <c r="AJ174" i="20" s="1"/>
  <c r="AJ175" i="20" s="1"/>
  <c r="AJ176" i="20" s="1"/>
  <c r="AJ177" i="20" s="1"/>
  <c r="AJ178" i="20" s="1"/>
  <c r="AJ179" i="20" s="1"/>
  <c r="AJ180" i="20" s="1"/>
  <c r="AJ181" i="20" s="1"/>
  <c r="AJ182" i="20" s="1"/>
  <c r="AJ183" i="20" s="1"/>
  <c r="AJ184" i="20" s="1"/>
  <c r="AJ185" i="20" s="1"/>
  <c r="AJ186" i="20" s="1"/>
  <c r="AJ187" i="20" s="1"/>
  <c r="AJ188" i="20" s="1"/>
  <c r="AJ189" i="20" s="1"/>
  <c r="AJ190" i="20" s="1"/>
  <c r="AJ191" i="20" s="1"/>
  <c r="AJ192" i="20" s="1"/>
  <c r="AJ193" i="20" s="1"/>
  <c r="AJ194" i="20" s="1"/>
  <c r="AJ195" i="20" s="1"/>
  <c r="AJ196" i="20" s="1"/>
  <c r="AJ197" i="20" s="1"/>
  <c r="AJ198" i="20" s="1"/>
  <c r="AJ199" i="20" s="1"/>
  <c r="AJ200" i="20" s="1"/>
  <c r="AJ201" i="20" s="1"/>
  <c r="AJ202" i="20" s="1"/>
  <c r="I88" i="19"/>
  <c r="AH87" i="19"/>
  <c r="AK86" i="19"/>
  <c r="AJ86" i="19"/>
  <c r="S89" i="19"/>
  <c r="I89" i="19" l="1"/>
  <c r="AH88" i="19"/>
  <c r="AJ87" i="19"/>
  <c r="AK87" i="19"/>
  <c r="S90" i="19"/>
  <c r="I90" i="19" l="1"/>
  <c r="AH89" i="19"/>
  <c r="AJ88" i="19"/>
  <c r="AK88" i="19"/>
  <c r="S91" i="19"/>
  <c r="I91" i="19" l="1"/>
  <c r="AH90" i="19"/>
  <c r="AJ89" i="19"/>
  <c r="AK89" i="19"/>
  <c r="S92" i="19"/>
  <c r="I92" i="19" l="1"/>
  <c r="S93" i="19"/>
  <c r="S94" i="19" s="1"/>
  <c r="S95" i="19" s="1"/>
  <c r="S96" i="19" s="1"/>
  <c r="S97" i="19" s="1"/>
  <c r="S98" i="19" s="1"/>
  <c r="S99" i="19" s="1"/>
  <c r="S100" i="19" s="1"/>
  <c r="S101" i="19" s="1"/>
  <c r="S102" i="19" s="1"/>
  <c r="S103" i="19" s="1"/>
  <c r="S104" i="19" s="1"/>
  <c r="S105" i="19" s="1"/>
  <c r="S106" i="19" s="1"/>
  <c r="S107" i="19" s="1"/>
  <c r="S108" i="19" s="1"/>
  <c r="S109" i="19" s="1"/>
  <c r="S110" i="19" s="1"/>
  <c r="S111" i="19" s="1"/>
  <c r="S112" i="19" s="1"/>
  <c r="S113" i="19" s="1"/>
  <c r="S114" i="19" s="1"/>
  <c r="S115" i="19" s="1"/>
  <c r="S116" i="19" s="1"/>
  <c r="S117" i="19" s="1"/>
  <c r="S118" i="19" s="1"/>
  <c r="S119" i="19" s="1"/>
  <c r="S120" i="19" s="1"/>
  <c r="S121" i="19" s="1"/>
  <c r="S122" i="19" s="1"/>
  <c r="S123" i="19" s="1"/>
  <c r="S124" i="19" s="1"/>
  <c r="S125" i="19" s="1"/>
  <c r="S126" i="19" s="1"/>
  <c r="S127" i="19" s="1"/>
  <c r="S128" i="19" s="1"/>
  <c r="S129" i="19" s="1"/>
  <c r="S130" i="19" s="1"/>
  <c r="S131" i="19" s="1"/>
  <c r="S132" i="19" s="1"/>
  <c r="S133" i="19" s="1"/>
  <c r="S134" i="19" s="1"/>
  <c r="S135" i="19" s="1"/>
  <c r="S136" i="19" s="1"/>
  <c r="S137" i="19" s="1"/>
  <c r="S138" i="19" s="1"/>
  <c r="S139" i="19" s="1"/>
  <c r="S140" i="19" s="1"/>
  <c r="S141" i="19" s="1"/>
  <c r="S142" i="19" s="1"/>
  <c r="S143" i="19" s="1"/>
  <c r="S144" i="19" s="1"/>
  <c r="S145" i="19" s="1"/>
  <c r="S146" i="19" s="1"/>
  <c r="S147" i="19" s="1"/>
  <c r="S148" i="19" s="1"/>
  <c r="S149" i="19" s="1"/>
  <c r="S150" i="19" s="1"/>
  <c r="S151" i="19" s="1"/>
  <c r="S152" i="19" s="1"/>
  <c r="S153" i="19" s="1"/>
  <c r="S154" i="19" s="1"/>
  <c r="S155" i="19" s="1"/>
  <c r="S156" i="19" s="1"/>
  <c r="S157" i="19" s="1"/>
  <c r="S158" i="19" s="1"/>
  <c r="S159" i="19" s="1"/>
  <c r="S160" i="19" s="1"/>
  <c r="S161" i="19" s="1"/>
  <c r="S162" i="19" s="1"/>
  <c r="S163" i="19" s="1"/>
  <c r="S164" i="19" s="1"/>
  <c r="S165" i="19" s="1"/>
  <c r="S166" i="19" s="1"/>
  <c r="S167" i="19" s="1"/>
  <c r="S168" i="19" s="1"/>
  <c r="S169" i="19" s="1"/>
  <c r="S170" i="19" s="1"/>
  <c r="S171" i="19" s="1"/>
  <c r="S172" i="19" s="1"/>
  <c r="S173" i="19" s="1"/>
  <c r="S174" i="19" s="1"/>
  <c r="S175" i="19" s="1"/>
  <c r="S176" i="19" s="1"/>
  <c r="S177" i="19" s="1"/>
  <c r="S178" i="19" s="1"/>
  <c r="S179" i="19" s="1"/>
  <c r="S180" i="19" s="1"/>
  <c r="S181" i="19" s="1"/>
  <c r="S182" i="19" s="1"/>
  <c r="S183" i="19" s="1"/>
  <c r="S184" i="19" s="1"/>
  <c r="S185" i="19" s="1"/>
  <c r="S186" i="19" s="1"/>
  <c r="S187" i="19" s="1"/>
  <c r="S188" i="19" s="1"/>
  <c r="S189" i="19" s="1"/>
  <c r="S190" i="19" s="1"/>
  <c r="S191" i="19" s="1"/>
  <c r="S192" i="19" s="1"/>
  <c r="S193" i="19" s="1"/>
  <c r="S194" i="19" s="1"/>
  <c r="S195" i="19" s="1"/>
  <c r="S196" i="19" s="1"/>
  <c r="S197" i="19" s="1"/>
  <c r="S198" i="19" s="1"/>
  <c r="S199" i="19" s="1"/>
  <c r="S200" i="19" s="1"/>
  <c r="S201" i="19" s="1"/>
  <c r="S202" i="19" s="1"/>
  <c r="AH91" i="19"/>
  <c r="AK90" i="19"/>
  <c r="AJ90" i="19"/>
  <c r="I93" i="19" l="1"/>
  <c r="AH92" i="19"/>
  <c r="AK91" i="19"/>
  <c r="AJ91" i="19"/>
  <c r="I94" i="19" l="1"/>
  <c r="AH93" i="19"/>
  <c r="AH94" i="19" s="1"/>
  <c r="AH95" i="19" s="1"/>
  <c r="AH96" i="19" s="1"/>
  <c r="AH97" i="19" s="1"/>
  <c r="AH98" i="19" s="1"/>
  <c r="AH99" i="19" s="1"/>
  <c r="AH100" i="19" s="1"/>
  <c r="AH101" i="19" s="1"/>
  <c r="AH102" i="19" s="1"/>
  <c r="AH103" i="19" s="1"/>
  <c r="AH104" i="19" s="1"/>
  <c r="AH105" i="19" s="1"/>
  <c r="AH106" i="19" s="1"/>
  <c r="AH107" i="19" s="1"/>
  <c r="AH108" i="19" s="1"/>
  <c r="AH109" i="19" s="1"/>
  <c r="AH110" i="19" s="1"/>
  <c r="AH111" i="19" s="1"/>
  <c r="AH112" i="19" s="1"/>
  <c r="AH113" i="19" s="1"/>
  <c r="AH114" i="19" s="1"/>
  <c r="AH115" i="19" s="1"/>
  <c r="AH116" i="19" s="1"/>
  <c r="AH117" i="19" s="1"/>
  <c r="AH118" i="19" s="1"/>
  <c r="AH119" i="19" s="1"/>
  <c r="AH120" i="19" s="1"/>
  <c r="AH121" i="19" s="1"/>
  <c r="AH122" i="19" s="1"/>
  <c r="AH123" i="19" s="1"/>
  <c r="AH124" i="19" s="1"/>
  <c r="AH125" i="19" s="1"/>
  <c r="AH126" i="19" s="1"/>
  <c r="AH127" i="19" s="1"/>
  <c r="AH128" i="19" s="1"/>
  <c r="AH129" i="19" s="1"/>
  <c r="AH130" i="19" s="1"/>
  <c r="AH131" i="19" s="1"/>
  <c r="AH132" i="19" s="1"/>
  <c r="AH133" i="19" s="1"/>
  <c r="AH134" i="19" s="1"/>
  <c r="AH135" i="19" s="1"/>
  <c r="AH136" i="19" s="1"/>
  <c r="AH137" i="19" s="1"/>
  <c r="AH138" i="19" s="1"/>
  <c r="AH139" i="19" s="1"/>
  <c r="AH140" i="19" s="1"/>
  <c r="AH141" i="19" s="1"/>
  <c r="AH142" i="19" s="1"/>
  <c r="AH143" i="19" s="1"/>
  <c r="AH144" i="19" s="1"/>
  <c r="AH145" i="19" s="1"/>
  <c r="AH146" i="19" s="1"/>
  <c r="AH147" i="19" s="1"/>
  <c r="AH148" i="19" s="1"/>
  <c r="AH149" i="19" s="1"/>
  <c r="AH150" i="19" s="1"/>
  <c r="AH151" i="19" s="1"/>
  <c r="AH152" i="19" s="1"/>
  <c r="AH153" i="19" s="1"/>
  <c r="AH154" i="19" s="1"/>
  <c r="AH155" i="19" s="1"/>
  <c r="AH156" i="19" s="1"/>
  <c r="AH157" i="19" s="1"/>
  <c r="AH158" i="19" s="1"/>
  <c r="AH159" i="19" s="1"/>
  <c r="AH160" i="19" s="1"/>
  <c r="AH161" i="19" s="1"/>
  <c r="AH162" i="19" s="1"/>
  <c r="AH163" i="19" s="1"/>
  <c r="AH164" i="19" s="1"/>
  <c r="AH165" i="19" s="1"/>
  <c r="AH166" i="19" s="1"/>
  <c r="AH167" i="19" s="1"/>
  <c r="AH168" i="19" s="1"/>
  <c r="AH169" i="19" s="1"/>
  <c r="AH170" i="19" s="1"/>
  <c r="AH171" i="19" s="1"/>
  <c r="AH172" i="19" s="1"/>
  <c r="AH173" i="19" s="1"/>
  <c r="AH174" i="19" s="1"/>
  <c r="AH175" i="19" s="1"/>
  <c r="AH176" i="19" s="1"/>
  <c r="AH177" i="19" s="1"/>
  <c r="AH178" i="19" s="1"/>
  <c r="AH179" i="19" s="1"/>
  <c r="AH180" i="19" s="1"/>
  <c r="AH181" i="19" s="1"/>
  <c r="AH182" i="19" s="1"/>
  <c r="AH183" i="19" s="1"/>
  <c r="AH184" i="19" s="1"/>
  <c r="AH185" i="19" s="1"/>
  <c r="AH186" i="19" s="1"/>
  <c r="AH187" i="19" s="1"/>
  <c r="AH188" i="19" s="1"/>
  <c r="AH189" i="19" s="1"/>
  <c r="AH190" i="19" s="1"/>
  <c r="AH191" i="19" s="1"/>
  <c r="AH192" i="19" s="1"/>
  <c r="AH193" i="19" s="1"/>
  <c r="AH194" i="19" s="1"/>
  <c r="AH195" i="19" s="1"/>
  <c r="AH196" i="19" s="1"/>
  <c r="AH197" i="19" s="1"/>
  <c r="AH198" i="19" s="1"/>
  <c r="AH199" i="19" s="1"/>
  <c r="AH200" i="19" s="1"/>
  <c r="AH201" i="19" s="1"/>
  <c r="AH202" i="19" s="1"/>
  <c r="AJ92" i="19"/>
  <c r="AJ93" i="19" s="1"/>
  <c r="AJ94" i="19" s="1"/>
  <c r="AJ95" i="19" s="1"/>
  <c r="AJ96" i="19" s="1"/>
  <c r="AJ97" i="19" s="1"/>
  <c r="AJ98" i="19" s="1"/>
  <c r="AJ99" i="19" s="1"/>
  <c r="AJ100" i="19" s="1"/>
  <c r="AJ101" i="19" s="1"/>
  <c r="AJ102" i="19" s="1"/>
  <c r="AJ103" i="19" s="1"/>
  <c r="AJ104" i="19" s="1"/>
  <c r="AJ105" i="19" s="1"/>
  <c r="AJ106" i="19" s="1"/>
  <c r="AJ107" i="19" s="1"/>
  <c r="AJ108" i="19" s="1"/>
  <c r="AJ109" i="19" s="1"/>
  <c r="AJ110" i="19" s="1"/>
  <c r="AJ111" i="19" s="1"/>
  <c r="AJ112" i="19" s="1"/>
  <c r="AJ113" i="19" s="1"/>
  <c r="AJ114" i="19" s="1"/>
  <c r="AJ115" i="19" s="1"/>
  <c r="AJ116" i="19" s="1"/>
  <c r="AJ117" i="19" s="1"/>
  <c r="AJ118" i="19" s="1"/>
  <c r="AJ119" i="19" s="1"/>
  <c r="AJ120" i="19" s="1"/>
  <c r="AJ121" i="19" s="1"/>
  <c r="AJ122" i="19" s="1"/>
  <c r="AJ123" i="19" s="1"/>
  <c r="AJ124" i="19" s="1"/>
  <c r="AJ125" i="19" s="1"/>
  <c r="AJ126" i="19" s="1"/>
  <c r="AJ127" i="19" s="1"/>
  <c r="AJ128" i="19" s="1"/>
  <c r="AJ129" i="19" s="1"/>
  <c r="AJ130" i="19" s="1"/>
  <c r="AJ131" i="19" s="1"/>
  <c r="AJ132" i="19" s="1"/>
  <c r="AJ133" i="19" s="1"/>
  <c r="AJ134" i="19" s="1"/>
  <c r="AJ135" i="19" s="1"/>
  <c r="AJ136" i="19" s="1"/>
  <c r="AJ137" i="19" s="1"/>
  <c r="AJ138" i="19" s="1"/>
  <c r="AJ139" i="19" s="1"/>
  <c r="AJ140" i="19" s="1"/>
  <c r="AJ141" i="19" s="1"/>
  <c r="AJ142" i="19" s="1"/>
  <c r="AJ143" i="19" s="1"/>
  <c r="AJ144" i="19" s="1"/>
  <c r="AJ145" i="19" s="1"/>
  <c r="AJ146" i="19" s="1"/>
  <c r="AJ147" i="19" s="1"/>
  <c r="AJ148" i="19" s="1"/>
  <c r="AJ149" i="19" s="1"/>
  <c r="AJ150" i="19" s="1"/>
  <c r="AJ151" i="19" s="1"/>
  <c r="AJ152" i="19" s="1"/>
  <c r="AJ153" i="19" s="1"/>
  <c r="AJ154" i="19" s="1"/>
  <c r="AJ155" i="19" s="1"/>
  <c r="AJ156" i="19" s="1"/>
  <c r="AJ157" i="19" s="1"/>
  <c r="AJ158" i="19" s="1"/>
  <c r="AJ159" i="19" s="1"/>
  <c r="AJ160" i="19" s="1"/>
  <c r="AJ161" i="19" s="1"/>
  <c r="AJ162" i="19" s="1"/>
  <c r="AJ163" i="19" s="1"/>
  <c r="AJ164" i="19" s="1"/>
  <c r="AJ165" i="19" s="1"/>
  <c r="AJ166" i="19" s="1"/>
  <c r="AJ167" i="19" s="1"/>
  <c r="AJ168" i="19" s="1"/>
  <c r="AJ169" i="19" s="1"/>
  <c r="AJ170" i="19" s="1"/>
  <c r="AJ171" i="19" s="1"/>
  <c r="AJ172" i="19" s="1"/>
  <c r="AJ173" i="19" s="1"/>
  <c r="AJ174" i="19" s="1"/>
  <c r="AJ175" i="19" s="1"/>
  <c r="AJ176" i="19" s="1"/>
  <c r="AJ177" i="19" s="1"/>
  <c r="AJ178" i="19" s="1"/>
  <c r="AJ179" i="19" s="1"/>
  <c r="AJ180" i="19" s="1"/>
  <c r="AJ181" i="19" s="1"/>
  <c r="AJ182" i="19" s="1"/>
  <c r="AJ183" i="19" s="1"/>
  <c r="AJ184" i="19" s="1"/>
  <c r="AJ185" i="19" s="1"/>
  <c r="AJ186" i="19" s="1"/>
  <c r="AJ187" i="19" s="1"/>
  <c r="AJ188" i="19" s="1"/>
  <c r="AJ189" i="19" s="1"/>
  <c r="AJ190" i="19" s="1"/>
  <c r="AJ191" i="19" s="1"/>
  <c r="AJ192" i="19" s="1"/>
  <c r="AJ193" i="19" s="1"/>
  <c r="AJ194" i="19" s="1"/>
  <c r="AJ195" i="19" s="1"/>
  <c r="AJ196" i="19" s="1"/>
  <c r="AJ197" i="19" s="1"/>
  <c r="AJ198" i="19" s="1"/>
  <c r="AJ199" i="19" s="1"/>
  <c r="AJ200" i="19" s="1"/>
  <c r="AJ201" i="19" s="1"/>
  <c r="AJ202" i="19" s="1"/>
  <c r="AK92" i="19"/>
  <c r="AK93" i="19" s="1"/>
  <c r="AK94" i="19" s="1"/>
  <c r="AK95" i="19" s="1"/>
  <c r="AK96" i="19" s="1"/>
  <c r="AK97" i="19" s="1"/>
  <c r="AK98" i="19" s="1"/>
  <c r="AK99" i="19" s="1"/>
  <c r="AK100" i="19" s="1"/>
  <c r="AK101" i="19" s="1"/>
  <c r="AK102" i="19" s="1"/>
  <c r="AK103" i="19" s="1"/>
  <c r="AK104" i="19" s="1"/>
  <c r="AK105" i="19" s="1"/>
  <c r="AK106" i="19" s="1"/>
  <c r="AK107" i="19" s="1"/>
  <c r="AK108" i="19" s="1"/>
  <c r="AK109" i="19" s="1"/>
  <c r="AK110" i="19" s="1"/>
  <c r="AK111" i="19" s="1"/>
  <c r="AK112" i="19" s="1"/>
  <c r="AK113" i="19" s="1"/>
  <c r="AK114" i="19" s="1"/>
  <c r="AK115" i="19" s="1"/>
  <c r="AK116" i="19" s="1"/>
  <c r="AK117" i="19" s="1"/>
  <c r="AK118" i="19" s="1"/>
  <c r="AK119" i="19" s="1"/>
  <c r="AK120" i="19" s="1"/>
  <c r="AK121" i="19" s="1"/>
  <c r="AK122" i="19" s="1"/>
  <c r="AK123" i="19" s="1"/>
  <c r="AK124" i="19" s="1"/>
  <c r="AK125" i="19" s="1"/>
  <c r="AK126" i="19" s="1"/>
  <c r="AK127" i="19" s="1"/>
  <c r="AK128" i="19" s="1"/>
  <c r="AK129" i="19" s="1"/>
  <c r="AK130" i="19" s="1"/>
  <c r="AK131" i="19" s="1"/>
  <c r="AK132" i="19" s="1"/>
  <c r="AK133" i="19" s="1"/>
  <c r="AK134" i="19" s="1"/>
  <c r="AK135" i="19" s="1"/>
  <c r="AK136" i="19" s="1"/>
  <c r="AK137" i="19" s="1"/>
  <c r="AK138" i="19" s="1"/>
  <c r="AK139" i="19" s="1"/>
  <c r="AK140" i="19" s="1"/>
  <c r="AK141" i="19" s="1"/>
  <c r="AK142" i="19" s="1"/>
  <c r="AK143" i="19" s="1"/>
  <c r="AK144" i="19" s="1"/>
  <c r="AK145" i="19" s="1"/>
  <c r="AK146" i="19" s="1"/>
  <c r="AK147" i="19" s="1"/>
  <c r="AK148" i="19" s="1"/>
  <c r="AK149" i="19" s="1"/>
  <c r="AK150" i="19" s="1"/>
  <c r="AK151" i="19" s="1"/>
  <c r="AK152" i="19" s="1"/>
  <c r="AK153" i="19" s="1"/>
  <c r="AK154" i="19" s="1"/>
  <c r="AK155" i="19" s="1"/>
  <c r="AK156" i="19" s="1"/>
  <c r="AK157" i="19" s="1"/>
  <c r="AK158" i="19" s="1"/>
  <c r="AK159" i="19" s="1"/>
  <c r="AK160" i="19" s="1"/>
  <c r="AK161" i="19" s="1"/>
  <c r="AK162" i="19" s="1"/>
  <c r="AK163" i="19" s="1"/>
  <c r="AK164" i="19" s="1"/>
  <c r="AK165" i="19" s="1"/>
  <c r="AK166" i="19" s="1"/>
  <c r="AK167" i="19" s="1"/>
  <c r="AK168" i="19" s="1"/>
  <c r="AK169" i="19" s="1"/>
  <c r="AK170" i="19" s="1"/>
  <c r="AK171" i="19" s="1"/>
  <c r="AK172" i="19" s="1"/>
  <c r="AK173" i="19" s="1"/>
  <c r="AK174" i="19" s="1"/>
  <c r="AK175" i="19" s="1"/>
  <c r="AK176" i="19" s="1"/>
  <c r="AK177" i="19" s="1"/>
  <c r="AK178" i="19" s="1"/>
  <c r="AK179" i="19" s="1"/>
  <c r="AK180" i="19" s="1"/>
  <c r="AK181" i="19" s="1"/>
  <c r="AK182" i="19" s="1"/>
  <c r="AK183" i="19" s="1"/>
  <c r="AK184" i="19" s="1"/>
  <c r="AK185" i="19" s="1"/>
  <c r="AK186" i="19" s="1"/>
  <c r="AK187" i="19" s="1"/>
  <c r="AK188" i="19" s="1"/>
  <c r="AK189" i="19" s="1"/>
  <c r="AK190" i="19" s="1"/>
  <c r="AK191" i="19" s="1"/>
  <c r="AK192" i="19" s="1"/>
  <c r="AK193" i="19" s="1"/>
  <c r="AK194" i="19" s="1"/>
  <c r="AK195" i="19" s="1"/>
  <c r="AK196" i="19" s="1"/>
  <c r="AK197" i="19" s="1"/>
  <c r="AK198" i="19" s="1"/>
  <c r="AK199" i="19" s="1"/>
  <c r="AK200" i="19" s="1"/>
  <c r="AK201" i="19" s="1"/>
  <c r="AK202" i="19" s="1"/>
  <c r="I95" i="19" l="1"/>
  <c r="I96" i="19" l="1"/>
  <c r="I97" i="19" l="1"/>
  <c r="I98" i="19" l="1"/>
  <c r="I99" i="19" l="1"/>
  <c r="I100" i="19" l="1"/>
  <c r="I101" i="19" l="1"/>
  <c r="I102" i="19" l="1"/>
  <c r="I103" i="19" l="1"/>
  <c r="I104" i="19" l="1"/>
  <c r="I105" i="19" l="1"/>
  <c r="I106" i="19" l="1"/>
  <c r="I107" i="19" l="1"/>
  <c r="I108" i="19" l="1"/>
  <c r="I109" i="19" l="1"/>
  <c r="I110" i="19" l="1"/>
  <c r="I111" i="19" l="1"/>
  <c r="I112" i="19" l="1"/>
  <c r="I113" i="19" l="1"/>
  <c r="I114" i="19" l="1"/>
  <c r="I115" i="19" l="1"/>
  <c r="I116" i="19" l="1"/>
  <c r="I117" i="19" l="1"/>
  <c r="I118" i="19" l="1"/>
  <c r="I119" i="19" l="1"/>
  <c r="I120" i="19" l="1"/>
  <c r="I121" i="19" l="1"/>
  <c r="I122" i="19" l="1"/>
  <c r="I123" i="19" l="1"/>
  <c r="I124" i="19" l="1"/>
  <c r="I125" i="19" l="1"/>
  <c r="I126" i="19" l="1"/>
  <c r="I127" i="19" l="1"/>
  <c r="I128" i="19" l="1"/>
  <c r="I129" i="19" l="1"/>
  <c r="I130" i="19" l="1"/>
  <c r="I131" i="19" l="1"/>
  <c r="I132" i="19" l="1"/>
  <c r="I133" i="19" l="1"/>
  <c r="I134" i="19" l="1"/>
  <c r="I135" i="19" l="1"/>
  <c r="I136" i="19" l="1"/>
  <c r="I137" i="19" l="1"/>
  <c r="I138" i="19" l="1"/>
  <c r="I139" i="19" l="1"/>
  <c r="I140" i="19" l="1"/>
  <c r="I141" i="19" l="1"/>
  <c r="I142" i="19" l="1"/>
  <c r="I143" i="19" l="1"/>
  <c r="I144" i="19" l="1"/>
  <c r="I145" i="19" l="1"/>
  <c r="I146" i="19" l="1"/>
  <c r="I147" i="19" l="1"/>
  <c r="I148" i="19" l="1"/>
  <c r="I149" i="19" l="1"/>
  <c r="I150" i="19" l="1"/>
  <c r="I151" i="19" l="1"/>
  <c r="I152" i="19" l="1"/>
  <c r="I153" i="19" l="1"/>
  <c r="I154" i="19" l="1"/>
  <c r="I155" i="19" l="1"/>
  <c r="I156" i="19" l="1"/>
  <c r="I157" i="19" l="1"/>
  <c r="I158" i="19" l="1"/>
  <c r="I159" i="19" l="1"/>
  <c r="I160" i="19" l="1"/>
  <c r="I161" i="19" l="1"/>
  <c r="I162" i="19" l="1"/>
  <c r="I163" i="19" l="1"/>
  <c r="I164" i="19" l="1"/>
  <c r="I165" i="19" l="1"/>
  <c r="I166" i="19" l="1"/>
  <c r="I167" i="19" l="1"/>
  <c r="I168" i="19" l="1"/>
  <c r="I169" i="19" l="1"/>
  <c r="I170" i="19" l="1"/>
  <c r="I171" i="19" l="1"/>
  <c r="I172" i="19" l="1"/>
  <c r="I173" i="19" l="1"/>
  <c r="I174" i="19" l="1"/>
  <c r="I175" i="19" l="1"/>
  <c r="I176" i="19" l="1"/>
  <c r="I177" i="19" l="1"/>
  <c r="I178" i="19" l="1"/>
  <c r="I179" i="19" l="1"/>
  <c r="I180" i="19" l="1"/>
  <c r="I181" i="19" l="1"/>
  <c r="I182" i="19" l="1"/>
  <c r="I183" i="19" l="1"/>
  <c r="I184" i="19" l="1"/>
  <c r="I185" i="19" l="1"/>
  <c r="I186" i="19" l="1"/>
  <c r="I187" i="19" l="1"/>
  <c r="I188" i="19" l="1"/>
  <c r="I189" i="19" l="1"/>
  <c r="I190" i="19" l="1"/>
  <c r="I191" i="19" l="1"/>
  <c r="I192" i="19" l="1"/>
  <c r="I193" i="19" l="1"/>
  <c r="I194" i="19" l="1"/>
  <c r="I195" i="19" l="1"/>
  <c r="I196" i="19" l="1"/>
  <c r="I197" i="19" s="1"/>
  <c r="I198" i="19" l="1"/>
  <c r="I199" i="19" l="1"/>
  <c r="I200" i="19" l="1"/>
  <c r="I201" i="19" l="1"/>
  <c r="I202" i="19" l="1"/>
  <c r="B1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Dean (A&amp;F, Floreat)</author>
  </authors>
  <commentList>
    <comment ref="A3" authorId="0" shapeId="0" xr:uid="{D3FEE4FB-FA82-499A-AAB7-C52B0A37AAAF}">
      <text>
        <r>
          <rPr>
            <sz val="9"/>
            <color indexed="81"/>
            <rFont val="Tahoma"/>
            <charset val="1"/>
          </rPr>
          <t xml:space="preserve">at what point would you make a decision with the ewes, based on their weight gain/loss (loss would be a negative value here)
</t>
        </r>
      </text>
    </comment>
    <comment ref="E3" authorId="0" shapeId="0" xr:uid="{F7415B93-38A3-4EDF-83F5-AED951B1D7AF}">
      <text>
        <r>
          <rPr>
            <sz val="9"/>
            <color indexed="81"/>
            <rFont val="Tahoma"/>
            <family val="2"/>
          </rPr>
          <t xml:space="preserve">If the liveweight target entered is zero, then this will be the number of days of grazing to when the mob of sheep have put on the most weight while on the stubble (maximum liveweight gain). From this point the stubble has been depleted and sheep start to lose weight (slowly at first) if they continue grazing. Either positive or negative 'liveweight gain target' values can be used to predict the number of mob days available to a point either before or after the point where sheep have gained maximum weight.
</t>
        </r>
      </text>
    </comment>
    <comment ref="E8" authorId="0" shapeId="0" xr:uid="{C11BD2E9-E5C9-42C1-9BF6-F1532DC74898}">
      <text>
        <r>
          <rPr>
            <sz val="9"/>
            <color indexed="81"/>
            <rFont val="Tahoma"/>
            <family val="2"/>
          </rPr>
          <t xml:space="preserve">Disregard results if no supplement is being fed
</t>
        </r>
      </text>
    </comment>
  </commentList>
</comments>
</file>

<file path=xl/sharedStrings.xml><?xml version="1.0" encoding="utf-8"?>
<sst xmlns="http://schemas.openxmlformats.org/spreadsheetml/2006/main" count="8646" uniqueCount="628">
  <si>
    <r>
      <rPr>
        <b/>
        <sz val="20"/>
        <rFont val="Calibri"/>
        <family val="2"/>
        <scheme val="minor"/>
      </rPr>
      <t xml:space="preserve">Stubble Grazing Calculator 
</t>
    </r>
    <r>
      <rPr>
        <b/>
        <sz val="16"/>
        <rFont val="Calibri"/>
        <family val="2"/>
        <scheme val="minor"/>
      </rPr>
      <t>for adult sheep grazing wheat stubbles</t>
    </r>
  </si>
  <si>
    <t xml:space="preserve">The Stubble Grazing Calculator has been developed as a guide for producers to estimate the number of grazing days for adult sheep on wheat stubbles in the mixed farming regions of southern Australia. 
The calculator is not suitable for estimating weaner perfomance due to their high requirement of protein for growth (relative to adult sheep). 
The calculator is informed by a 2018/2019 survey of chaff and standing stubbles from the southern mixed farming region and a number of stubble grazing experiments (Thomas et al. 2021). 
The estimated cost of supplementary feeding and relative proportion of energy gained from the stubble and supplement are calculated to be used as a guide by producers. Individual circumstances will need to be taken into consideration when using the tool, and it is important to regularly monitor the condition score of your sheep to ensure they are performaing as expected or allow you to adjust your feeding regime to meet their requirements.
Example scenarios are included under the 'Case Examples' tab.  </t>
  </si>
  <si>
    <t>Care is taken to ensure the accuracy of the information contained in this publication. However, AWI, MLA and CSIRO cannot accept responsibility for the accuracy or completeness of the information or opinions contained in the publication. You should make your own enquiries before making decisions concerning your interests. AWI, MLA and CSIRO accept no liability for any losses incurred if you rely solely on this publication and excludes all liability as a result of reliance by any person on such information or advice.
AWI &amp; MLA acknowledge the matching funds provided by the Australian Government to support the research and development detailed in this publication.</t>
  </si>
  <si>
    <t>Apart from any use permitted under the Copyright Act 1968, all rights are expressly reserved.
Requests for further authorisation should be directed to the Content Manager, PO Box 1961 NORTH SYDNEY NSW 2059 or info@mla.com.au. © Meat &amp; Livestock Australia and CSIRO 2021 ABN 39 081 678 364. Published in February 2022.</t>
  </si>
  <si>
    <t>Inputs</t>
  </si>
  <si>
    <t>Outputs</t>
  </si>
  <si>
    <t>Grazing conditions</t>
  </si>
  <si>
    <t>Grazing days (unsupplemented)</t>
  </si>
  <si>
    <t>Liveweight gain target (g/hd/day)</t>
  </si>
  <si>
    <t>Days to liveweight gain target</t>
  </si>
  <si>
    <t>Ewe liveweight (kg) when liveweight gain target is reached</t>
  </si>
  <si>
    <t>Crop stubble type</t>
  </si>
  <si>
    <t>wheat</t>
  </si>
  <si>
    <t xml:space="preserve">Days until ewe liveweight returns to inital liveweight </t>
  </si>
  <si>
    <t>Ewe condition score (0-5)</t>
  </si>
  <si>
    <t>Ewe liveweight (kg)</t>
  </si>
  <si>
    <t>With supplementary feeding</t>
  </si>
  <si>
    <t>Ewe months pregnant (0-5 months, single bearing)</t>
  </si>
  <si>
    <t>Days until ewe liveweight returns to initial liveweight (supplemented)</t>
  </si>
  <si>
    <t>Paddock size (ha)</t>
  </si>
  <si>
    <t>Supplement fed (t)</t>
  </si>
  <si>
    <t>Mob size (no. ewes)</t>
  </si>
  <si>
    <t>Supplement cost ($)</t>
  </si>
  <si>
    <t>Daily supplement cost ($/ewe/day)</t>
  </si>
  <si>
    <t>Supplementary feeding</t>
  </si>
  <si>
    <t>Supplement type</t>
  </si>
  <si>
    <t>no suppt</t>
  </si>
  <si>
    <t>Energy intake from stubble and supplement</t>
  </si>
  <si>
    <t>Supplementary feeding begins (days from start of grazing)</t>
  </si>
  <si>
    <t>Estimated energy intake - stubble (MJ ME)</t>
  </si>
  <si>
    <t>Supplement feeding rate (kg/hd/day)</t>
  </si>
  <si>
    <t>Estimated energy intake - supplement (MJ ME)</t>
  </si>
  <si>
    <t>Cost of supplementary feed ($/t)</t>
  </si>
  <si>
    <t>Proportion of total ME intake from supplementary feed (%)</t>
  </si>
  <si>
    <r>
      <rPr>
        <b/>
        <sz val="11"/>
        <color theme="1"/>
        <rFont val="Calibri"/>
        <family val="2"/>
        <scheme val="minor"/>
      </rPr>
      <t>Days to liveweight gain target</t>
    </r>
    <r>
      <rPr>
        <sz val="11"/>
        <color theme="1"/>
        <rFont val="Calibri"/>
        <family val="2"/>
        <scheme val="minor"/>
      </rPr>
      <t xml:space="preserve"> - the number of days the sheep can graze the stubble until their weight gain is equal to the</t>
    </r>
    <r>
      <rPr>
        <b/>
        <sz val="11"/>
        <color theme="1"/>
        <rFont val="Calibri"/>
        <family val="2"/>
        <scheme val="minor"/>
      </rPr>
      <t xml:space="preserve"> Liveweight gain target</t>
    </r>
    <r>
      <rPr>
        <sz val="11"/>
        <color theme="1"/>
        <rFont val="Calibri"/>
        <family val="2"/>
        <scheme val="minor"/>
      </rPr>
      <t>.</t>
    </r>
  </si>
  <si>
    <t>For example, a  fresh wheat stubbles stocked at 3 dry ewes/ha (~50 kg and CS 2.5) would be expected to maintain the ewes (liveweight gain target = 0) for about 7 weeks without supplementation. This can be expressed in DSE grazing days as 3 ewes/ha x 1 DSE grazing days/ewe x 53 days = 159 DSE grazing days/ha.</t>
  </si>
  <si>
    <t>Case</t>
  </si>
  <si>
    <t>Inputs 1</t>
  </si>
  <si>
    <t>Inputs 2</t>
  </si>
  <si>
    <t xml:space="preserve">1) </t>
  </si>
  <si>
    <t xml:space="preserve">Frank has recently bought 200 Merino ewes from a neighbour. The ewes had been grazing a poor quality pasture and were between condition score 1.5 and 2, with an average weight of 53 kg. Frank is planning to graze them on a recently harvested 40 ha wheat stubble paddock to increase their liveweight prior to joining, and would like to know how long to graze the stubble before their daily weight gain drops below 50 g/hd/day, unsupplemented. The Stubble Grazing Calculator predicts that the weight gain of the ewes will fall below 50 g/hd/day after 24 days of grazing the barley stubble, unsupplemented. The estimated weight of the ewes at this time is 58.0 kg, having gained 5 kg liveweight. </t>
  </si>
  <si>
    <t>Crop type: wheat</t>
  </si>
  <si>
    <r>
      <t xml:space="preserve">Mob days until ewe liveweight gain reaches </t>
    </r>
    <r>
      <rPr>
        <b/>
        <sz val="11"/>
        <color theme="1"/>
        <rFont val="Calibri"/>
        <family val="2"/>
        <scheme val="minor"/>
      </rPr>
      <t>'liveweight gain target'</t>
    </r>
    <r>
      <rPr>
        <sz val="11"/>
        <color theme="1"/>
        <rFont val="Calibri"/>
        <family val="2"/>
        <scheme val="minor"/>
      </rPr>
      <t xml:space="preserve"> (unsupplemented): 19</t>
    </r>
  </si>
  <si>
    <t>Sheep condition: &lt;2.0</t>
  </si>
  <si>
    <r>
      <t xml:space="preserve">Ewe liveweight (kg) when </t>
    </r>
    <r>
      <rPr>
        <b/>
        <sz val="11"/>
        <color theme="1"/>
        <rFont val="Calibri"/>
        <family val="2"/>
        <scheme val="minor"/>
      </rPr>
      <t>'liveweight gain target'</t>
    </r>
    <r>
      <rPr>
        <sz val="11"/>
        <color theme="1"/>
        <rFont val="Calibri"/>
        <family val="2"/>
        <scheme val="minor"/>
      </rPr>
      <t xml:space="preserve"> is reached (unsupplemented): 56.3</t>
    </r>
  </si>
  <si>
    <t>Sheep liveweight (kg): 53</t>
  </si>
  <si>
    <r>
      <t xml:space="preserve">Mob days until ewe liveweight reaches </t>
    </r>
    <r>
      <rPr>
        <b/>
        <sz val="11"/>
        <color theme="1"/>
        <rFont val="Calibri"/>
        <family val="2"/>
        <scheme val="minor"/>
      </rPr>
      <t>"inital liveweight"</t>
    </r>
    <r>
      <rPr>
        <sz val="11"/>
        <color theme="1"/>
        <rFont val="Calibri"/>
        <family val="2"/>
        <scheme val="minor"/>
      </rPr>
      <t xml:space="preserve"> (0 net weight gain, unsupplemented): 48</t>
    </r>
  </si>
  <si>
    <t>Ewe months pregnant: Dry</t>
  </si>
  <si>
    <t>Paddock size (ha): 40</t>
  </si>
  <si>
    <t>Flock size: 200</t>
  </si>
  <si>
    <t>LWG target (g/hd/day): 50</t>
  </si>
  <si>
    <t>2)</t>
  </si>
  <si>
    <r>
      <t>Sally runs a mixed cropping and Merino sheep farm, and on January 15</t>
    </r>
    <r>
      <rPr>
        <vertAlign val="superscript"/>
        <sz val="11"/>
        <color theme="1"/>
        <rFont val="Calibri"/>
        <family val="2"/>
        <scheme val="minor"/>
      </rPr>
      <t>th</t>
    </r>
    <r>
      <rPr>
        <sz val="11"/>
        <color theme="1"/>
        <rFont val="Calibri"/>
        <family val="2"/>
        <scheme val="minor"/>
      </rPr>
      <t xml:space="preserve"> has just taken the rams out of a mob of 360 mature ewes. The ewes are condition score 2.5 and 65.0 kg liveweight, on average. The season has been a bit below average, and the farm is carrying relative high number of stock, so Sally is aiming to maintain the ewes at CS 2.5 on wheat stubbles until March 15</t>
    </r>
    <r>
      <rPr>
        <vertAlign val="superscript"/>
        <sz val="11"/>
        <color theme="1"/>
        <rFont val="Calibri"/>
        <family val="2"/>
        <scheme val="minor"/>
      </rPr>
      <t>th</t>
    </r>
    <r>
      <rPr>
        <sz val="11"/>
        <color theme="1"/>
        <rFont val="Calibri"/>
        <family val="2"/>
        <scheme val="minor"/>
      </rPr>
      <t xml:space="preserve"> (60 days). Sally has 2 wheat stubble paddocks available for the ewes,  these are 70 ha and 85 ha, and is hoping that the ewes will maintain condition without supplementary feeding. Entering these values into the Stubble Grazing Calculator, as shown to the right, results in an estimate of 29 and 35 mob grazing days for the two paddocks, and a total of 65 mob days. Based on results from the calculator, Sally expects the ewes to maintain weight grazing the two paddocks until 15</t>
    </r>
    <r>
      <rPr>
        <vertAlign val="superscript"/>
        <sz val="11"/>
        <color theme="1"/>
        <rFont val="Calibri"/>
        <family val="2"/>
        <scheme val="minor"/>
      </rPr>
      <t>th</t>
    </r>
    <r>
      <rPr>
        <sz val="11"/>
        <color theme="1"/>
        <rFont val="Calibri"/>
        <family val="2"/>
        <scheme val="minor"/>
      </rPr>
      <t xml:space="preserve"> March without any supplementary feeding in average wheat stubbles.   </t>
    </r>
  </si>
  <si>
    <t>Paddock 1</t>
  </si>
  <si>
    <t>Paddock 2</t>
  </si>
  <si>
    <r>
      <t xml:space="preserve">Mob days until ewe liveweight gain reaches </t>
    </r>
    <r>
      <rPr>
        <b/>
        <sz val="11"/>
        <color theme="1"/>
        <rFont val="Calibri"/>
        <family val="2"/>
        <scheme val="minor"/>
      </rPr>
      <t>'liveweight gain target'</t>
    </r>
    <r>
      <rPr>
        <sz val="11"/>
        <color theme="1"/>
        <rFont val="Calibri"/>
        <family val="2"/>
        <scheme val="minor"/>
      </rPr>
      <t xml:space="preserve"> (unsupplemented): 14</t>
    </r>
  </si>
  <si>
    <t>Sheep condition: 2-2.75</t>
  </si>
  <si>
    <r>
      <t>Ewe liveweight (kg) when</t>
    </r>
    <r>
      <rPr>
        <b/>
        <sz val="11"/>
        <color theme="1"/>
        <rFont val="Calibri"/>
        <family val="2"/>
        <scheme val="minor"/>
      </rPr>
      <t xml:space="preserve"> 'liveweight gain target'</t>
    </r>
    <r>
      <rPr>
        <sz val="11"/>
        <color theme="1"/>
        <rFont val="Calibri"/>
        <family val="2"/>
        <scheme val="minor"/>
      </rPr>
      <t xml:space="preserve"> is reached (unsupplemented): 67.1</t>
    </r>
  </si>
  <si>
    <t>Sheep liveweight (kg): 65</t>
  </si>
  <si>
    <r>
      <t xml:space="preserve">Mob days until liveweight reaches </t>
    </r>
    <r>
      <rPr>
        <b/>
        <sz val="11"/>
        <color theme="1"/>
        <rFont val="Calibri"/>
        <family val="2"/>
        <scheme val="minor"/>
      </rPr>
      <t>'inital liveweight'</t>
    </r>
    <r>
      <rPr>
        <sz val="11"/>
        <color theme="1"/>
        <rFont val="Calibri"/>
        <family val="2"/>
        <scheme val="minor"/>
      </rPr>
      <t xml:space="preserve"> (0 net weight gain, unsupplemented): 29</t>
    </r>
  </si>
  <si>
    <t>Ewe months pregnant: 0-1</t>
  </si>
  <si>
    <t>Ewe months pregnant: 1-2</t>
  </si>
  <si>
    <t>Paddock size (ha): 70</t>
  </si>
  <si>
    <t>Paddock size (ha): 85</t>
  </si>
  <si>
    <t>Flock size: 360</t>
  </si>
  <si>
    <r>
      <t xml:space="preserve">Mob days until ewe liveweight gain reaches </t>
    </r>
    <r>
      <rPr>
        <b/>
        <sz val="11"/>
        <color theme="1"/>
        <rFont val="Calibri"/>
        <family val="2"/>
        <scheme val="minor"/>
      </rPr>
      <t>'liveweight gain target'</t>
    </r>
    <r>
      <rPr>
        <sz val="11"/>
        <color theme="1"/>
        <rFont val="Calibri"/>
        <family val="2"/>
        <scheme val="minor"/>
      </rPr>
      <t xml:space="preserve"> (unsupplemented): 17</t>
    </r>
  </si>
  <si>
    <t xml:space="preserve">LWG target (g/hd/day): 0 </t>
  </si>
  <si>
    <t>LWG target (g/hd/day): 0</t>
  </si>
  <si>
    <r>
      <t>Ewe liveweight (kg) when</t>
    </r>
    <r>
      <rPr>
        <b/>
        <sz val="11"/>
        <color theme="1"/>
        <rFont val="Calibri"/>
        <family val="2"/>
        <scheme val="minor"/>
      </rPr>
      <t xml:space="preserve"> 'liveweight gain target' </t>
    </r>
    <r>
      <rPr>
        <sz val="11"/>
        <color theme="1"/>
        <rFont val="Calibri"/>
        <family val="2"/>
        <scheme val="minor"/>
      </rPr>
      <t>is reached (unsupplemented): 67.6</t>
    </r>
  </si>
  <si>
    <r>
      <t xml:space="preserve">Mob days until liveweight reaches </t>
    </r>
    <r>
      <rPr>
        <b/>
        <sz val="11"/>
        <color theme="1"/>
        <rFont val="Calibri"/>
        <family val="2"/>
        <scheme val="minor"/>
      </rPr>
      <t>'inital liveweight'</t>
    </r>
    <r>
      <rPr>
        <sz val="11"/>
        <color theme="1"/>
        <rFont val="Calibri"/>
        <family val="2"/>
        <scheme val="minor"/>
      </rPr>
      <t xml:space="preserve"> (0 net weight gain, unsupplemented): 35</t>
    </r>
  </si>
  <si>
    <t xml:space="preserve">3) </t>
  </si>
  <si>
    <t>Harry has a mob of 500 mature ewes (70 kg liveweight, average condition score 3.25) that he would like to graze on a 150 ha paddock of a recently harvested high yielding wheat crop. Harry would like to graze the paddock for as long as possible, so plans to begin supplementing 0.2 kg/hd/day of lupins (700 kg/week) after they have been on the stubble for 3 weeks. He would like to know how long it will be before the ewes return to their starting liveweight, and how much of their energy will have been from the stubble compared with the supplement. Results of the Stubble Grazing Calculator estimated that there was enough feed value in the stubble to maintain the ewes for 39 days without supplementation. However, with the provision of lupin supplement from day 22, ewes were able to maintain weight on the stubble for a total of 51 days at an estimated cost of $2.33 per ewe for the lupins. At the end of this period, the lupins fed out accounted for 17% of the total energy intake of the ewes.</t>
  </si>
  <si>
    <r>
      <t xml:space="preserve">Mob days until ewe liveweight gain reaches </t>
    </r>
    <r>
      <rPr>
        <b/>
        <sz val="11"/>
        <color theme="1"/>
        <rFont val="Calibri"/>
        <family val="2"/>
        <scheme val="minor"/>
      </rPr>
      <t>'liveweight gain target'</t>
    </r>
    <r>
      <rPr>
        <sz val="11"/>
        <color theme="1"/>
        <rFont val="Calibri"/>
        <family val="2"/>
        <scheme val="minor"/>
      </rPr>
      <t xml:space="preserve"> (unsupplemented): 18</t>
    </r>
  </si>
  <si>
    <t>Sheep condition: 3-3.75</t>
  </si>
  <si>
    <r>
      <t xml:space="preserve">Mob days until ewe liveweight reaches </t>
    </r>
    <r>
      <rPr>
        <b/>
        <sz val="11"/>
        <color theme="1"/>
        <rFont val="Calibri"/>
        <family val="2"/>
        <scheme val="minor"/>
      </rPr>
      <t>"inital liveweight"</t>
    </r>
    <r>
      <rPr>
        <sz val="11"/>
        <color theme="1"/>
        <rFont val="Calibri"/>
        <family val="2"/>
        <scheme val="minor"/>
      </rPr>
      <t xml:space="preserve"> (0 net weight gain, unsupplemented): 39</t>
    </r>
  </si>
  <si>
    <t>Sheep liveweight (kg): 70</t>
  </si>
  <si>
    <r>
      <t>Mob grazing days until ewe liveweight gain reaches "</t>
    </r>
    <r>
      <rPr>
        <b/>
        <sz val="11"/>
        <color theme="1"/>
        <rFont val="Calibri"/>
        <family val="2"/>
        <scheme val="minor"/>
      </rPr>
      <t>initial liveweight"</t>
    </r>
    <r>
      <rPr>
        <sz val="11"/>
        <color theme="1"/>
        <rFont val="Calibri"/>
        <family val="2"/>
        <scheme val="minor"/>
      </rPr>
      <t xml:space="preserve"> (supplemented): 51</t>
    </r>
  </si>
  <si>
    <t>Total lupins fed out: 2.9 t</t>
  </si>
  <si>
    <t>Paddock size (ha): 150</t>
  </si>
  <si>
    <t>Cost of supplement: $1,163</t>
  </si>
  <si>
    <t>Flock size: 500</t>
  </si>
  <si>
    <t xml:space="preserve">% diet ME from supplement: 17% </t>
  </si>
  <si>
    <t>Suppt. start day: 22</t>
  </si>
  <si>
    <t>Suppt. type: lupins</t>
  </si>
  <si>
    <t xml:space="preserve">Suppt. Fed (kg/hd/day): 0.2 </t>
  </si>
  <si>
    <t>Stubble Grazing Calculator</t>
  </si>
  <si>
    <r>
      <t>Overview</t>
    </r>
    <r>
      <rPr>
        <sz val="11"/>
        <rFont val="Calibri"/>
        <family val="2"/>
      </rPr>
      <t> </t>
    </r>
  </si>
  <si>
    <t xml:space="preserve">The purpose of the Stubble Grazing Calculator is to provide a method to estimate of the amount of feed available in crop stubbles, expressed as "Mob days to liveweight gain target", and assist managing the grazing duration and supplementation requirements of stock grazing stubbles in order to meet defined production targets. This calculation is based on determining the number of DSE grazing days per hectare, calculated by multiplying the number of days grazed in a paddock by the stocking rate in DSE/ha. DSE grazing days per hectare is standardised for the particular mob based on their energy requirements in relation to a 50 kg wether sheep, approximately 8.9 MJ ME. For the purpose of simplicity we have included standardisation for liveweights and gestation in the Stubble Grazing Calculator, so the mob grazing days can be calculated according to the characteristics of the sheep that are specified. </t>
  </si>
  <si>
    <r>
      <t>Flock details</t>
    </r>
    <r>
      <rPr>
        <sz val="11"/>
        <rFont val="Calibri"/>
        <family val="2"/>
      </rPr>
      <t> </t>
    </r>
  </si>
  <si>
    <t>The grazing tool incorporates user inputs about the sheep and paddock to be grazed, including the crop type and area of the stubble paddock (ha), the sheep liveweight (kg) and condition score (1-5), so that a standardised stocking rate can be determined as described above.   </t>
  </si>
  <si>
    <r>
      <t>Weight gain target</t>
    </r>
    <r>
      <rPr>
        <sz val="11"/>
        <rFont val="Calibri"/>
        <family val="2"/>
      </rPr>
      <t> </t>
    </r>
  </si>
  <si>
    <t>Liveweight change decreases consistently as stubbles are grazed, due to the depletion of unharvested grains and other edible forage components such as senesced leaf and stem. Livestock managers may wish to implement a management intervention when a target rate of weight change is reached, such as supplementary feeding or moving stock to a new paddock. </t>
  </si>
  <si>
    <r>
      <t>Sheep days (or sheep grazing days)</t>
    </r>
    <r>
      <rPr>
        <sz val="11"/>
        <rFont val="Calibri"/>
        <family val="2"/>
      </rPr>
      <t> </t>
    </r>
  </si>
  <si>
    <t>Estimates of the grazing value of stubbles, in the form of available ME for intake by sheep, were derived from a compilation of grazing experiments, where the liveweight gain of Merino ewes grazing stubbles was measured at intervals, and energy intake required to achieve those weight gains was calculated, as the stubble was depleted of foraging value (Figure 1).</t>
  </si>
  <si>
    <t>Condition Score</t>
  </si>
  <si>
    <t>For stubble grazing data, a significant relationship was identified between sheep liveweight gain and their initial condition score (Thomas et al., submitted). Specifically, sheep of lower condition gained more weight on stubbles than sheep with higher condition score. Therefore, we have included sheep "condition score" as a factor in the stubble grazing tool and established 4 cohorts of condition. These are sheep CS &lt;2, CS 2-2.75, CS 3-3.75 and CS &gt; 4. The relationship between sheep days on stubble (x) and liveweight gain (b) are shown in Figure 2, y = ax +b. Initial liveweight gain (b) was set to 300 g/head/day, which approximates the maximum rate of empty body gain for Merino ewes. Higher values have been recorded, but these are likely to be due to higher gut fill when stock were moved from depleted pastures to fresh stubbles.</t>
  </si>
  <si>
    <t>Maintenance objective</t>
  </si>
  <si>
    <r>
      <t>Livestock managers grazing stubbles aim to maintain sheep's liveweight (or lose little) during stubble grazing. The process of losing and regaining ewe liveweight is an energetically inefficient process (although a commonly used practice to minimise supplementary feeding costs). Based on the experimental information reported in Figure 2, we have designed cumulative liveweight gain functions (quadratic) to predict ewe liveweight gained or lost on a given day. For the function y=ax</t>
    </r>
    <r>
      <rPr>
        <vertAlign val="superscript"/>
        <sz val="11"/>
        <color theme="1"/>
        <rFont val="Calibri"/>
        <family val="2"/>
        <scheme val="minor"/>
      </rPr>
      <t>2</t>
    </r>
    <r>
      <rPr>
        <sz val="11"/>
        <color theme="1"/>
        <rFont val="Calibri"/>
        <family val="2"/>
        <scheme val="minor"/>
      </rPr>
      <t>+bx+c, where x is the number of sheep days on stubbles and y is the change in sheep liveweight from the start of grazing, constant values for each condition score are shown in Table 2.</t>
    </r>
  </si>
  <si>
    <t>Supplementary feeding is commonly made available to sheep to support their liveweight maintenance after stubbles (particularly cereal stubbles) become depleted. Many factors are considered in determining the type, amount and timing of supplementary feeding. The calculator offers the option of 3 commonly used supplements (barley, lupins and oats) and the user needs to manually define the supplement cost ($/t). The amount and timing of supplementary feeding can be adjusted dynamically in the stubble grazing calculator, based on formulated adjustments to the quadratic functions described above. To achieve this, stubble grazing has been treated as three chronologically sequential events; i) grazing stubbles unsupplemented, ii) grazing stubbles with supplementation and iii) grazing depleted stubbles, where feed value from the stubble is negligible and the supplement is the sole source of feed.</t>
  </si>
  <si>
    <t>i) Grazing stubbles unsupplemented</t>
  </si>
  <si>
    <t xml:space="preserve">The period prior to any supplementary feeding can be represented using the functions described in the section under "Maintenance Objective". </t>
  </si>
  <si>
    <t>ii) Grazing stubbles with supplementation</t>
  </si>
  <si>
    <r>
      <t>Effects of supplementary feeding on liveweight gain are represented by predictable adjustments to constants in the liveweight gain quadratic function ax</t>
    </r>
    <r>
      <rPr>
        <vertAlign val="superscript"/>
        <sz val="11"/>
        <color theme="1"/>
        <rFont val="Calibri"/>
        <family val="2"/>
        <scheme val="minor"/>
      </rPr>
      <t>2</t>
    </r>
    <r>
      <rPr>
        <sz val="11"/>
        <color theme="1"/>
        <rFont val="Calibri"/>
        <family val="2"/>
        <scheme val="minor"/>
      </rPr>
      <t xml:space="preserve"> + bx + c to take into account both the level of supplementation and the starting date of supplementation (assuming this follows a period of unsupplemented stubble grazing).</t>
    </r>
  </si>
  <si>
    <r>
      <t>The constant b under supplementation (b</t>
    </r>
    <r>
      <rPr>
        <vertAlign val="subscript"/>
        <sz val="11"/>
        <color theme="1"/>
        <rFont val="Calibri"/>
        <family val="2"/>
        <scheme val="minor"/>
      </rPr>
      <t>s</t>
    </r>
    <r>
      <rPr>
        <sz val="11"/>
        <color theme="1"/>
        <rFont val="Calibri"/>
        <family val="2"/>
        <scheme val="minor"/>
      </rPr>
      <t>) can be determined by function;</t>
    </r>
  </si>
  <si>
    <r>
      <t>b</t>
    </r>
    <r>
      <rPr>
        <vertAlign val="subscript"/>
        <sz val="11"/>
        <color theme="1"/>
        <rFont val="Calibri"/>
        <family val="2"/>
        <scheme val="minor"/>
      </rPr>
      <t>s</t>
    </r>
    <r>
      <rPr>
        <sz val="11"/>
        <color theme="1"/>
        <rFont val="Calibri"/>
        <family val="2"/>
        <scheme val="minor"/>
      </rPr>
      <t xml:space="preserve"> = b</t>
    </r>
    <r>
      <rPr>
        <vertAlign val="subscript"/>
        <sz val="11"/>
        <color theme="1"/>
        <rFont val="Calibri"/>
        <family val="2"/>
        <scheme val="minor"/>
      </rPr>
      <t>ns</t>
    </r>
    <r>
      <rPr>
        <sz val="11"/>
        <color theme="1"/>
        <rFont val="Calibri"/>
        <family val="2"/>
        <scheme val="minor"/>
      </rPr>
      <t xml:space="preserve"> + q</t>
    </r>
    <r>
      <rPr>
        <vertAlign val="subscript"/>
        <sz val="11"/>
        <color theme="1"/>
        <rFont val="Calibri Light"/>
        <family val="2"/>
      </rPr>
      <t>l</t>
    </r>
    <r>
      <rPr>
        <sz val="11"/>
        <color theme="1"/>
        <rFont val="Calibri"/>
        <family val="2"/>
        <scheme val="minor"/>
      </rPr>
      <t xml:space="preserve"> x e</t>
    </r>
    <r>
      <rPr>
        <vertAlign val="subscript"/>
        <sz val="11"/>
        <color theme="1"/>
        <rFont val="Calibri"/>
        <family val="2"/>
        <scheme val="minor"/>
      </rPr>
      <t>l</t>
    </r>
  </si>
  <si>
    <t>where;</t>
  </si>
  <si>
    <r>
      <t>b</t>
    </r>
    <r>
      <rPr>
        <vertAlign val="subscript"/>
        <sz val="11"/>
        <color theme="1"/>
        <rFont val="Calibri"/>
        <family val="2"/>
        <scheme val="minor"/>
      </rPr>
      <t>ns</t>
    </r>
    <r>
      <rPr>
        <sz val="11"/>
        <color theme="1"/>
        <rFont val="Calibri"/>
        <family val="2"/>
        <scheme val="minor"/>
      </rPr>
      <t xml:space="preserve"> is the original b constant with no supplementation</t>
    </r>
  </si>
  <si>
    <r>
      <t>q</t>
    </r>
    <r>
      <rPr>
        <vertAlign val="subscript"/>
        <sz val="11"/>
        <color theme="1"/>
        <rFont val="Calibri Light"/>
        <family val="2"/>
      </rPr>
      <t>l</t>
    </r>
    <r>
      <rPr>
        <sz val="11"/>
        <color theme="1"/>
        <rFont val="Calibri"/>
        <family val="2"/>
        <scheme val="minor"/>
      </rPr>
      <t xml:space="preserve"> is quantity of supplement fed kg/sheep/day</t>
    </r>
  </si>
  <si>
    <r>
      <t>e</t>
    </r>
    <r>
      <rPr>
        <vertAlign val="subscript"/>
        <sz val="11"/>
        <color theme="1"/>
        <rFont val="Calibri"/>
        <family val="2"/>
        <scheme val="minor"/>
      </rPr>
      <t xml:space="preserve">l </t>
    </r>
    <r>
      <rPr>
        <sz val="11"/>
        <color theme="1"/>
        <rFont val="Calibri"/>
        <family val="2"/>
        <scheme val="minor"/>
      </rPr>
      <t>is the energetic value of lupins per unit mass, being 0.4 kg liveweight gain/kg lupin supplement</t>
    </r>
  </si>
  <si>
    <r>
      <t>The constant c under supplementation c</t>
    </r>
    <r>
      <rPr>
        <vertAlign val="subscript"/>
        <sz val="11"/>
        <color theme="1"/>
        <rFont val="Calibri"/>
        <family val="2"/>
        <scheme val="minor"/>
      </rPr>
      <t>s</t>
    </r>
    <r>
      <rPr>
        <sz val="11"/>
        <color theme="1"/>
        <rFont val="Calibri"/>
        <family val="2"/>
        <scheme val="minor"/>
      </rPr>
      <t xml:space="preserve"> can be determined by the function;  </t>
    </r>
  </si>
  <si>
    <r>
      <t>c</t>
    </r>
    <r>
      <rPr>
        <vertAlign val="subscript"/>
        <sz val="11"/>
        <color theme="1"/>
        <rFont val="Calibri"/>
        <family val="2"/>
        <scheme val="minor"/>
      </rPr>
      <t>s</t>
    </r>
    <r>
      <rPr>
        <sz val="11"/>
        <color theme="1"/>
        <rFont val="Calibri"/>
        <family val="2"/>
        <scheme val="minor"/>
      </rPr>
      <t xml:space="preserve"> = (q</t>
    </r>
    <r>
      <rPr>
        <vertAlign val="subscript"/>
        <sz val="11"/>
        <color theme="1"/>
        <rFont val="Calibri Light"/>
        <family val="2"/>
      </rPr>
      <t>l</t>
    </r>
    <r>
      <rPr>
        <sz val="11"/>
        <color theme="1"/>
        <rFont val="Calibri"/>
        <family val="2"/>
        <scheme val="minor"/>
      </rPr>
      <t xml:space="preserve"> x e</t>
    </r>
    <r>
      <rPr>
        <vertAlign val="subscript"/>
        <sz val="11"/>
        <color theme="1"/>
        <rFont val="Calibri"/>
        <family val="2"/>
        <scheme val="minor"/>
      </rPr>
      <t>l</t>
    </r>
    <r>
      <rPr>
        <sz val="11"/>
        <color theme="1"/>
        <rFont val="Calibri"/>
        <family val="2"/>
        <scheme val="minor"/>
      </rPr>
      <t>) x d</t>
    </r>
    <r>
      <rPr>
        <vertAlign val="subscript"/>
        <sz val="11"/>
        <color theme="1"/>
        <rFont val="Calibri"/>
        <family val="2"/>
        <scheme val="minor"/>
      </rPr>
      <t>s</t>
    </r>
    <r>
      <rPr>
        <sz val="11"/>
        <color theme="1"/>
        <rFont val="Calibri"/>
        <family val="2"/>
        <scheme val="minor"/>
      </rPr>
      <t xml:space="preserve"> + (q</t>
    </r>
    <r>
      <rPr>
        <vertAlign val="subscript"/>
        <sz val="11"/>
        <color theme="1"/>
        <rFont val="Calibri Light"/>
        <family val="2"/>
      </rPr>
      <t>l</t>
    </r>
    <r>
      <rPr>
        <sz val="11"/>
        <color theme="1"/>
        <rFont val="Calibri"/>
        <family val="2"/>
        <scheme val="minor"/>
      </rPr>
      <t xml:space="preserve"> x e</t>
    </r>
    <r>
      <rPr>
        <vertAlign val="subscript"/>
        <sz val="11"/>
        <color theme="1"/>
        <rFont val="Calibri"/>
        <family val="2"/>
        <scheme val="minor"/>
      </rPr>
      <t>l</t>
    </r>
    <r>
      <rPr>
        <sz val="11"/>
        <color theme="1"/>
        <rFont val="Calibri"/>
        <family val="2"/>
        <scheme val="minor"/>
      </rPr>
      <t>)</t>
    </r>
  </si>
  <si>
    <r>
      <t>d</t>
    </r>
    <r>
      <rPr>
        <vertAlign val="subscript"/>
        <sz val="11"/>
        <color theme="1"/>
        <rFont val="Calibri"/>
        <family val="2"/>
        <scheme val="minor"/>
      </rPr>
      <t>s</t>
    </r>
    <r>
      <rPr>
        <sz val="11"/>
        <color theme="1"/>
        <rFont val="Calibri"/>
        <family val="2"/>
        <scheme val="minor"/>
      </rPr>
      <t xml:space="preserve"> is the number of sheep days after which supplementary feeding commences</t>
    </r>
  </si>
  <si>
    <r>
      <t>Adjustments to c</t>
    </r>
    <r>
      <rPr>
        <vertAlign val="subscript"/>
        <sz val="11"/>
        <color theme="1"/>
        <rFont val="Calibri"/>
        <family val="2"/>
        <scheme val="minor"/>
      </rPr>
      <t>s</t>
    </r>
    <r>
      <rPr>
        <sz val="11"/>
        <color theme="1"/>
        <rFont val="Calibri"/>
        <family val="2"/>
        <scheme val="minor"/>
      </rPr>
      <t xml:space="preserve"> values are illustrated in Figure 3</t>
    </r>
  </si>
  <si>
    <t xml:space="preserve">iii) Grazing depleted stubbles with supplementation </t>
  </si>
  <si>
    <t>For each type of supplementary feed (barley, lupins and oats) we have calculated the constant value for the liveweight gain (y) per unit of supplement (x) (kg/kg). This is integrated with an assumed value of weight loss in ewes grazing depleted stubbles. For example, for lupins y = 0.4 x - 0.2.</t>
  </si>
  <si>
    <t>Grazing days calculations</t>
  </si>
  <si>
    <t>Crop type</t>
  </si>
  <si>
    <t>Sheep condition score (&lt;2 - 4+)</t>
  </si>
  <si>
    <t>Sheep liveweight (kg)</t>
  </si>
  <si>
    <t>&lt;-</t>
  </si>
  <si>
    <t>Functions are based on an average liveweight of 58.2 kg for experimental sheep, effective stocking scale according to liveweight ^0.75)</t>
  </si>
  <si>
    <t>Liveweight pregnancy adj (kg)</t>
  </si>
  <si>
    <t>Calculate sheep grazing days (x) to LWG target  (y) (linear), y=ax + b</t>
  </si>
  <si>
    <t>CS &lt; 2</t>
  </si>
  <si>
    <t>CS 2-2.75</t>
  </si>
  <si>
    <t>CS 3-3.75</t>
  </si>
  <si>
    <t>CS 4+</t>
  </si>
  <si>
    <t>Flock size (No. sheep)</t>
  </si>
  <si>
    <t>a</t>
  </si>
  <si>
    <t>LWG target (g/hd/day)</t>
  </si>
  <si>
    <t>b</t>
  </si>
  <si>
    <t>MEI</t>
  </si>
  <si>
    <t>Calculations</t>
  </si>
  <si>
    <t>Standardised sheep/ha</t>
  </si>
  <si>
    <t>Sheep days/ha until liveweight gain reaches LWG target (unsupplemented)</t>
  </si>
  <si>
    <t>Sheep days/ha until liveweight is the same as initial (unsupplemented)</t>
  </si>
  <si>
    <t>Solved quadratic equation, for CS 2.0; 0 = -0.0014x^2 + 0.3x, ignoring zero solution</t>
  </si>
  <si>
    <t>Sheep days until unsupplemented LWG = -0.2 kg/hd/day</t>
  </si>
  <si>
    <t>Liveweight change from initial, unsupplemented, when LWG = -0.2 kg/hd/day</t>
  </si>
  <si>
    <t>Sheep liveweight when LWG target (unsupplemented) is reached</t>
  </si>
  <si>
    <t>Sheep MEI/ha when liveweight is the same as initial</t>
  </si>
  <si>
    <t xml:space="preserve">&lt;- </t>
  </si>
  <si>
    <t>Solved integral of MEI function at sheep days until liveweight is the same as intial</t>
  </si>
  <si>
    <t>Sheep days for liveweight return to initial (incl -0.2 depletion const.)</t>
  </si>
  <si>
    <t>-liveweight gain/loss pre-supplement (x = sheep days)</t>
  </si>
  <si>
    <t>Mob days until liveweight gain reaches LWG target, unsupplemented</t>
  </si>
  <si>
    <t>Mob days until liveweight reaches inital liveweight (0 weight gain), unsupplemented</t>
  </si>
  <si>
    <t>c</t>
  </si>
  <si>
    <t>-cumulative liveweight gain/loss including supplementary feeding (x = grazing days from start of stubble grazing)</t>
  </si>
  <si>
    <t>Supplement fed out (kg/hd/day)</t>
  </si>
  <si>
    <t>Day from start of grazing the stubble when supplementary feeding begins</t>
  </si>
  <si>
    <t>Largest ewe weight loss when grazing stubbles (kg/hd/day)</t>
  </si>
  <si>
    <t>kg LWG/kg supplement</t>
  </si>
  <si>
    <t>Supplement cost ($/t)</t>
  </si>
  <si>
    <t>Supplement (kg LWG/kg)</t>
  </si>
  <si>
    <t>barley</t>
  </si>
  <si>
    <t>lupins</t>
  </si>
  <si>
    <t>oats</t>
  </si>
  <si>
    <t>Sheep days to supplementary feeding start</t>
  </si>
  <si>
    <t>LWG for specified lupin feeding (kg/hd/day)</t>
  </si>
  <si>
    <t>Example</t>
  </si>
  <si>
    <t>LWG at supp feeding start</t>
  </si>
  <si>
    <t>1) Growth target 0. Supp 300 g/hd/day starts at day 80, giving a growth benefit of 120 g/hd/day from that point</t>
  </si>
  <si>
    <t>Liveweight change by supp feeding start</t>
  </si>
  <si>
    <t>2) y = -7.8917*80+ 710 = 78.6</t>
  </si>
  <si>
    <t>Liveweight change from initial, with supplement, when LWG = -0.2 kg/hd/day</t>
  </si>
  <si>
    <t>3) with supp y = -7.8917 * 80 + 710 +120 = 198 g/hd/day</t>
  </si>
  <si>
    <t>Growth on supplement only</t>
  </si>
  <si>
    <t>4) target 0 = -7.8917 * x + 830, x = 105, or x = (y - (b + growth benefit))/ a</t>
  </si>
  <si>
    <t>Sheep days for liveweight return to initial (supplemented)</t>
  </si>
  <si>
    <t>Sheep days for liveweight return to initial (supplemented incl -0.2 depletion const.)</t>
  </si>
  <si>
    <t>Flock grazing days until liveweight gain reaches initial liveweight (supplemented)</t>
  </si>
  <si>
    <t>Supplement fed (kg lupins)</t>
  </si>
  <si>
    <t>Supplement cost ($/ewe/day)</t>
  </si>
  <si>
    <t>Stubble MEI (MJ)</t>
  </si>
  <si>
    <t>Supplement ME (MJ)</t>
  </si>
  <si>
    <t>%Supplement ME</t>
  </si>
  <si>
    <t>y = ax + b</t>
  </si>
  <si>
    <t>No intecept</t>
  </si>
  <si>
    <t>300 g/hd/day</t>
  </si>
  <si>
    <t>Confidence int.</t>
  </si>
  <si>
    <t>No intercept set</t>
  </si>
  <si>
    <t>Initial LWG set at 300 g/hd/day</t>
  </si>
  <si>
    <t>Condition</t>
  </si>
  <si>
    <t xml:space="preserve">a </t>
  </si>
  <si>
    <t>Grazing days</t>
  </si>
  <si>
    <t>predicted</t>
  </si>
  <si>
    <t>min</t>
  </si>
  <si>
    <t>max</t>
  </si>
  <si>
    <t>CS &lt; 2.0</t>
  </si>
  <si>
    <t>CS 2.0 - 2.75</t>
  </si>
  <si>
    <t>CS 3.0 - 3.75</t>
  </si>
  <si>
    <t>CS &gt; 3.75</t>
  </si>
  <si>
    <t>LWG</t>
  </si>
  <si>
    <t>Month</t>
  </si>
  <si>
    <t>ME</t>
  </si>
  <si>
    <t>kg equivalent</t>
  </si>
  <si>
    <t>Predicted kg adj</t>
  </si>
  <si>
    <t>crops</t>
  </si>
  <si>
    <t>supp</t>
  </si>
  <si>
    <t>condition score</t>
  </si>
  <si>
    <t>Month of pregnancy</t>
  </si>
  <si>
    <t>y-int LWG</t>
  </si>
  <si>
    <t>DMD</t>
  </si>
  <si>
    <t>CP</t>
  </si>
  <si>
    <t>DMI</t>
  </si>
  <si>
    <t>&lt;2</t>
  </si>
  <si>
    <t>Dry</t>
  </si>
  <si>
    <t>2-2.75</t>
  </si>
  <si>
    <t>0-1</t>
  </si>
  <si>
    <t>3-3.75</t>
  </si>
  <si>
    <t>1-2</t>
  </si>
  <si>
    <t>4+</t>
  </si>
  <si>
    <t>2-3</t>
  </si>
  <si>
    <t>y=8.4645x - 521</t>
  </si>
  <si>
    <t>3-4</t>
  </si>
  <si>
    <t>4-5</t>
  </si>
  <si>
    <t>Location</t>
  </si>
  <si>
    <t>Reference</t>
  </si>
  <si>
    <t>Initial_grain</t>
  </si>
  <si>
    <t>Sheep_density</t>
  </si>
  <si>
    <t>Tag</t>
  </si>
  <si>
    <t>StartDate</t>
  </si>
  <si>
    <t>Initial_weight</t>
  </si>
  <si>
    <t>Initial_condition_score</t>
  </si>
  <si>
    <t>WeightDate</t>
  </si>
  <si>
    <t>Liveweight</t>
  </si>
  <si>
    <t>Condition_score</t>
  </si>
  <si>
    <t>Days</t>
  </si>
  <si>
    <t>lwt_gain</t>
  </si>
  <si>
    <t>CS</t>
  </si>
  <si>
    <t>Sheep_days</t>
  </si>
  <si>
    <t>Growth_rate_total</t>
  </si>
  <si>
    <t>Sheep_days_period</t>
  </si>
  <si>
    <t>Growth_rate_instant</t>
  </si>
  <si>
    <t>Dandaragan</t>
  </si>
  <si>
    <t>WMG2</t>
  </si>
  <si>
    <t>WMG2-41</t>
  </si>
  <si>
    <t>WMG2-42</t>
  </si>
  <si>
    <t>WMG2-43</t>
  </si>
  <si>
    <t>WMG2-44</t>
  </si>
  <si>
    <t>WMG2-45</t>
  </si>
  <si>
    <t>WMG2-46</t>
  </si>
  <si>
    <t>WMG2-47</t>
  </si>
  <si>
    <t>WMG2-48</t>
  </si>
  <si>
    <t>WMG2-49</t>
  </si>
  <si>
    <t>WMG2-50</t>
  </si>
  <si>
    <t>WMG2-51</t>
  </si>
  <si>
    <t>WMG2-52</t>
  </si>
  <si>
    <t>WMG2-53</t>
  </si>
  <si>
    <t>WMG2-54</t>
  </si>
  <si>
    <t>WMG2-55</t>
  </si>
  <si>
    <t>WMG2-56</t>
  </si>
  <si>
    <t>WMG2-57</t>
  </si>
  <si>
    <t>WMG2-58</t>
  </si>
  <si>
    <t>WMG2-59</t>
  </si>
  <si>
    <t>WMG2-60</t>
  </si>
  <si>
    <t>WMG2-71</t>
  </si>
  <si>
    <t>WMG2-72</t>
  </si>
  <si>
    <t>WMG2-73</t>
  </si>
  <si>
    <t>WMG2-74</t>
  </si>
  <si>
    <t>WMG2-75</t>
  </si>
  <si>
    <t>WMG2-76</t>
  </si>
  <si>
    <t>WMG2-77</t>
  </si>
  <si>
    <t>WMG2-78</t>
  </si>
  <si>
    <t>WMG2-79</t>
  </si>
  <si>
    <t>WMG2-80</t>
  </si>
  <si>
    <t>Merredin</t>
  </si>
  <si>
    <t>MADFIG</t>
  </si>
  <si>
    <t>MADFIG-21</t>
  </si>
  <si>
    <t>MADFIG-22</t>
  </si>
  <si>
    <t>MADFIG-23</t>
  </si>
  <si>
    <t>MADFIG-24</t>
  </si>
  <si>
    <t>MADFIG-25</t>
  </si>
  <si>
    <t>MADFIG-26</t>
  </si>
  <si>
    <t>MADFIG-27</t>
  </si>
  <si>
    <t>MADFIG-28</t>
  </si>
  <si>
    <t>MADFIG-29</t>
  </si>
  <si>
    <t>MADFIG-30</t>
  </si>
  <si>
    <t>MADFIG-31</t>
  </si>
  <si>
    <t>MADFIG-32</t>
  </si>
  <si>
    <t>MADFIG-33</t>
  </si>
  <si>
    <t>MADFIG-34</t>
  </si>
  <si>
    <t>MADFIG-35</t>
  </si>
  <si>
    <t>MADFIG-36</t>
  </si>
  <si>
    <t>MADFIG-37</t>
  </si>
  <si>
    <t>MADFIG-38</t>
  </si>
  <si>
    <t>MADFIG-39</t>
  </si>
  <si>
    <t>MADFIG-40</t>
  </si>
  <si>
    <t>MADFIG-81</t>
  </si>
  <si>
    <t>MADFIG-82</t>
  </si>
  <si>
    <t>MADFIG-83</t>
  </si>
  <si>
    <t>MADFIG-84</t>
  </si>
  <si>
    <t>MADFIG-85</t>
  </si>
  <si>
    <t>MADFIG-86</t>
  </si>
  <si>
    <t>MADFIG-87</t>
  </si>
  <si>
    <t>MADFIG-88</t>
  </si>
  <si>
    <t>MADFIG-89</t>
  </si>
  <si>
    <t>MADFIG-90</t>
  </si>
  <si>
    <t xml:space="preserve">Tammin </t>
  </si>
  <si>
    <t>2008CSR</t>
  </si>
  <si>
    <t>2008CSR-1016</t>
  </si>
  <si>
    <t>2008CSR-1019</t>
  </si>
  <si>
    <t>2008CSR-1045</t>
  </si>
  <si>
    <t>2008CSR-1137</t>
  </si>
  <si>
    <t>2008CSR-1203</t>
  </si>
  <si>
    <t>2008CSR-1211</t>
  </si>
  <si>
    <t>2008CSR-1231</t>
  </si>
  <si>
    <t>2008CSR-1250</t>
  </si>
  <si>
    <t>2008CSR-1251</t>
  </si>
  <si>
    <t>2008CSR-1299</t>
  </si>
  <si>
    <t>2008CSR-1343</t>
  </si>
  <si>
    <t>2008CSR-1394</t>
  </si>
  <si>
    <t>2008CSR-1475</t>
  </si>
  <si>
    <t>2008CSR-1506</t>
  </si>
  <si>
    <t>2008CSR-159</t>
  </si>
  <si>
    <t>2008CSR-1646</t>
  </si>
  <si>
    <t>2008CSR-1675</t>
  </si>
  <si>
    <t>2008CSR-1711</t>
  </si>
  <si>
    <t>2008CSR-1759</t>
  </si>
  <si>
    <t>2008CSR-1781</t>
  </si>
  <si>
    <t>2008CSR-18</t>
  </si>
  <si>
    <t>2008CSR-2130</t>
  </si>
  <si>
    <t>2008CSR-2152</t>
  </si>
  <si>
    <t>2008CSR-2265</t>
  </si>
  <si>
    <t>2008CSR-2366</t>
  </si>
  <si>
    <t>2008CSR-2395</t>
  </si>
  <si>
    <t>2008CSR-2415</t>
  </si>
  <si>
    <t>2008CSR-269</t>
  </si>
  <si>
    <t>2008CSR-31</t>
  </si>
  <si>
    <t>2008CSR-336</t>
  </si>
  <si>
    <t>2008CSR-362</t>
  </si>
  <si>
    <t>2008CSR-4</t>
  </si>
  <si>
    <t>2008CSR-797</t>
  </si>
  <si>
    <t>2008CSR-82</t>
  </si>
  <si>
    <t>Tammin</t>
  </si>
  <si>
    <t>2008HSR</t>
  </si>
  <si>
    <t>2008HSR-1001</t>
  </si>
  <si>
    <t>2008HSR-1027</t>
  </si>
  <si>
    <t>2008HSR-117</t>
  </si>
  <si>
    <t>2008HSR-1185</t>
  </si>
  <si>
    <t>2008HSR-1273</t>
  </si>
  <si>
    <t>2008HSR-1283</t>
  </si>
  <si>
    <t>2008HSR-1337</t>
  </si>
  <si>
    <t>2008HSR-1468</t>
  </si>
  <si>
    <t>2008HSR-155</t>
  </si>
  <si>
    <t>2008HSR-1604</t>
  </si>
  <si>
    <t>2008HSR-1605</t>
  </si>
  <si>
    <t>2008HSR-1625</t>
  </si>
  <si>
    <t>2008HSR-1644</t>
  </si>
  <si>
    <t>2008HSR-1674</t>
  </si>
  <si>
    <t>2008HSR-1682</t>
  </si>
  <si>
    <t>2008HSR-1726</t>
  </si>
  <si>
    <t>2008HSR-1729</t>
  </si>
  <si>
    <t>2008HSR-1762</t>
  </si>
  <si>
    <t>2008HSR-1766</t>
  </si>
  <si>
    <t>2008HSR-209</t>
  </si>
  <si>
    <t>2008HSR-2181</t>
  </si>
  <si>
    <t>2008HSR-2190</t>
  </si>
  <si>
    <t>2008HSR-2192</t>
  </si>
  <si>
    <t>2008HSR-2195</t>
  </si>
  <si>
    <t>2008HSR-221</t>
  </si>
  <si>
    <t>2008HSR-2228</t>
  </si>
  <si>
    <t>2008HSR-2858</t>
  </si>
  <si>
    <t>2008HSR-345</t>
  </si>
  <si>
    <t>2008HSR-356</t>
  </si>
  <si>
    <t>2008HSR-457</t>
  </si>
  <si>
    <t>2008HSR-891</t>
  </si>
  <si>
    <t>2008HSR-901</t>
  </si>
  <si>
    <t>2008HSR-913</t>
  </si>
  <si>
    <t>2008HSR-997</t>
  </si>
  <si>
    <t>2014C</t>
  </si>
  <si>
    <t>2014C-1033</t>
  </si>
  <si>
    <t>2014C-1087</t>
  </si>
  <si>
    <t>2014C-1092</t>
  </si>
  <si>
    <t>2014C-1251</t>
  </si>
  <si>
    <t>2014C-1260</t>
  </si>
  <si>
    <t>2014C-1300</t>
  </si>
  <si>
    <t>2014C-138</t>
  </si>
  <si>
    <t>2014C-1487</t>
  </si>
  <si>
    <t>2014C-1493</t>
  </si>
  <si>
    <t>2014C-1496</t>
  </si>
  <si>
    <t>2014C-1607</t>
  </si>
  <si>
    <t>2014C-1614</t>
  </si>
  <si>
    <t>2014C-1640</t>
  </si>
  <si>
    <t>2014C-1699</t>
  </si>
  <si>
    <t>2014C-1784</t>
  </si>
  <si>
    <t>2014C-1908</t>
  </si>
  <si>
    <t>2014C-1965</t>
  </si>
  <si>
    <t>2014C-2011</t>
  </si>
  <si>
    <t>2014C-2018</t>
  </si>
  <si>
    <t>2014C-2032</t>
  </si>
  <si>
    <t>2014C-2093</t>
  </si>
  <si>
    <t>2014C-2155</t>
  </si>
  <si>
    <t>2014C-2329</t>
  </si>
  <si>
    <t>2014C-2332</t>
  </si>
  <si>
    <t>2014C-2342</t>
  </si>
  <si>
    <t>2014C-2410</t>
  </si>
  <si>
    <t>2014C-2459</t>
  </si>
  <si>
    <t>2014C-2522</t>
  </si>
  <si>
    <t>2014C-258</t>
  </si>
  <si>
    <t>2014C-2655</t>
  </si>
  <si>
    <t>2014C-2661</t>
  </si>
  <si>
    <t>2014C-2663</t>
  </si>
  <si>
    <t>2014C-2685</t>
  </si>
  <si>
    <t>2014C-2719</t>
  </si>
  <si>
    <t>2014C-2720</t>
  </si>
  <si>
    <t>2014C-2774</t>
  </si>
  <si>
    <t>2014C-2873</t>
  </si>
  <si>
    <t>2014C-2888</t>
  </si>
  <si>
    <t>2014C-2975</t>
  </si>
  <si>
    <t>2014C-2987</t>
  </si>
  <si>
    <t>2014C-299</t>
  </si>
  <si>
    <t>2014C-37</t>
  </si>
  <si>
    <t>2014C-379</t>
  </si>
  <si>
    <t>2014C-382</t>
  </si>
  <si>
    <t>2014C-387</t>
  </si>
  <si>
    <t>2014C-481</t>
  </si>
  <si>
    <t>2014C-50</t>
  </si>
  <si>
    <t>2014C-648</t>
  </si>
  <si>
    <t>2014C-73</t>
  </si>
  <si>
    <t>2014C-733</t>
  </si>
  <si>
    <t>2014C-760</t>
  </si>
  <si>
    <t>2014C-78</t>
  </si>
  <si>
    <t>2014C-914</t>
  </si>
  <si>
    <t>2014SB</t>
  </si>
  <si>
    <t>2014SB-1048</t>
  </si>
  <si>
    <t>2014SB-1205</t>
  </si>
  <si>
    <t>2014SB-1224</t>
  </si>
  <si>
    <t>2014SB-1234</t>
  </si>
  <si>
    <t>2014SB-1248</t>
  </si>
  <si>
    <t>2014SB-1252</t>
  </si>
  <si>
    <t>2014SB-1277</t>
  </si>
  <si>
    <t>2014SB-1283</t>
  </si>
  <si>
    <t>2014SB-1424</t>
  </si>
  <si>
    <t>2014SB-1492</t>
  </si>
  <si>
    <t>2014SB-1639</t>
  </si>
  <si>
    <t>2014SB-1686</t>
  </si>
  <si>
    <t>2014SB-1712</t>
  </si>
  <si>
    <t>2014SB-180</t>
  </si>
  <si>
    <t>2014SB-2041</t>
  </si>
  <si>
    <t>2014SB-2083</t>
  </si>
  <si>
    <t>2014SB-2131</t>
  </si>
  <si>
    <t>2014SB-2148</t>
  </si>
  <si>
    <t>2014SB-2154</t>
  </si>
  <si>
    <t>2014SB-2162</t>
  </si>
  <si>
    <t>2014SB-2306</t>
  </si>
  <si>
    <t>2014SB-2311</t>
  </si>
  <si>
    <t>2014SB-2320</t>
  </si>
  <si>
    <t>2014SB-2343</t>
  </si>
  <si>
    <t>2014SB-2430</t>
  </si>
  <si>
    <t>2014SB-2458</t>
  </si>
  <si>
    <t>2014SB-2469</t>
  </si>
  <si>
    <t>2014SB-2524</t>
  </si>
  <si>
    <t>2014SB-2590</t>
  </si>
  <si>
    <t>2014SB-2630</t>
  </si>
  <si>
    <t>2014SB-2632</t>
  </si>
  <si>
    <t>2014SB-2695</t>
  </si>
  <si>
    <t>2014SB-2718</t>
  </si>
  <si>
    <t>2014SB-2730</t>
  </si>
  <si>
    <t>2014SB-2761</t>
  </si>
  <si>
    <t>2014SB-2865</t>
  </si>
  <si>
    <t>2014SB-2868</t>
  </si>
  <si>
    <t>2014SB-2884</t>
  </si>
  <si>
    <t>2014SB-2893</t>
  </si>
  <si>
    <t>2014SB-356</t>
  </si>
  <si>
    <t>2014SB-38</t>
  </si>
  <si>
    <t>2014SB-439</t>
  </si>
  <si>
    <t>2014SB-631</t>
  </si>
  <si>
    <t>2014SB-67</t>
  </si>
  <si>
    <t>2014SB-74</t>
  </si>
  <si>
    <t>2014SB-752</t>
  </si>
  <si>
    <t>2014SB-776</t>
  </si>
  <si>
    <t>2014SB-783</t>
  </si>
  <si>
    <t>2014SB-785</t>
  </si>
  <si>
    <t>2014SB-809</t>
  </si>
  <si>
    <t>2014SB-85</t>
  </si>
  <si>
    <t>2014SB-928</t>
  </si>
  <si>
    <t>2015E</t>
  </si>
  <si>
    <t>2015E-1054</t>
  </si>
  <si>
    <t>2015E-1063</t>
  </si>
  <si>
    <t>2015E-1236</t>
  </si>
  <si>
    <t>2015E-1242</t>
  </si>
  <si>
    <t>2015E-1267</t>
  </si>
  <si>
    <t>2015E-1275</t>
  </si>
  <si>
    <t>2015E-1276</t>
  </si>
  <si>
    <t>2015E-1296</t>
  </si>
  <si>
    <t>2015E-1300</t>
  </si>
  <si>
    <t>2015E-1312</t>
  </si>
  <si>
    <t>2015E-1335</t>
  </si>
  <si>
    <t>2015E-1339</t>
  </si>
  <si>
    <t>2015E-1362</t>
  </si>
  <si>
    <t>2015E-149</t>
  </si>
  <si>
    <t>2015E-207</t>
  </si>
  <si>
    <t>2015E-22</t>
  </si>
  <si>
    <t>2015E-441</t>
  </si>
  <si>
    <t>2015E-646</t>
  </si>
  <si>
    <t>2015E-877</t>
  </si>
  <si>
    <t>2015E-955</t>
  </si>
  <si>
    <t>2015W</t>
  </si>
  <si>
    <t>2015W-1003</t>
  </si>
  <si>
    <t>2015W-1032</t>
  </si>
  <si>
    <t>2015W-1051</t>
  </si>
  <si>
    <t>2015W-1077</t>
  </si>
  <si>
    <t>2015W-1084</t>
  </si>
  <si>
    <t>2015W-1096</t>
  </si>
  <si>
    <t>2015W-1098</t>
  </si>
  <si>
    <t>2015W-1202</t>
  </si>
  <si>
    <t>2015W-195</t>
  </si>
  <si>
    <t>2015W-410</t>
  </si>
  <si>
    <t>2015W-457</t>
  </si>
  <si>
    <t>2015W-490</t>
  </si>
  <si>
    <t>2015W-525</t>
  </si>
  <si>
    <t>2015W-536</t>
  </si>
  <si>
    <t>2015W-709</t>
  </si>
  <si>
    <t>2015W-844</t>
  </si>
  <si>
    <t>2015W-922</t>
  </si>
  <si>
    <t>2015W-941</t>
  </si>
  <si>
    <t>2015W-945</t>
  </si>
  <si>
    <t>2015W-969</t>
  </si>
  <si>
    <t>Warradarge</t>
  </si>
  <si>
    <t>WMG1</t>
  </si>
  <si>
    <t>WMG1-1</t>
  </si>
  <si>
    <t>WMG1-10</t>
  </si>
  <si>
    <t>WMG1-11</t>
  </si>
  <si>
    <t>WMG1-12</t>
  </si>
  <si>
    <t>WMG1-13</t>
  </si>
  <si>
    <t>WMG1-14</t>
  </si>
  <si>
    <t>WMG1-15</t>
  </si>
  <si>
    <t>WMG1-16</t>
  </si>
  <si>
    <t>WMG1-17</t>
  </si>
  <si>
    <t>WMG1-18</t>
  </si>
  <si>
    <t>WMG1-19</t>
  </si>
  <si>
    <t>WMG1-2</t>
  </si>
  <si>
    <t>WMG1-20</t>
  </si>
  <si>
    <t>WMG1-3</t>
  </si>
  <si>
    <t>WMG1-31</t>
  </si>
  <si>
    <t>WMG1-32</t>
  </si>
  <si>
    <t>WMG1-33</t>
  </si>
  <si>
    <t>WMG1-34</t>
  </si>
  <si>
    <t>WMG1-35</t>
  </si>
  <si>
    <t>WMG1-36</t>
  </si>
  <si>
    <t>WMG1-37</t>
  </si>
  <si>
    <t>WMG1-38</t>
  </si>
  <si>
    <t>WMG1-39</t>
  </si>
  <si>
    <t>WMG1-4</t>
  </si>
  <si>
    <t>WMG1-40</t>
  </si>
  <si>
    <t>WMG1-5</t>
  </si>
  <si>
    <t>WMG1-6</t>
  </si>
  <si>
    <t>WMG1-7</t>
  </si>
  <si>
    <t>WMG1-8</t>
  </si>
  <si>
    <t>WMG1-9</t>
  </si>
  <si>
    <t>location</t>
  </si>
  <si>
    <t>reference</t>
  </si>
  <si>
    <t>initial_grain</t>
  </si>
  <si>
    <t>sheep_density</t>
  </si>
  <si>
    <t>tag</t>
  </si>
  <si>
    <t>start_date</t>
  </si>
  <si>
    <t>initial_weight</t>
  </si>
  <si>
    <t>initial_CS</t>
  </si>
  <si>
    <t>weigh_date</t>
  </si>
  <si>
    <t>liveweight</t>
  </si>
  <si>
    <t>days_exp</t>
  </si>
  <si>
    <t>lwt_gain_exp</t>
  </si>
  <si>
    <t>CS_gain_exp</t>
  </si>
  <si>
    <t>sheep_days_exp</t>
  </si>
  <si>
    <t>dse_days_exp</t>
  </si>
  <si>
    <t>growth_rate_exp</t>
  </si>
  <si>
    <t>MEI_exp</t>
  </si>
  <si>
    <t>days_wk</t>
  </si>
  <si>
    <t>lwt_gain_wk</t>
  </si>
  <si>
    <t>sheep_days_wk</t>
  </si>
  <si>
    <t>growth_rate_wk</t>
  </si>
  <si>
    <t>MEI_wk</t>
  </si>
  <si>
    <t>cov_MEI</t>
  </si>
  <si>
    <t>adj_MEI_wk</t>
  </si>
  <si>
    <t>MEI_adj</t>
  </si>
  <si>
    <t>LWG day</t>
  </si>
  <si>
    <t>grazing days</t>
  </si>
  <si>
    <t>cumulative LWG</t>
  </si>
  <si>
    <t>Day</t>
  </si>
  <si>
    <t>&gt;2</t>
  </si>
  <si>
    <t>Supplement Adjustment CS &lt; 2</t>
  </si>
  <si>
    <t>y adj</t>
  </si>
  <si>
    <t>rel. y adj and b</t>
  </si>
  <si>
    <t>Initial CS</t>
  </si>
  <si>
    <t>LWG kg/day</t>
  </si>
  <si>
    <t>CoV_LWG</t>
  </si>
  <si>
    <t>CS &lt;2</t>
  </si>
  <si>
    <t>4) target 0 = -7.8917 * x + 830, x = 105</t>
  </si>
  <si>
    <t>Initial weight</t>
  </si>
  <si>
    <t>CS 4-5</t>
  </si>
  <si>
    <t>Initial Grain (kg/ha)</t>
  </si>
  <si>
    <t>(Multiple Items)</t>
  </si>
  <si>
    <t>Average of growth_rate_wk</t>
  </si>
  <si>
    <t>Column Labels</t>
  </si>
  <si>
    <t>Row Labels</t>
  </si>
  <si>
    <t>Grand Total</t>
  </si>
  <si>
    <t>Average of MEI_wk</t>
  </si>
  <si>
    <t>(blank)</t>
  </si>
  <si>
    <t>No Supplement</t>
  </si>
  <si>
    <t>100 g/hd/day supp</t>
  </si>
  <si>
    <t>200 g/hd/day supp</t>
  </si>
  <si>
    <t>300 g/hd/day supp</t>
  </si>
  <si>
    <t>Generic</t>
  </si>
  <si>
    <t>Supp</t>
  </si>
  <si>
    <t>grazing days_supp</t>
  </si>
  <si>
    <t>LWG_0</t>
  </si>
  <si>
    <t>LWG_100_sup</t>
  </si>
  <si>
    <t>LWG_200_sup</t>
  </si>
  <si>
    <t>LWG_300_sup</t>
  </si>
  <si>
    <t>cumulative LWG_0</t>
  </si>
  <si>
    <t>cumulative LWG_100_sup90</t>
  </si>
  <si>
    <t>cumulative LWG_100_sup45</t>
  </si>
  <si>
    <t>cumulative LWG_100_sup20</t>
  </si>
  <si>
    <t>cumulative LWG_100_sup10</t>
  </si>
  <si>
    <t>cumulative LWG_200_sup90</t>
  </si>
  <si>
    <t>cumulative LWG_300_sup90</t>
  </si>
  <si>
    <t>LWG_100_Sup90</t>
  </si>
  <si>
    <t>LWG_200_sup90</t>
  </si>
  <si>
    <t>LWG_300_sup90</t>
  </si>
  <si>
    <t>y = ax2 + bx + c</t>
  </si>
  <si>
    <t>100 g/hd/day</t>
  </si>
  <si>
    <t>200 g/hd/day</t>
  </si>
  <si>
    <t>supp start - sheep grazing days</t>
  </si>
  <si>
    <t>Constant (c)</t>
  </si>
  <si>
    <t>Lupin supp</t>
  </si>
  <si>
    <t>min LWG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</si>
</sst>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164" formatCode="0.0"/>
    <numFmt numFmtId="165" formatCode="0.000"/>
    <numFmt numFmtId="166" formatCode="0.0000"/>
    <numFmt numFmtId="167" formatCode="0.0%"/>
    <numFmt numFmtId="168" formatCode="[$$-C09]#,##0"/>
    <numFmt numFmtId="169" formatCode="_-&quot;$&quot;* #,##0_-;\-&quot;$&quot;* #,##0_-;_-&quot;$&quot;* &quot;-&quot;??_-;_-@_-"/>
    <numFmt numFmtId="170" formatCode="[$$-C09]#,##0.00"/>
  </numFmts>
  <fonts count="33">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sz val="8"/>
      <name val="Calibri"/>
      <family val="2"/>
      <scheme val="minor"/>
    </font>
    <font>
      <sz val="11"/>
      <color rgb="FFC00000"/>
      <name val="Calibri"/>
      <family val="2"/>
      <scheme val="minor"/>
    </font>
    <font>
      <sz val="11"/>
      <color rgb="FF002060"/>
      <name val="Calibri"/>
      <family val="2"/>
      <scheme val="minor"/>
    </font>
    <font>
      <i/>
      <u/>
      <sz val="11"/>
      <color theme="1"/>
      <name val="Calibri"/>
      <family val="2"/>
      <scheme val="minor"/>
    </font>
    <font>
      <i/>
      <u/>
      <sz val="11"/>
      <color rgb="FF002060"/>
      <name val="Calibri"/>
      <family val="2"/>
      <scheme val="minor"/>
    </font>
    <font>
      <i/>
      <u/>
      <sz val="11"/>
      <color rgb="FFC00000"/>
      <name val="Calibri"/>
      <family val="2"/>
      <scheme val="minor"/>
    </font>
    <font>
      <sz val="11"/>
      <name val="Calibri"/>
      <family val="2"/>
      <scheme val="minor"/>
    </font>
    <font>
      <sz val="11"/>
      <color theme="1"/>
      <name val="Calibri"/>
      <family val="2"/>
      <scheme val="minor"/>
    </font>
    <font>
      <i/>
      <u/>
      <sz val="11"/>
      <color rgb="FF0000FF"/>
      <name val="Calibri"/>
      <family val="2"/>
      <scheme val="minor"/>
    </font>
    <font>
      <sz val="11"/>
      <color rgb="FF0000FF"/>
      <name val="Calibri"/>
      <family val="2"/>
      <scheme val="minor"/>
    </font>
    <font>
      <b/>
      <sz val="11"/>
      <name val="Calibri"/>
      <family val="2"/>
      <scheme val="minor"/>
    </font>
    <font>
      <vertAlign val="superscript"/>
      <sz val="11"/>
      <color theme="1"/>
      <name val="Calibri"/>
      <family val="2"/>
      <scheme val="minor"/>
    </font>
    <font>
      <b/>
      <sz val="11"/>
      <color rgb="FF0000FF"/>
      <name val="Calibri"/>
      <family val="2"/>
      <scheme val="minor"/>
    </font>
    <font>
      <b/>
      <sz val="11"/>
      <color rgb="FF000000"/>
      <name val="Calibri"/>
      <family val="2"/>
      <scheme val="minor"/>
    </font>
    <font>
      <b/>
      <sz val="11"/>
      <name val="Calibri"/>
      <family val="2"/>
    </font>
    <font>
      <sz val="11"/>
      <name val="Calibri"/>
      <family val="2"/>
    </font>
    <font>
      <i/>
      <sz val="11"/>
      <color theme="1"/>
      <name val="Calibri"/>
      <family val="2"/>
      <scheme val="minor"/>
    </font>
    <font>
      <vertAlign val="subscript"/>
      <sz val="11"/>
      <color theme="1"/>
      <name val="Calibri"/>
      <family val="2"/>
      <scheme val="minor"/>
    </font>
    <font>
      <vertAlign val="subscript"/>
      <sz val="11"/>
      <color theme="1"/>
      <name val="Calibri Light"/>
      <family val="2"/>
    </font>
    <font>
      <sz val="9"/>
      <color indexed="81"/>
      <name val="Tahoma"/>
      <family val="2"/>
    </font>
    <font>
      <b/>
      <i/>
      <sz val="11"/>
      <color theme="1"/>
      <name val="Calibri"/>
      <family val="2"/>
      <scheme val="minor"/>
    </font>
    <font>
      <b/>
      <i/>
      <sz val="11"/>
      <color rgb="FF1F497D"/>
      <name val="Calibri"/>
      <family val="2"/>
      <scheme val="minor"/>
    </font>
    <font>
      <sz val="8"/>
      <color theme="1"/>
      <name val="Calibri"/>
      <family val="2"/>
      <scheme val="minor"/>
    </font>
    <font>
      <u/>
      <sz val="11"/>
      <color theme="1"/>
      <name val="Calibri"/>
      <family val="2"/>
      <scheme val="minor"/>
    </font>
    <font>
      <sz val="9"/>
      <color indexed="81"/>
      <name val="Tahoma"/>
      <charset val="1"/>
    </font>
    <font>
      <sz val="11"/>
      <color rgb="FFFF0000"/>
      <name val="Calibri"/>
      <family val="2"/>
      <scheme val="minor"/>
    </font>
    <font>
      <b/>
      <sz val="40"/>
      <color theme="1"/>
      <name val="Calibri"/>
      <family val="2"/>
      <scheme val="minor"/>
    </font>
    <font>
      <b/>
      <sz val="20"/>
      <name val="Calibri"/>
      <family val="2"/>
      <scheme val="minor"/>
    </font>
    <font>
      <b/>
      <sz val="16"/>
      <name val="Calibri"/>
      <family val="2"/>
      <scheme val="minor"/>
    </font>
  </fonts>
  <fills count="12">
    <fill>
      <patternFill patternType="none"/>
    </fill>
    <fill>
      <patternFill patternType="gray125"/>
    </fill>
    <fill>
      <patternFill patternType="solid">
        <fgColor indexed="22"/>
        <bgColor indexed="0"/>
      </patternFill>
    </fill>
    <fill>
      <patternFill patternType="solid">
        <fgColor theme="9" tint="0.79998168889431442"/>
        <bgColor indexed="0"/>
      </patternFill>
    </fill>
    <fill>
      <patternFill patternType="solid">
        <fgColor theme="9"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s>
  <borders count="16">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2" fillId="0" borderId="0"/>
    <xf numFmtId="0" fontId="2" fillId="0" borderId="0"/>
    <xf numFmtId="44" fontId="11" fillId="0" borderId="0" applyFont="0" applyFill="0" applyBorder="0" applyAlignment="0" applyProtection="0"/>
    <xf numFmtId="9" fontId="11" fillId="0" borderId="0" applyFont="0" applyFill="0" applyBorder="0" applyAlignment="0" applyProtection="0"/>
  </cellStyleXfs>
  <cellXfs count="162">
    <xf numFmtId="0" fontId="0" fillId="0" borderId="0" xfId="0"/>
    <xf numFmtId="0" fontId="1" fillId="2" borderId="1" xfId="2" applyFont="1" applyFill="1" applyBorder="1" applyAlignment="1">
      <alignment horizontal="center"/>
    </xf>
    <xf numFmtId="0" fontId="1" fillId="0" borderId="2" xfId="2" applyFont="1" applyBorder="1"/>
    <xf numFmtId="0" fontId="1" fillId="0" borderId="2" xfId="2" applyFont="1" applyBorder="1" applyAlignment="1">
      <alignment horizontal="right"/>
    </xf>
    <xf numFmtId="15" fontId="1" fillId="0" borderId="2" xfId="2" applyNumberFormat="1" applyFont="1" applyBorder="1" applyAlignment="1">
      <alignment horizontal="right"/>
    </xf>
    <xf numFmtId="2" fontId="1" fillId="0" borderId="2" xfId="2" applyNumberFormat="1" applyFont="1" applyBorder="1" applyAlignment="1">
      <alignment horizontal="right"/>
    </xf>
    <xf numFmtId="0" fontId="2" fillId="0" borderId="0" xfId="2"/>
    <xf numFmtId="0" fontId="1" fillId="3" borderId="1" xfId="1" applyFont="1" applyFill="1" applyBorder="1" applyAlignment="1">
      <alignment horizontal="center"/>
    </xf>
    <xf numFmtId="0" fontId="1" fillId="4" borderId="2" xfId="1" applyFont="1" applyFill="1" applyBorder="1" applyAlignment="1">
      <alignment horizontal="right"/>
    </xf>
    <xf numFmtId="2" fontId="1" fillId="4" borderId="2" xfId="1" applyNumberFormat="1" applyFont="1" applyFill="1" applyBorder="1" applyAlignment="1">
      <alignment horizontal="right"/>
    </xf>
    <xf numFmtId="0" fontId="2" fillId="4" borderId="0" xfId="1" applyFill="1"/>
    <xf numFmtId="0" fontId="0" fillId="4" borderId="0" xfId="0" applyFill="1"/>
    <xf numFmtId="0" fontId="0" fillId="0" borderId="0" xfId="0" applyAlignment="1">
      <alignment horizontal="center"/>
    </xf>
    <xf numFmtId="14" fontId="0" fillId="0" borderId="0" xfId="0" applyNumberFormat="1" applyAlignment="1">
      <alignment horizontal="center"/>
    </xf>
    <xf numFmtId="164" fontId="0" fillId="0" borderId="0" xfId="0" applyNumberFormat="1" applyAlignment="1">
      <alignment horizontal="center"/>
    </xf>
    <xf numFmtId="0" fontId="0" fillId="0" borderId="0" xfId="0" pivotButton="1"/>
    <xf numFmtId="0" fontId="0" fillId="0" borderId="0" xfId="0" applyAlignment="1">
      <alignment horizontal="left"/>
    </xf>
    <xf numFmtId="1" fontId="0" fillId="0" borderId="0" xfId="0" applyNumberFormat="1" applyAlignment="1">
      <alignment horizontal="center"/>
    </xf>
    <xf numFmtId="164" fontId="0" fillId="0" borderId="0" xfId="0" applyNumberFormat="1"/>
    <xf numFmtId="1" fontId="0" fillId="0" borderId="0" xfId="0" applyNumberFormat="1"/>
    <xf numFmtId="1" fontId="0" fillId="0" borderId="0" xfId="0" applyNumberFormat="1" applyAlignment="1">
      <alignment horizontal="left"/>
    </xf>
    <xf numFmtId="0" fontId="0" fillId="0" borderId="0" xfId="0" applyAlignment="1">
      <alignment horizontal="center" vertical="center"/>
    </xf>
    <xf numFmtId="0" fontId="3" fillId="0" borderId="0" xfId="0" applyFont="1" applyAlignment="1">
      <alignment horizontal="center"/>
    </xf>
    <xf numFmtId="165" fontId="0" fillId="0" borderId="0" xfId="0" applyNumberFormat="1" applyAlignment="1">
      <alignment horizontal="center"/>
    </xf>
    <xf numFmtId="0" fontId="0" fillId="0" borderId="0" xfId="0" applyAlignment="1">
      <alignment vertical="center"/>
    </xf>
    <xf numFmtId="0" fontId="5" fillId="0" borderId="0" xfId="0" applyFont="1"/>
    <xf numFmtId="0" fontId="6" fillId="0" borderId="0" xfId="0" applyFont="1"/>
    <xf numFmtId="2" fontId="6" fillId="0" borderId="0" xfId="0" applyNumberFormat="1" applyFont="1" applyAlignment="1">
      <alignment horizontal="center" vertical="center"/>
    </xf>
    <xf numFmtId="164" fontId="6" fillId="0" borderId="0" xfId="0" applyNumberFormat="1" applyFont="1" applyAlignment="1">
      <alignment horizontal="center" vertical="center"/>
    </xf>
    <xf numFmtId="0" fontId="7" fillId="0" borderId="0" xfId="0" applyFont="1"/>
    <xf numFmtId="0" fontId="8" fillId="0" borderId="0" xfId="0" applyFont="1"/>
    <xf numFmtId="0" fontId="9" fillId="0" borderId="0" xfId="0" applyFont="1"/>
    <xf numFmtId="2" fontId="0" fillId="0" borderId="0" xfId="0" applyNumberFormat="1"/>
    <xf numFmtId="166" fontId="0" fillId="0" borderId="0" xfId="0" applyNumberFormat="1" applyAlignment="1">
      <alignment horizontal="center"/>
    </xf>
    <xf numFmtId="0" fontId="0" fillId="0" borderId="0" xfId="0" applyAlignment="1">
      <alignment horizontal="left" vertical="center"/>
    </xf>
    <xf numFmtId="165" fontId="0" fillId="0" borderId="0" xfId="0" applyNumberFormat="1"/>
    <xf numFmtId="0" fontId="3" fillId="0" borderId="0" xfId="0" applyFont="1"/>
    <xf numFmtId="2" fontId="0" fillId="0" borderId="0" xfId="0" applyNumberFormat="1" applyAlignment="1">
      <alignment horizontal="center"/>
    </xf>
    <xf numFmtId="0" fontId="0" fillId="0" borderId="0" xfId="0" quotePrefix="1" applyAlignment="1">
      <alignment horizontal="left"/>
    </xf>
    <xf numFmtId="1" fontId="6" fillId="0" borderId="0" xfId="0" applyNumberFormat="1" applyFont="1" applyAlignment="1">
      <alignment horizontal="center" vertical="center"/>
    </xf>
    <xf numFmtId="1" fontId="5" fillId="0" borderId="0" xfId="0" applyNumberFormat="1" applyFont="1" applyAlignment="1">
      <alignment horizontal="center" vertical="center"/>
    </xf>
    <xf numFmtId="0" fontId="10" fillId="0" borderId="0" xfId="0" applyFont="1"/>
    <xf numFmtId="1" fontId="5" fillId="0" borderId="0" xfId="0" applyNumberFormat="1" applyFont="1" applyAlignment="1">
      <alignment horizontal="center"/>
    </xf>
    <xf numFmtId="167" fontId="5" fillId="0" borderId="0" xfId="0" applyNumberFormat="1" applyFont="1" applyAlignment="1">
      <alignment horizontal="center"/>
    </xf>
    <xf numFmtId="168" fontId="5" fillId="0" borderId="0" xfId="0" applyNumberFormat="1" applyFont="1" applyAlignment="1">
      <alignment horizont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1" fontId="14" fillId="0" borderId="10" xfId="0" applyNumberFormat="1" applyFont="1" applyBorder="1" applyAlignment="1">
      <alignment horizontal="center" vertical="center"/>
    </xf>
    <xf numFmtId="0" fontId="0" fillId="0" borderId="0" xfId="0" applyAlignment="1">
      <alignment vertical="top"/>
    </xf>
    <xf numFmtId="14" fontId="0" fillId="0" borderId="0" xfId="0" applyNumberFormat="1"/>
    <xf numFmtId="0" fontId="0" fillId="0" borderId="0" xfId="0" applyAlignment="1">
      <alignment vertical="top" wrapText="1"/>
    </xf>
    <xf numFmtId="1" fontId="16" fillId="0" borderId="8" xfId="0" applyNumberFormat="1" applyFont="1" applyBorder="1" applyAlignment="1">
      <alignment horizontal="center" vertical="center"/>
    </xf>
    <xf numFmtId="1" fontId="16" fillId="0" borderId="9" xfId="0" applyNumberFormat="1" applyFont="1" applyBorder="1" applyAlignment="1">
      <alignment horizontal="center" vertical="center"/>
    </xf>
    <xf numFmtId="1" fontId="16" fillId="0" borderId="10" xfId="0" applyNumberFormat="1" applyFont="1" applyBorder="1" applyAlignment="1">
      <alignment horizontal="center" vertical="center"/>
    </xf>
    <xf numFmtId="164" fontId="16" fillId="0" borderId="9" xfId="0" applyNumberFormat="1" applyFont="1" applyBorder="1" applyAlignment="1">
      <alignment horizontal="center" vertical="center"/>
    </xf>
    <xf numFmtId="9" fontId="16" fillId="0" borderId="10" xfId="4" applyFont="1" applyBorder="1" applyAlignment="1">
      <alignment horizontal="center" vertical="center"/>
    </xf>
    <xf numFmtId="0" fontId="17" fillId="0" borderId="0" xfId="0" applyFont="1"/>
    <xf numFmtId="0" fontId="18" fillId="0" borderId="0" xfId="0" applyFont="1" applyAlignment="1">
      <alignment horizontal="left" vertical="center" wrapText="1"/>
    </xf>
    <xf numFmtId="0" fontId="19" fillId="0" borderId="0" xfId="0" applyFont="1" applyAlignment="1">
      <alignment horizontal="left" vertical="center" wrapText="1"/>
    </xf>
    <xf numFmtId="0" fontId="0" fillId="0" borderId="0" xfId="0" applyAlignment="1">
      <alignment vertical="center" wrapText="1"/>
    </xf>
    <xf numFmtId="0" fontId="3" fillId="0" borderId="0" xfId="0" applyFont="1" applyAlignment="1">
      <alignment vertical="center"/>
    </xf>
    <xf numFmtId="0" fontId="20" fillId="0" borderId="0" xfId="0" applyFont="1" applyAlignment="1">
      <alignment vertical="center"/>
    </xf>
    <xf numFmtId="164" fontId="3" fillId="0" borderId="9"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vertical="top"/>
    </xf>
    <xf numFmtId="164" fontId="10" fillId="0" borderId="0" xfId="0" applyNumberFormat="1" applyFont="1" applyAlignment="1">
      <alignment horizontal="left" vertical="center"/>
    </xf>
    <xf numFmtId="0" fontId="25" fillId="0" borderId="0" xfId="0" applyFont="1" applyAlignment="1">
      <alignment horizontal="left" wrapText="1"/>
    </xf>
    <xf numFmtId="16" fontId="0" fillId="0" borderId="0" xfId="0" quotePrefix="1" applyNumberFormat="1" applyAlignment="1">
      <alignment horizontal="center"/>
    </xf>
    <xf numFmtId="0" fontId="0" fillId="0" borderId="0" xfId="0" quotePrefix="1" applyAlignment="1">
      <alignment horizontal="center"/>
    </xf>
    <xf numFmtId="2" fontId="0" fillId="5" borderId="0" xfId="0" applyNumberFormat="1" applyFill="1"/>
    <xf numFmtId="2" fontId="0" fillId="0" borderId="0" xfId="0" applyNumberFormat="1" applyAlignment="1">
      <alignment horizontal="center" vertical="center"/>
    </xf>
    <xf numFmtId="0" fontId="3" fillId="6" borderId="6" xfId="0" applyFont="1" applyFill="1" applyBorder="1"/>
    <xf numFmtId="0" fontId="0" fillId="6" borderId="7" xfId="0" applyFill="1" applyBorder="1" applyAlignment="1">
      <alignment horizontal="center" vertical="center"/>
    </xf>
    <xf numFmtId="0" fontId="7" fillId="4" borderId="11" xfId="0" applyFont="1" applyFill="1" applyBorder="1"/>
    <xf numFmtId="0" fontId="0" fillId="4" borderId="3" xfId="0" applyFill="1" applyBorder="1"/>
    <xf numFmtId="0" fontId="7" fillId="4" borderId="3" xfId="0" applyFont="1" applyFill="1" applyBorder="1"/>
    <xf numFmtId="0" fontId="10" fillId="4" borderId="10" xfId="0" applyFont="1" applyFill="1" applyBorder="1"/>
    <xf numFmtId="0" fontId="0" fillId="4" borderId="13" xfId="0" applyFill="1" applyBorder="1" applyAlignment="1">
      <alignment horizontal="center" vertical="center"/>
    </xf>
    <xf numFmtId="0" fontId="0" fillId="4" borderId="4" xfId="0" applyFill="1" applyBorder="1" applyAlignment="1">
      <alignment horizontal="center" vertical="center"/>
    </xf>
    <xf numFmtId="0" fontId="3" fillId="7" borderId="6" xfId="0" applyFont="1" applyFill="1" applyBorder="1"/>
    <xf numFmtId="0" fontId="12" fillId="8" borderId="3" xfId="0" applyFont="1" applyFill="1" applyBorder="1"/>
    <xf numFmtId="0" fontId="13" fillId="8" borderId="3" xfId="0" applyFont="1" applyFill="1" applyBorder="1"/>
    <xf numFmtId="0" fontId="0" fillId="8" borderId="3" xfId="0" applyFill="1" applyBorder="1"/>
    <xf numFmtId="0" fontId="13" fillId="8" borderId="5" xfId="0" applyFont="1" applyFill="1" applyBorder="1"/>
    <xf numFmtId="0" fontId="13" fillId="8" borderId="4" xfId="0" applyFont="1" applyFill="1" applyBorder="1"/>
    <xf numFmtId="0" fontId="16" fillId="8" borderId="4" xfId="0" applyFont="1" applyFill="1" applyBorder="1"/>
    <xf numFmtId="0" fontId="3" fillId="8" borderId="0" xfId="0" applyFont="1" applyFill="1"/>
    <xf numFmtId="1" fontId="16" fillId="8" borderId="4" xfId="0" applyNumberFormat="1" applyFont="1" applyFill="1" applyBorder="1" applyAlignment="1">
      <alignment horizontal="center" vertical="center"/>
    </xf>
    <xf numFmtId="0" fontId="0" fillId="7" borderId="7" xfId="0" applyFill="1" applyBorder="1"/>
    <xf numFmtId="169" fontId="16" fillId="0" borderId="9" xfId="3" applyNumberFormat="1" applyFont="1" applyBorder="1" applyAlignment="1">
      <alignment horizontal="center" vertical="center"/>
    </xf>
    <xf numFmtId="44" fontId="16" fillId="0" borderId="10" xfId="3" applyFont="1" applyBorder="1" applyAlignment="1">
      <alignment horizontal="center" vertical="center"/>
    </xf>
    <xf numFmtId="0" fontId="0" fillId="9" borderId="0" xfId="0" applyFill="1" applyAlignment="1">
      <alignment horizontal="center" vertical="center"/>
    </xf>
    <xf numFmtId="1" fontId="5" fillId="9" borderId="0" xfId="0" applyNumberFormat="1" applyFont="1" applyFill="1" applyAlignment="1">
      <alignment horizontal="center" vertical="center"/>
    </xf>
    <xf numFmtId="1" fontId="5" fillId="9" borderId="0" xfId="0" applyNumberFormat="1" applyFont="1" applyFill="1" applyAlignment="1">
      <alignment horizontal="center"/>
    </xf>
    <xf numFmtId="0" fontId="0" fillId="9" borderId="0" xfId="0" applyFill="1"/>
    <xf numFmtId="167" fontId="5" fillId="9" borderId="0" xfId="0" applyNumberFormat="1" applyFont="1" applyFill="1" applyAlignment="1">
      <alignment horizontal="center"/>
    </xf>
    <xf numFmtId="0" fontId="0" fillId="9" borderId="0" xfId="0" applyFill="1" applyAlignment="1">
      <alignment horizontal="center"/>
    </xf>
    <xf numFmtId="0" fontId="0" fillId="9" borderId="3" xfId="0" applyFill="1" applyBorder="1"/>
    <xf numFmtId="166" fontId="0" fillId="9" borderId="3" xfId="0" applyNumberFormat="1" applyFill="1" applyBorder="1" applyAlignment="1">
      <alignment horizontal="center"/>
    </xf>
    <xf numFmtId="166" fontId="0" fillId="9" borderId="0" xfId="0" applyNumberFormat="1" applyFill="1" applyAlignment="1">
      <alignment horizontal="center"/>
    </xf>
    <xf numFmtId="2" fontId="0" fillId="9" borderId="0" xfId="0" applyNumberFormat="1" applyFill="1" applyAlignment="1">
      <alignment horizontal="center"/>
    </xf>
    <xf numFmtId="0" fontId="3" fillId="10" borderId="0" xfId="0" applyFont="1" applyFill="1" applyAlignment="1">
      <alignment horizontal="left"/>
    </xf>
    <xf numFmtId="0" fontId="0" fillId="10" borderId="12" xfId="0" applyFill="1" applyBorder="1" applyAlignment="1">
      <alignment vertical="top" wrapText="1"/>
    </xf>
    <xf numFmtId="0" fontId="0" fillId="10" borderId="12" xfId="0" applyFill="1" applyBorder="1" applyAlignment="1">
      <alignment vertical="top"/>
    </xf>
    <xf numFmtId="0" fontId="0" fillId="10" borderId="0" xfId="0" applyFill="1" applyAlignment="1">
      <alignment vertical="top" wrapText="1"/>
    </xf>
    <xf numFmtId="0" fontId="0" fillId="10" borderId="0" xfId="0" applyFill="1" applyAlignment="1">
      <alignment vertical="top"/>
    </xf>
    <xf numFmtId="0" fontId="0" fillId="10" borderId="14" xfId="0" applyFill="1" applyBorder="1" applyAlignment="1">
      <alignment vertical="top" wrapText="1"/>
    </xf>
    <xf numFmtId="0" fontId="0" fillId="10" borderId="14" xfId="0" applyFill="1" applyBorder="1" applyAlignment="1">
      <alignment vertical="top"/>
    </xf>
    <xf numFmtId="0" fontId="0" fillId="10" borderId="0" xfId="0" applyFill="1"/>
    <xf numFmtId="0" fontId="27" fillId="10" borderId="12" xfId="0" applyFont="1" applyFill="1" applyBorder="1" applyAlignment="1">
      <alignment vertical="top" wrapText="1"/>
    </xf>
    <xf numFmtId="0" fontId="0" fillId="10" borderId="12" xfId="0" applyFill="1" applyBorder="1" applyAlignment="1">
      <alignment horizontal="left" vertical="top" wrapText="1"/>
    </xf>
    <xf numFmtId="14" fontId="0" fillId="10" borderId="12" xfId="0" applyNumberFormat="1" applyFill="1" applyBorder="1" applyAlignment="1">
      <alignment horizontal="left" vertical="top"/>
    </xf>
    <xf numFmtId="0" fontId="0" fillId="10" borderId="0" xfId="0" applyFill="1" applyAlignment="1">
      <alignment horizontal="left" vertical="top" wrapText="1"/>
    </xf>
    <xf numFmtId="0" fontId="0" fillId="10" borderId="0" xfId="0" applyFill="1" applyAlignment="1">
      <alignment horizontal="left" vertical="top"/>
    </xf>
    <xf numFmtId="14" fontId="0" fillId="10" borderId="0" xfId="0" applyNumberFormat="1" applyFill="1" applyAlignment="1">
      <alignment horizontal="left" vertical="top"/>
    </xf>
    <xf numFmtId="0" fontId="0" fillId="10" borderId="14" xfId="0" applyFill="1" applyBorder="1" applyAlignment="1">
      <alignment horizontal="left" vertical="top"/>
    </xf>
    <xf numFmtId="14" fontId="0" fillId="10" borderId="14" xfId="0" applyNumberFormat="1" applyFill="1" applyBorder="1" applyAlignment="1">
      <alignment horizontal="left" vertical="top"/>
    </xf>
    <xf numFmtId="0" fontId="3" fillId="11" borderId="0" xfId="0" applyFont="1" applyFill="1" applyAlignment="1">
      <alignment horizontal="left"/>
    </xf>
    <xf numFmtId="0" fontId="0" fillId="11" borderId="13" xfId="0" applyFill="1" applyBorder="1" applyAlignment="1">
      <alignment vertical="top"/>
    </xf>
    <xf numFmtId="0" fontId="0" fillId="11" borderId="4" xfId="0" applyFill="1" applyBorder="1" applyAlignment="1">
      <alignment vertical="top"/>
    </xf>
    <xf numFmtId="0" fontId="0" fillId="11" borderId="4" xfId="0" applyFill="1" applyBorder="1" applyAlignment="1">
      <alignment vertical="top" wrapText="1"/>
    </xf>
    <xf numFmtId="0" fontId="0" fillId="11" borderId="15" xfId="0" applyFill="1" applyBorder="1" applyAlignment="1">
      <alignment vertical="top" wrapText="1"/>
    </xf>
    <xf numFmtId="0" fontId="0" fillId="11" borderId="0" xfId="0" applyFill="1"/>
    <xf numFmtId="0" fontId="27" fillId="11" borderId="13" xfId="0" applyFont="1" applyFill="1" applyBorder="1" applyAlignment="1">
      <alignment vertical="top" wrapText="1"/>
    </xf>
    <xf numFmtId="0" fontId="3" fillId="11" borderId="4" xfId="0" applyFont="1" applyFill="1" applyBorder="1" applyAlignment="1">
      <alignment vertical="top"/>
    </xf>
    <xf numFmtId="0" fontId="0" fillId="11" borderId="15" xfId="0" applyFill="1" applyBorder="1" applyAlignment="1">
      <alignment vertical="top"/>
    </xf>
    <xf numFmtId="0" fontId="0" fillId="11" borderId="0" xfId="0" applyFill="1" applyAlignment="1">
      <alignment vertical="top"/>
    </xf>
    <xf numFmtId="0" fontId="0" fillId="11" borderId="4" xfId="0" applyFill="1" applyBorder="1" applyAlignment="1">
      <alignment horizontal="left" vertical="top"/>
    </xf>
    <xf numFmtId="0" fontId="0" fillId="11" borderId="15" xfId="0" applyFill="1" applyBorder="1" applyAlignment="1">
      <alignment horizontal="left" vertical="top"/>
    </xf>
    <xf numFmtId="0" fontId="3" fillId="4" borderId="4" xfId="0" applyFont="1" applyFill="1" applyBorder="1" applyAlignment="1">
      <alignment horizontal="center" vertical="center"/>
    </xf>
    <xf numFmtId="170" fontId="5" fillId="0" borderId="0" xfId="0" applyNumberFormat="1" applyFont="1" applyAlignment="1">
      <alignment horizontal="center"/>
    </xf>
    <xf numFmtId="0" fontId="0" fillId="4" borderId="7" xfId="0" applyFill="1" applyBorder="1"/>
    <xf numFmtId="0" fontId="26" fillId="9" borderId="9" xfId="0" applyFont="1" applyFill="1" applyBorder="1" applyAlignment="1">
      <alignment horizontal="center" vertical="center" wrapText="1"/>
    </xf>
    <xf numFmtId="0" fontId="26" fillId="9" borderId="4" xfId="0" applyFont="1" applyFill="1" applyBorder="1" applyAlignment="1">
      <alignment horizontal="center" vertical="center" wrapText="1"/>
    </xf>
    <xf numFmtId="0" fontId="29" fillId="9" borderId="0" xfId="0" applyFont="1" applyFill="1"/>
    <xf numFmtId="0" fontId="0" fillId="9" borderId="0" xfId="0" applyFill="1" applyAlignment="1">
      <alignment vertical="center"/>
    </xf>
    <xf numFmtId="0" fontId="3" fillId="9" borderId="0" xfId="0" applyFont="1" applyFill="1" applyAlignment="1">
      <alignment vertical="center"/>
    </xf>
    <xf numFmtId="0" fontId="0" fillId="9" borderId="0" xfId="0" applyFill="1" applyAlignment="1">
      <alignment vertical="center" wrapText="1"/>
    </xf>
    <xf numFmtId="0" fontId="10" fillId="0" borderId="0" xfId="0" applyFont="1" applyAlignment="1">
      <alignment vertical="center" wrapText="1"/>
    </xf>
    <xf numFmtId="0" fontId="31" fillId="9" borderId="0" xfId="0" applyFont="1" applyFill="1" applyAlignment="1">
      <alignment horizontal="center" vertical="center" wrapText="1"/>
    </xf>
    <xf numFmtId="0" fontId="30" fillId="9" borderId="0" xfId="0" applyFont="1" applyFill="1" applyAlignment="1">
      <alignment horizontal="center" vertical="center"/>
    </xf>
    <xf numFmtId="0" fontId="0" fillId="9" borderId="0" xfId="0" applyFill="1" applyAlignment="1">
      <alignment wrapText="1"/>
    </xf>
    <xf numFmtId="0" fontId="0" fillId="9" borderId="0" xfId="0" applyFill="1" applyAlignment="1">
      <alignment horizontal="left" wrapText="1"/>
    </xf>
    <xf numFmtId="0" fontId="3" fillId="0" borderId="11" xfId="0" applyFont="1" applyBorder="1" applyAlignment="1">
      <alignment horizontal="center" vertical="top"/>
    </xf>
    <xf numFmtId="0" fontId="3" fillId="0" borderId="3" xfId="0" applyFont="1" applyBorder="1" applyAlignment="1">
      <alignment horizontal="center" vertical="top"/>
    </xf>
    <xf numFmtId="0" fontId="3" fillId="0" borderId="5" xfId="0" applyFont="1" applyBorder="1" applyAlignment="1">
      <alignment horizontal="center" vertical="top"/>
    </xf>
    <xf numFmtId="0" fontId="0" fillId="0" borderId="12"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3" fillId="0" borderId="0" xfId="0" applyFont="1" applyAlignment="1">
      <alignment horizontal="center"/>
    </xf>
    <xf numFmtId="0" fontId="3" fillId="0" borderId="11" xfId="0" applyFont="1" applyBorder="1" applyAlignment="1">
      <alignment horizontal="left" vertical="top"/>
    </xf>
    <xf numFmtId="0" fontId="3" fillId="0" borderId="3" xfId="0" applyFont="1" applyBorder="1" applyAlignment="1">
      <alignment horizontal="left" vertical="top"/>
    </xf>
    <xf numFmtId="0" fontId="3" fillId="0" borderId="5" xfId="0" applyFont="1" applyBorder="1" applyAlignment="1">
      <alignment horizontal="left" vertical="top"/>
    </xf>
    <xf numFmtId="0" fontId="3" fillId="0" borderId="12" xfId="0" applyFont="1" applyBorder="1" applyAlignment="1">
      <alignment horizontal="center" vertical="top"/>
    </xf>
    <xf numFmtId="0" fontId="3" fillId="0" borderId="0" xfId="0" applyFont="1" applyAlignment="1">
      <alignment horizontal="center" vertical="top"/>
    </xf>
    <xf numFmtId="0" fontId="3" fillId="0" borderId="14" xfId="0" applyFont="1" applyBorder="1" applyAlignment="1">
      <alignment horizontal="center" vertical="top"/>
    </xf>
    <xf numFmtId="0" fontId="0" fillId="0" borderId="0" xfId="0" applyAlignment="1">
      <alignment horizontal="left" vertical="center"/>
    </xf>
    <xf numFmtId="0" fontId="0" fillId="0" borderId="0" xfId="0" applyAlignment="1">
      <alignment horizontal="left"/>
    </xf>
    <xf numFmtId="0" fontId="24" fillId="0" borderId="0" xfId="0" applyFont="1" applyAlignment="1">
      <alignment horizontal="center" vertical="center" wrapText="1"/>
    </xf>
    <xf numFmtId="0" fontId="0" fillId="0" borderId="0" xfId="0" applyAlignment="1">
      <alignment horizontal="center"/>
    </xf>
  </cellXfs>
  <cellStyles count="5">
    <cellStyle name="Currency" xfId="3" builtinId="4"/>
    <cellStyle name="Normal" xfId="0" builtinId="0"/>
    <cellStyle name="Normal_Sheet1" xfId="1" xr:uid="{1F69A332-24C7-489E-B9F2-3316C51E7B6F}"/>
    <cellStyle name="Normal_Sheet2" xfId="2" xr:uid="{6CA65F2F-E2D7-4808-9766-7931F1BD21B2}"/>
    <cellStyle name="Percent" xfId="4" builtinId="5"/>
  </cellStyles>
  <dxfs count="2">
    <dxf>
      <numFmt numFmtId="164" formatCode="0.0"/>
    </dxf>
    <dxf>
      <numFmt numFmtId="164" formatCode="0.0"/>
    </dxf>
  </dxfs>
  <tableStyles count="0" defaultTableStyle="TableStyleMedium2" defaultPivotStyle="PivotStyleLight16"/>
  <colors>
    <mruColors>
      <color rgb="FFFFFFFF"/>
      <color rgb="FF0000FF"/>
      <color rgb="FF000000"/>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8.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CS&lt;2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pivot_CS!$J$4:$J$13</c:f>
              <c:numCache>
                <c:formatCode>0</c:formatCode>
                <c:ptCount val="10"/>
                <c:pt idx="0">
                  <c:v>13.86</c:v>
                </c:pt>
                <c:pt idx="1">
                  <c:v>27.72</c:v>
                </c:pt>
                <c:pt idx="2">
                  <c:v>41.58</c:v>
                </c:pt>
                <c:pt idx="3">
                  <c:v>53.46</c:v>
                </c:pt>
                <c:pt idx="4">
                  <c:v>55.44</c:v>
                </c:pt>
                <c:pt idx="5">
                  <c:v>69.3</c:v>
                </c:pt>
                <c:pt idx="6">
                  <c:v>83.16</c:v>
                </c:pt>
                <c:pt idx="7">
                  <c:v>97.02</c:v>
                </c:pt>
                <c:pt idx="8">
                  <c:v>106.92</c:v>
                </c:pt>
                <c:pt idx="9">
                  <c:v>110.88</c:v>
                </c:pt>
              </c:numCache>
            </c:numRef>
          </c:xVal>
          <c:yVal>
            <c:numRef>
              <c:f>pivot_CS!$K$4:$K$13</c:f>
              <c:numCache>
                <c:formatCode>0</c:formatCode>
                <c:ptCount val="10"/>
                <c:pt idx="0">
                  <c:v>708.57142857142844</c:v>
                </c:pt>
                <c:pt idx="1">
                  <c:v>560.71428571428532</c:v>
                </c:pt>
                <c:pt idx="2">
                  <c:v>125.71428571428547</c:v>
                </c:pt>
                <c:pt idx="3">
                  <c:v>520.00000000000034</c:v>
                </c:pt>
                <c:pt idx="4">
                  <c:v>272.72727272727315</c:v>
                </c:pt>
                <c:pt idx="5">
                  <c:v>44.999999999999922</c:v>
                </c:pt>
                <c:pt idx="6">
                  <c:v>-225.00000000000017</c:v>
                </c:pt>
                <c:pt idx="7">
                  <c:v>-17.142857142856563</c:v>
                </c:pt>
                <c:pt idx="8">
                  <c:v>-103.03030303030309</c:v>
                </c:pt>
                <c:pt idx="9">
                  <c:v>5.7142857142851771</c:v>
                </c:pt>
              </c:numCache>
            </c:numRef>
          </c:yVal>
          <c:smooth val="0"/>
          <c:extLst>
            <c:ext xmlns:c16="http://schemas.microsoft.com/office/drawing/2014/chart" uri="{C3380CC4-5D6E-409C-BE32-E72D297353CC}">
              <c16:uniqueId val="{00000001-0601-48E9-A329-984DDC655E98}"/>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7735399284862925E-2"/>
                  <c:y val="-0.528104724409448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scatterplots_LWG_grazdays_CS!$AB$8:$AB$18</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scatterplots_LWG_grazdays_CS!$AH$8:$AH$18</c:f>
              <c:numCache>
                <c:formatCode>0.0</c:formatCode>
                <c:ptCount val="11"/>
                <c:pt idx="0">
                  <c:v>29.119999999999997</c:v>
                </c:pt>
                <c:pt idx="1">
                  <c:v>26.786552</c:v>
                </c:pt>
                <c:pt idx="2">
                  <c:v>24.453103999999996</c:v>
                </c:pt>
                <c:pt idx="3">
                  <c:v>22.119655999999999</c:v>
                </c:pt>
                <c:pt idx="4">
                  <c:v>19.786208000000002</c:v>
                </c:pt>
                <c:pt idx="5">
                  <c:v>17.452760000000001</c:v>
                </c:pt>
                <c:pt idx="6">
                  <c:v>15.119312000000001</c:v>
                </c:pt>
                <c:pt idx="7">
                  <c:v>12.785864</c:v>
                </c:pt>
                <c:pt idx="8">
                  <c:v>10.452415999999999</c:v>
                </c:pt>
                <c:pt idx="9">
                  <c:v>8.1189680000000006</c:v>
                </c:pt>
                <c:pt idx="10">
                  <c:v>5.7855200000000009</c:v>
                </c:pt>
              </c:numCache>
            </c:numRef>
          </c:yVal>
          <c:smooth val="0"/>
          <c:extLst>
            <c:ext xmlns:c16="http://schemas.microsoft.com/office/drawing/2014/chart" uri="{C3380CC4-5D6E-409C-BE32-E72D297353CC}">
              <c16:uniqueId val="{00000000-BC0C-4224-9483-2D95148CC236}"/>
            </c:ext>
          </c:extLst>
        </c:ser>
        <c:dLbls>
          <c:showLegendKey val="0"/>
          <c:showVal val="0"/>
          <c:showCatName val="0"/>
          <c:showSerName val="0"/>
          <c:showPercent val="0"/>
          <c:showBubbleSize val="0"/>
        </c:dLbls>
        <c:axId val="767145815"/>
        <c:axId val="767147895"/>
      </c:scatterChart>
      <c:valAx>
        <c:axId val="767145815"/>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7895"/>
        <c:crosses val="autoZero"/>
        <c:crossBetween val="midCat"/>
      </c:valAx>
      <c:valAx>
        <c:axId val="7671478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58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8837209302325577E-2"/>
                  <c:y val="-0.4169490177364192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scatterplots_LWG_grazdays_CS!$AB$8:$AB$18</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scatterplots_LWG_grazdays_CS!$AG$8:$AG$18</c:f>
              <c:numCache>
                <c:formatCode>0.0</c:formatCode>
                <c:ptCount val="11"/>
                <c:pt idx="0">
                  <c:v>29.119999999999997</c:v>
                </c:pt>
                <c:pt idx="1">
                  <c:v>27.347216000000003</c:v>
                </c:pt>
                <c:pt idx="2">
                  <c:v>25.574432000000002</c:v>
                </c:pt>
                <c:pt idx="3">
                  <c:v>23.801648</c:v>
                </c:pt>
                <c:pt idx="4">
                  <c:v>22.028863999999999</c:v>
                </c:pt>
                <c:pt idx="5">
                  <c:v>20.256079999999997</c:v>
                </c:pt>
                <c:pt idx="6">
                  <c:v>18.483295999999999</c:v>
                </c:pt>
                <c:pt idx="7">
                  <c:v>16.710512000000001</c:v>
                </c:pt>
                <c:pt idx="8">
                  <c:v>14.937727999999998</c:v>
                </c:pt>
                <c:pt idx="9">
                  <c:v>13.164943999999998</c:v>
                </c:pt>
                <c:pt idx="10">
                  <c:v>11.392159999999999</c:v>
                </c:pt>
              </c:numCache>
            </c:numRef>
          </c:yVal>
          <c:smooth val="0"/>
          <c:extLst>
            <c:ext xmlns:c16="http://schemas.microsoft.com/office/drawing/2014/chart" uri="{C3380CC4-5D6E-409C-BE32-E72D297353CC}">
              <c16:uniqueId val="{00000001-26FC-447B-8555-1DDFB8D51CA7}"/>
            </c:ext>
          </c:extLst>
        </c:ser>
        <c:dLbls>
          <c:showLegendKey val="0"/>
          <c:showVal val="0"/>
          <c:showCatName val="0"/>
          <c:showSerName val="0"/>
          <c:showPercent val="0"/>
          <c:showBubbleSize val="0"/>
        </c:dLbls>
        <c:axId val="767145815"/>
        <c:axId val="767147895"/>
      </c:scatterChart>
      <c:valAx>
        <c:axId val="767145815"/>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7895"/>
        <c:crosses val="autoZero"/>
        <c:crossBetween val="midCat"/>
      </c:valAx>
      <c:valAx>
        <c:axId val="7671478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58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layout>
        <c:manualLayout>
          <c:xMode val="edge"/>
          <c:yMode val="edge"/>
          <c:x val="0.32058412245549162"/>
          <c:y val="3.50000000000000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7735399284862925E-2"/>
                  <c:y val="-0.5947078740157479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scatterplots_LWG_grazdays_CS!$AB$8:$AB$18</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scatterplots_LWG_grazdays_CS!$AI$8:$AI$18</c:f>
              <c:numCache>
                <c:formatCode>0.0</c:formatCode>
                <c:ptCount val="11"/>
                <c:pt idx="0">
                  <c:v>29.119999999999997</c:v>
                </c:pt>
                <c:pt idx="1">
                  <c:v>26.217713600000003</c:v>
                </c:pt>
                <c:pt idx="2">
                  <c:v>23.315427200000002</c:v>
                </c:pt>
                <c:pt idx="3">
                  <c:v>20.413140800000001</c:v>
                </c:pt>
                <c:pt idx="4">
                  <c:v>17.510854399999999</c:v>
                </c:pt>
                <c:pt idx="5">
                  <c:v>14.608568000000002</c:v>
                </c:pt>
                <c:pt idx="6">
                  <c:v>11.706281600000002</c:v>
                </c:pt>
                <c:pt idx="7">
                  <c:v>8.803995200000001</c:v>
                </c:pt>
                <c:pt idx="8">
                  <c:v>5.9017088000000024</c:v>
                </c:pt>
                <c:pt idx="9">
                  <c:v>2.9994224000000047</c:v>
                </c:pt>
                <c:pt idx="10">
                  <c:v>9.713600000000433E-2</c:v>
                </c:pt>
              </c:numCache>
            </c:numRef>
          </c:yVal>
          <c:smooth val="0"/>
          <c:extLst>
            <c:ext xmlns:c16="http://schemas.microsoft.com/office/drawing/2014/chart" uri="{C3380CC4-5D6E-409C-BE32-E72D297353CC}">
              <c16:uniqueId val="{00000001-DC4A-4ADA-95F9-8D967A941F34}"/>
            </c:ext>
          </c:extLst>
        </c:ser>
        <c:dLbls>
          <c:showLegendKey val="0"/>
          <c:showVal val="0"/>
          <c:showCatName val="0"/>
          <c:showSerName val="0"/>
          <c:showPercent val="0"/>
          <c:showBubbleSize val="0"/>
        </c:dLbls>
        <c:axId val="767145815"/>
        <c:axId val="767147895"/>
      </c:scatterChart>
      <c:valAx>
        <c:axId val="767145815"/>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7895"/>
        <c:crosses val="autoZero"/>
        <c:crossBetween val="midCat"/>
      </c:valAx>
      <c:valAx>
        <c:axId val="7671478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58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&gt; 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7735399284862925E-2"/>
                  <c:y val="-0.6356992125984252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scatterplots_LWG_grazdays_CS!$AB$8:$AB$18</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scatterplots_LWG_grazdays_CS!$AJ$8:$AJ$18</c:f>
              <c:numCache>
                <c:formatCode>0.0</c:formatCode>
                <c:ptCount val="11"/>
                <c:pt idx="0">
                  <c:v>29.119999999999997</c:v>
                </c:pt>
                <c:pt idx="1">
                  <c:v>25.914324800000003</c:v>
                </c:pt>
                <c:pt idx="2">
                  <c:v>22.708649600000001</c:v>
                </c:pt>
                <c:pt idx="3">
                  <c:v>19.502974399999999</c:v>
                </c:pt>
                <c:pt idx="4">
                  <c:v>16.297299200000001</c:v>
                </c:pt>
                <c:pt idx="5">
                  <c:v>13.091623999999999</c:v>
                </c:pt>
                <c:pt idx="6">
                  <c:v>9.8859488000000013</c:v>
                </c:pt>
                <c:pt idx="7">
                  <c:v>6.6802736000000014</c:v>
                </c:pt>
                <c:pt idx="8">
                  <c:v>3.4745984000000014</c:v>
                </c:pt>
                <c:pt idx="9">
                  <c:v>0.26892320000000147</c:v>
                </c:pt>
                <c:pt idx="10">
                  <c:v>-2.936752000000002</c:v>
                </c:pt>
              </c:numCache>
            </c:numRef>
          </c:yVal>
          <c:smooth val="0"/>
          <c:extLst>
            <c:ext xmlns:c16="http://schemas.microsoft.com/office/drawing/2014/chart" uri="{C3380CC4-5D6E-409C-BE32-E72D297353CC}">
              <c16:uniqueId val="{00000001-C92D-4812-9671-7BBF8038B9DF}"/>
            </c:ext>
          </c:extLst>
        </c:ser>
        <c:dLbls>
          <c:showLegendKey val="0"/>
          <c:showVal val="0"/>
          <c:showCatName val="0"/>
          <c:showSerName val="0"/>
          <c:showPercent val="0"/>
          <c:showBubbleSize val="0"/>
        </c:dLbls>
        <c:axId val="767145815"/>
        <c:axId val="767147895"/>
      </c:scatterChart>
      <c:valAx>
        <c:axId val="767145815"/>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7895"/>
        <c:crosses val="autoZero"/>
        <c:crossBetween val="midCat"/>
      </c:valAx>
      <c:valAx>
        <c:axId val="7671478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58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40845210804353E-2"/>
          <c:y val="3.0816640986132512E-2"/>
          <c:w val="0.87976178610585065"/>
          <c:h val="0.89461242614318814"/>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0"/>
            <c:dispEq val="1"/>
            <c:trendlineLbl>
              <c:layout>
                <c:manualLayout>
                  <c:x val="-6.0499750822286452E-2"/>
                  <c:y val="7.640634288972737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Pregnancy!$A$7:$A$12</c:f>
              <c:numCache>
                <c:formatCode>0.0</c:formatCode>
                <c:ptCount val="6"/>
                <c:pt idx="0">
                  <c:v>2.5</c:v>
                </c:pt>
                <c:pt idx="1">
                  <c:v>3</c:v>
                </c:pt>
                <c:pt idx="2">
                  <c:v>3.5</c:v>
                </c:pt>
                <c:pt idx="3">
                  <c:v>4</c:v>
                </c:pt>
                <c:pt idx="4">
                  <c:v>4.5</c:v>
                </c:pt>
                <c:pt idx="5">
                  <c:v>5</c:v>
                </c:pt>
              </c:numCache>
            </c:numRef>
          </c:xVal>
          <c:yVal>
            <c:numRef>
              <c:f>Pregnancy!$C$7:$C$12</c:f>
              <c:numCache>
                <c:formatCode>0.0</c:formatCode>
                <c:ptCount val="6"/>
                <c:pt idx="0">
                  <c:v>2.2727272727272729</c:v>
                </c:pt>
                <c:pt idx="1">
                  <c:v>6.25</c:v>
                </c:pt>
                <c:pt idx="2">
                  <c:v>9.6590909090909083</c:v>
                </c:pt>
                <c:pt idx="3">
                  <c:v>14.77272727272727</c:v>
                </c:pt>
                <c:pt idx="4">
                  <c:v>21.59090909090909</c:v>
                </c:pt>
                <c:pt idx="5">
                  <c:v>30.11363636363636</c:v>
                </c:pt>
              </c:numCache>
            </c:numRef>
          </c:yVal>
          <c:smooth val="0"/>
          <c:extLst>
            <c:ext xmlns:c16="http://schemas.microsoft.com/office/drawing/2014/chart" uri="{C3380CC4-5D6E-409C-BE32-E72D297353CC}">
              <c16:uniqueId val="{00000000-775F-4362-A91A-DD83C394A727}"/>
            </c:ext>
          </c:extLst>
        </c:ser>
        <c:dLbls>
          <c:showLegendKey val="0"/>
          <c:showVal val="0"/>
          <c:showCatName val="0"/>
          <c:showSerName val="0"/>
          <c:showPercent val="0"/>
          <c:showBubbleSize val="0"/>
        </c:dLbls>
        <c:axId val="871417312"/>
        <c:axId val="871416984"/>
      </c:scatterChart>
      <c:valAx>
        <c:axId val="87141731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1416984"/>
        <c:crosses val="autoZero"/>
        <c:crossBetween val="midCat"/>
      </c:valAx>
      <c:valAx>
        <c:axId val="8714169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14173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4159667541557301E-2"/>
          <c:y val="0.16708333333333336"/>
          <c:w val="0.88439588801399827"/>
          <c:h val="0.77736111111111106"/>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4.9330475702371521E-2"/>
                  <c:y val="-3.470721556827731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stats_no_init!$V$17:$V$1079</c:f>
              <c:numCache>
                <c:formatCode>0</c:formatCode>
                <c:ptCount val="1063"/>
                <c:pt idx="0">
                  <c:v>714.28571428571433</c:v>
                </c:pt>
                <c:pt idx="1">
                  <c:v>799.9999999999992</c:v>
                </c:pt>
                <c:pt idx="2">
                  <c:v>1057.1428571428569</c:v>
                </c:pt>
                <c:pt idx="3">
                  <c:v>514.28571428571342</c:v>
                </c:pt>
                <c:pt idx="4">
                  <c:v>542.85714285714243</c:v>
                </c:pt>
                <c:pt idx="5">
                  <c:v>685.71428571428532</c:v>
                </c:pt>
                <c:pt idx="6">
                  <c:v>514.28571428571445</c:v>
                </c:pt>
                <c:pt idx="7">
                  <c:v>1228.5714285714278</c:v>
                </c:pt>
                <c:pt idx="8">
                  <c:v>885.71428571428612</c:v>
                </c:pt>
                <c:pt idx="9">
                  <c:v>114.28571428571388</c:v>
                </c:pt>
                <c:pt idx="10">
                  <c:v>-342.85714285714164</c:v>
                </c:pt>
                <c:pt idx="11">
                  <c:v>771.42857142857122</c:v>
                </c:pt>
                <c:pt idx="12">
                  <c:v>428.57142857142856</c:v>
                </c:pt>
                <c:pt idx="13">
                  <c:v>571.42857142857144</c:v>
                </c:pt>
                <c:pt idx="14">
                  <c:v>971.42857142857099</c:v>
                </c:pt>
                <c:pt idx="15">
                  <c:v>-28.571428571428978</c:v>
                </c:pt>
                <c:pt idx="16">
                  <c:v>0</c:v>
                </c:pt>
                <c:pt idx="17">
                  <c:v>1000</c:v>
                </c:pt>
                <c:pt idx="18">
                  <c:v>-228.57142857142776</c:v>
                </c:pt>
                <c:pt idx="19">
                  <c:v>800.00000000000011</c:v>
                </c:pt>
                <c:pt idx="20">
                  <c:v>714.28571428571331</c:v>
                </c:pt>
                <c:pt idx="21">
                  <c:v>685.71428571428623</c:v>
                </c:pt>
                <c:pt idx="22">
                  <c:v>657.14285714285734</c:v>
                </c:pt>
                <c:pt idx="23">
                  <c:v>742.85714285714323</c:v>
                </c:pt>
                <c:pt idx="24">
                  <c:v>171.42857142857184</c:v>
                </c:pt>
                <c:pt idx="25">
                  <c:v>542.85714285714243</c:v>
                </c:pt>
                <c:pt idx="26">
                  <c:v>942.85714285714209</c:v>
                </c:pt>
                <c:pt idx="27">
                  <c:v>742.85714285714221</c:v>
                </c:pt>
                <c:pt idx="28">
                  <c:v>771.42857142857019</c:v>
                </c:pt>
                <c:pt idx="29">
                  <c:v>1057.1428571428569</c:v>
                </c:pt>
                <c:pt idx="30">
                  <c:v>857.14285714285711</c:v>
                </c:pt>
                <c:pt idx="31">
                  <c:v>942.85714285714403</c:v>
                </c:pt>
                <c:pt idx="32">
                  <c:v>371.42857142857059</c:v>
                </c:pt>
                <c:pt idx="33">
                  <c:v>1057.142857142858</c:v>
                </c:pt>
                <c:pt idx="34">
                  <c:v>828.57142857142821</c:v>
                </c:pt>
                <c:pt idx="35">
                  <c:v>142.85714285714286</c:v>
                </c:pt>
                <c:pt idx="36">
                  <c:v>1199.9999999999998</c:v>
                </c:pt>
                <c:pt idx="37">
                  <c:v>1057.1428571428569</c:v>
                </c:pt>
                <c:pt idx="38">
                  <c:v>600.00000000000045</c:v>
                </c:pt>
                <c:pt idx="39">
                  <c:v>342.85714285714266</c:v>
                </c:pt>
                <c:pt idx="40">
                  <c:v>1799.9999999999991</c:v>
                </c:pt>
                <c:pt idx="41">
                  <c:v>542.85714285714243</c:v>
                </c:pt>
                <c:pt idx="42">
                  <c:v>-257.14285714285671</c:v>
                </c:pt>
                <c:pt idx="43">
                  <c:v>-28.571428571428978</c:v>
                </c:pt>
                <c:pt idx="44">
                  <c:v>457.14285714285757</c:v>
                </c:pt>
                <c:pt idx="45">
                  <c:v>657.14285714285734</c:v>
                </c:pt>
                <c:pt idx="46">
                  <c:v>657.14285714285734</c:v>
                </c:pt>
                <c:pt idx="47">
                  <c:v>628.57142857142833</c:v>
                </c:pt>
                <c:pt idx="48">
                  <c:v>1000</c:v>
                </c:pt>
                <c:pt idx="49">
                  <c:v>314.28571428571468</c:v>
                </c:pt>
                <c:pt idx="50">
                  <c:v>714.28571428571433</c:v>
                </c:pt>
                <c:pt idx="51">
                  <c:v>714.28571428571433</c:v>
                </c:pt>
                <c:pt idx="52">
                  <c:v>542.85714285714346</c:v>
                </c:pt>
                <c:pt idx="53">
                  <c:v>307.69230769230774</c:v>
                </c:pt>
                <c:pt idx="54">
                  <c:v>307.69230769230774</c:v>
                </c:pt>
                <c:pt idx="55">
                  <c:v>346.15384615384613</c:v>
                </c:pt>
                <c:pt idx="56">
                  <c:v>346.15384615384613</c:v>
                </c:pt>
                <c:pt idx="57">
                  <c:v>384.61538461538464</c:v>
                </c:pt>
                <c:pt idx="58">
                  <c:v>-115.38461538461539</c:v>
                </c:pt>
                <c:pt idx="59">
                  <c:v>461.53846153846155</c:v>
                </c:pt>
                <c:pt idx="60">
                  <c:v>307.69230769230774</c:v>
                </c:pt>
                <c:pt idx="61">
                  <c:v>269.23076923076923</c:v>
                </c:pt>
                <c:pt idx="62">
                  <c:v>423.07692307692309</c:v>
                </c:pt>
                <c:pt idx="63">
                  <c:v>230.76923076923077</c:v>
                </c:pt>
                <c:pt idx="64">
                  <c:v>500</c:v>
                </c:pt>
                <c:pt idx="65">
                  <c:v>-38.461538461538467</c:v>
                </c:pt>
                <c:pt idx="66">
                  <c:v>192.30769230769232</c:v>
                </c:pt>
                <c:pt idx="67">
                  <c:v>423.07692307692309</c:v>
                </c:pt>
                <c:pt idx="68">
                  <c:v>423.07692307692309</c:v>
                </c:pt>
                <c:pt idx="69">
                  <c:v>461.53846153846155</c:v>
                </c:pt>
                <c:pt idx="70">
                  <c:v>384.61538461538464</c:v>
                </c:pt>
                <c:pt idx="71">
                  <c:v>461.53846153846155</c:v>
                </c:pt>
                <c:pt idx="72">
                  <c:v>461.53846153846155</c:v>
                </c:pt>
                <c:pt idx="73">
                  <c:v>423.07692307692309</c:v>
                </c:pt>
                <c:pt idx="74">
                  <c:v>346.15384615384613</c:v>
                </c:pt>
                <c:pt idx="75">
                  <c:v>461.53846153846155</c:v>
                </c:pt>
                <c:pt idx="76">
                  <c:v>76.923076923076934</c:v>
                </c:pt>
                <c:pt idx="77">
                  <c:v>269.23076923076923</c:v>
                </c:pt>
                <c:pt idx="78">
                  <c:v>576.92307692307691</c:v>
                </c:pt>
                <c:pt idx="79">
                  <c:v>461.53846153846155</c:v>
                </c:pt>
                <c:pt idx="80">
                  <c:v>76.923076923076934</c:v>
                </c:pt>
                <c:pt idx="81">
                  <c:v>423.07692307692309</c:v>
                </c:pt>
                <c:pt idx="82">
                  <c:v>269.23076923076923</c:v>
                </c:pt>
                <c:pt idx="83">
                  <c:v>285.71428571428572</c:v>
                </c:pt>
                <c:pt idx="84">
                  <c:v>-71.428571428571431</c:v>
                </c:pt>
                <c:pt idx="85">
                  <c:v>-35.714285714285715</c:v>
                </c:pt>
                <c:pt idx="86">
                  <c:v>107.14285714285714</c:v>
                </c:pt>
                <c:pt idx="87">
                  <c:v>-35.714285714285715</c:v>
                </c:pt>
                <c:pt idx="88">
                  <c:v>214.28571428571428</c:v>
                </c:pt>
                <c:pt idx="89">
                  <c:v>0</c:v>
                </c:pt>
                <c:pt idx="90">
                  <c:v>35.714285714285715</c:v>
                </c:pt>
                <c:pt idx="91">
                  <c:v>-35.714285714285715</c:v>
                </c:pt>
                <c:pt idx="92">
                  <c:v>-214.28571428571428</c:v>
                </c:pt>
                <c:pt idx="93">
                  <c:v>-35.714285714285715</c:v>
                </c:pt>
                <c:pt idx="94">
                  <c:v>-142.85714285714286</c:v>
                </c:pt>
                <c:pt idx="95">
                  <c:v>-71.428571428571431</c:v>
                </c:pt>
                <c:pt idx="96">
                  <c:v>-142.85714285714286</c:v>
                </c:pt>
                <c:pt idx="97">
                  <c:v>-142.85714285714286</c:v>
                </c:pt>
                <c:pt idx="98">
                  <c:v>-214.28571428571428</c:v>
                </c:pt>
                <c:pt idx="99">
                  <c:v>-142.85714285714286</c:v>
                </c:pt>
                <c:pt idx="100">
                  <c:v>-35.714285714285715</c:v>
                </c:pt>
                <c:pt idx="101">
                  <c:v>-142.85714285714286</c:v>
                </c:pt>
                <c:pt idx="102">
                  <c:v>35.714285714285715</c:v>
                </c:pt>
                <c:pt idx="103">
                  <c:v>-214.28571428571428</c:v>
                </c:pt>
                <c:pt idx="104">
                  <c:v>71.428571428571431</c:v>
                </c:pt>
                <c:pt idx="105">
                  <c:v>-71.428571428571431</c:v>
                </c:pt>
                <c:pt idx="106">
                  <c:v>-107.14285714285714</c:v>
                </c:pt>
                <c:pt idx="107">
                  <c:v>-35.714285714285715</c:v>
                </c:pt>
                <c:pt idx="108">
                  <c:v>-71.428571428571431</c:v>
                </c:pt>
                <c:pt idx="109">
                  <c:v>71.428571428571431</c:v>
                </c:pt>
                <c:pt idx="110">
                  <c:v>142.85714285714286</c:v>
                </c:pt>
                <c:pt idx="111">
                  <c:v>-107.14285714285714</c:v>
                </c:pt>
                <c:pt idx="112">
                  <c:v>214.28571428571428</c:v>
                </c:pt>
                <c:pt idx="113">
                  <c:v>-285.71428571428572</c:v>
                </c:pt>
                <c:pt idx="114">
                  <c:v>0</c:v>
                </c:pt>
                <c:pt idx="115">
                  <c:v>714.28571428571433</c:v>
                </c:pt>
                <c:pt idx="116">
                  <c:v>-85.714285714284898</c:v>
                </c:pt>
                <c:pt idx="117">
                  <c:v>171.42857142857184</c:v>
                </c:pt>
                <c:pt idx="118">
                  <c:v>114.28571428571388</c:v>
                </c:pt>
                <c:pt idx="119">
                  <c:v>142.85714285714286</c:v>
                </c:pt>
                <c:pt idx="120">
                  <c:v>142.85714285714286</c:v>
                </c:pt>
                <c:pt idx="121">
                  <c:v>-142.85714285714286</c:v>
                </c:pt>
                <c:pt idx="122">
                  <c:v>228.57142857142978</c:v>
                </c:pt>
                <c:pt idx="123">
                  <c:v>-371.42857142857162</c:v>
                </c:pt>
                <c:pt idx="124">
                  <c:v>-28.571428571427962</c:v>
                </c:pt>
                <c:pt idx="125">
                  <c:v>285.71428571428572</c:v>
                </c:pt>
                <c:pt idx="126">
                  <c:v>342.85714285714266</c:v>
                </c:pt>
                <c:pt idx="127">
                  <c:v>57.14285714285694</c:v>
                </c:pt>
                <c:pt idx="128">
                  <c:v>171.42857142857184</c:v>
                </c:pt>
                <c:pt idx="129">
                  <c:v>85.71428571428693</c:v>
                </c:pt>
                <c:pt idx="130">
                  <c:v>-171.42857142857082</c:v>
                </c:pt>
                <c:pt idx="131">
                  <c:v>314.28571428571468</c:v>
                </c:pt>
                <c:pt idx="132">
                  <c:v>-114.28571428571388</c:v>
                </c:pt>
                <c:pt idx="133">
                  <c:v>57.142857142857956</c:v>
                </c:pt>
                <c:pt idx="134">
                  <c:v>285.71428571428572</c:v>
                </c:pt>
                <c:pt idx="135">
                  <c:v>-171.42857142857082</c:v>
                </c:pt>
                <c:pt idx="136">
                  <c:v>142.85714285714286</c:v>
                </c:pt>
                <c:pt idx="137">
                  <c:v>114.28571428571388</c:v>
                </c:pt>
                <c:pt idx="138">
                  <c:v>857.14285714285711</c:v>
                </c:pt>
                <c:pt idx="139">
                  <c:v>-428.57142857142856</c:v>
                </c:pt>
                <c:pt idx="140">
                  <c:v>114.28571428571388</c:v>
                </c:pt>
                <c:pt idx="141">
                  <c:v>114.28571428571388</c:v>
                </c:pt>
                <c:pt idx="142">
                  <c:v>-85.714285714285921</c:v>
                </c:pt>
                <c:pt idx="143">
                  <c:v>485.7142857142855</c:v>
                </c:pt>
                <c:pt idx="144">
                  <c:v>57.142857142855924</c:v>
                </c:pt>
                <c:pt idx="145">
                  <c:v>-257.14285714285671</c:v>
                </c:pt>
                <c:pt idx="146">
                  <c:v>85.714285714284898</c:v>
                </c:pt>
                <c:pt idx="147">
                  <c:v>114.28571428571489</c:v>
                </c:pt>
                <c:pt idx="148">
                  <c:v>314.28571428571468</c:v>
                </c:pt>
                <c:pt idx="149">
                  <c:v>-171.42857142857184</c:v>
                </c:pt>
                <c:pt idx="150">
                  <c:v>-85.714285714284898</c:v>
                </c:pt>
                <c:pt idx="151">
                  <c:v>485.7142857142855</c:v>
                </c:pt>
                <c:pt idx="152">
                  <c:v>571.42857142857144</c:v>
                </c:pt>
                <c:pt idx="153">
                  <c:v>457.14285714285757</c:v>
                </c:pt>
                <c:pt idx="154">
                  <c:v>514.28571428571547</c:v>
                </c:pt>
                <c:pt idx="155">
                  <c:v>257.14285714285774</c:v>
                </c:pt>
                <c:pt idx="156">
                  <c:v>-28.571428571426946</c:v>
                </c:pt>
                <c:pt idx="157">
                  <c:v>-485.7142857142855</c:v>
                </c:pt>
                <c:pt idx="158">
                  <c:v>57.142857142857956</c:v>
                </c:pt>
                <c:pt idx="159">
                  <c:v>342.85714285714164</c:v>
                </c:pt>
                <c:pt idx="160">
                  <c:v>742.85714285714323</c:v>
                </c:pt>
                <c:pt idx="161">
                  <c:v>771.42857142857019</c:v>
                </c:pt>
                <c:pt idx="162">
                  <c:v>571.42857142857235</c:v>
                </c:pt>
                <c:pt idx="163">
                  <c:v>57.142857142857956</c:v>
                </c:pt>
                <c:pt idx="164">
                  <c:v>485.71428571428652</c:v>
                </c:pt>
                <c:pt idx="165">
                  <c:v>285.71428571428572</c:v>
                </c:pt>
                <c:pt idx="166">
                  <c:v>771.42857142857122</c:v>
                </c:pt>
                <c:pt idx="167">
                  <c:v>685.71428571428623</c:v>
                </c:pt>
                <c:pt idx="168">
                  <c:v>-714.28571428571433</c:v>
                </c:pt>
                <c:pt idx="169">
                  <c:v>485.71428571428652</c:v>
                </c:pt>
                <c:pt idx="170">
                  <c:v>1142.8571428571429</c:v>
                </c:pt>
                <c:pt idx="171">
                  <c:v>457.14285714285757</c:v>
                </c:pt>
                <c:pt idx="172">
                  <c:v>371.42857142857059</c:v>
                </c:pt>
                <c:pt idx="173">
                  <c:v>1114.2857142857149</c:v>
                </c:pt>
                <c:pt idx="174">
                  <c:v>371.42857142857162</c:v>
                </c:pt>
                <c:pt idx="175">
                  <c:v>285.71428571428675</c:v>
                </c:pt>
                <c:pt idx="176">
                  <c:v>171.42857142857184</c:v>
                </c:pt>
                <c:pt idx="177">
                  <c:v>314.28571428571468</c:v>
                </c:pt>
                <c:pt idx="178">
                  <c:v>714.28571428571433</c:v>
                </c:pt>
                <c:pt idx="179">
                  <c:v>142.85714285714286</c:v>
                </c:pt>
                <c:pt idx="180">
                  <c:v>485.7142857142855</c:v>
                </c:pt>
                <c:pt idx="181">
                  <c:v>314.28571428571416</c:v>
                </c:pt>
                <c:pt idx="182">
                  <c:v>-128.57142857142836</c:v>
                </c:pt>
                <c:pt idx="183">
                  <c:v>314.28571428571416</c:v>
                </c:pt>
                <c:pt idx="184">
                  <c:v>421.42857142857133</c:v>
                </c:pt>
                <c:pt idx="185">
                  <c:v>42.857142857142961</c:v>
                </c:pt>
                <c:pt idx="186">
                  <c:v>107.14285714285714</c:v>
                </c:pt>
                <c:pt idx="187">
                  <c:v>300.00000000000023</c:v>
                </c:pt>
                <c:pt idx="188">
                  <c:v>192.85714285714306</c:v>
                </c:pt>
                <c:pt idx="189">
                  <c:v>507.14285714285722</c:v>
                </c:pt>
                <c:pt idx="190">
                  <c:v>235.71428571428552</c:v>
                </c:pt>
                <c:pt idx="191">
                  <c:v>99.999999999999901</c:v>
                </c:pt>
                <c:pt idx="192">
                  <c:v>35.714285714285715</c:v>
                </c:pt>
                <c:pt idx="193">
                  <c:v>335.71428571428589</c:v>
                </c:pt>
                <c:pt idx="194">
                  <c:v>342.85714285714266</c:v>
                </c:pt>
                <c:pt idx="195">
                  <c:v>414.28571428571411</c:v>
                </c:pt>
                <c:pt idx="196">
                  <c:v>421.42857142857133</c:v>
                </c:pt>
                <c:pt idx="197">
                  <c:v>-28.57142857142847</c:v>
                </c:pt>
                <c:pt idx="198">
                  <c:v>-500</c:v>
                </c:pt>
                <c:pt idx="199">
                  <c:v>335.71428571428589</c:v>
                </c:pt>
                <c:pt idx="200">
                  <c:v>228.57142857142878</c:v>
                </c:pt>
                <c:pt idx="201">
                  <c:v>328.57142857142867</c:v>
                </c:pt>
                <c:pt idx="202">
                  <c:v>278.57142857142844</c:v>
                </c:pt>
                <c:pt idx="203">
                  <c:v>-78.571428571428669</c:v>
                </c:pt>
                <c:pt idx="204">
                  <c:v>314.28571428571416</c:v>
                </c:pt>
                <c:pt idx="205">
                  <c:v>442.85714285714306</c:v>
                </c:pt>
                <c:pt idx="206">
                  <c:v>371.42857142857162</c:v>
                </c:pt>
                <c:pt idx="207">
                  <c:v>185.71428571428581</c:v>
                </c:pt>
                <c:pt idx="208">
                  <c:v>71.428571428571431</c:v>
                </c:pt>
                <c:pt idx="209">
                  <c:v>250</c:v>
                </c:pt>
                <c:pt idx="210">
                  <c:v>135.71428571428561</c:v>
                </c:pt>
                <c:pt idx="211">
                  <c:v>-64.285714285714178</c:v>
                </c:pt>
                <c:pt idx="212">
                  <c:v>214.28571428571428</c:v>
                </c:pt>
                <c:pt idx="213">
                  <c:v>378.57142857142838</c:v>
                </c:pt>
                <c:pt idx="214">
                  <c:v>278.57142857142844</c:v>
                </c:pt>
                <c:pt idx="215">
                  <c:v>107.14285714285714</c:v>
                </c:pt>
                <c:pt idx="216">
                  <c:v>64.285714285714178</c:v>
                </c:pt>
                <c:pt idx="217">
                  <c:v>485.7142857142855</c:v>
                </c:pt>
                <c:pt idx="218">
                  <c:v>199.9999999999998</c:v>
                </c:pt>
                <c:pt idx="219">
                  <c:v>64.285714285714178</c:v>
                </c:pt>
                <c:pt idx="220">
                  <c:v>-192.85714285714306</c:v>
                </c:pt>
                <c:pt idx="221">
                  <c:v>200</c:v>
                </c:pt>
                <c:pt idx="222">
                  <c:v>333.33333333333331</c:v>
                </c:pt>
                <c:pt idx="223">
                  <c:v>33.333333333333336</c:v>
                </c:pt>
                <c:pt idx="224">
                  <c:v>300</c:v>
                </c:pt>
                <c:pt idx="225">
                  <c:v>66.666666666666671</c:v>
                </c:pt>
                <c:pt idx="226">
                  <c:v>100</c:v>
                </c:pt>
                <c:pt idx="227">
                  <c:v>33.333333333333336</c:v>
                </c:pt>
                <c:pt idx="228">
                  <c:v>166.66666666666666</c:v>
                </c:pt>
                <c:pt idx="229">
                  <c:v>300</c:v>
                </c:pt>
                <c:pt idx="230">
                  <c:v>166.66666666666666</c:v>
                </c:pt>
                <c:pt idx="231">
                  <c:v>66.666666666666671</c:v>
                </c:pt>
                <c:pt idx="232">
                  <c:v>200</c:v>
                </c:pt>
                <c:pt idx="233">
                  <c:v>133.33333333333334</c:v>
                </c:pt>
                <c:pt idx="234">
                  <c:v>33.333333333333336</c:v>
                </c:pt>
                <c:pt idx="235">
                  <c:v>100</c:v>
                </c:pt>
                <c:pt idx="236">
                  <c:v>166.66666666666666</c:v>
                </c:pt>
                <c:pt idx="237">
                  <c:v>366.66666666666663</c:v>
                </c:pt>
                <c:pt idx="238">
                  <c:v>33.333333333333336</c:v>
                </c:pt>
                <c:pt idx="239">
                  <c:v>266.66666666666669</c:v>
                </c:pt>
                <c:pt idx="240">
                  <c:v>233.33333333333334</c:v>
                </c:pt>
                <c:pt idx="241">
                  <c:v>200</c:v>
                </c:pt>
                <c:pt idx="242">
                  <c:v>0</c:v>
                </c:pt>
                <c:pt idx="243">
                  <c:v>166.66666666666666</c:v>
                </c:pt>
                <c:pt idx="244">
                  <c:v>233.33333333333334</c:v>
                </c:pt>
                <c:pt idx="245">
                  <c:v>233.33333333333334</c:v>
                </c:pt>
                <c:pt idx="246">
                  <c:v>100</c:v>
                </c:pt>
                <c:pt idx="247">
                  <c:v>266.66666666666669</c:v>
                </c:pt>
                <c:pt idx="248">
                  <c:v>166.66666666666666</c:v>
                </c:pt>
                <c:pt idx="249">
                  <c:v>300</c:v>
                </c:pt>
                <c:pt idx="250">
                  <c:v>200</c:v>
                </c:pt>
                <c:pt idx="251">
                  <c:v>50.00000000000027</c:v>
                </c:pt>
                <c:pt idx="252">
                  <c:v>237.49999999999983</c:v>
                </c:pt>
                <c:pt idx="253">
                  <c:v>37.500000000000085</c:v>
                </c:pt>
                <c:pt idx="254">
                  <c:v>-187.5</c:v>
                </c:pt>
                <c:pt idx="255">
                  <c:v>-24.999999999999911</c:v>
                </c:pt>
                <c:pt idx="256">
                  <c:v>112.49999999999983</c:v>
                </c:pt>
                <c:pt idx="257">
                  <c:v>62.5</c:v>
                </c:pt>
                <c:pt idx="258">
                  <c:v>74.99999999999973</c:v>
                </c:pt>
                <c:pt idx="259">
                  <c:v>112.49999999999983</c:v>
                </c:pt>
                <c:pt idx="260">
                  <c:v>49.999999999999822</c:v>
                </c:pt>
                <c:pt idx="261">
                  <c:v>112.49999999999983</c:v>
                </c:pt>
                <c:pt idx="262">
                  <c:v>262.50000000000017</c:v>
                </c:pt>
                <c:pt idx="263">
                  <c:v>-149.99999999999991</c:v>
                </c:pt>
                <c:pt idx="264">
                  <c:v>162.50000000000009</c:v>
                </c:pt>
                <c:pt idx="265">
                  <c:v>125</c:v>
                </c:pt>
                <c:pt idx="266">
                  <c:v>299.99999999999983</c:v>
                </c:pt>
                <c:pt idx="267">
                  <c:v>225.00000000000009</c:v>
                </c:pt>
                <c:pt idx="268">
                  <c:v>149.99999999999991</c:v>
                </c:pt>
                <c:pt idx="269">
                  <c:v>75.000000000000171</c:v>
                </c:pt>
                <c:pt idx="270">
                  <c:v>100.00000000000009</c:v>
                </c:pt>
                <c:pt idx="271">
                  <c:v>299.99999999999983</c:v>
                </c:pt>
                <c:pt idx="272">
                  <c:v>-225.00000000000009</c:v>
                </c:pt>
                <c:pt idx="273">
                  <c:v>87.499999999999915</c:v>
                </c:pt>
                <c:pt idx="274">
                  <c:v>0</c:v>
                </c:pt>
                <c:pt idx="275">
                  <c:v>-50.00000000000027</c:v>
                </c:pt>
                <c:pt idx="276">
                  <c:v>75.000000000000171</c:v>
                </c:pt>
                <c:pt idx="277">
                  <c:v>12.500000000000178</c:v>
                </c:pt>
                <c:pt idx="278">
                  <c:v>-112.50000000000027</c:v>
                </c:pt>
                <c:pt idx="279">
                  <c:v>-24.999999999999911</c:v>
                </c:pt>
                <c:pt idx="280">
                  <c:v>-162.50000000000009</c:v>
                </c:pt>
                <c:pt idx="281">
                  <c:v>-24.999999999999911</c:v>
                </c:pt>
                <c:pt idx="282">
                  <c:v>12.500000000000178</c:v>
                </c:pt>
                <c:pt idx="283">
                  <c:v>250</c:v>
                </c:pt>
                <c:pt idx="284">
                  <c:v>-212.50000000000034</c:v>
                </c:pt>
                <c:pt idx="285">
                  <c:v>-24.999999999999911</c:v>
                </c:pt>
                <c:pt idx="286">
                  <c:v>87.499999999999915</c:v>
                </c:pt>
                <c:pt idx="287">
                  <c:v>225.00000000000009</c:v>
                </c:pt>
                <c:pt idx="288">
                  <c:v>-87.500000000000355</c:v>
                </c:pt>
                <c:pt idx="289">
                  <c:v>-137.49999999999974</c:v>
                </c:pt>
                <c:pt idx="290">
                  <c:v>-25.000000000000355</c:v>
                </c:pt>
                <c:pt idx="291">
                  <c:v>62.5</c:v>
                </c:pt>
                <c:pt idx="292">
                  <c:v>-274.99999999999989</c:v>
                </c:pt>
                <c:pt idx="293">
                  <c:v>-112.50000000000027</c:v>
                </c:pt>
                <c:pt idx="294">
                  <c:v>37.500000000000085</c:v>
                </c:pt>
                <c:pt idx="295">
                  <c:v>-125</c:v>
                </c:pt>
                <c:pt idx="296">
                  <c:v>150.00000000000034</c:v>
                </c:pt>
                <c:pt idx="297">
                  <c:v>75.000000000000171</c:v>
                </c:pt>
                <c:pt idx="298">
                  <c:v>162.50000000000009</c:v>
                </c:pt>
                <c:pt idx="299">
                  <c:v>-137.49999999999974</c:v>
                </c:pt>
                <c:pt idx="300">
                  <c:v>237.50000000000026</c:v>
                </c:pt>
                <c:pt idx="301">
                  <c:v>-250</c:v>
                </c:pt>
                <c:pt idx="302">
                  <c:v>87.499999999999915</c:v>
                </c:pt>
                <c:pt idx="303">
                  <c:v>-12.499999999999734</c:v>
                </c:pt>
                <c:pt idx="304">
                  <c:v>337.49999999999989</c:v>
                </c:pt>
                <c:pt idx="305">
                  <c:v>337.49999999999989</c:v>
                </c:pt>
                <c:pt idx="306">
                  <c:v>424.99999999999983</c:v>
                </c:pt>
                <c:pt idx="307">
                  <c:v>337.49999999999989</c:v>
                </c:pt>
                <c:pt idx="308">
                  <c:v>500</c:v>
                </c:pt>
                <c:pt idx="309">
                  <c:v>449.99999999999972</c:v>
                </c:pt>
                <c:pt idx="310">
                  <c:v>424.99999999999983</c:v>
                </c:pt>
                <c:pt idx="311">
                  <c:v>387.49999999999972</c:v>
                </c:pt>
                <c:pt idx="312">
                  <c:v>375</c:v>
                </c:pt>
                <c:pt idx="313">
                  <c:v>300.00000000000028</c:v>
                </c:pt>
                <c:pt idx="314">
                  <c:v>512.50000000000023</c:v>
                </c:pt>
                <c:pt idx="315">
                  <c:v>287.50000000000011</c:v>
                </c:pt>
                <c:pt idx="316">
                  <c:v>200.00000000000017</c:v>
                </c:pt>
                <c:pt idx="317">
                  <c:v>375</c:v>
                </c:pt>
                <c:pt idx="318">
                  <c:v>125</c:v>
                </c:pt>
                <c:pt idx="319">
                  <c:v>262.50000000000017</c:v>
                </c:pt>
                <c:pt idx="320">
                  <c:v>362.49999999999983</c:v>
                </c:pt>
                <c:pt idx="321">
                  <c:v>250</c:v>
                </c:pt>
                <c:pt idx="322">
                  <c:v>375</c:v>
                </c:pt>
                <c:pt idx="323">
                  <c:v>399.99999999999989</c:v>
                </c:pt>
                <c:pt idx="324">
                  <c:v>262.50000000000017</c:v>
                </c:pt>
                <c:pt idx="325">
                  <c:v>149.99999999999991</c:v>
                </c:pt>
                <c:pt idx="326">
                  <c:v>399.99999999999989</c:v>
                </c:pt>
                <c:pt idx="327">
                  <c:v>375</c:v>
                </c:pt>
                <c:pt idx="328">
                  <c:v>250</c:v>
                </c:pt>
                <c:pt idx="329">
                  <c:v>487.49999999999983</c:v>
                </c:pt>
                <c:pt idx="330">
                  <c:v>187.5</c:v>
                </c:pt>
                <c:pt idx="331">
                  <c:v>287.50000000000011</c:v>
                </c:pt>
                <c:pt idx="332">
                  <c:v>125</c:v>
                </c:pt>
                <c:pt idx="333">
                  <c:v>199.99999999999974</c:v>
                </c:pt>
                <c:pt idx="334">
                  <c:v>362.50000000000028</c:v>
                </c:pt>
                <c:pt idx="335">
                  <c:v>212.49999999999991</c:v>
                </c:pt>
                <c:pt idx="336">
                  <c:v>487.49999999999983</c:v>
                </c:pt>
                <c:pt idx="337">
                  <c:v>62.5</c:v>
                </c:pt>
                <c:pt idx="338">
                  <c:v>362.49999999999983</c:v>
                </c:pt>
                <c:pt idx="339">
                  <c:v>475.00000000000011</c:v>
                </c:pt>
                <c:pt idx="340">
                  <c:v>262.49999999999972</c:v>
                </c:pt>
                <c:pt idx="341">
                  <c:v>349.99999999999966</c:v>
                </c:pt>
                <c:pt idx="342">
                  <c:v>375</c:v>
                </c:pt>
                <c:pt idx="343">
                  <c:v>125</c:v>
                </c:pt>
                <c:pt idx="344">
                  <c:v>287.50000000000011</c:v>
                </c:pt>
                <c:pt idx="345">
                  <c:v>250</c:v>
                </c:pt>
                <c:pt idx="346">
                  <c:v>424.99999999999983</c:v>
                </c:pt>
                <c:pt idx="347">
                  <c:v>224.99999999999966</c:v>
                </c:pt>
                <c:pt idx="348">
                  <c:v>462.49999999999989</c:v>
                </c:pt>
                <c:pt idx="349">
                  <c:v>74.99999999999973</c:v>
                </c:pt>
                <c:pt idx="350">
                  <c:v>299.99999999999983</c:v>
                </c:pt>
                <c:pt idx="351">
                  <c:v>12.500000000000178</c:v>
                </c:pt>
                <c:pt idx="352">
                  <c:v>200.00000000000017</c:v>
                </c:pt>
                <c:pt idx="353">
                  <c:v>250.00000000000045</c:v>
                </c:pt>
                <c:pt idx="354">
                  <c:v>224.99999999999966</c:v>
                </c:pt>
                <c:pt idx="355">
                  <c:v>362.49999999999983</c:v>
                </c:pt>
                <c:pt idx="356">
                  <c:v>285.71428571428572</c:v>
                </c:pt>
                <c:pt idx="357">
                  <c:v>-28.571428571427962</c:v>
                </c:pt>
                <c:pt idx="358">
                  <c:v>-885.7142857142851</c:v>
                </c:pt>
                <c:pt idx="359">
                  <c:v>-57.142857142857956</c:v>
                </c:pt>
                <c:pt idx="360">
                  <c:v>-457.14285714285757</c:v>
                </c:pt>
                <c:pt idx="361">
                  <c:v>-57.14285714285694</c:v>
                </c:pt>
                <c:pt idx="362">
                  <c:v>-57.142857142857956</c:v>
                </c:pt>
                <c:pt idx="363">
                  <c:v>199.99999999999878</c:v>
                </c:pt>
                <c:pt idx="364">
                  <c:v>171.42857142857184</c:v>
                </c:pt>
                <c:pt idx="365">
                  <c:v>-171.42857142857184</c:v>
                </c:pt>
                <c:pt idx="366">
                  <c:v>828.57142857142912</c:v>
                </c:pt>
                <c:pt idx="367">
                  <c:v>57.14285714285694</c:v>
                </c:pt>
                <c:pt idx="368">
                  <c:v>457.14285714285757</c:v>
                </c:pt>
                <c:pt idx="369">
                  <c:v>85.714285714285921</c:v>
                </c:pt>
                <c:pt idx="370">
                  <c:v>228.57142857142878</c:v>
                </c:pt>
                <c:pt idx="371">
                  <c:v>-171.42857142857184</c:v>
                </c:pt>
                <c:pt idx="372">
                  <c:v>-342.85714285714369</c:v>
                </c:pt>
                <c:pt idx="373">
                  <c:v>-114.28571428571489</c:v>
                </c:pt>
                <c:pt idx="374">
                  <c:v>-142.85714285714286</c:v>
                </c:pt>
                <c:pt idx="375">
                  <c:v>-57.14285714285694</c:v>
                </c:pt>
                <c:pt idx="376">
                  <c:v>342.85714285714164</c:v>
                </c:pt>
                <c:pt idx="377">
                  <c:v>-171.42857142857082</c:v>
                </c:pt>
                <c:pt idx="378">
                  <c:v>85.714285714285921</c:v>
                </c:pt>
                <c:pt idx="379">
                  <c:v>399.9999999999996</c:v>
                </c:pt>
                <c:pt idx="380">
                  <c:v>57.142857142857956</c:v>
                </c:pt>
                <c:pt idx="381">
                  <c:v>171.42857142857184</c:v>
                </c:pt>
                <c:pt idx="382">
                  <c:v>657.14285714285631</c:v>
                </c:pt>
                <c:pt idx="383">
                  <c:v>371.42857142857264</c:v>
                </c:pt>
                <c:pt idx="384">
                  <c:v>-142.85714285714286</c:v>
                </c:pt>
                <c:pt idx="385">
                  <c:v>-142.85714285714286</c:v>
                </c:pt>
                <c:pt idx="386">
                  <c:v>28.571428571428978</c:v>
                </c:pt>
                <c:pt idx="387">
                  <c:v>114.28571428571388</c:v>
                </c:pt>
                <c:pt idx="388">
                  <c:v>171.42857142857082</c:v>
                </c:pt>
                <c:pt idx="389">
                  <c:v>85.714285714284898</c:v>
                </c:pt>
                <c:pt idx="390">
                  <c:v>-542.85714285714346</c:v>
                </c:pt>
                <c:pt idx="391">
                  <c:v>-657.14285714285631</c:v>
                </c:pt>
                <c:pt idx="392">
                  <c:v>800.00000000000011</c:v>
                </c:pt>
                <c:pt idx="393">
                  <c:v>114.28571428571388</c:v>
                </c:pt>
                <c:pt idx="394">
                  <c:v>-371.42857142857162</c:v>
                </c:pt>
                <c:pt idx="395">
                  <c:v>-485.71428571428652</c:v>
                </c:pt>
                <c:pt idx="396">
                  <c:v>-400.00000000000063</c:v>
                </c:pt>
                <c:pt idx="397">
                  <c:v>-885.71428571428612</c:v>
                </c:pt>
                <c:pt idx="398">
                  <c:v>-428.57142857142856</c:v>
                </c:pt>
                <c:pt idx="399">
                  <c:v>514.28571428571342</c:v>
                </c:pt>
                <c:pt idx="400">
                  <c:v>-171.42857142857184</c:v>
                </c:pt>
                <c:pt idx="401">
                  <c:v>114.28571428571388</c:v>
                </c:pt>
                <c:pt idx="402">
                  <c:v>-257.14285714285671</c:v>
                </c:pt>
                <c:pt idx="403">
                  <c:v>-371.42857142857162</c:v>
                </c:pt>
                <c:pt idx="404">
                  <c:v>-514.28571428571342</c:v>
                </c:pt>
                <c:pt idx="405">
                  <c:v>28.571428571426946</c:v>
                </c:pt>
                <c:pt idx="406">
                  <c:v>828.57142857142821</c:v>
                </c:pt>
                <c:pt idx="407">
                  <c:v>-285.71428571428572</c:v>
                </c:pt>
                <c:pt idx="408">
                  <c:v>-485.7142857142855</c:v>
                </c:pt>
                <c:pt idx="409">
                  <c:v>-342.85714285714266</c:v>
                </c:pt>
                <c:pt idx="410">
                  <c:v>-371.42857142857264</c:v>
                </c:pt>
                <c:pt idx="411">
                  <c:v>857.14285714285711</c:v>
                </c:pt>
                <c:pt idx="412">
                  <c:v>-885.71428571428612</c:v>
                </c:pt>
                <c:pt idx="413">
                  <c:v>-1114.2857142857138</c:v>
                </c:pt>
                <c:pt idx="414">
                  <c:v>-257.14285714285671</c:v>
                </c:pt>
                <c:pt idx="415">
                  <c:v>-342.85714285714164</c:v>
                </c:pt>
                <c:pt idx="416">
                  <c:v>-1000</c:v>
                </c:pt>
                <c:pt idx="417">
                  <c:v>257.14285714285774</c:v>
                </c:pt>
                <c:pt idx="418">
                  <c:v>-314.28571428571468</c:v>
                </c:pt>
                <c:pt idx="419">
                  <c:v>457.14285714285757</c:v>
                </c:pt>
                <c:pt idx="420">
                  <c:v>-485.71428571428652</c:v>
                </c:pt>
                <c:pt idx="421">
                  <c:v>-571.42857142857144</c:v>
                </c:pt>
                <c:pt idx="422">
                  <c:v>-257.14285714285671</c:v>
                </c:pt>
                <c:pt idx="423">
                  <c:v>-285.71428571428572</c:v>
                </c:pt>
                <c:pt idx="424">
                  <c:v>-428.57142857142856</c:v>
                </c:pt>
                <c:pt idx="425">
                  <c:v>71.428571428571431</c:v>
                </c:pt>
                <c:pt idx="426">
                  <c:v>-214.28571428571428</c:v>
                </c:pt>
                <c:pt idx="427">
                  <c:v>-357.14285714285717</c:v>
                </c:pt>
                <c:pt idx="428">
                  <c:v>-214.28571428571428</c:v>
                </c:pt>
                <c:pt idx="429">
                  <c:v>-71.428571428571431</c:v>
                </c:pt>
                <c:pt idx="430">
                  <c:v>-71.428571428571431</c:v>
                </c:pt>
                <c:pt idx="431">
                  <c:v>-285.71428571428572</c:v>
                </c:pt>
                <c:pt idx="432">
                  <c:v>-71.428571428571431</c:v>
                </c:pt>
                <c:pt idx="433">
                  <c:v>-357.14285714285717</c:v>
                </c:pt>
                <c:pt idx="434">
                  <c:v>-71.428571428571431</c:v>
                </c:pt>
                <c:pt idx="435">
                  <c:v>-142.85714285714286</c:v>
                </c:pt>
                <c:pt idx="436">
                  <c:v>-142.85714285714286</c:v>
                </c:pt>
                <c:pt idx="437">
                  <c:v>-357.14285714285717</c:v>
                </c:pt>
                <c:pt idx="438">
                  <c:v>-571.42857142857144</c:v>
                </c:pt>
                <c:pt idx="439">
                  <c:v>-428.57142857142856</c:v>
                </c:pt>
                <c:pt idx="440">
                  <c:v>-142.85714285714286</c:v>
                </c:pt>
                <c:pt idx="441">
                  <c:v>642.85714285714289</c:v>
                </c:pt>
                <c:pt idx="442">
                  <c:v>0</c:v>
                </c:pt>
                <c:pt idx="443">
                  <c:v>-214.28571428571428</c:v>
                </c:pt>
                <c:pt idx="444">
                  <c:v>-142.85714285714286</c:v>
                </c:pt>
                <c:pt idx="445">
                  <c:v>-71.428571428571431</c:v>
                </c:pt>
                <c:pt idx="446">
                  <c:v>71.428571428571431</c:v>
                </c:pt>
                <c:pt idx="447">
                  <c:v>357.14285714285717</c:v>
                </c:pt>
                <c:pt idx="448">
                  <c:v>-142.85714285714286</c:v>
                </c:pt>
                <c:pt idx="449">
                  <c:v>142.85714285714286</c:v>
                </c:pt>
                <c:pt idx="450">
                  <c:v>142.85714285714286</c:v>
                </c:pt>
                <c:pt idx="451">
                  <c:v>-71.428571428571431</c:v>
                </c:pt>
                <c:pt idx="452">
                  <c:v>-142.85714285714286</c:v>
                </c:pt>
                <c:pt idx="453">
                  <c:v>-142.85714285714286</c:v>
                </c:pt>
                <c:pt idx="454">
                  <c:v>285.71428571428572</c:v>
                </c:pt>
                <c:pt idx="455">
                  <c:v>-71.428571428571431</c:v>
                </c:pt>
                <c:pt idx="456">
                  <c:v>285.71428571428572</c:v>
                </c:pt>
                <c:pt idx="457">
                  <c:v>-71.428571428571431</c:v>
                </c:pt>
                <c:pt idx="458">
                  <c:v>357.14285714285717</c:v>
                </c:pt>
                <c:pt idx="459">
                  <c:v>142.85714285714286</c:v>
                </c:pt>
                <c:pt idx="460">
                  <c:v>-428.57142857142856</c:v>
                </c:pt>
                <c:pt idx="461">
                  <c:v>-142.85714285714286</c:v>
                </c:pt>
                <c:pt idx="462">
                  <c:v>214.28571428571428</c:v>
                </c:pt>
                <c:pt idx="463">
                  <c:v>-71.428571428571431</c:v>
                </c:pt>
                <c:pt idx="464">
                  <c:v>399.99999999999977</c:v>
                </c:pt>
                <c:pt idx="465">
                  <c:v>0</c:v>
                </c:pt>
                <c:pt idx="466">
                  <c:v>533.33333333333269</c:v>
                </c:pt>
                <c:pt idx="467">
                  <c:v>1066.6666666666677</c:v>
                </c:pt>
                <c:pt idx="468">
                  <c:v>1166.6666666666667</c:v>
                </c:pt>
                <c:pt idx="469">
                  <c:v>333.33333333333331</c:v>
                </c:pt>
                <c:pt idx="470">
                  <c:v>166.66666666666666</c:v>
                </c:pt>
                <c:pt idx="471">
                  <c:v>400.00000000000097</c:v>
                </c:pt>
                <c:pt idx="472">
                  <c:v>366.66666666666595</c:v>
                </c:pt>
                <c:pt idx="473">
                  <c:v>500</c:v>
                </c:pt>
                <c:pt idx="474">
                  <c:v>-66.666666666667609</c:v>
                </c:pt>
                <c:pt idx="475">
                  <c:v>333.33333333333331</c:v>
                </c:pt>
                <c:pt idx="476">
                  <c:v>533.33333333333383</c:v>
                </c:pt>
                <c:pt idx="477">
                  <c:v>233.33333333333309</c:v>
                </c:pt>
                <c:pt idx="478">
                  <c:v>166.66666666666666</c:v>
                </c:pt>
                <c:pt idx="479">
                  <c:v>533.33333333333383</c:v>
                </c:pt>
                <c:pt idx="480">
                  <c:v>1033.3333333333339</c:v>
                </c:pt>
                <c:pt idx="481">
                  <c:v>633.3333333333328</c:v>
                </c:pt>
                <c:pt idx="482">
                  <c:v>1299.9999999999995</c:v>
                </c:pt>
                <c:pt idx="483">
                  <c:v>600.00000000000023</c:v>
                </c:pt>
                <c:pt idx="484">
                  <c:v>566.66666666666765</c:v>
                </c:pt>
                <c:pt idx="485">
                  <c:v>333.33333333333331</c:v>
                </c:pt>
                <c:pt idx="486">
                  <c:v>633.3333333333328</c:v>
                </c:pt>
                <c:pt idx="487">
                  <c:v>-266.66666666666572</c:v>
                </c:pt>
                <c:pt idx="488">
                  <c:v>299.99999999999955</c:v>
                </c:pt>
                <c:pt idx="489">
                  <c:v>1199.9999999999982</c:v>
                </c:pt>
                <c:pt idx="490">
                  <c:v>433.33333333333474</c:v>
                </c:pt>
                <c:pt idx="491">
                  <c:v>33.333333333331439</c:v>
                </c:pt>
                <c:pt idx="492">
                  <c:v>733.33333333333428</c:v>
                </c:pt>
                <c:pt idx="493">
                  <c:v>233.33333333333309</c:v>
                </c:pt>
                <c:pt idx="494">
                  <c:v>333.33333333333331</c:v>
                </c:pt>
                <c:pt idx="495">
                  <c:v>1033.3333333333339</c:v>
                </c:pt>
                <c:pt idx="496">
                  <c:v>300.00000000000068</c:v>
                </c:pt>
                <c:pt idx="497">
                  <c:v>200.00000000000048</c:v>
                </c:pt>
                <c:pt idx="498">
                  <c:v>133.33333333333405</c:v>
                </c:pt>
                <c:pt idx="499">
                  <c:v>199.99999999999929</c:v>
                </c:pt>
                <c:pt idx="500">
                  <c:v>-666.66666666666663</c:v>
                </c:pt>
                <c:pt idx="501">
                  <c:v>-100.00000000000142</c:v>
                </c:pt>
                <c:pt idx="502">
                  <c:v>366.66666666666714</c:v>
                </c:pt>
                <c:pt idx="503">
                  <c:v>-66.66666666666643</c:v>
                </c:pt>
                <c:pt idx="504">
                  <c:v>-99.999999999999048</c:v>
                </c:pt>
                <c:pt idx="505">
                  <c:v>-300.00000000000068</c:v>
                </c:pt>
                <c:pt idx="506">
                  <c:v>-533.33333333333383</c:v>
                </c:pt>
                <c:pt idx="507">
                  <c:v>-500</c:v>
                </c:pt>
                <c:pt idx="508">
                  <c:v>0</c:v>
                </c:pt>
                <c:pt idx="509">
                  <c:v>66.666666666667609</c:v>
                </c:pt>
                <c:pt idx="510">
                  <c:v>166.66666666666666</c:v>
                </c:pt>
                <c:pt idx="511">
                  <c:v>-133.33333333333286</c:v>
                </c:pt>
                <c:pt idx="512">
                  <c:v>99.999999999999048</c:v>
                </c:pt>
                <c:pt idx="513">
                  <c:v>-466.66666666666617</c:v>
                </c:pt>
                <c:pt idx="514">
                  <c:v>-1000</c:v>
                </c:pt>
                <c:pt idx="515">
                  <c:v>333.33333333333331</c:v>
                </c:pt>
                <c:pt idx="516">
                  <c:v>366.66666666666714</c:v>
                </c:pt>
                <c:pt idx="517">
                  <c:v>299.99999999999955</c:v>
                </c:pt>
                <c:pt idx="518">
                  <c:v>-66.66666666666643</c:v>
                </c:pt>
                <c:pt idx="519">
                  <c:v>-333.33333333333331</c:v>
                </c:pt>
                <c:pt idx="520">
                  <c:v>233.33333333333428</c:v>
                </c:pt>
                <c:pt idx="521">
                  <c:v>-33.333333333333805</c:v>
                </c:pt>
                <c:pt idx="522">
                  <c:v>166.66666666666666</c:v>
                </c:pt>
                <c:pt idx="523">
                  <c:v>-200.00000000000048</c:v>
                </c:pt>
                <c:pt idx="524">
                  <c:v>0</c:v>
                </c:pt>
                <c:pt idx="525">
                  <c:v>266.66666666666572</c:v>
                </c:pt>
                <c:pt idx="526">
                  <c:v>166.66666666666666</c:v>
                </c:pt>
                <c:pt idx="527">
                  <c:v>-366.66666666666714</c:v>
                </c:pt>
                <c:pt idx="528">
                  <c:v>-466.66666666666617</c:v>
                </c:pt>
                <c:pt idx="529">
                  <c:v>66.66666666666525</c:v>
                </c:pt>
                <c:pt idx="530">
                  <c:v>-333.33333333333331</c:v>
                </c:pt>
                <c:pt idx="531">
                  <c:v>-166.66666666666666</c:v>
                </c:pt>
                <c:pt idx="532">
                  <c:v>-250</c:v>
                </c:pt>
                <c:pt idx="533">
                  <c:v>71.428571428571431</c:v>
                </c:pt>
                <c:pt idx="534">
                  <c:v>-142.85714285714286</c:v>
                </c:pt>
                <c:pt idx="535">
                  <c:v>0</c:v>
                </c:pt>
                <c:pt idx="536">
                  <c:v>35.714285714285715</c:v>
                </c:pt>
                <c:pt idx="537">
                  <c:v>35.714285714285715</c:v>
                </c:pt>
                <c:pt idx="538">
                  <c:v>-285.71428571428572</c:v>
                </c:pt>
                <c:pt idx="539">
                  <c:v>-178.57142857142858</c:v>
                </c:pt>
                <c:pt idx="540">
                  <c:v>-142.85714285714286</c:v>
                </c:pt>
                <c:pt idx="541">
                  <c:v>-321.42857142857144</c:v>
                </c:pt>
                <c:pt idx="542">
                  <c:v>35.714285714285715</c:v>
                </c:pt>
                <c:pt idx="543">
                  <c:v>-357.14285714285717</c:v>
                </c:pt>
                <c:pt idx="544">
                  <c:v>250</c:v>
                </c:pt>
                <c:pt idx="545">
                  <c:v>-214.28571428571428</c:v>
                </c:pt>
                <c:pt idx="546">
                  <c:v>0</c:v>
                </c:pt>
                <c:pt idx="547">
                  <c:v>-142.85714285714286</c:v>
                </c:pt>
                <c:pt idx="548">
                  <c:v>71.428571428571431</c:v>
                </c:pt>
                <c:pt idx="549">
                  <c:v>250</c:v>
                </c:pt>
                <c:pt idx="550">
                  <c:v>-107.14285714285714</c:v>
                </c:pt>
                <c:pt idx="551">
                  <c:v>-35.714285714285715</c:v>
                </c:pt>
                <c:pt idx="552">
                  <c:v>35.714285714285715</c:v>
                </c:pt>
                <c:pt idx="553">
                  <c:v>-285.71428571428572</c:v>
                </c:pt>
                <c:pt idx="554">
                  <c:v>-142.85714285714286</c:v>
                </c:pt>
                <c:pt idx="555">
                  <c:v>357.14285714285717</c:v>
                </c:pt>
                <c:pt idx="556">
                  <c:v>-178.57142857142858</c:v>
                </c:pt>
                <c:pt idx="557">
                  <c:v>-285.71428571428572</c:v>
                </c:pt>
                <c:pt idx="558">
                  <c:v>-321.42857142857144</c:v>
                </c:pt>
                <c:pt idx="559">
                  <c:v>-178.57142857142858</c:v>
                </c:pt>
                <c:pt idx="560">
                  <c:v>-71.428571428571431</c:v>
                </c:pt>
                <c:pt idx="561">
                  <c:v>0</c:v>
                </c:pt>
                <c:pt idx="562">
                  <c:v>76.923076923076934</c:v>
                </c:pt>
                <c:pt idx="563">
                  <c:v>-153.84615384615387</c:v>
                </c:pt>
                <c:pt idx="564">
                  <c:v>0</c:v>
                </c:pt>
                <c:pt idx="565">
                  <c:v>-76.923076923076934</c:v>
                </c:pt>
                <c:pt idx="566">
                  <c:v>230.76923076923077</c:v>
                </c:pt>
                <c:pt idx="567">
                  <c:v>38.461538461538467</c:v>
                </c:pt>
                <c:pt idx="568">
                  <c:v>230.76923076923077</c:v>
                </c:pt>
                <c:pt idx="569">
                  <c:v>-76.923076923076934</c:v>
                </c:pt>
                <c:pt idx="570">
                  <c:v>230.76923076923077</c:v>
                </c:pt>
                <c:pt idx="571">
                  <c:v>230.76923076923077</c:v>
                </c:pt>
                <c:pt idx="572">
                  <c:v>230.76923076923077</c:v>
                </c:pt>
                <c:pt idx="573">
                  <c:v>-38.461538461538467</c:v>
                </c:pt>
                <c:pt idx="574">
                  <c:v>153.84615384615387</c:v>
                </c:pt>
                <c:pt idx="575">
                  <c:v>384.61538461538464</c:v>
                </c:pt>
                <c:pt idx="576">
                  <c:v>115.38461538461539</c:v>
                </c:pt>
                <c:pt idx="577">
                  <c:v>192.30769230769232</c:v>
                </c:pt>
                <c:pt idx="578">
                  <c:v>-38.461538461538467</c:v>
                </c:pt>
                <c:pt idx="579">
                  <c:v>153.84615384615387</c:v>
                </c:pt>
                <c:pt idx="580">
                  <c:v>38.461538461538467</c:v>
                </c:pt>
                <c:pt idx="581">
                  <c:v>115.38461538461539</c:v>
                </c:pt>
                <c:pt idx="582">
                  <c:v>76.923076923076934</c:v>
                </c:pt>
                <c:pt idx="583">
                  <c:v>76.923076923076934</c:v>
                </c:pt>
                <c:pt idx="584">
                  <c:v>0</c:v>
                </c:pt>
                <c:pt idx="585">
                  <c:v>38.461538461538467</c:v>
                </c:pt>
                <c:pt idx="586">
                  <c:v>-115.38461538461539</c:v>
                </c:pt>
                <c:pt idx="587">
                  <c:v>153.84615384615387</c:v>
                </c:pt>
                <c:pt idx="588">
                  <c:v>-38.461538461538467</c:v>
                </c:pt>
                <c:pt idx="589">
                  <c:v>-38.461538461538467</c:v>
                </c:pt>
                <c:pt idx="590">
                  <c:v>38.461538461538467</c:v>
                </c:pt>
                <c:pt idx="591">
                  <c:v>-38.461538461538467</c:v>
                </c:pt>
                <c:pt idx="592">
                  <c:v>-285.71428571428572</c:v>
                </c:pt>
                <c:pt idx="593">
                  <c:v>-214.28571428571428</c:v>
                </c:pt>
                <c:pt idx="594">
                  <c:v>-321.42857142857144</c:v>
                </c:pt>
                <c:pt idx="595">
                  <c:v>-250</c:v>
                </c:pt>
                <c:pt idx="596">
                  <c:v>-250</c:v>
                </c:pt>
                <c:pt idx="597">
                  <c:v>-214.28571428571428</c:v>
                </c:pt>
                <c:pt idx="598">
                  <c:v>-285.71428571428572</c:v>
                </c:pt>
                <c:pt idx="599">
                  <c:v>-214.28571428571428</c:v>
                </c:pt>
                <c:pt idx="600">
                  <c:v>-250</c:v>
                </c:pt>
                <c:pt idx="601">
                  <c:v>-178.57142857142858</c:v>
                </c:pt>
                <c:pt idx="602">
                  <c:v>-214.28571428571428</c:v>
                </c:pt>
                <c:pt idx="603">
                  <c:v>-178.57142857142858</c:v>
                </c:pt>
                <c:pt idx="604">
                  <c:v>-214.28571428571428</c:v>
                </c:pt>
                <c:pt idx="605">
                  <c:v>-285.71428571428572</c:v>
                </c:pt>
                <c:pt idx="606">
                  <c:v>-142.85714285714286</c:v>
                </c:pt>
                <c:pt idx="607">
                  <c:v>-178.57142857142858</c:v>
                </c:pt>
                <c:pt idx="608">
                  <c:v>-250</c:v>
                </c:pt>
                <c:pt idx="609">
                  <c:v>-107.14285714285714</c:v>
                </c:pt>
                <c:pt idx="610">
                  <c:v>-71.428571428571431</c:v>
                </c:pt>
                <c:pt idx="611">
                  <c:v>-142.85714285714286</c:v>
                </c:pt>
                <c:pt idx="612">
                  <c:v>-214.28571428571428</c:v>
                </c:pt>
                <c:pt idx="613">
                  <c:v>-214.28571428571428</c:v>
                </c:pt>
                <c:pt idx="614">
                  <c:v>-71.428571428571431</c:v>
                </c:pt>
                <c:pt idx="615">
                  <c:v>-250</c:v>
                </c:pt>
                <c:pt idx="616">
                  <c:v>-178.57142857142858</c:v>
                </c:pt>
                <c:pt idx="617">
                  <c:v>-250</c:v>
                </c:pt>
                <c:pt idx="618">
                  <c:v>-214.28571428571428</c:v>
                </c:pt>
                <c:pt idx="619">
                  <c:v>-285.71428571428572</c:v>
                </c:pt>
                <c:pt idx="620">
                  <c:v>-178.57142857142858</c:v>
                </c:pt>
                <c:pt idx="621">
                  <c:v>-285.71428571428572</c:v>
                </c:pt>
                <c:pt idx="622">
                  <c:v>114.28571428571388</c:v>
                </c:pt>
                <c:pt idx="623">
                  <c:v>-100.00000000000041</c:v>
                </c:pt>
                <c:pt idx="624">
                  <c:v>42.857142857142449</c:v>
                </c:pt>
                <c:pt idx="625">
                  <c:v>-142.85714285714286</c:v>
                </c:pt>
                <c:pt idx="626">
                  <c:v>300.00000000000023</c:v>
                </c:pt>
                <c:pt idx="627">
                  <c:v>-185.7142857142853</c:v>
                </c:pt>
                <c:pt idx="628">
                  <c:v>-814.28571428571468</c:v>
                </c:pt>
                <c:pt idx="629">
                  <c:v>300.00000000000023</c:v>
                </c:pt>
                <c:pt idx="630">
                  <c:v>57.14285714285694</c:v>
                </c:pt>
                <c:pt idx="631">
                  <c:v>314.28571428571468</c:v>
                </c:pt>
                <c:pt idx="632">
                  <c:v>157.14285714285734</c:v>
                </c:pt>
                <c:pt idx="633">
                  <c:v>185.7142857142853</c:v>
                </c:pt>
                <c:pt idx="634">
                  <c:v>-357.14285714285717</c:v>
                </c:pt>
                <c:pt idx="635">
                  <c:v>42.857142857142449</c:v>
                </c:pt>
                <c:pt idx="636">
                  <c:v>142.85714285714286</c:v>
                </c:pt>
                <c:pt idx="637">
                  <c:v>42.857142857142449</c:v>
                </c:pt>
                <c:pt idx="638">
                  <c:v>257.14285714285671</c:v>
                </c:pt>
                <c:pt idx="639">
                  <c:v>157.14285714285734</c:v>
                </c:pt>
                <c:pt idx="640">
                  <c:v>128.57142857142836</c:v>
                </c:pt>
                <c:pt idx="641">
                  <c:v>214.28571428571428</c:v>
                </c:pt>
                <c:pt idx="642">
                  <c:v>28.571428571428978</c:v>
                </c:pt>
                <c:pt idx="643">
                  <c:v>-57.14285714285694</c:v>
                </c:pt>
                <c:pt idx="644">
                  <c:v>85.714285714285921</c:v>
                </c:pt>
                <c:pt idx="645">
                  <c:v>-185.7142857142853</c:v>
                </c:pt>
                <c:pt idx="646">
                  <c:v>-85.714285714284898</c:v>
                </c:pt>
                <c:pt idx="647">
                  <c:v>57.14285714285694</c:v>
                </c:pt>
                <c:pt idx="648">
                  <c:v>-142.85714285714286</c:v>
                </c:pt>
                <c:pt idx="649">
                  <c:v>-100.00000000000041</c:v>
                </c:pt>
                <c:pt idx="650">
                  <c:v>71.428571428571431</c:v>
                </c:pt>
                <c:pt idx="651">
                  <c:v>242.85714285714326</c:v>
                </c:pt>
                <c:pt idx="652">
                  <c:v>42.857142857142449</c:v>
                </c:pt>
                <c:pt idx="653">
                  <c:v>-271.42857142857122</c:v>
                </c:pt>
                <c:pt idx="654">
                  <c:v>185.7142857142853</c:v>
                </c:pt>
                <c:pt idx="655">
                  <c:v>428.57142857142856</c:v>
                </c:pt>
                <c:pt idx="656">
                  <c:v>285.71428571428572</c:v>
                </c:pt>
                <c:pt idx="657">
                  <c:v>14.285714285714489</c:v>
                </c:pt>
                <c:pt idx="658">
                  <c:v>142.85714285714286</c:v>
                </c:pt>
                <c:pt idx="659">
                  <c:v>-314.28571428571468</c:v>
                </c:pt>
                <c:pt idx="660">
                  <c:v>28.571428571428978</c:v>
                </c:pt>
                <c:pt idx="661">
                  <c:v>142.85714285714286</c:v>
                </c:pt>
                <c:pt idx="662">
                  <c:v>338.4615384615384</c:v>
                </c:pt>
                <c:pt idx="663">
                  <c:v>38.461538461538467</c:v>
                </c:pt>
                <c:pt idx="664">
                  <c:v>107.69230769230759</c:v>
                </c:pt>
                <c:pt idx="665">
                  <c:v>538.46153846153845</c:v>
                </c:pt>
                <c:pt idx="666">
                  <c:v>623.07692307692321</c:v>
                </c:pt>
                <c:pt idx="667">
                  <c:v>230.76923076923077</c:v>
                </c:pt>
                <c:pt idx="668">
                  <c:v>30.76923076923066</c:v>
                </c:pt>
                <c:pt idx="669">
                  <c:v>361.53846153846177</c:v>
                </c:pt>
                <c:pt idx="670">
                  <c:v>323.07692307692332</c:v>
                </c:pt>
                <c:pt idx="671">
                  <c:v>192.30769230769232</c:v>
                </c:pt>
                <c:pt idx="672">
                  <c:v>423.07692307692309</c:v>
                </c:pt>
                <c:pt idx="673">
                  <c:v>146.15384615384605</c:v>
                </c:pt>
                <c:pt idx="674">
                  <c:v>492.30769230769221</c:v>
                </c:pt>
                <c:pt idx="675">
                  <c:v>176.92307692307671</c:v>
                </c:pt>
                <c:pt idx="676">
                  <c:v>184.61538461538453</c:v>
                </c:pt>
                <c:pt idx="677">
                  <c:v>-69.230769230769127</c:v>
                </c:pt>
                <c:pt idx="678">
                  <c:v>307.69230769230774</c:v>
                </c:pt>
                <c:pt idx="679">
                  <c:v>115.38461538461539</c:v>
                </c:pt>
                <c:pt idx="680">
                  <c:v>253.84615384615361</c:v>
                </c:pt>
                <c:pt idx="681">
                  <c:v>423.07692307692309</c:v>
                </c:pt>
                <c:pt idx="682">
                  <c:v>38.461538461538467</c:v>
                </c:pt>
                <c:pt idx="683">
                  <c:v>584.61538461538476</c:v>
                </c:pt>
                <c:pt idx="684">
                  <c:v>515.38461538461559</c:v>
                </c:pt>
                <c:pt idx="685">
                  <c:v>184.61538461538453</c:v>
                </c:pt>
                <c:pt idx="686">
                  <c:v>207.69230769230791</c:v>
                </c:pt>
                <c:pt idx="687">
                  <c:v>192.30769230769232</c:v>
                </c:pt>
                <c:pt idx="688">
                  <c:v>446.15384615384596</c:v>
                </c:pt>
                <c:pt idx="689">
                  <c:v>7.6923076923078018</c:v>
                </c:pt>
                <c:pt idx="690">
                  <c:v>353.84615384615398</c:v>
                </c:pt>
                <c:pt idx="691">
                  <c:v>684.61538461538453</c:v>
                </c:pt>
                <c:pt idx="692">
                  <c:v>446.15384615384596</c:v>
                </c:pt>
                <c:pt idx="693">
                  <c:v>261.53846153846143</c:v>
                </c:pt>
                <c:pt idx="694">
                  <c:v>246.15384615384636</c:v>
                </c:pt>
                <c:pt idx="695">
                  <c:v>323.07692307692332</c:v>
                </c:pt>
                <c:pt idx="696">
                  <c:v>523.07692307692287</c:v>
                </c:pt>
                <c:pt idx="697">
                  <c:v>246.15384615384636</c:v>
                </c:pt>
                <c:pt idx="698">
                  <c:v>-192.30769230769232</c:v>
                </c:pt>
                <c:pt idx="699">
                  <c:v>207.69230769230791</c:v>
                </c:pt>
                <c:pt idx="700">
                  <c:v>569.23076923076906</c:v>
                </c:pt>
                <c:pt idx="701">
                  <c:v>-61.53846153846132</c:v>
                </c:pt>
                <c:pt idx="702">
                  <c:v>500</c:v>
                </c:pt>
                <c:pt idx="703">
                  <c:v>484.61538461538441</c:v>
                </c:pt>
                <c:pt idx="704">
                  <c:v>430.76923076923089</c:v>
                </c:pt>
                <c:pt idx="705">
                  <c:v>538.46153846153845</c:v>
                </c:pt>
                <c:pt idx="706">
                  <c:v>353.84615384615398</c:v>
                </c:pt>
                <c:pt idx="707">
                  <c:v>292.30769230769209</c:v>
                </c:pt>
                <c:pt idx="708">
                  <c:v>261.53846153846143</c:v>
                </c:pt>
                <c:pt idx="709">
                  <c:v>269.23076923076923</c:v>
                </c:pt>
                <c:pt idx="710">
                  <c:v>415.3846153846153</c:v>
                </c:pt>
                <c:pt idx="711">
                  <c:v>369.23076923076906</c:v>
                </c:pt>
                <c:pt idx="712">
                  <c:v>0</c:v>
                </c:pt>
                <c:pt idx="713">
                  <c:v>376.92307692307679</c:v>
                </c:pt>
                <c:pt idx="714">
                  <c:v>407.69230769230745</c:v>
                </c:pt>
                <c:pt idx="715">
                  <c:v>-7.6923076923078018</c:v>
                </c:pt>
                <c:pt idx="716">
                  <c:v>15.384615384615604</c:v>
                </c:pt>
                <c:pt idx="717">
                  <c:v>0</c:v>
                </c:pt>
                <c:pt idx="718">
                  <c:v>-23.07692307692286</c:v>
                </c:pt>
                <c:pt idx="719">
                  <c:v>130.769230769231</c:v>
                </c:pt>
                <c:pt idx="720">
                  <c:v>53.846153846154067</c:v>
                </c:pt>
                <c:pt idx="721">
                  <c:v>-30.76923076923066</c:v>
                </c:pt>
                <c:pt idx="722">
                  <c:v>130.769230769231</c:v>
                </c:pt>
                <c:pt idx="723">
                  <c:v>115.38461538461539</c:v>
                </c:pt>
                <c:pt idx="724">
                  <c:v>146.15384615384605</c:v>
                </c:pt>
                <c:pt idx="725">
                  <c:v>-146.15384615384659</c:v>
                </c:pt>
                <c:pt idx="726">
                  <c:v>-115.38461538461539</c:v>
                </c:pt>
                <c:pt idx="727">
                  <c:v>146.15384615384605</c:v>
                </c:pt>
                <c:pt idx="728">
                  <c:v>215.38461538461519</c:v>
                </c:pt>
                <c:pt idx="729">
                  <c:v>76.923076923076934</c:v>
                </c:pt>
                <c:pt idx="730">
                  <c:v>-46.15384615384626</c:v>
                </c:pt>
                <c:pt idx="731">
                  <c:v>-38.461538461538467</c:v>
                </c:pt>
                <c:pt idx="732">
                  <c:v>0</c:v>
                </c:pt>
                <c:pt idx="733">
                  <c:v>-92.30769230769252</c:v>
                </c:pt>
                <c:pt idx="734">
                  <c:v>-76.923076923076934</c:v>
                </c:pt>
                <c:pt idx="735">
                  <c:v>-46.15384615384626</c:v>
                </c:pt>
                <c:pt idx="736">
                  <c:v>53.846153846154067</c:v>
                </c:pt>
                <c:pt idx="737">
                  <c:v>-23.07692307692286</c:v>
                </c:pt>
                <c:pt idx="738">
                  <c:v>69.230769230769127</c:v>
                </c:pt>
                <c:pt idx="739">
                  <c:v>130.769230769231</c:v>
                </c:pt>
                <c:pt idx="740">
                  <c:v>-146.15384615384605</c:v>
                </c:pt>
                <c:pt idx="741">
                  <c:v>69.230769230769127</c:v>
                </c:pt>
                <c:pt idx="742">
                  <c:v>-15.384615384615604</c:v>
                </c:pt>
                <c:pt idx="743">
                  <c:v>-30.76923076923066</c:v>
                </c:pt>
                <c:pt idx="744">
                  <c:v>284.61538461538481</c:v>
                </c:pt>
                <c:pt idx="745">
                  <c:v>-92.30769230769252</c:v>
                </c:pt>
                <c:pt idx="746">
                  <c:v>-23.07692307692286</c:v>
                </c:pt>
                <c:pt idx="747">
                  <c:v>92.30769230769252</c:v>
                </c:pt>
                <c:pt idx="748">
                  <c:v>-84.615384615384727</c:v>
                </c:pt>
                <c:pt idx="749">
                  <c:v>-69.230769230769127</c:v>
                </c:pt>
                <c:pt idx="750">
                  <c:v>-130.769230769231</c:v>
                </c:pt>
                <c:pt idx="751">
                  <c:v>-138.46153846153825</c:v>
                </c:pt>
                <c:pt idx="752">
                  <c:v>-84.615384615384173</c:v>
                </c:pt>
                <c:pt idx="753">
                  <c:v>-69.230769230769127</c:v>
                </c:pt>
                <c:pt idx="754">
                  <c:v>-115.38461538461539</c:v>
                </c:pt>
                <c:pt idx="755">
                  <c:v>107.69230769230759</c:v>
                </c:pt>
                <c:pt idx="756">
                  <c:v>169.23076923076945</c:v>
                </c:pt>
                <c:pt idx="757">
                  <c:v>-76.923076923076934</c:v>
                </c:pt>
                <c:pt idx="758">
                  <c:v>15.384615384615604</c:v>
                </c:pt>
                <c:pt idx="759">
                  <c:v>115.38461538461539</c:v>
                </c:pt>
                <c:pt idx="760">
                  <c:v>53.846153846154067</c:v>
                </c:pt>
                <c:pt idx="761">
                  <c:v>115.38461538461539</c:v>
                </c:pt>
                <c:pt idx="762">
                  <c:v>338.4615384615384</c:v>
                </c:pt>
                <c:pt idx="763">
                  <c:v>115.38461538461539</c:v>
                </c:pt>
                <c:pt idx="764">
                  <c:v>-107.69230769230813</c:v>
                </c:pt>
                <c:pt idx="765">
                  <c:v>169.23076923076945</c:v>
                </c:pt>
                <c:pt idx="766">
                  <c:v>192.30769230769232</c:v>
                </c:pt>
                <c:pt idx="767">
                  <c:v>250</c:v>
                </c:pt>
                <c:pt idx="768">
                  <c:v>424.99999999999892</c:v>
                </c:pt>
                <c:pt idx="769">
                  <c:v>175.00000000000071</c:v>
                </c:pt>
                <c:pt idx="770">
                  <c:v>-375</c:v>
                </c:pt>
                <c:pt idx="771">
                  <c:v>-174.99999999999983</c:v>
                </c:pt>
                <c:pt idx="772">
                  <c:v>200.00000000000017</c:v>
                </c:pt>
                <c:pt idx="773">
                  <c:v>300.00000000000068</c:v>
                </c:pt>
                <c:pt idx="774">
                  <c:v>74.999999999999289</c:v>
                </c:pt>
                <c:pt idx="775">
                  <c:v>150.00000000000034</c:v>
                </c:pt>
                <c:pt idx="776">
                  <c:v>224.99999999999966</c:v>
                </c:pt>
                <c:pt idx="777">
                  <c:v>-199.99999999999929</c:v>
                </c:pt>
                <c:pt idx="778">
                  <c:v>-49.999999999999822</c:v>
                </c:pt>
                <c:pt idx="779">
                  <c:v>-450.00000000000108</c:v>
                </c:pt>
                <c:pt idx="780">
                  <c:v>250</c:v>
                </c:pt>
                <c:pt idx="781">
                  <c:v>125</c:v>
                </c:pt>
                <c:pt idx="782">
                  <c:v>0</c:v>
                </c:pt>
                <c:pt idx="783">
                  <c:v>-349.99999999999966</c:v>
                </c:pt>
                <c:pt idx="784">
                  <c:v>125</c:v>
                </c:pt>
                <c:pt idx="785">
                  <c:v>-649.99999999999864</c:v>
                </c:pt>
                <c:pt idx="786">
                  <c:v>49.999999999999822</c:v>
                </c:pt>
                <c:pt idx="787">
                  <c:v>-375</c:v>
                </c:pt>
                <c:pt idx="788">
                  <c:v>275.00000000000034</c:v>
                </c:pt>
                <c:pt idx="789">
                  <c:v>99.999999999999645</c:v>
                </c:pt>
                <c:pt idx="790">
                  <c:v>99.999999999999645</c:v>
                </c:pt>
                <c:pt idx="791">
                  <c:v>150.00000000000034</c:v>
                </c:pt>
                <c:pt idx="792">
                  <c:v>-125</c:v>
                </c:pt>
                <c:pt idx="793">
                  <c:v>174.99999999999892</c:v>
                </c:pt>
                <c:pt idx="794">
                  <c:v>100.00000000000142</c:v>
                </c:pt>
                <c:pt idx="795">
                  <c:v>99.999999999999645</c:v>
                </c:pt>
                <c:pt idx="796">
                  <c:v>400.00000000000034</c:v>
                </c:pt>
                <c:pt idx="797">
                  <c:v>99.999999999999645</c:v>
                </c:pt>
                <c:pt idx="798">
                  <c:v>-125</c:v>
                </c:pt>
                <c:pt idx="799">
                  <c:v>299.99999999999892</c:v>
                </c:pt>
                <c:pt idx="800">
                  <c:v>-99.999999999999645</c:v>
                </c:pt>
                <c:pt idx="801">
                  <c:v>-85.714285714285921</c:v>
                </c:pt>
                <c:pt idx="802">
                  <c:v>-342.85714285714164</c:v>
                </c:pt>
                <c:pt idx="803">
                  <c:v>142.85714285714286</c:v>
                </c:pt>
                <c:pt idx="804">
                  <c:v>-228.57142857142978</c:v>
                </c:pt>
                <c:pt idx="805">
                  <c:v>-142.85714285714286</c:v>
                </c:pt>
                <c:pt idx="806">
                  <c:v>-114.28571428571489</c:v>
                </c:pt>
                <c:pt idx="807">
                  <c:v>-200.00000000000082</c:v>
                </c:pt>
                <c:pt idx="808">
                  <c:v>-142.85714285714286</c:v>
                </c:pt>
                <c:pt idx="809">
                  <c:v>28.571428571427962</c:v>
                </c:pt>
                <c:pt idx="810">
                  <c:v>-257.14285714285671</c:v>
                </c:pt>
                <c:pt idx="811">
                  <c:v>-200.00000000000082</c:v>
                </c:pt>
                <c:pt idx="812">
                  <c:v>0</c:v>
                </c:pt>
                <c:pt idx="813">
                  <c:v>-257.14285714285671</c:v>
                </c:pt>
                <c:pt idx="814">
                  <c:v>-199.9999999999998</c:v>
                </c:pt>
                <c:pt idx="815">
                  <c:v>-228.57142857142878</c:v>
                </c:pt>
                <c:pt idx="816">
                  <c:v>-399.9999999999996</c:v>
                </c:pt>
                <c:pt idx="817">
                  <c:v>-228.57142857142978</c:v>
                </c:pt>
                <c:pt idx="818">
                  <c:v>-142.85714285714286</c:v>
                </c:pt>
                <c:pt idx="819">
                  <c:v>-57.142857142857956</c:v>
                </c:pt>
                <c:pt idx="820">
                  <c:v>114.28571428571388</c:v>
                </c:pt>
                <c:pt idx="821">
                  <c:v>428.57142857142856</c:v>
                </c:pt>
                <c:pt idx="822">
                  <c:v>-171.42857142857184</c:v>
                </c:pt>
                <c:pt idx="823">
                  <c:v>-28.571428571428978</c:v>
                </c:pt>
                <c:pt idx="824">
                  <c:v>57.142857142855924</c:v>
                </c:pt>
                <c:pt idx="825">
                  <c:v>-57.142857142857956</c:v>
                </c:pt>
                <c:pt idx="826">
                  <c:v>-314.28571428571269</c:v>
                </c:pt>
                <c:pt idx="827">
                  <c:v>-171.4285714285698</c:v>
                </c:pt>
                <c:pt idx="828">
                  <c:v>-57.142857142857956</c:v>
                </c:pt>
                <c:pt idx="829">
                  <c:v>-200.00000000000082</c:v>
                </c:pt>
                <c:pt idx="830">
                  <c:v>-714.28571428571433</c:v>
                </c:pt>
                <c:pt idx="831">
                  <c:v>28.571428571428978</c:v>
                </c:pt>
                <c:pt idx="832">
                  <c:v>-142.85714285714286</c:v>
                </c:pt>
                <c:pt idx="833">
                  <c:v>-314.28571428571365</c:v>
                </c:pt>
                <c:pt idx="834">
                  <c:v>257.14285714285671</c:v>
                </c:pt>
                <c:pt idx="835">
                  <c:v>-57.14285714285694</c:v>
                </c:pt>
                <c:pt idx="836">
                  <c:v>-64.285714285714178</c:v>
                </c:pt>
                <c:pt idx="837">
                  <c:v>-57.14285714285694</c:v>
                </c:pt>
                <c:pt idx="838">
                  <c:v>-71.428571428571431</c:v>
                </c:pt>
                <c:pt idx="839">
                  <c:v>-242.85714285714275</c:v>
                </c:pt>
                <c:pt idx="840">
                  <c:v>-150.00000000000011</c:v>
                </c:pt>
                <c:pt idx="841">
                  <c:v>128.57142857142887</c:v>
                </c:pt>
                <c:pt idx="842">
                  <c:v>-228.57142857142878</c:v>
                </c:pt>
                <c:pt idx="843">
                  <c:v>-242.85714285714275</c:v>
                </c:pt>
                <c:pt idx="844">
                  <c:v>-271.42857142857173</c:v>
                </c:pt>
                <c:pt idx="845">
                  <c:v>-200.00000000000031</c:v>
                </c:pt>
                <c:pt idx="846">
                  <c:v>-142.85714285714286</c:v>
                </c:pt>
                <c:pt idx="847">
                  <c:v>-142.85714285714286</c:v>
                </c:pt>
                <c:pt idx="848">
                  <c:v>-164.28571428571408</c:v>
                </c:pt>
                <c:pt idx="849">
                  <c:v>-371.42857142857162</c:v>
                </c:pt>
                <c:pt idx="850">
                  <c:v>-157.14285714285683</c:v>
                </c:pt>
                <c:pt idx="851">
                  <c:v>28.571428571428978</c:v>
                </c:pt>
                <c:pt idx="852">
                  <c:v>-99.999999999999901</c:v>
                </c:pt>
                <c:pt idx="853">
                  <c:v>-242.85714285714275</c:v>
                </c:pt>
                <c:pt idx="854">
                  <c:v>-250</c:v>
                </c:pt>
                <c:pt idx="855">
                  <c:v>-328.57142857142867</c:v>
                </c:pt>
                <c:pt idx="856">
                  <c:v>-271.42857142857173</c:v>
                </c:pt>
                <c:pt idx="857">
                  <c:v>-142.85714285714286</c:v>
                </c:pt>
                <c:pt idx="858">
                  <c:v>-128.57142857142887</c:v>
                </c:pt>
                <c:pt idx="859">
                  <c:v>-128.57142857142887</c:v>
                </c:pt>
                <c:pt idx="860">
                  <c:v>-257.14285714285722</c:v>
                </c:pt>
                <c:pt idx="861">
                  <c:v>14.285714285714489</c:v>
                </c:pt>
                <c:pt idx="862">
                  <c:v>-142.85714285714286</c:v>
                </c:pt>
                <c:pt idx="863">
                  <c:v>-128.57142857142836</c:v>
                </c:pt>
                <c:pt idx="864">
                  <c:v>-157.14285714285734</c:v>
                </c:pt>
                <c:pt idx="865">
                  <c:v>14.285714285714489</c:v>
                </c:pt>
                <c:pt idx="866">
                  <c:v>-342.85714285714312</c:v>
                </c:pt>
                <c:pt idx="867">
                  <c:v>-57.14285714285694</c:v>
                </c:pt>
                <c:pt idx="868">
                  <c:v>-514.28571428571445</c:v>
                </c:pt>
                <c:pt idx="869">
                  <c:v>-285.71428571428572</c:v>
                </c:pt>
                <c:pt idx="870">
                  <c:v>42.857142857142961</c:v>
                </c:pt>
                <c:pt idx="871">
                  <c:v>-285.71428571428572</c:v>
                </c:pt>
                <c:pt idx="872">
                  <c:v>-185.7142857142853</c:v>
                </c:pt>
                <c:pt idx="873">
                  <c:v>-200.00000000000031</c:v>
                </c:pt>
                <c:pt idx="874">
                  <c:v>-114.28571428571439</c:v>
                </c:pt>
                <c:pt idx="875">
                  <c:v>80.000000000000199</c:v>
                </c:pt>
                <c:pt idx="876">
                  <c:v>233.33333333333334</c:v>
                </c:pt>
                <c:pt idx="877">
                  <c:v>186.66666666666649</c:v>
                </c:pt>
                <c:pt idx="878">
                  <c:v>40.000000000000099</c:v>
                </c:pt>
                <c:pt idx="879">
                  <c:v>-126.66666666666704</c:v>
                </c:pt>
                <c:pt idx="880">
                  <c:v>133.33333333333334</c:v>
                </c:pt>
                <c:pt idx="881">
                  <c:v>280.00000000000017</c:v>
                </c:pt>
                <c:pt idx="882">
                  <c:v>273.33333333333292</c:v>
                </c:pt>
                <c:pt idx="883">
                  <c:v>200</c:v>
                </c:pt>
                <c:pt idx="884">
                  <c:v>33.333333333333336</c:v>
                </c:pt>
                <c:pt idx="885">
                  <c:v>-206.66666666666629</c:v>
                </c:pt>
                <c:pt idx="886">
                  <c:v>-46.666666666666856</c:v>
                </c:pt>
                <c:pt idx="887">
                  <c:v>13.333333333333524</c:v>
                </c:pt>
                <c:pt idx="888">
                  <c:v>86.666666666666472</c:v>
                </c:pt>
                <c:pt idx="889">
                  <c:v>53.333333333333144</c:v>
                </c:pt>
                <c:pt idx="890">
                  <c:v>126.66666666666657</c:v>
                </c:pt>
                <c:pt idx="891">
                  <c:v>173.33333333333343</c:v>
                </c:pt>
                <c:pt idx="892">
                  <c:v>73.333333333333428</c:v>
                </c:pt>
                <c:pt idx="893">
                  <c:v>46.666666666666856</c:v>
                </c:pt>
                <c:pt idx="894">
                  <c:v>286.66666666666646</c:v>
                </c:pt>
                <c:pt idx="895">
                  <c:v>286.66666666666646</c:v>
                </c:pt>
                <c:pt idx="896">
                  <c:v>80.000000000000199</c:v>
                </c:pt>
                <c:pt idx="897">
                  <c:v>-59.999999999999908</c:v>
                </c:pt>
                <c:pt idx="898">
                  <c:v>159.99999999999989</c:v>
                </c:pt>
                <c:pt idx="899">
                  <c:v>-73.333333333333428</c:v>
                </c:pt>
                <c:pt idx="900">
                  <c:v>100</c:v>
                </c:pt>
                <c:pt idx="901">
                  <c:v>93.333333333333243</c:v>
                </c:pt>
                <c:pt idx="902">
                  <c:v>419.99999999999983</c:v>
                </c:pt>
                <c:pt idx="903">
                  <c:v>146.66666666666686</c:v>
                </c:pt>
                <c:pt idx="904">
                  <c:v>33.333333333333336</c:v>
                </c:pt>
                <c:pt idx="905">
                  <c:v>13.333333333333524</c:v>
                </c:pt>
                <c:pt idx="906">
                  <c:v>133.33333333333334</c:v>
                </c:pt>
                <c:pt idx="907">
                  <c:v>159.99999999999989</c:v>
                </c:pt>
                <c:pt idx="908">
                  <c:v>200</c:v>
                </c:pt>
                <c:pt idx="909">
                  <c:v>-53.333333333333144</c:v>
                </c:pt>
                <c:pt idx="910">
                  <c:v>186.66666666666649</c:v>
                </c:pt>
                <c:pt idx="911">
                  <c:v>340.00000000000006</c:v>
                </c:pt>
                <c:pt idx="912">
                  <c:v>-73.333333333333428</c:v>
                </c:pt>
                <c:pt idx="913">
                  <c:v>0</c:v>
                </c:pt>
                <c:pt idx="914">
                  <c:v>93.333333333333243</c:v>
                </c:pt>
                <c:pt idx="915">
                  <c:v>86.666666666666472</c:v>
                </c:pt>
                <c:pt idx="916">
                  <c:v>206.66666666666629</c:v>
                </c:pt>
                <c:pt idx="917">
                  <c:v>-119.99999999999982</c:v>
                </c:pt>
                <c:pt idx="918">
                  <c:v>39.999999999999616</c:v>
                </c:pt>
                <c:pt idx="919">
                  <c:v>66.666666666666671</c:v>
                </c:pt>
                <c:pt idx="920">
                  <c:v>133.33333333333334</c:v>
                </c:pt>
                <c:pt idx="921">
                  <c:v>133.33333333333334</c:v>
                </c:pt>
                <c:pt idx="922">
                  <c:v>-100</c:v>
                </c:pt>
                <c:pt idx="923">
                  <c:v>-66.666666666666671</c:v>
                </c:pt>
                <c:pt idx="924">
                  <c:v>-13.333333333333524</c:v>
                </c:pt>
                <c:pt idx="925">
                  <c:v>1239.9999999999995</c:v>
                </c:pt>
                <c:pt idx="926">
                  <c:v>46.666666666666856</c:v>
                </c:pt>
                <c:pt idx="927">
                  <c:v>-19.999999999999808</c:v>
                </c:pt>
                <c:pt idx="928">
                  <c:v>113.33333333333353</c:v>
                </c:pt>
                <c:pt idx="929">
                  <c:v>53.333333333333144</c:v>
                </c:pt>
                <c:pt idx="930">
                  <c:v>0</c:v>
                </c:pt>
                <c:pt idx="931">
                  <c:v>153.33333333333314</c:v>
                </c:pt>
                <c:pt idx="932">
                  <c:v>6.6666666666662877</c:v>
                </c:pt>
                <c:pt idx="933">
                  <c:v>153.33333333333314</c:v>
                </c:pt>
                <c:pt idx="934">
                  <c:v>173.33333333333343</c:v>
                </c:pt>
                <c:pt idx="935">
                  <c:v>73.333333333333428</c:v>
                </c:pt>
                <c:pt idx="936">
                  <c:v>6.666666666666762</c:v>
                </c:pt>
                <c:pt idx="937">
                  <c:v>-73.333333333333428</c:v>
                </c:pt>
                <c:pt idx="938">
                  <c:v>-113.33333333333353</c:v>
                </c:pt>
                <c:pt idx="939">
                  <c:v>-86.666666666666472</c:v>
                </c:pt>
                <c:pt idx="940">
                  <c:v>6.666666666666762</c:v>
                </c:pt>
                <c:pt idx="941">
                  <c:v>-39.999999999999616</c:v>
                </c:pt>
                <c:pt idx="942">
                  <c:v>-200</c:v>
                </c:pt>
                <c:pt idx="943">
                  <c:v>40.000000000000099</c:v>
                </c:pt>
                <c:pt idx="944">
                  <c:v>-46.666666666666856</c:v>
                </c:pt>
                <c:pt idx="945">
                  <c:v>213.33333333333351</c:v>
                </c:pt>
                <c:pt idx="946">
                  <c:v>173.33333333333294</c:v>
                </c:pt>
                <c:pt idx="947">
                  <c:v>200</c:v>
                </c:pt>
                <c:pt idx="948">
                  <c:v>66.666666666666671</c:v>
                </c:pt>
                <c:pt idx="949">
                  <c:v>33.333333333333336</c:v>
                </c:pt>
                <c:pt idx="950">
                  <c:v>33.333333333333336</c:v>
                </c:pt>
                <c:pt idx="951">
                  <c:v>-113.33333333333353</c:v>
                </c:pt>
                <c:pt idx="952">
                  <c:v>-33.333333333333336</c:v>
                </c:pt>
                <c:pt idx="953">
                  <c:v>-46.666666666666856</c:v>
                </c:pt>
                <c:pt idx="954">
                  <c:v>-180.0000000000002</c:v>
                </c:pt>
                <c:pt idx="955">
                  <c:v>-93.333333333333243</c:v>
                </c:pt>
                <c:pt idx="956">
                  <c:v>13.333333333333524</c:v>
                </c:pt>
                <c:pt idx="957">
                  <c:v>6.666666666666762</c:v>
                </c:pt>
                <c:pt idx="958">
                  <c:v>106.66666666666676</c:v>
                </c:pt>
                <c:pt idx="959">
                  <c:v>300</c:v>
                </c:pt>
                <c:pt idx="960">
                  <c:v>306.66666666666629</c:v>
                </c:pt>
                <c:pt idx="961">
                  <c:v>19.999999999999808</c:v>
                </c:pt>
                <c:pt idx="962">
                  <c:v>-193.33333333333326</c:v>
                </c:pt>
                <c:pt idx="963">
                  <c:v>260.0000000000004</c:v>
                </c:pt>
                <c:pt idx="964">
                  <c:v>-53.333333333333144</c:v>
                </c:pt>
                <c:pt idx="965">
                  <c:v>113.33333333333353</c:v>
                </c:pt>
                <c:pt idx="966">
                  <c:v>246.66666666666686</c:v>
                </c:pt>
                <c:pt idx="967">
                  <c:v>153.33333333333314</c:v>
                </c:pt>
                <c:pt idx="968">
                  <c:v>40.000000000000099</c:v>
                </c:pt>
                <c:pt idx="969">
                  <c:v>-53.333333333333144</c:v>
                </c:pt>
                <c:pt idx="970">
                  <c:v>19.999999999999808</c:v>
                </c:pt>
                <c:pt idx="971">
                  <c:v>53.333333333333144</c:v>
                </c:pt>
                <c:pt idx="972">
                  <c:v>-206.66666666666674</c:v>
                </c:pt>
                <c:pt idx="973">
                  <c:v>46.666666666666856</c:v>
                </c:pt>
                <c:pt idx="974">
                  <c:v>-19.999999999999808</c:v>
                </c:pt>
                <c:pt idx="975">
                  <c:v>-26.666666666666572</c:v>
                </c:pt>
                <c:pt idx="976">
                  <c:v>-153.33333333333314</c:v>
                </c:pt>
                <c:pt idx="977">
                  <c:v>-93.333333333333243</c:v>
                </c:pt>
                <c:pt idx="978">
                  <c:v>40.000000000000099</c:v>
                </c:pt>
                <c:pt idx="979">
                  <c:v>-6.666666666666762</c:v>
                </c:pt>
                <c:pt idx="980">
                  <c:v>28.571428571428978</c:v>
                </c:pt>
                <c:pt idx="981">
                  <c:v>-142.85714285714286</c:v>
                </c:pt>
                <c:pt idx="982">
                  <c:v>-171.42857142857184</c:v>
                </c:pt>
                <c:pt idx="983">
                  <c:v>-85.714285714284898</c:v>
                </c:pt>
                <c:pt idx="984">
                  <c:v>-85.714285714285921</c:v>
                </c:pt>
                <c:pt idx="985">
                  <c:v>57.14285714285694</c:v>
                </c:pt>
                <c:pt idx="986">
                  <c:v>-399.9999999999996</c:v>
                </c:pt>
                <c:pt idx="987">
                  <c:v>85.71428571428693</c:v>
                </c:pt>
                <c:pt idx="988">
                  <c:v>-171.42857142857082</c:v>
                </c:pt>
                <c:pt idx="989">
                  <c:v>-399.9999999999996</c:v>
                </c:pt>
                <c:pt idx="990">
                  <c:v>-114.28571428571388</c:v>
                </c:pt>
                <c:pt idx="991">
                  <c:v>-57.14285714285694</c:v>
                </c:pt>
                <c:pt idx="992">
                  <c:v>-114.28571428571388</c:v>
                </c:pt>
                <c:pt idx="993">
                  <c:v>-171.42857142857082</c:v>
                </c:pt>
                <c:pt idx="994">
                  <c:v>57.14285714285694</c:v>
                </c:pt>
                <c:pt idx="995">
                  <c:v>257.14285714285671</c:v>
                </c:pt>
                <c:pt idx="996">
                  <c:v>-114.28571428571388</c:v>
                </c:pt>
                <c:pt idx="997">
                  <c:v>57.142857142857956</c:v>
                </c:pt>
                <c:pt idx="998">
                  <c:v>-285.71428571428572</c:v>
                </c:pt>
                <c:pt idx="999">
                  <c:v>-142.85714285714286</c:v>
                </c:pt>
                <c:pt idx="1000">
                  <c:v>-257.14285714285671</c:v>
                </c:pt>
                <c:pt idx="1001">
                  <c:v>-142.85714285714286</c:v>
                </c:pt>
                <c:pt idx="1002">
                  <c:v>-57.142857142855924</c:v>
                </c:pt>
                <c:pt idx="1003">
                  <c:v>-371.42857142857059</c:v>
                </c:pt>
                <c:pt idx="1004">
                  <c:v>-199.99999999999878</c:v>
                </c:pt>
                <c:pt idx="1005">
                  <c:v>-257.14285714285876</c:v>
                </c:pt>
                <c:pt idx="1006">
                  <c:v>-85.71428571428693</c:v>
                </c:pt>
                <c:pt idx="1007">
                  <c:v>57.142857142857956</c:v>
                </c:pt>
                <c:pt idx="1008">
                  <c:v>-285.7142857142847</c:v>
                </c:pt>
                <c:pt idx="1009">
                  <c:v>-1085.7142857142858</c:v>
                </c:pt>
                <c:pt idx="1010">
                  <c:v>28.571428571428978</c:v>
                </c:pt>
                <c:pt idx="1011">
                  <c:v>57.142857142857956</c:v>
                </c:pt>
                <c:pt idx="1012">
                  <c:v>428.57142857142958</c:v>
                </c:pt>
                <c:pt idx="1013">
                  <c:v>-114.28571428571388</c:v>
                </c:pt>
                <c:pt idx="1014">
                  <c:v>-571.42857142857144</c:v>
                </c:pt>
                <c:pt idx="1015">
                  <c:v>-628.57142857142935</c:v>
                </c:pt>
                <c:pt idx="1016">
                  <c:v>-199.9999999999998</c:v>
                </c:pt>
                <c:pt idx="1017">
                  <c:v>-371.42857142857264</c:v>
                </c:pt>
                <c:pt idx="1018">
                  <c:v>-142.85714285714286</c:v>
                </c:pt>
                <c:pt idx="1019">
                  <c:v>-342.85714285714266</c:v>
                </c:pt>
                <c:pt idx="1020">
                  <c:v>-228.57142857142776</c:v>
                </c:pt>
                <c:pt idx="1021">
                  <c:v>-485.71428571428652</c:v>
                </c:pt>
                <c:pt idx="1022">
                  <c:v>371.42857142857162</c:v>
                </c:pt>
                <c:pt idx="1023">
                  <c:v>-114.28571428571388</c:v>
                </c:pt>
                <c:pt idx="1024">
                  <c:v>-400.00000000000063</c:v>
                </c:pt>
                <c:pt idx="1025">
                  <c:v>-171.42857142857184</c:v>
                </c:pt>
                <c:pt idx="1026">
                  <c:v>-200.00000000000082</c:v>
                </c:pt>
                <c:pt idx="1027">
                  <c:v>-314.28571428571468</c:v>
                </c:pt>
                <c:pt idx="1028">
                  <c:v>-457.14285714285654</c:v>
                </c:pt>
                <c:pt idx="1029">
                  <c:v>457.14285714285757</c:v>
                </c:pt>
                <c:pt idx="1030">
                  <c:v>-485.71428571428652</c:v>
                </c:pt>
                <c:pt idx="1031">
                  <c:v>-628.57142857142833</c:v>
                </c:pt>
                <c:pt idx="1032">
                  <c:v>-399.9999999999996</c:v>
                </c:pt>
                <c:pt idx="1033">
                  <c:v>-628.57142857142833</c:v>
                </c:pt>
                <c:pt idx="1034">
                  <c:v>-85.71428571428693</c:v>
                </c:pt>
                <c:pt idx="1035">
                  <c:v>-457.14285714285757</c:v>
                </c:pt>
                <c:pt idx="1036">
                  <c:v>-342.85714285714369</c:v>
                </c:pt>
                <c:pt idx="1037">
                  <c:v>-142.85714285714286</c:v>
                </c:pt>
                <c:pt idx="1038">
                  <c:v>-114.28571428571388</c:v>
                </c:pt>
                <c:pt idx="1039">
                  <c:v>-428.57142857142856</c:v>
                </c:pt>
                <c:pt idx="1040">
                  <c:v>-228.57142857142776</c:v>
                </c:pt>
                <c:pt idx="1041">
                  <c:v>-600.00000000000045</c:v>
                </c:pt>
                <c:pt idx="1042">
                  <c:v>-285.71428571428572</c:v>
                </c:pt>
                <c:pt idx="1043">
                  <c:v>1257.1428571428578</c:v>
                </c:pt>
                <c:pt idx="1044">
                  <c:v>457.14285714285757</c:v>
                </c:pt>
                <c:pt idx="1045">
                  <c:v>57.142857142855924</c:v>
                </c:pt>
                <c:pt idx="1046">
                  <c:v>142.85714285714286</c:v>
                </c:pt>
                <c:pt idx="1047">
                  <c:v>-799.9999999999992</c:v>
                </c:pt>
              </c:numCache>
            </c:numRef>
          </c:xVal>
          <c:yVal>
            <c:numRef>
              <c:f>stats_no_init!$W$17:$W$1079</c:f>
              <c:numCache>
                <c:formatCode>0.0</c:formatCode>
                <c:ptCount val="1063"/>
                <c:pt idx="0">
                  <c:v>47.782410714285717</c:v>
                </c:pt>
                <c:pt idx="1">
                  <c:v>52.769029999999958</c:v>
                </c:pt>
                <c:pt idx="2">
                  <c:v>64.279451857142845</c:v>
                </c:pt>
                <c:pt idx="3">
                  <c:v>38.480407714285676</c:v>
                </c:pt>
                <c:pt idx="4">
                  <c:v>38.214988142857123</c:v>
                </c:pt>
                <c:pt idx="5">
                  <c:v>46.221658285714255</c:v>
                </c:pt>
                <c:pt idx="6">
                  <c:v>37.432049714285725</c:v>
                </c:pt>
                <c:pt idx="7">
                  <c:v>72.798516428571389</c:v>
                </c:pt>
                <c:pt idx="8">
                  <c:v>55.997113285714299</c:v>
                </c:pt>
                <c:pt idx="9">
                  <c:v>19.030951714285692</c:v>
                </c:pt>
                <c:pt idx="10">
                  <c:v>-3.1680111428570825</c:v>
                </c:pt>
                <c:pt idx="11">
                  <c:v>50.903915571428563</c:v>
                </c:pt>
                <c:pt idx="12">
                  <c:v>33.527606428571424</c:v>
                </c:pt>
                <c:pt idx="13">
                  <c:v>40.316828571428566</c:v>
                </c:pt>
                <c:pt idx="14">
                  <c:v>59.800102571428546</c:v>
                </c:pt>
                <c:pt idx="15">
                  <c:v>10.82137357142855</c:v>
                </c:pt>
                <c:pt idx="16">
                  <c:v>12.889396</c:v>
                </c:pt>
                <c:pt idx="17">
                  <c:v>61.022674999999992</c:v>
                </c:pt>
                <c:pt idx="18">
                  <c:v>2.6015465714286119</c:v>
                </c:pt>
                <c:pt idx="19">
                  <c:v>50.503224000000003</c:v>
                </c:pt>
                <c:pt idx="20">
                  <c:v>47.714774714285667</c:v>
                </c:pt>
                <c:pt idx="21">
                  <c:v>45.308572285714305</c:v>
                </c:pt>
                <c:pt idx="22">
                  <c:v>45.16817585714287</c:v>
                </c:pt>
                <c:pt idx="23">
                  <c:v>48.362441142857158</c:v>
                </c:pt>
                <c:pt idx="24">
                  <c:v>20.867372571428589</c:v>
                </c:pt>
                <c:pt idx="25">
                  <c:v>37.809172142857122</c:v>
                </c:pt>
                <c:pt idx="26">
                  <c:v>59.220072142857099</c:v>
                </c:pt>
                <c:pt idx="27">
                  <c:v>47.787535142857109</c:v>
                </c:pt>
                <c:pt idx="28">
                  <c:v>50.667189571428509</c:v>
                </c:pt>
                <c:pt idx="29">
                  <c:v>63.975089857142848</c:v>
                </c:pt>
                <c:pt idx="30">
                  <c:v>55.687626857142853</c:v>
                </c:pt>
                <c:pt idx="31">
                  <c:v>59.659706142857196</c:v>
                </c:pt>
                <c:pt idx="32">
                  <c:v>29.019563571428527</c:v>
                </c:pt>
                <c:pt idx="33">
                  <c:v>65.023447857142898</c:v>
                </c:pt>
                <c:pt idx="34">
                  <c:v>53.078516428571405</c:v>
                </c:pt>
                <c:pt idx="35">
                  <c:v>20.76079414285714</c:v>
                </c:pt>
                <c:pt idx="36">
                  <c:v>71.609761999999989</c:v>
                </c:pt>
                <c:pt idx="37">
                  <c:v>64.110361857142834</c:v>
                </c:pt>
                <c:pt idx="38">
                  <c:v>41.032131000000021</c:v>
                </c:pt>
                <c:pt idx="39">
                  <c:v>29.115893142857132</c:v>
                </c:pt>
                <c:pt idx="40">
                  <c:v>101.61248699999996</c:v>
                </c:pt>
                <c:pt idx="41">
                  <c:v>40.582248142857125</c:v>
                </c:pt>
                <c:pt idx="42">
                  <c:v>9.3890142857162573E-2</c:v>
                </c:pt>
                <c:pt idx="43">
                  <c:v>10.043559571428551</c:v>
                </c:pt>
                <c:pt idx="44">
                  <c:v>35.42653885714288</c:v>
                </c:pt>
                <c:pt idx="45">
                  <c:v>44.762359857142869</c:v>
                </c:pt>
                <c:pt idx="46">
                  <c:v>44.322725857142871</c:v>
                </c:pt>
                <c:pt idx="47">
                  <c:v>43.167789428571417</c:v>
                </c:pt>
                <c:pt idx="48">
                  <c:v>61.360855000000001</c:v>
                </c:pt>
                <c:pt idx="49">
                  <c:v>28.468226714285734</c:v>
                </c:pt>
                <c:pt idx="50">
                  <c:v>47.478048714285713</c:v>
                </c:pt>
                <c:pt idx="51">
                  <c:v>46.260600714285715</c:v>
                </c:pt>
                <c:pt idx="52">
                  <c:v>38.857530142857172</c:v>
                </c:pt>
                <c:pt idx="53">
                  <c:v>27.652810769230769</c:v>
                </c:pt>
                <c:pt idx="54">
                  <c:v>27.652810769230769</c:v>
                </c:pt>
                <c:pt idx="55">
                  <c:v>30.013962115384611</c:v>
                </c:pt>
                <c:pt idx="56">
                  <c:v>29.253057115384614</c:v>
                </c:pt>
                <c:pt idx="57">
                  <c:v>31.106938461538459</c:v>
                </c:pt>
                <c:pt idx="58">
                  <c:v>6.2455759615384601</c:v>
                </c:pt>
                <c:pt idx="59">
                  <c:v>35.744696153846157</c:v>
                </c:pt>
                <c:pt idx="60">
                  <c:v>27.399175769230766</c:v>
                </c:pt>
                <c:pt idx="61">
                  <c:v>25.545294423076921</c:v>
                </c:pt>
                <c:pt idx="62">
                  <c:v>32.960819807692303</c:v>
                </c:pt>
                <c:pt idx="63">
                  <c:v>23.860503076923077</c:v>
                </c:pt>
                <c:pt idx="64">
                  <c:v>37.4294875</c:v>
                </c:pt>
                <c:pt idx="65">
                  <c:v>10.122428653846153</c:v>
                </c:pt>
                <c:pt idx="66">
                  <c:v>21.499351730769227</c:v>
                </c:pt>
                <c:pt idx="67">
                  <c:v>34.059904807692305</c:v>
                </c:pt>
                <c:pt idx="68">
                  <c:v>33.552634807692307</c:v>
                </c:pt>
                <c:pt idx="69">
                  <c:v>35.152881153846153</c:v>
                </c:pt>
                <c:pt idx="70">
                  <c:v>31.529663461538462</c:v>
                </c:pt>
                <c:pt idx="71">
                  <c:v>35.321971153846157</c:v>
                </c:pt>
                <c:pt idx="72">
                  <c:v>35.744696153846157</c:v>
                </c:pt>
                <c:pt idx="73">
                  <c:v>33.552634807692307</c:v>
                </c:pt>
                <c:pt idx="74">
                  <c:v>30.013962115384611</c:v>
                </c:pt>
                <c:pt idx="75">
                  <c:v>35.491061153846154</c:v>
                </c:pt>
                <c:pt idx="76">
                  <c:v>16.022252692307692</c:v>
                </c:pt>
                <c:pt idx="77">
                  <c:v>25.545294423076921</c:v>
                </c:pt>
                <c:pt idx="78">
                  <c:v>41.813610192307692</c:v>
                </c:pt>
                <c:pt idx="79">
                  <c:v>35.321971153846157</c:v>
                </c:pt>
                <c:pt idx="80">
                  <c:v>15.768617692307693</c:v>
                </c:pt>
                <c:pt idx="81">
                  <c:v>34.228994807692303</c:v>
                </c:pt>
                <c:pt idx="82">
                  <c:v>25.20711442307692</c:v>
                </c:pt>
                <c:pt idx="83">
                  <c:v>28.936554285714283</c:v>
                </c:pt>
                <c:pt idx="84">
                  <c:v>11.583046428571429</c:v>
                </c:pt>
                <c:pt idx="85">
                  <c:v>12.794218214285713</c:v>
                </c:pt>
                <c:pt idx="86">
                  <c:v>20.344345357142856</c:v>
                </c:pt>
                <c:pt idx="87">
                  <c:v>12.963308214285712</c:v>
                </c:pt>
                <c:pt idx="88">
                  <c:v>26.006940714285712</c:v>
                </c:pt>
                <c:pt idx="89">
                  <c:v>15.104474999999999</c:v>
                </c:pt>
                <c:pt idx="90">
                  <c:v>16.062011785714283</c:v>
                </c:pt>
                <c:pt idx="91">
                  <c:v>13.301488214285714</c:v>
                </c:pt>
                <c:pt idx="92">
                  <c:v>4.0329192857142857</c:v>
                </c:pt>
                <c:pt idx="93">
                  <c:v>12.540583214285713</c:v>
                </c:pt>
                <c:pt idx="94">
                  <c:v>7.807982857142858</c:v>
                </c:pt>
                <c:pt idx="95">
                  <c:v>10.653051428571429</c:v>
                </c:pt>
                <c:pt idx="96">
                  <c:v>7.2161678571428576</c:v>
                </c:pt>
                <c:pt idx="97">
                  <c:v>7.3007128571428579</c:v>
                </c:pt>
                <c:pt idx="98">
                  <c:v>3.8638292857142869</c:v>
                </c:pt>
                <c:pt idx="99">
                  <c:v>7.4698028571428567</c:v>
                </c:pt>
                <c:pt idx="100">
                  <c:v>12.794218214285713</c:v>
                </c:pt>
                <c:pt idx="101">
                  <c:v>7.9770728571428569</c:v>
                </c:pt>
                <c:pt idx="102">
                  <c:v>16.315646785714286</c:v>
                </c:pt>
                <c:pt idx="103">
                  <c:v>3.6101942857142859</c:v>
                </c:pt>
                <c:pt idx="104">
                  <c:v>18.710448571428572</c:v>
                </c:pt>
                <c:pt idx="105">
                  <c:v>11.075776428571428</c:v>
                </c:pt>
                <c:pt idx="106">
                  <c:v>9.7800596428571431</c:v>
                </c:pt>
                <c:pt idx="107">
                  <c:v>12.371493214285714</c:v>
                </c:pt>
                <c:pt idx="108">
                  <c:v>11.583046428571429</c:v>
                </c:pt>
                <c:pt idx="109">
                  <c:v>18.287723571428572</c:v>
                </c:pt>
                <c:pt idx="110">
                  <c:v>21.555517142857141</c:v>
                </c:pt>
                <c:pt idx="111">
                  <c:v>9.6955146428571428</c:v>
                </c:pt>
                <c:pt idx="112">
                  <c:v>25.584215714285712</c:v>
                </c:pt>
                <c:pt idx="113">
                  <c:v>-2.7688552857142845</c:v>
                </c:pt>
                <c:pt idx="114">
                  <c:v>12.060855</c:v>
                </c:pt>
                <c:pt idx="115">
                  <c:v>47.562593714285711</c:v>
                </c:pt>
                <c:pt idx="116">
                  <c:v>8.8496807142857534</c:v>
                </c:pt>
                <c:pt idx="117">
                  <c:v>19.886650571428589</c:v>
                </c:pt>
                <c:pt idx="118">
                  <c:v>17.035689714285695</c:v>
                </c:pt>
                <c:pt idx="119">
                  <c:v>19.796981142857142</c:v>
                </c:pt>
                <c:pt idx="120">
                  <c:v>19.644800142857143</c:v>
                </c:pt>
                <c:pt idx="121">
                  <c:v>4.2232748571428571</c:v>
                </c:pt>
                <c:pt idx="122">
                  <c:v>24.546874428571485</c:v>
                </c:pt>
                <c:pt idx="123">
                  <c:v>-6.1829375714285781</c:v>
                </c:pt>
                <c:pt idx="124">
                  <c:v>9.3671995714286016</c:v>
                </c:pt>
                <c:pt idx="125">
                  <c:v>27.60074328571428</c:v>
                </c:pt>
                <c:pt idx="126">
                  <c:v>27.374266142857127</c:v>
                </c:pt>
                <c:pt idx="127">
                  <c:v>14.320000857142848</c:v>
                </c:pt>
                <c:pt idx="128">
                  <c:v>21.121007571428592</c:v>
                </c:pt>
                <c:pt idx="129">
                  <c:v>17.605471285714348</c:v>
                </c:pt>
                <c:pt idx="130">
                  <c:v>3.6094264285714583</c:v>
                </c:pt>
                <c:pt idx="131">
                  <c:v>28.806406714285732</c:v>
                </c:pt>
                <c:pt idx="132">
                  <c:v>5.7502092857143055</c:v>
                </c:pt>
                <c:pt idx="133">
                  <c:v>15.266904857142897</c:v>
                </c:pt>
                <c:pt idx="134">
                  <c:v>26.332568285714281</c:v>
                </c:pt>
                <c:pt idx="135">
                  <c:v>3.6770624285714586</c:v>
                </c:pt>
                <c:pt idx="136">
                  <c:v>19.458801142857141</c:v>
                </c:pt>
                <c:pt idx="137">
                  <c:v>19.098587714285692</c:v>
                </c:pt>
                <c:pt idx="138">
                  <c:v>56.499258857142856</c:v>
                </c:pt>
                <c:pt idx="139">
                  <c:v>-8.5097194285714277</c:v>
                </c:pt>
                <c:pt idx="140">
                  <c:v>18.100956714285694</c:v>
                </c:pt>
                <c:pt idx="141">
                  <c:v>17.847321714285691</c:v>
                </c:pt>
                <c:pt idx="142">
                  <c:v>7.6322327142857036</c:v>
                </c:pt>
                <c:pt idx="143">
                  <c:v>36.463112285714274</c:v>
                </c:pt>
                <c:pt idx="144">
                  <c:v>15.740356857142796</c:v>
                </c:pt>
                <c:pt idx="145">
                  <c:v>-1.1066488571428366</c:v>
                </c:pt>
                <c:pt idx="146">
                  <c:v>18.146559285714247</c:v>
                </c:pt>
                <c:pt idx="147">
                  <c:v>16.765145714285744</c:v>
                </c:pt>
                <c:pt idx="148">
                  <c:v>28.180773714285735</c:v>
                </c:pt>
                <c:pt idx="149">
                  <c:v>2.9499754285714062</c:v>
                </c:pt>
                <c:pt idx="150">
                  <c:v>8.4945917142857557</c:v>
                </c:pt>
                <c:pt idx="151">
                  <c:v>35.972751285714274</c:v>
                </c:pt>
                <c:pt idx="152">
                  <c:v>40.925552571428568</c:v>
                </c:pt>
                <c:pt idx="153">
                  <c:v>33.854001857142876</c:v>
                </c:pt>
                <c:pt idx="154">
                  <c:v>38.395862714285769</c:v>
                </c:pt>
                <c:pt idx="155">
                  <c:v>23.994001857142884</c:v>
                </c:pt>
                <c:pt idx="156">
                  <c:v>11.210280571428651</c:v>
                </c:pt>
                <c:pt idx="157">
                  <c:v>-12.375220285714274</c:v>
                </c:pt>
                <c:pt idx="158">
                  <c:v>16.281444857142894</c:v>
                </c:pt>
                <c:pt idx="159">
                  <c:v>30.282614142857085</c:v>
                </c:pt>
                <c:pt idx="160">
                  <c:v>47.770626142857154</c:v>
                </c:pt>
                <c:pt idx="161">
                  <c:v>51.394276571428513</c:v>
                </c:pt>
                <c:pt idx="162">
                  <c:v>40.739553571428615</c:v>
                </c:pt>
                <c:pt idx="163">
                  <c:v>16.568897857142897</c:v>
                </c:pt>
                <c:pt idx="164">
                  <c:v>36.682929285714323</c:v>
                </c:pt>
                <c:pt idx="165">
                  <c:v>26.248023285714282</c:v>
                </c:pt>
                <c:pt idx="166">
                  <c:v>49.940102571428561</c:v>
                </c:pt>
                <c:pt idx="167">
                  <c:v>46.424566285714306</c:v>
                </c:pt>
                <c:pt idx="168">
                  <c:v>-22.764523714285716</c:v>
                </c:pt>
                <c:pt idx="169">
                  <c:v>38.052558285714326</c:v>
                </c:pt>
                <c:pt idx="170">
                  <c:v>69.790250142857133</c:v>
                </c:pt>
                <c:pt idx="171">
                  <c:v>34.259817857142878</c:v>
                </c:pt>
                <c:pt idx="172">
                  <c:v>31.420641571428526</c:v>
                </c:pt>
                <c:pt idx="173">
                  <c:v>67.958953714285741</c:v>
                </c:pt>
                <c:pt idx="174">
                  <c:v>30.456828571428577</c:v>
                </c:pt>
                <c:pt idx="175">
                  <c:v>26.434022285714335</c:v>
                </c:pt>
                <c:pt idx="176">
                  <c:v>20.613737571428594</c:v>
                </c:pt>
                <c:pt idx="177">
                  <c:v>28.65422571428573</c:v>
                </c:pt>
                <c:pt idx="178">
                  <c:v>47.90077371428572</c:v>
                </c:pt>
                <c:pt idx="179">
                  <c:v>18.173717142857143</c:v>
                </c:pt>
                <c:pt idx="180">
                  <c:v>36.327840285714274</c:v>
                </c:pt>
                <c:pt idx="181">
                  <c:v>27.098597714285706</c:v>
                </c:pt>
                <c:pt idx="182">
                  <c:v>5.1135595714285813</c:v>
                </c:pt>
                <c:pt idx="183">
                  <c:v>27.098597714285706</c:v>
                </c:pt>
                <c:pt idx="184">
                  <c:v>33.01482807142856</c:v>
                </c:pt>
                <c:pt idx="185">
                  <c:v>14.038440142857148</c:v>
                </c:pt>
                <c:pt idx="186">
                  <c:v>16.878000357142856</c:v>
                </c:pt>
                <c:pt idx="187">
                  <c:v>26.74940100000001</c:v>
                </c:pt>
                <c:pt idx="188">
                  <c:v>21.50953064285715</c:v>
                </c:pt>
                <c:pt idx="189">
                  <c:v>36.462728357142865</c:v>
                </c:pt>
                <c:pt idx="190">
                  <c:v>23.571660785714272</c:v>
                </c:pt>
                <c:pt idx="191">
                  <c:v>16.111586999999993</c:v>
                </c:pt>
                <c:pt idx="192">
                  <c:v>13.272026785714285</c:v>
                </c:pt>
                <c:pt idx="193">
                  <c:v>28.045117785714297</c:v>
                </c:pt>
                <c:pt idx="194">
                  <c:v>28.135171142857132</c:v>
                </c:pt>
                <c:pt idx="195">
                  <c:v>32.755684714285699</c:v>
                </c:pt>
                <c:pt idx="196">
                  <c:v>32.676648071428559</c:v>
                </c:pt>
                <c:pt idx="197">
                  <c:v>10.094286571428576</c:v>
                </c:pt>
                <c:pt idx="198">
                  <c:v>-13.096414999999999</c:v>
                </c:pt>
                <c:pt idx="199">
                  <c:v>28.383297785714294</c:v>
                </c:pt>
                <c:pt idx="200">
                  <c:v>22.46706742857144</c:v>
                </c:pt>
                <c:pt idx="201">
                  <c:v>28.462334428571431</c:v>
                </c:pt>
                <c:pt idx="202">
                  <c:v>24.957430928571419</c:v>
                </c:pt>
                <c:pt idx="203">
                  <c:v>7.0966530714285661</c:v>
                </c:pt>
                <c:pt idx="204">
                  <c:v>27.267687714285707</c:v>
                </c:pt>
                <c:pt idx="205">
                  <c:v>34.468618142857153</c:v>
                </c:pt>
                <c:pt idx="206">
                  <c:v>29.848104571428578</c:v>
                </c:pt>
                <c:pt idx="207">
                  <c:v>20.743117285714291</c:v>
                </c:pt>
                <c:pt idx="208">
                  <c:v>15.244103571428569</c:v>
                </c:pt>
                <c:pt idx="209">
                  <c:v>24.428127499999999</c:v>
                </c:pt>
                <c:pt idx="210">
                  <c:v>18.590933785714277</c:v>
                </c:pt>
                <c:pt idx="211">
                  <c:v>8.1222097857142899</c:v>
                </c:pt>
                <c:pt idx="212">
                  <c:v>22.625140714285713</c:v>
                </c:pt>
                <c:pt idx="213">
                  <c:v>29.938157928571421</c:v>
                </c:pt>
                <c:pt idx="214">
                  <c:v>25.126520928571416</c:v>
                </c:pt>
                <c:pt idx="215">
                  <c:v>17.554360357142855</c:v>
                </c:pt>
                <c:pt idx="216">
                  <c:v>14.139510214285707</c:v>
                </c:pt>
                <c:pt idx="217">
                  <c:v>36.192568285714273</c:v>
                </c:pt>
                <c:pt idx="218">
                  <c:v>21.76867399999999</c:v>
                </c:pt>
                <c:pt idx="219">
                  <c:v>14.477690214285708</c:v>
                </c:pt>
                <c:pt idx="220">
                  <c:v>1.5976393571428478</c:v>
                </c:pt>
                <c:pt idx="221">
                  <c:v>23.104484999999997</c:v>
                </c:pt>
                <c:pt idx="222">
                  <c:v>28.07146333333333</c:v>
                </c:pt>
                <c:pt idx="223">
                  <c:v>13.746460833333332</c:v>
                </c:pt>
                <c:pt idx="224">
                  <c:v>27.738577499999998</c:v>
                </c:pt>
                <c:pt idx="225">
                  <c:v>14.840251666666667</c:v>
                </c:pt>
                <c:pt idx="226">
                  <c:v>17.709487500000002</c:v>
                </c:pt>
                <c:pt idx="227">
                  <c:v>13.408280833333333</c:v>
                </c:pt>
                <c:pt idx="228">
                  <c:v>20.657974166666662</c:v>
                </c:pt>
                <c:pt idx="229">
                  <c:v>27.569487500000001</c:v>
                </c:pt>
                <c:pt idx="230">
                  <c:v>21.418879166666663</c:v>
                </c:pt>
                <c:pt idx="231">
                  <c:v>16.362061666666666</c:v>
                </c:pt>
                <c:pt idx="232">
                  <c:v>22.259034999999997</c:v>
                </c:pt>
                <c:pt idx="233">
                  <c:v>19.564183333333332</c:v>
                </c:pt>
                <c:pt idx="234">
                  <c:v>14.084640833333331</c:v>
                </c:pt>
                <c:pt idx="235">
                  <c:v>17.709487500000002</c:v>
                </c:pt>
                <c:pt idx="236">
                  <c:v>21.080699166666662</c:v>
                </c:pt>
                <c:pt idx="237">
                  <c:v>30.687064166666666</c:v>
                </c:pt>
                <c:pt idx="238">
                  <c:v>13.577370833333331</c:v>
                </c:pt>
                <c:pt idx="239">
                  <c:v>26.475696666666664</c:v>
                </c:pt>
                <c:pt idx="240">
                  <c:v>24.451910833333329</c:v>
                </c:pt>
                <c:pt idx="241">
                  <c:v>21.751764999999999</c:v>
                </c:pt>
                <c:pt idx="242">
                  <c:v>12.145399999999999</c:v>
                </c:pt>
                <c:pt idx="243">
                  <c:v>21.249789166666666</c:v>
                </c:pt>
                <c:pt idx="244">
                  <c:v>24.282820833333332</c:v>
                </c:pt>
                <c:pt idx="245">
                  <c:v>23.099190833333331</c:v>
                </c:pt>
                <c:pt idx="246">
                  <c:v>17.878577499999999</c:v>
                </c:pt>
                <c:pt idx="247">
                  <c:v>25.461156666666668</c:v>
                </c:pt>
                <c:pt idx="248">
                  <c:v>21.334334166666665</c:v>
                </c:pt>
                <c:pt idx="249">
                  <c:v>26.639492499999999</c:v>
                </c:pt>
                <c:pt idx="250">
                  <c:v>23.104484999999997</c:v>
                </c:pt>
                <c:pt idx="251">
                  <c:v>13.967858000000014</c:v>
                </c:pt>
                <c:pt idx="252">
                  <c:v>23.532878999999991</c:v>
                </c:pt>
                <c:pt idx="253">
                  <c:v>13.030337000000003</c:v>
                </c:pt>
                <c:pt idx="254">
                  <c:v>2.3098350000000014</c:v>
                </c:pt>
                <c:pt idx="255">
                  <c:v>10.676174000000003</c:v>
                </c:pt>
                <c:pt idx="256">
                  <c:v>16.524928999999993</c:v>
                </c:pt>
                <c:pt idx="257">
                  <c:v>14.398108999999998</c:v>
                </c:pt>
                <c:pt idx="258">
                  <c:v>15.031267999999987</c:v>
                </c:pt>
                <c:pt idx="259">
                  <c:v>16.829290999999991</c:v>
                </c:pt>
                <c:pt idx="260">
                  <c:v>14.20458399999999</c:v>
                </c:pt>
                <c:pt idx="261">
                  <c:v>18.55400899999999</c:v>
                </c:pt>
                <c:pt idx="262">
                  <c:v>23.480295000000005</c:v>
                </c:pt>
                <c:pt idx="263">
                  <c:v>3.7020420000000032</c:v>
                </c:pt>
                <c:pt idx="264">
                  <c:v>18.787021000000003</c:v>
                </c:pt>
                <c:pt idx="265">
                  <c:v>17.056633999999999</c:v>
                </c:pt>
                <c:pt idx="266">
                  <c:v>25.582679999999989</c:v>
                </c:pt>
                <c:pt idx="267">
                  <c:v>22.257178000000003</c:v>
                </c:pt>
                <c:pt idx="268">
                  <c:v>18.153861999999993</c:v>
                </c:pt>
                <c:pt idx="269">
                  <c:v>14.253454000000009</c:v>
                </c:pt>
                <c:pt idx="270">
                  <c:v>16.432858000000003</c:v>
                </c:pt>
                <c:pt idx="271">
                  <c:v>26.69867399999999</c:v>
                </c:pt>
                <c:pt idx="272">
                  <c:v>-0.77327200000000218</c:v>
                </c:pt>
                <c:pt idx="273">
                  <c:v>15.123338999999994</c:v>
                </c:pt>
                <c:pt idx="274">
                  <c:v>10.217774</c:v>
                </c:pt>
                <c:pt idx="275">
                  <c:v>7.6851379999999869</c:v>
                </c:pt>
                <c:pt idx="276">
                  <c:v>16.417806000000006</c:v>
                </c:pt>
                <c:pt idx="277">
                  <c:v>11.933109000000007</c:v>
                </c:pt>
                <c:pt idx="278">
                  <c:v>6.9880569999999853</c:v>
                </c:pt>
                <c:pt idx="279">
                  <c:v>9.4925440000000023</c:v>
                </c:pt>
                <c:pt idx="280">
                  <c:v>3.2717909999999968</c:v>
                </c:pt>
                <c:pt idx="281">
                  <c:v>10.811446000000004</c:v>
                </c:pt>
                <c:pt idx="282">
                  <c:v>10.986205000000007</c:v>
                </c:pt>
                <c:pt idx="283">
                  <c:v>23.591131999999998</c:v>
                </c:pt>
                <c:pt idx="284">
                  <c:v>1.5846049999999838</c:v>
                </c:pt>
                <c:pt idx="285">
                  <c:v>9.2896360000000051</c:v>
                </c:pt>
                <c:pt idx="286">
                  <c:v>14.954248999999994</c:v>
                </c:pt>
                <c:pt idx="287">
                  <c:v>22.933538000000002</c:v>
                </c:pt>
                <c:pt idx="288">
                  <c:v>7.4089249999999813</c:v>
                </c:pt>
                <c:pt idx="289">
                  <c:v>4.1322930000000131</c:v>
                </c:pt>
                <c:pt idx="290">
                  <c:v>10.743809999999982</c:v>
                </c:pt>
                <c:pt idx="291">
                  <c:v>13.958475</c:v>
                </c:pt>
                <c:pt idx="292">
                  <c:v>-1.6826439999999945</c:v>
                </c:pt>
                <c:pt idx="293">
                  <c:v>4.9589769999999866</c:v>
                </c:pt>
                <c:pt idx="294">
                  <c:v>14.619783000000004</c:v>
                </c:pt>
                <c:pt idx="295">
                  <c:v>5.3741760000000003</c:v>
                </c:pt>
                <c:pt idx="296">
                  <c:v>19.202220000000015</c:v>
                </c:pt>
                <c:pt idx="297">
                  <c:v>14.997450000000008</c:v>
                </c:pt>
                <c:pt idx="298">
                  <c:v>19.091383000000004</c:v>
                </c:pt>
                <c:pt idx="299">
                  <c:v>3.9632030000000142</c:v>
                </c:pt>
                <c:pt idx="300">
                  <c:v>23.228517000000011</c:v>
                </c:pt>
                <c:pt idx="301">
                  <c:v>-1.0250500000000002</c:v>
                </c:pt>
                <c:pt idx="302">
                  <c:v>15.596790999999996</c:v>
                </c:pt>
                <c:pt idx="303">
                  <c:v>10.565337000000012</c:v>
                </c:pt>
                <c:pt idx="304">
                  <c:v>28.090880999999996</c:v>
                </c:pt>
                <c:pt idx="305">
                  <c:v>28.293788999999993</c:v>
                </c:pt>
                <c:pt idx="306">
                  <c:v>32.52299399999999</c:v>
                </c:pt>
                <c:pt idx="307">
                  <c:v>27.955608999999995</c:v>
                </c:pt>
                <c:pt idx="308">
                  <c:v>36.592492</c:v>
                </c:pt>
                <c:pt idx="309">
                  <c:v>34.026037999999986</c:v>
                </c:pt>
                <c:pt idx="310">
                  <c:v>32.083359999999992</c:v>
                </c:pt>
                <c:pt idx="311">
                  <c:v>30.86024299999999</c:v>
                </c:pt>
                <c:pt idx="312">
                  <c:v>29.618359999999996</c:v>
                </c:pt>
                <c:pt idx="313">
                  <c:v>26.123768000000013</c:v>
                </c:pt>
                <c:pt idx="314">
                  <c:v>37.462377000000004</c:v>
                </c:pt>
                <c:pt idx="315">
                  <c:v>25.592063000000003</c:v>
                </c:pt>
                <c:pt idx="316">
                  <c:v>21.49813000000001</c:v>
                </c:pt>
                <c:pt idx="317">
                  <c:v>31.343077999999998</c:v>
                </c:pt>
                <c:pt idx="318">
                  <c:v>16.955179999999999</c:v>
                </c:pt>
                <c:pt idx="319">
                  <c:v>23.987565000000007</c:v>
                </c:pt>
                <c:pt idx="320">
                  <c:v>29.526288999999991</c:v>
                </c:pt>
                <c:pt idx="321">
                  <c:v>24.132219999999997</c:v>
                </c:pt>
                <c:pt idx="322">
                  <c:v>31.681257999999996</c:v>
                </c:pt>
                <c:pt idx="323">
                  <c:v>31.662491999999993</c:v>
                </c:pt>
                <c:pt idx="324">
                  <c:v>25.171195000000004</c:v>
                </c:pt>
                <c:pt idx="325">
                  <c:v>18.627313999999995</c:v>
                </c:pt>
                <c:pt idx="326">
                  <c:v>30.952313999999994</c:v>
                </c:pt>
                <c:pt idx="327">
                  <c:v>29.719814</c:v>
                </c:pt>
                <c:pt idx="328">
                  <c:v>24.098402</c:v>
                </c:pt>
                <c:pt idx="329">
                  <c:v>36.094604999999987</c:v>
                </c:pt>
                <c:pt idx="330">
                  <c:v>20.560608999999999</c:v>
                </c:pt>
                <c:pt idx="331">
                  <c:v>26.302241000000002</c:v>
                </c:pt>
                <c:pt idx="332">
                  <c:v>16.853725999999998</c:v>
                </c:pt>
                <c:pt idx="333">
                  <c:v>20.517407999999989</c:v>
                </c:pt>
                <c:pt idx="334">
                  <c:v>28.71465700000001</c:v>
                </c:pt>
                <c:pt idx="335">
                  <c:v>22.976738999999995</c:v>
                </c:pt>
                <c:pt idx="336">
                  <c:v>36.500420999999989</c:v>
                </c:pt>
                <c:pt idx="337">
                  <c:v>14.059929</c:v>
                </c:pt>
                <c:pt idx="338">
                  <c:v>29.932104999999989</c:v>
                </c:pt>
                <c:pt idx="339">
                  <c:v>35.968716000000001</c:v>
                </c:pt>
                <c:pt idx="340">
                  <c:v>24.866832999999986</c:v>
                </c:pt>
                <c:pt idx="341">
                  <c:v>30.550211999999981</c:v>
                </c:pt>
                <c:pt idx="342">
                  <c:v>29.685995999999996</c:v>
                </c:pt>
                <c:pt idx="343">
                  <c:v>16.616999999999997</c:v>
                </c:pt>
                <c:pt idx="344">
                  <c:v>25.524427000000003</c:v>
                </c:pt>
                <c:pt idx="345">
                  <c:v>23.760221999999999</c:v>
                </c:pt>
                <c:pt idx="346">
                  <c:v>32.353903999999986</c:v>
                </c:pt>
                <c:pt idx="347">
                  <c:v>22.730629999999984</c:v>
                </c:pt>
                <c:pt idx="348">
                  <c:v>34.151926999999993</c:v>
                </c:pt>
                <c:pt idx="349">
                  <c:v>14.523997999999988</c:v>
                </c:pt>
                <c:pt idx="350">
                  <c:v>26.022313999999991</c:v>
                </c:pt>
                <c:pt idx="351">
                  <c:v>12.000745000000007</c:v>
                </c:pt>
                <c:pt idx="352">
                  <c:v>21.903946000000008</c:v>
                </c:pt>
                <c:pt idx="353">
                  <c:v>25.214396000000022</c:v>
                </c:pt>
                <c:pt idx="354">
                  <c:v>21.885179999999984</c:v>
                </c:pt>
                <c:pt idx="355">
                  <c:v>29.18810899999999</c:v>
                </c:pt>
                <c:pt idx="356">
                  <c:v>25.571663285714283</c:v>
                </c:pt>
                <c:pt idx="357">
                  <c:v>10.635374571428601</c:v>
                </c:pt>
                <c:pt idx="358">
                  <c:v>-31.841585285714253</c:v>
                </c:pt>
                <c:pt idx="359">
                  <c:v>10.224434142857103</c:v>
                </c:pt>
                <c:pt idx="360">
                  <c:v>-11.372464857142878</c:v>
                </c:pt>
                <c:pt idx="361">
                  <c:v>8.550443142857155</c:v>
                </c:pt>
                <c:pt idx="362">
                  <c:v>9.9031631428571032</c:v>
                </c:pt>
                <c:pt idx="363">
                  <c:v>22.580305999999936</c:v>
                </c:pt>
                <c:pt idx="364">
                  <c:v>19.819014571428593</c:v>
                </c:pt>
                <c:pt idx="365">
                  <c:v>4.7254204285714074</c:v>
                </c:pt>
                <c:pt idx="366">
                  <c:v>53.46742342857145</c:v>
                </c:pt>
                <c:pt idx="367">
                  <c:v>13.626731857142847</c:v>
                </c:pt>
                <c:pt idx="368">
                  <c:v>36.322715857142882</c:v>
                </c:pt>
                <c:pt idx="369">
                  <c:v>14.747850285714296</c:v>
                </c:pt>
                <c:pt idx="370">
                  <c:v>22.906701428571438</c:v>
                </c:pt>
                <c:pt idx="371">
                  <c:v>4.1166964285714087</c:v>
                </c:pt>
                <c:pt idx="372">
                  <c:v>-3.7260081428571841</c:v>
                </c:pt>
                <c:pt idx="373">
                  <c:v>6.3589332857142544</c:v>
                </c:pt>
                <c:pt idx="374">
                  <c:v>6.1847188571428591</c:v>
                </c:pt>
                <c:pt idx="375">
                  <c:v>8.5335341428571532</c:v>
                </c:pt>
                <c:pt idx="376">
                  <c:v>29.55552714285708</c:v>
                </c:pt>
                <c:pt idx="377">
                  <c:v>3.6939714285714569</c:v>
                </c:pt>
                <c:pt idx="378">
                  <c:v>16.404932285714295</c:v>
                </c:pt>
                <c:pt idx="379">
                  <c:v>32.372669999999978</c:v>
                </c:pt>
                <c:pt idx="380">
                  <c:v>16.315262857142898</c:v>
                </c:pt>
                <c:pt idx="381">
                  <c:v>22.794998571428593</c:v>
                </c:pt>
                <c:pt idx="382">
                  <c:v>45.404901857142818</c:v>
                </c:pt>
                <c:pt idx="383">
                  <c:v>30.997916571428632</c:v>
                </c:pt>
                <c:pt idx="384">
                  <c:v>5.0856338571428568</c:v>
                </c:pt>
                <c:pt idx="385">
                  <c:v>4.7305448571428572</c:v>
                </c:pt>
                <c:pt idx="386">
                  <c:v>13.942878428571447</c:v>
                </c:pt>
                <c:pt idx="387">
                  <c:v>18.625135714285694</c:v>
                </c:pt>
                <c:pt idx="388">
                  <c:v>20.123376571428544</c:v>
                </c:pt>
                <c:pt idx="389">
                  <c:v>18.197286285714242</c:v>
                </c:pt>
                <c:pt idx="390">
                  <c:v>-15.953268142857173</c:v>
                </c:pt>
                <c:pt idx="391">
                  <c:v>-20.099561857142817</c:v>
                </c:pt>
                <c:pt idx="392">
                  <c:v>51.314856000000006</c:v>
                </c:pt>
                <c:pt idx="393">
                  <c:v>18.422227714285693</c:v>
                </c:pt>
                <c:pt idx="394">
                  <c:v>-6.5042085714285793</c:v>
                </c:pt>
                <c:pt idx="395">
                  <c:v>-11.479043285714324</c:v>
                </c:pt>
                <c:pt idx="396">
                  <c:v>-8.6398670000000308</c:v>
                </c:pt>
                <c:pt idx="397">
                  <c:v>-31.148316285714301</c:v>
                </c:pt>
                <c:pt idx="398">
                  <c:v>-10.065347428571426</c:v>
                </c:pt>
                <c:pt idx="399">
                  <c:v>38.277499714285668</c:v>
                </c:pt>
                <c:pt idx="400">
                  <c:v>3.0176114285714082</c:v>
                </c:pt>
                <c:pt idx="401">
                  <c:v>19.166223714285692</c:v>
                </c:pt>
                <c:pt idx="402">
                  <c:v>0.55043314285716427</c:v>
                </c:pt>
                <c:pt idx="403">
                  <c:v>-7.383476571428579</c:v>
                </c:pt>
                <c:pt idx="404">
                  <c:v>-12.295799714285673</c:v>
                </c:pt>
                <c:pt idx="405">
                  <c:v>13.993605428571346</c:v>
                </c:pt>
                <c:pt idx="406">
                  <c:v>55.090687428571407</c:v>
                </c:pt>
                <c:pt idx="407">
                  <c:v>-1.5175892857142834</c:v>
                </c:pt>
                <c:pt idx="408">
                  <c:v>-12.070858285714275</c:v>
                </c:pt>
                <c:pt idx="409">
                  <c:v>-5.1970911428571309</c:v>
                </c:pt>
                <c:pt idx="410">
                  <c:v>-5.9123935714286322</c:v>
                </c:pt>
                <c:pt idx="411">
                  <c:v>55.214174857142851</c:v>
                </c:pt>
                <c:pt idx="412">
                  <c:v>-30.083049285714303</c:v>
                </c:pt>
                <c:pt idx="413">
                  <c:v>-42.146343714285678</c:v>
                </c:pt>
                <c:pt idx="414">
                  <c:v>-1.1066488571428366</c:v>
                </c:pt>
                <c:pt idx="415">
                  <c:v>-3.9965521428570838</c:v>
                </c:pt>
                <c:pt idx="416">
                  <c:v>-36.867146999999996</c:v>
                </c:pt>
                <c:pt idx="417">
                  <c:v>24.974723857142884</c:v>
                </c:pt>
                <c:pt idx="418">
                  <c:v>-3.3319767142857319</c:v>
                </c:pt>
                <c:pt idx="419">
                  <c:v>34.969995857142877</c:v>
                </c:pt>
                <c:pt idx="420">
                  <c:v>-11.073227285714324</c:v>
                </c:pt>
                <c:pt idx="421">
                  <c:v>-15.823120571428568</c:v>
                </c:pt>
                <c:pt idx="422">
                  <c:v>-1.698463857142837</c:v>
                </c:pt>
                <c:pt idx="423">
                  <c:v>-1.8726782857142847</c:v>
                </c:pt>
                <c:pt idx="424">
                  <c:v>-9.7778944285714271</c:v>
                </c:pt>
                <c:pt idx="425">
                  <c:v>15.015832071428569</c:v>
                </c:pt>
                <c:pt idx="426">
                  <c:v>0.91320878571428565</c:v>
                </c:pt>
                <c:pt idx="427">
                  <c:v>-5.5801058571428594</c:v>
                </c:pt>
                <c:pt idx="428">
                  <c:v>1.2344797857142868</c:v>
                </c:pt>
                <c:pt idx="429">
                  <c:v>8.0321564285714295</c:v>
                </c:pt>
                <c:pt idx="430">
                  <c:v>8.3956999285714282</c:v>
                </c:pt>
                <c:pt idx="431">
                  <c:v>-2.2531307857142853</c:v>
                </c:pt>
                <c:pt idx="432">
                  <c:v>7.896884428571429</c:v>
                </c:pt>
                <c:pt idx="433">
                  <c:v>-5.8675588571428587</c:v>
                </c:pt>
                <c:pt idx="434">
                  <c:v>7.6178859285714289</c:v>
                </c:pt>
                <c:pt idx="435">
                  <c:v>4.3839103571428568</c:v>
                </c:pt>
                <c:pt idx="436">
                  <c:v>4.3670013571428568</c:v>
                </c:pt>
                <c:pt idx="437">
                  <c:v>-6.5861913571428587</c:v>
                </c:pt>
                <c:pt idx="438">
                  <c:v>-16.178209571428567</c:v>
                </c:pt>
                <c:pt idx="439">
                  <c:v>-9.4819869285714269</c:v>
                </c:pt>
                <c:pt idx="440">
                  <c:v>4.3754558571428577</c:v>
                </c:pt>
                <c:pt idx="441">
                  <c:v>43.626894642857138</c:v>
                </c:pt>
                <c:pt idx="442">
                  <c:v>11.832583499999998</c:v>
                </c:pt>
                <c:pt idx="443">
                  <c:v>0.50739278571428592</c:v>
                </c:pt>
                <c:pt idx="444">
                  <c:v>5.1363608571428587</c:v>
                </c:pt>
                <c:pt idx="445">
                  <c:v>7.6601584285714281</c:v>
                </c:pt>
                <c:pt idx="446">
                  <c:v>14.53392557142857</c:v>
                </c:pt>
                <c:pt idx="447">
                  <c:v>29.591907357142858</c:v>
                </c:pt>
                <c:pt idx="448">
                  <c:v>5.5083588571428566</c:v>
                </c:pt>
                <c:pt idx="449">
                  <c:v>18.664078142857139</c:v>
                </c:pt>
                <c:pt idx="450">
                  <c:v>18.714805142857141</c:v>
                </c:pt>
                <c:pt idx="451">
                  <c:v>8.1589739285714291</c:v>
                </c:pt>
                <c:pt idx="452">
                  <c:v>4.9757253571428572</c:v>
                </c:pt>
                <c:pt idx="453">
                  <c:v>4.7728173571428565</c:v>
                </c:pt>
                <c:pt idx="454">
                  <c:v>25.546299785714282</c:v>
                </c:pt>
                <c:pt idx="455">
                  <c:v>8.4971539285714286</c:v>
                </c:pt>
                <c:pt idx="456">
                  <c:v>25.529390785714284</c:v>
                </c:pt>
                <c:pt idx="457">
                  <c:v>7.8292484285714288</c:v>
                </c:pt>
                <c:pt idx="458">
                  <c:v>30.090722857142858</c:v>
                </c:pt>
                <c:pt idx="459">
                  <c:v>18.09762664285714</c:v>
                </c:pt>
                <c:pt idx="460">
                  <c:v>-9.1353524285714265</c:v>
                </c:pt>
                <c:pt idx="461">
                  <c:v>4.7812718571428574</c:v>
                </c:pt>
                <c:pt idx="462">
                  <c:v>21.999507714285713</c:v>
                </c:pt>
                <c:pt idx="463">
                  <c:v>7.5417954285714295</c:v>
                </c:pt>
                <c:pt idx="464">
                  <c:v>31.408856999999987</c:v>
                </c:pt>
                <c:pt idx="465">
                  <c:v>12.043946</c:v>
                </c:pt>
                <c:pt idx="466">
                  <c:v>38.388006333333294</c:v>
                </c:pt>
                <c:pt idx="467">
                  <c:v>66.169331666666722</c:v>
                </c:pt>
                <c:pt idx="468">
                  <c:v>69.273159666666672</c:v>
                </c:pt>
                <c:pt idx="469">
                  <c:v>27.97000933333333</c:v>
                </c:pt>
                <c:pt idx="470">
                  <c:v>21.021517666666664</c:v>
                </c:pt>
                <c:pt idx="471">
                  <c:v>32.643214000000043</c:v>
                </c:pt>
                <c:pt idx="472">
                  <c:v>29.630251666666631</c:v>
                </c:pt>
                <c:pt idx="473">
                  <c:v>38.080483999999998</c:v>
                </c:pt>
                <c:pt idx="474">
                  <c:v>9.298367333333287</c:v>
                </c:pt>
                <c:pt idx="475">
                  <c:v>27.41201233333333</c:v>
                </c:pt>
                <c:pt idx="476">
                  <c:v>40.349450333333358</c:v>
                </c:pt>
                <c:pt idx="477">
                  <c:v>22.143832333333322</c:v>
                </c:pt>
                <c:pt idx="478">
                  <c:v>19.939341666666664</c:v>
                </c:pt>
                <c:pt idx="479">
                  <c:v>39.132002333333354</c:v>
                </c:pt>
                <c:pt idx="480">
                  <c:v>64.644361333333364</c:v>
                </c:pt>
                <c:pt idx="481">
                  <c:v>43.537823333333307</c:v>
                </c:pt>
                <c:pt idx="482">
                  <c:v>77.977026999999978</c:v>
                </c:pt>
                <c:pt idx="483">
                  <c:v>41.235039000000008</c:v>
                </c:pt>
                <c:pt idx="484">
                  <c:v>40.87678966666671</c:v>
                </c:pt>
                <c:pt idx="485">
                  <c:v>28.747823333333329</c:v>
                </c:pt>
                <c:pt idx="486">
                  <c:v>43.723822333333302</c:v>
                </c:pt>
                <c:pt idx="487">
                  <c:v>-0.62926866666661851</c:v>
                </c:pt>
                <c:pt idx="488">
                  <c:v>28.440300999999977</c:v>
                </c:pt>
                <c:pt idx="489">
                  <c:v>74.112293999999906</c:v>
                </c:pt>
                <c:pt idx="490">
                  <c:v>34.5909093333334</c:v>
                </c:pt>
                <c:pt idx="491">
                  <c:v>14.346730333333239</c:v>
                </c:pt>
                <c:pt idx="492">
                  <c:v>48.65382233333338</c:v>
                </c:pt>
                <c:pt idx="493">
                  <c:v>23.395098333333323</c:v>
                </c:pt>
                <c:pt idx="494">
                  <c:v>29.136730333333329</c:v>
                </c:pt>
                <c:pt idx="495">
                  <c:v>64.458362333333355</c:v>
                </c:pt>
                <c:pt idx="496">
                  <c:v>26.61412900000003</c:v>
                </c:pt>
                <c:pt idx="497">
                  <c:v>23.933026000000023</c:v>
                </c:pt>
                <c:pt idx="498">
                  <c:v>17.450558333333369</c:v>
                </c:pt>
                <c:pt idx="499">
                  <c:v>22.259034999999962</c:v>
                </c:pt>
                <c:pt idx="500">
                  <c:v>-21.32999066666666</c:v>
                </c:pt>
                <c:pt idx="501">
                  <c:v>7.8072149999999292</c:v>
                </c:pt>
                <c:pt idx="502">
                  <c:v>30.069885666666689</c:v>
                </c:pt>
                <c:pt idx="503">
                  <c:v>9.1461863333333451</c:v>
                </c:pt>
                <c:pt idx="504">
                  <c:v>6.0994060000000472</c:v>
                </c:pt>
                <c:pt idx="505">
                  <c:v>-2.4247830000000317</c:v>
                </c:pt>
                <c:pt idx="506">
                  <c:v>-15.500653333333361</c:v>
                </c:pt>
                <c:pt idx="507">
                  <c:v>-11.980421</c:v>
                </c:pt>
                <c:pt idx="508">
                  <c:v>11.46904</c:v>
                </c:pt>
                <c:pt idx="509">
                  <c:v>16.852422666666712</c:v>
                </c:pt>
                <c:pt idx="510">
                  <c:v>21.528787666666666</c:v>
                </c:pt>
                <c:pt idx="511">
                  <c:v>4.2869826666666917</c:v>
                </c:pt>
                <c:pt idx="512">
                  <c:v>18.03921299999995</c:v>
                </c:pt>
                <c:pt idx="513">
                  <c:v>-10.658358666666643</c:v>
                </c:pt>
                <c:pt idx="514">
                  <c:v>-35.565153999999993</c:v>
                </c:pt>
                <c:pt idx="515">
                  <c:v>29.170548333333329</c:v>
                </c:pt>
                <c:pt idx="516">
                  <c:v>30.137521666666689</c:v>
                </c:pt>
                <c:pt idx="517">
                  <c:v>26.647946999999974</c:v>
                </c:pt>
                <c:pt idx="518">
                  <c:v>9.0785503333333448</c:v>
                </c:pt>
                <c:pt idx="519">
                  <c:v>-3.6453913333333308</c:v>
                </c:pt>
                <c:pt idx="520">
                  <c:v>25.204361333333381</c:v>
                </c:pt>
                <c:pt idx="521">
                  <c:v>11.127699666666643</c:v>
                </c:pt>
                <c:pt idx="522">
                  <c:v>19.871705666666664</c:v>
                </c:pt>
                <c:pt idx="523">
                  <c:v>2.9448509999999768</c:v>
                </c:pt>
                <c:pt idx="524">
                  <c:v>12.432853</c:v>
                </c:pt>
                <c:pt idx="525">
                  <c:v>25.57951966666662</c:v>
                </c:pt>
                <c:pt idx="526">
                  <c:v>20.463520666666664</c:v>
                </c:pt>
                <c:pt idx="527">
                  <c:v>-5.8298126666666903</c:v>
                </c:pt>
                <c:pt idx="528">
                  <c:v>-10.370905666666644</c:v>
                </c:pt>
                <c:pt idx="529">
                  <c:v>15.668792666666596</c:v>
                </c:pt>
                <c:pt idx="530">
                  <c:v>-5.623744333333331</c:v>
                </c:pt>
                <c:pt idx="531">
                  <c:v>3.9118243333333336</c:v>
                </c:pt>
                <c:pt idx="532">
                  <c:v>-0.1373274999999996</c:v>
                </c:pt>
                <c:pt idx="533">
                  <c:v>16.089553571428571</c:v>
                </c:pt>
                <c:pt idx="534">
                  <c:v>5.7366303571428583</c:v>
                </c:pt>
                <c:pt idx="535">
                  <c:v>12.1876725</c:v>
                </c:pt>
                <c:pt idx="536">
                  <c:v>13.948386785714286</c:v>
                </c:pt>
                <c:pt idx="537">
                  <c:v>13.737024285714286</c:v>
                </c:pt>
                <c:pt idx="538">
                  <c:v>-1.4330442857142849</c:v>
                </c:pt>
                <c:pt idx="539">
                  <c:v>3.2150110714285702</c:v>
                </c:pt>
                <c:pt idx="540">
                  <c:v>5.0602703571428576</c:v>
                </c:pt>
                <c:pt idx="541">
                  <c:v>-4.1237535714285727</c:v>
                </c:pt>
                <c:pt idx="542">
                  <c:v>14.286566785714285</c:v>
                </c:pt>
                <c:pt idx="543">
                  <c:v>-5.2503803571428591</c:v>
                </c:pt>
                <c:pt idx="544">
                  <c:v>24.639489999999999</c:v>
                </c:pt>
                <c:pt idx="545">
                  <c:v>1.2006617857142867</c:v>
                </c:pt>
                <c:pt idx="546">
                  <c:v>13.2022125</c:v>
                </c:pt>
                <c:pt idx="547">
                  <c:v>5.4829953571428574</c:v>
                </c:pt>
                <c:pt idx="548">
                  <c:v>16.005008571428569</c:v>
                </c:pt>
                <c:pt idx="549">
                  <c:v>25.189032499999996</c:v>
                </c:pt>
                <c:pt idx="550">
                  <c:v>7.1591646428571423</c:v>
                </c:pt>
                <c:pt idx="551">
                  <c:v>11.187863214285713</c:v>
                </c:pt>
                <c:pt idx="552">
                  <c:v>14.497929285714285</c:v>
                </c:pt>
                <c:pt idx="553">
                  <c:v>-1.4753167857142842</c:v>
                </c:pt>
                <c:pt idx="554">
                  <c:v>5.5252678571428584</c:v>
                </c:pt>
                <c:pt idx="555">
                  <c:v>30.259812857142855</c:v>
                </c:pt>
                <c:pt idx="556">
                  <c:v>3.2572835714285713</c:v>
                </c:pt>
                <c:pt idx="557">
                  <c:v>-1.0525917857142844</c:v>
                </c:pt>
                <c:pt idx="558">
                  <c:v>-3.6587560714285718</c:v>
                </c:pt>
                <c:pt idx="559">
                  <c:v>2.9613760714285711</c:v>
                </c:pt>
                <c:pt idx="560">
                  <c:v>9.7653289285714298</c:v>
                </c:pt>
                <c:pt idx="561">
                  <c:v>11.934037499999999</c:v>
                </c:pt>
                <c:pt idx="562">
                  <c:v>17.121337692307691</c:v>
                </c:pt>
                <c:pt idx="563">
                  <c:v>3.8844246153846154</c:v>
                </c:pt>
                <c:pt idx="564">
                  <c:v>12.103127499999999</c:v>
                </c:pt>
                <c:pt idx="565">
                  <c:v>9.0717248076923056</c:v>
                </c:pt>
                <c:pt idx="566">
                  <c:v>23.184143076923078</c:v>
                </c:pt>
                <c:pt idx="567">
                  <c:v>14.717913846153845</c:v>
                </c:pt>
                <c:pt idx="568">
                  <c:v>23.395505576923078</c:v>
                </c:pt>
                <c:pt idx="569">
                  <c:v>8.5644548076923073</c:v>
                </c:pt>
                <c:pt idx="570">
                  <c:v>24.410045576923075</c:v>
                </c:pt>
                <c:pt idx="571">
                  <c:v>24.832770576923075</c:v>
                </c:pt>
                <c:pt idx="572">
                  <c:v>24.705953076923077</c:v>
                </c:pt>
                <c:pt idx="573">
                  <c:v>10.460608653846153</c:v>
                </c:pt>
                <c:pt idx="574">
                  <c:v>20.744555384615381</c:v>
                </c:pt>
                <c:pt idx="575">
                  <c:v>31.82557096153846</c:v>
                </c:pt>
                <c:pt idx="576">
                  <c:v>18.594766538461538</c:v>
                </c:pt>
                <c:pt idx="577">
                  <c:v>22.556164230769227</c:v>
                </c:pt>
                <c:pt idx="578">
                  <c:v>10.671971153846155</c:v>
                </c:pt>
                <c:pt idx="579">
                  <c:v>19.687742884615382</c:v>
                </c:pt>
                <c:pt idx="580">
                  <c:v>15.267456346153844</c:v>
                </c:pt>
                <c:pt idx="581">
                  <c:v>18.763856538461539</c:v>
                </c:pt>
                <c:pt idx="582">
                  <c:v>15.768617692307693</c:v>
                </c:pt>
                <c:pt idx="583">
                  <c:v>16.022252692307692</c:v>
                </c:pt>
                <c:pt idx="584">
                  <c:v>13.033122499999999</c:v>
                </c:pt>
                <c:pt idx="585">
                  <c:v>14.717913846153845</c:v>
                </c:pt>
                <c:pt idx="586">
                  <c:v>5.780578461538461</c:v>
                </c:pt>
                <c:pt idx="587">
                  <c:v>20.702282884615386</c:v>
                </c:pt>
                <c:pt idx="588">
                  <c:v>10.376063653846154</c:v>
                </c:pt>
                <c:pt idx="589">
                  <c:v>11.179241153846153</c:v>
                </c:pt>
                <c:pt idx="590">
                  <c:v>13.787918846153845</c:v>
                </c:pt>
                <c:pt idx="591">
                  <c:v>11.306058653846154</c:v>
                </c:pt>
                <c:pt idx="592">
                  <c:v>0.42694571428571493</c:v>
                </c:pt>
                <c:pt idx="593">
                  <c:v>4.2865542857142866</c:v>
                </c:pt>
                <c:pt idx="594">
                  <c:v>-1.6719485714285724</c:v>
                </c:pt>
                <c:pt idx="595">
                  <c:v>2.4412950000000002</c:v>
                </c:pt>
                <c:pt idx="596">
                  <c:v>2.1031150000000007</c:v>
                </c:pt>
                <c:pt idx="597">
                  <c:v>4.6247342857142861</c:v>
                </c:pt>
                <c:pt idx="598">
                  <c:v>0.68058071428571587</c:v>
                </c:pt>
                <c:pt idx="599">
                  <c:v>3.4833767857142863</c:v>
                </c:pt>
                <c:pt idx="600">
                  <c:v>2.4412950000000002</c:v>
                </c:pt>
                <c:pt idx="601">
                  <c:v>5.5822710714285702</c:v>
                </c:pt>
                <c:pt idx="602">
                  <c:v>3.4833767857142863</c:v>
                </c:pt>
                <c:pt idx="603">
                  <c:v>5.8359060714285711</c:v>
                </c:pt>
                <c:pt idx="604">
                  <c:v>3.3565592857142867</c:v>
                </c:pt>
                <c:pt idx="605">
                  <c:v>-0.16486928571428372</c:v>
                </c:pt>
                <c:pt idx="606">
                  <c:v>7.1316228571428573</c:v>
                </c:pt>
                <c:pt idx="607">
                  <c:v>5.4131810714285713</c:v>
                </c:pt>
                <c:pt idx="608">
                  <c:v>1.8917525000000008</c:v>
                </c:pt>
                <c:pt idx="609">
                  <c:v>9.1459721428571434</c:v>
                </c:pt>
                <c:pt idx="610">
                  <c:v>11.41395642857143</c:v>
                </c:pt>
                <c:pt idx="611">
                  <c:v>7.3429853571428572</c:v>
                </c:pt>
                <c:pt idx="612">
                  <c:v>3.3565592857142867</c:v>
                </c:pt>
                <c:pt idx="613">
                  <c:v>4.371099285714287</c:v>
                </c:pt>
                <c:pt idx="614">
                  <c:v>10.991231428571428</c:v>
                </c:pt>
                <c:pt idx="615">
                  <c:v>2.4412950000000002</c:v>
                </c:pt>
                <c:pt idx="616">
                  <c:v>5.1172735714285711</c:v>
                </c:pt>
                <c:pt idx="617">
                  <c:v>2.4835674999999995</c:v>
                </c:pt>
                <c:pt idx="618">
                  <c:v>3.9483742857142854</c:v>
                </c:pt>
                <c:pt idx="619">
                  <c:v>8.8765714285715447E-2</c:v>
                </c:pt>
                <c:pt idx="620">
                  <c:v>5.9627235714285707</c:v>
                </c:pt>
                <c:pt idx="621">
                  <c:v>0.59603571428571556</c:v>
                </c:pt>
                <c:pt idx="622">
                  <c:v>17.052598714285693</c:v>
                </c:pt>
                <c:pt idx="623">
                  <c:v>6.5052219999999794</c:v>
                </c:pt>
                <c:pt idx="624">
                  <c:v>13.615715142857123</c:v>
                </c:pt>
                <c:pt idx="625">
                  <c:v>4.8996348571428578</c:v>
                </c:pt>
                <c:pt idx="626">
                  <c:v>26.766310000000011</c:v>
                </c:pt>
                <c:pt idx="627">
                  <c:v>2.2879622142857361</c:v>
                </c:pt>
                <c:pt idx="628">
                  <c:v>-28.709063714285737</c:v>
                </c:pt>
                <c:pt idx="629">
                  <c:v>26.800128000000008</c:v>
                </c:pt>
                <c:pt idx="630">
                  <c:v>14.269273857142846</c:v>
                </c:pt>
                <c:pt idx="631">
                  <c:v>27.419868714285734</c:v>
                </c:pt>
                <c:pt idx="632">
                  <c:v>18.979456857142868</c:v>
                </c:pt>
                <c:pt idx="633">
                  <c:v>20.692390285714264</c:v>
                </c:pt>
                <c:pt idx="634">
                  <c:v>-6.408646857142859</c:v>
                </c:pt>
                <c:pt idx="635">
                  <c:v>13.159172142857123</c:v>
                </c:pt>
                <c:pt idx="636">
                  <c:v>19.120621142857143</c:v>
                </c:pt>
                <c:pt idx="637">
                  <c:v>13.784805142857124</c:v>
                </c:pt>
                <c:pt idx="638">
                  <c:v>24.247636857142837</c:v>
                </c:pt>
                <c:pt idx="639">
                  <c:v>19.774179857142865</c:v>
                </c:pt>
                <c:pt idx="640">
                  <c:v>18.247245428571418</c:v>
                </c:pt>
                <c:pt idx="641">
                  <c:v>21.762781714285712</c:v>
                </c:pt>
                <c:pt idx="642">
                  <c:v>13.604698428571448</c:v>
                </c:pt>
                <c:pt idx="643">
                  <c:v>8.3306261428571524</c:v>
                </c:pt>
                <c:pt idx="644">
                  <c:v>15.288938285714295</c:v>
                </c:pt>
                <c:pt idx="645">
                  <c:v>2.7191417142857368</c:v>
                </c:pt>
                <c:pt idx="646">
                  <c:v>8.2747747142857548</c:v>
                </c:pt>
                <c:pt idx="647">
                  <c:v>14.472181857142846</c:v>
                </c:pt>
                <c:pt idx="648">
                  <c:v>4.5445458571428583</c:v>
                </c:pt>
                <c:pt idx="649">
                  <c:v>6.6912209999999783</c:v>
                </c:pt>
                <c:pt idx="650">
                  <c:v>15.582283571428571</c:v>
                </c:pt>
                <c:pt idx="651">
                  <c:v>23.932258142857162</c:v>
                </c:pt>
                <c:pt idx="652">
                  <c:v>13.598806142857121</c:v>
                </c:pt>
                <c:pt idx="653">
                  <c:v>-1.5234815714285617</c:v>
                </c:pt>
                <c:pt idx="654">
                  <c:v>20.709299285714266</c:v>
                </c:pt>
                <c:pt idx="655">
                  <c:v>32.732883428571427</c:v>
                </c:pt>
                <c:pt idx="656">
                  <c:v>26.738384285714282</c:v>
                </c:pt>
                <c:pt idx="657">
                  <c:v>11.767509714285724</c:v>
                </c:pt>
                <c:pt idx="658">
                  <c:v>19.120621142857143</c:v>
                </c:pt>
                <c:pt idx="659">
                  <c:v>-3.8561557142857321</c:v>
                </c:pt>
                <c:pt idx="660">
                  <c:v>12.860702428571448</c:v>
                </c:pt>
                <c:pt idx="661">
                  <c:v>18.190626142857141</c:v>
                </c:pt>
                <c:pt idx="662">
                  <c:v>28.561009846153837</c:v>
                </c:pt>
                <c:pt idx="663">
                  <c:v>13.762555346153846</c:v>
                </c:pt>
                <c:pt idx="664">
                  <c:v>16.609180769230761</c:v>
                </c:pt>
                <c:pt idx="665">
                  <c:v>38.691553846153838</c:v>
                </c:pt>
                <c:pt idx="666">
                  <c:v>43.31118080769231</c:v>
                </c:pt>
                <c:pt idx="667">
                  <c:v>22.60923707692308</c:v>
                </c:pt>
                <c:pt idx="668">
                  <c:v>12.86760007692307</c:v>
                </c:pt>
                <c:pt idx="669">
                  <c:v>29.554975653846164</c:v>
                </c:pt>
                <c:pt idx="670">
                  <c:v>27.565822307692319</c:v>
                </c:pt>
                <c:pt idx="671">
                  <c:v>21.431715730769227</c:v>
                </c:pt>
                <c:pt idx="672">
                  <c:v>34.330448807692306</c:v>
                </c:pt>
                <c:pt idx="673">
                  <c:v>17.905065115384609</c:v>
                </c:pt>
                <c:pt idx="674">
                  <c:v>35.908899230769222</c:v>
                </c:pt>
                <c:pt idx="675">
                  <c:v>19.692532192307681</c:v>
                </c:pt>
                <c:pt idx="676">
                  <c:v>20.198580461538455</c:v>
                </c:pt>
                <c:pt idx="677">
                  <c:v>7.3035125769230813</c:v>
                </c:pt>
                <c:pt idx="678">
                  <c:v>26.672088769230768</c:v>
                </c:pt>
                <c:pt idx="679">
                  <c:v>16.574141038461537</c:v>
                </c:pt>
                <c:pt idx="680">
                  <c:v>23.349567884615372</c:v>
                </c:pt>
                <c:pt idx="681">
                  <c:v>32.82554780769231</c:v>
                </c:pt>
                <c:pt idx="682">
                  <c:v>13.847100346153844</c:v>
                </c:pt>
                <c:pt idx="683">
                  <c:v>39.783308461538468</c:v>
                </c:pt>
                <c:pt idx="684">
                  <c:v>36.784502038461547</c:v>
                </c:pt>
                <c:pt idx="685">
                  <c:v>19.522220461538456</c:v>
                </c:pt>
                <c:pt idx="686">
                  <c:v>20.617640269230776</c:v>
                </c:pt>
                <c:pt idx="687">
                  <c:v>22.412437730769231</c:v>
                </c:pt>
                <c:pt idx="688">
                  <c:v>33.802604615384602</c:v>
                </c:pt>
                <c:pt idx="689">
                  <c:v>12.921992269230774</c:v>
                </c:pt>
                <c:pt idx="690">
                  <c:v>28.558566384615389</c:v>
                </c:pt>
                <c:pt idx="691">
                  <c:v>45.787029961538451</c:v>
                </c:pt>
                <c:pt idx="692">
                  <c:v>34.529691615384607</c:v>
                </c:pt>
                <c:pt idx="693">
                  <c:v>23.551254153846148</c:v>
                </c:pt>
                <c:pt idx="694">
                  <c:v>23.672060615384623</c:v>
                </c:pt>
                <c:pt idx="695">
                  <c:v>28.343636307692318</c:v>
                </c:pt>
                <c:pt idx="696">
                  <c:v>36.884734307692298</c:v>
                </c:pt>
                <c:pt idx="697">
                  <c:v>23.046427615384623</c:v>
                </c:pt>
                <c:pt idx="698">
                  <c:v>2.1489062692307694</c:v>
                </c:pt>
                <c:pt idx="699">
                  <c:v>22.19017726923078</c:v>
                </c:pt>
                <c:pt idx="700">
                  <c:v>39.599752923076913</c:v>
                </c:pt>
                <c:pt idx="701">
                  <c:v>8.8748278461538561</c:v>
                </c:pt>
                <c:pt idx="702">
                  <c:v>36.076767499999995</c:v>
                </c:pt>
                <c:pt idx="703">
                  <c:v>36.299027961538449</c:v>
                </c:pt>
                <c:pt idx="704">
                  <c:v>32.215602076923084</c:v>
                </c:pt>
                <c:pt idx="705">
                  <c:v>39.909001846153842</c:v>
                </c:pt>
                <c:pt idx="706">
                  <c:v>29.370198384615389</c:v>
                </c:pt>
                <c:pt idx="707">
                  <c:v>26.539260230769216</c:v>
                </c:pt>
                <c:pt idx="708">
                  <c:v>24.48124915384615</c:v>
                </c:pt>
                <c:pt idx="709">
                  <c:v>24.649117423076923</c:v>
                </c:pt>
                <c:pt idx="710">
                  <c:v>31.676957538461533</c:v>
                </c:pt>
                <c:pt idx="711">
                  <c:v>30.128659923076913</c:v>
                </c:pt>
                <c:pt idx="712">
                  <c:v>11.299949999999999</c:v>
                </c:pt>
                <c:pt idx="713">
                  <c:v>30.279619192307685</c:v>
                </c:pt>
                <c:pt idx="714">
                  <c:v>31.728906269230755</c:v>
                </c:pt>
                <c:pt idx="715">
                  <c:v>11.064445730769226</c:v>
                </c:pt>
                <c:pt idx="716">
                  <c:v>12.43040953846155</c:v>
                </c:pt>
                <c:pt idx="717">
                  <c:v>11.570494</c:v>
                </c:pt>
                <c:pt idx="718">
                  <c:v>10.153803192307702</c:v>
                </c:pt>
                <c:pt idx="719">
                  <c:v>18.533141576923086</c:v>
                </c:pt>
                <c:pt idx="720">
                  <c:v>14.554834884615394</c:v>
                </c:pt>
                <c:pt idx="721">
                  <c:v>9.5801189230769275</c:v>
                </c:pt>
                <c:pt idx="722">
                  <c:v>18.347142576923087</c:v>
                </c:pt>
                <c:pt idx="723">
                  <c:v>16.946139038461538</c:v>
                </c:pt>
                <c:pt idx="724">
                  <c:v>18.699788115384607</c:v>
                </c:pt>
                <c:pt idx="725">
                  <c:v>4.830106884615363</c:v>
                </c:pt>
                <c:pt idx="726">
                  <c:v>5.6030339615384612</c:v>
                </c:pt>
                <c:pt idx="727">
                  <c:v>19.004150115384611</c:v>
                </c:pt>
                <c:pt idx="728">
                  <c:v>23.710765538461526</c:v>
                </c:pt>
                <c:pt idx="729">
                  <c:v>14.669532692307691</c:v>
                </c:pt>
                <c:pt idx="730">
                  <c:v>8.7202033846153792</c:v>
                </c:pt>
                <c:pt idx="731">
                  <c:v>9.7166126538461537</c:v>
                </c:pt>
                <c:pt idx="732">
                  <c:v>11.807219999999999</c:v>
                </c:pt>
                <c:pt idx="733">
                  <c:v>8.5415347692307577</c:v>
                </c:pt>
                <c:pt idx="734">
                  <c:v>8.0656393076923081</c:v>
                </c:pt>
                <c:pt idx="735">
                  <c:v>9.9038333846153801</c:v>
                </c:pt>
                <c:pt idx="736">
                  <c:v>13.946110884615395</c:v>
                </c:pt>
                <c:pt idx="737">
                  <c:v>10.069258192307704</c:v>
                </c:pt>
                <c:pt idx="738">
                  <c:v>14.721481423076916</c:v>
                </c:pt>
                <c:pt idx="739">
                  <c:v>18.364051576923085</c:v>
                </c:pt>
                <c:pt idx="740">
                  <c:v>4.6948348846153891</c:v>
                </c:pt>
                <c:pt idx="741">
                  <c:v>14.806026423076917</c:v>
                </c:pt>
                <c:pt idx="742">
                  <c:v>11.353120461538449</c:v>
                </c:pt>
                <c:pt idx="743">
                  <c:v>9.1404849230769294</c:v>
                </c:pt>
                <c:pt idx="744">
                  <c:v>25.001762961538468</c:v>
                </c:pt>
                <c:pt idx="745">
                  <c:v>6.1911837692307596</c:v>
                </c:pt>
                <c:pt idx="746">
                  <c:v>11.337433192307703</c:v>
                </c:pt>
                <c:pt idx="747">
                  <c:v>17.118894230769243</c:v>
                </c:pt>
                <c:pt idx="748">
                  <c:v>6.7141410384615314</c:v>
                </c:pt>
                <c:pt idx="749">
                  <c:v>8.5716875769230807</c:v>
                </c:pt>
                <c:pt idx="750">
                  <c:v>5.9605664230769113</c:v>
                </c:pt>
                <c:pt idx="751">
                  <c:v>4.9472481538461635</c:v>
                </c:pt>
                <c:pt idx="752">
                  <c:v>9.0306740384615605</c:v>
                </c:pt>
                <c:pt idx="753">
                  <c:v>7.709328576923081</c:v>
                </c:pt>
                <c:pt idx="754">
                  <c:v>4.6392209615384612</c:v>
                </c:pt>
                <c:pt idx="755">
                  <c:v>16.778270769230765</c:v>
                </c:pt>
                <c:pt idx="756">
                  <c:v>19.964297923076934</c:v>
                </c:pt>
                <c:pt idx="757">
                  <c:v>7.524551307692307</c:v>
                </c:pt>
                <c:pt idx="758">
                  <c:v>12.41350053846155</c:v>
                </c:pt>
                <c:pt idx="759">
                  <c:v>17.165956038461538</c:v>
                </c:pt>
                <c:pt idx="760">
                  <c:v>13.540294884615394</c:v>
                </c:pt>
                <c:pt idx="761">
                  <c:v>17.047593038461539</c:v>
                </c:pt>
                <c:pt idx="762">
                  <c:v>28.442646846153842</c:v>
                </c:pt>
                <c:pt idx="763">
                  <c:v>17.859225038461538</c:v>
                </c:pt>
                <c:pt idx="764">
                  <c:v>7.4618022307692087</c:v>
                </c:pt>
                <c:pt idx="765">
                  <c:v>19.321755923076935</c:v>
                </c:pt>
                <c:pt idx="766">
                  <c:v>21.008990730769227</c:v>
                </c:pt>
                <c:pt idx="767">
                  <c:v>24.182946999999999</c:v>
                </c:pt>
                <c:pt idx="768">
                  <c:v>33.283898999999948</c:v>
                </c:pt>
                <c:pt idx="769">
                  <c:v>20.840536000000036</c:v>
                </c:pt>
                <c:pt idx="770">
                  <c:v>-5.1584699999999977</c:v>
                </c:pt>
                <c:pt idx="771">
                  <c:v>3.0106300000000097</c:v>
                </c:pt>
                <c:pt idx="772">
                  <c:v>21.531948000000007</c:v>
                </c:pt>
                <c:pt idx="773">
                  <c:v>27.797759000000028</c:v>
                </c:pt>
                <c:pt idx="774">
                  <c:v>16.671440999999966</c:v>
                </c:pt>
                <c:pt idx="775">
                  <c:v>19.050039000000016</c:v>
                </c:pt>
                <c:pt idx="776">
                  <c:v>24.675164999999982</c:v>
                </c:pt>
                <c:pt idx="777">
                  <c:v>2.5897620000000359</c:v>
                </c:pt>
                <c:pt idx="778">
                  <c:v>8.4798610000000103</c:v>
                </c:pt>
                <c:pt idx="779">
                  <c:v>-8.4332450000000527</c:v>
                </c:pt>
                <c:pt idx="780">
                  <c:v>23.134588999999998</c:v>
                </c:pt>
                <c:pt idx="781">
                  <c:v>17.969719999999999</c:v>
                </c:pt>
                <c:pt idx="782">
                  <c:v>12.838668999999998</c:v>
                </c:pt>
                <c:pt idx="783">
                  <c:v>-3.7906979999999795</c:v>
                </c:pt>
                <c:pt idx="784">
                  <c:v>18.561534999999999</c:v>
                </c:pt>
                <c:pt idx="785">
                  <c:v>-18.597606999999932</c:v>
                </c:pt>
                <c:pt idx="786">
                  <c:v>14.15385699999999</c:v>
                </c:pt>
                <c:pt idx="787">
                  <c:v>-5.8010119999999965</c:v>
                </c:pt>
                <c:pt idx="788">
                  <c:v>26.057989000000017</c:v>
                </c:pt>
                <c:pt idx="789">
                  <c:v>17.49812499999998</c:v>
                </c:pt>
                <c:pt idx="790">
                  <c:v>17.515033999999982</c:v>
                </c:pt>
                <c:pt idx="791">
                  <c:v>21.146755000000013</c:v>
                </c:pt>
                <c:pt idx="792">
                  <c:v>8.7052489999999985</c:v>
                </c:pt>
                <c:pt idx="793">
                  <c:v>21.973438999999942</c:v>
                </c:pt>
                <c:pt idx="794">
                  <c:v>17.70103300000007</c:v>
                </c:pt>
                <c:pt idx="795">
                  <c:v>17.49812499999998</c:v>
                </c:pt>
                <c:pt idx="796">
                  <c:v>31.882309000000017</c:v>
                </c:pt>
                <c:pt idx="797">
                  <c:v>17.701032999999981</c:v>
                </c:pt>
                <c:pt idx="798">
                  <c:v>7.2679839999999984</c:v>
                </c:pt>
                <c:pt idx="799">
                  <c:v>26.817036999999942</c:v>
                </c:pt>
                <c:pt idx="800">
                  <c:v>9.0753900000000165</c:v>
                </c:pt>
                <c:pt idx="801">
                  <c:v>7.5815057142857034</c:v>
                </c:pt>
                <c:pt idx="802">
                  <c:v>-4.7743661428570832</c:v>
                </c:pt>
                <c:pt idx="803">
                  <c:v>19.340438142857142</c:v>
                </c:pt>
                <c:pt idx="804">
                  <c:v>1.9251865714285117</c:v>
                </c:pt>
                <c:pt idx="805">
                  <c:v>4.5107278571428582</c:v>
                </c:pt>
                <c:pt idx="806">
                  <c:v>5.9700262857142548</c:v>
                </c:pt>
                <c:pt idx="807">
                  <c:v>3.0293959999999593</c:v>
                </c:pt>
                <c:pt idx="808">
                  <c:v>5.8465388571428578</c:v>
                </c:pt>
                <c:pt idx="809">
                  <c:v>13.080519428571399</c:v>
                </c:pt>
                <c:pt idx="810">
                  <c:v>0.75334114285716147</c:v>
                </c:pt>
                <c:pt idx="811">
                  <c:v>2.471398999999959</c:v>
                </c:pt>
                <c:pt idx="812">
                  <c:v>10.944861000000001</c:v>
                </c:pt>
                <c:pt idx="813">
                  <c:v>0.9224311428571621</c:v>
                </c:pt>
                <c:pt idx="814">
                  <c:v>0.83122600000000979</c:v>
                </c:pt>
                <c:pt idx="815">
                  <c:v>0.40337657142856109</c:v>
                </c:pt>
                <c:pt idx="816">
                  <c:v>-7.1180569999999772</c:v>
                </c:pt>
                <c:pt idx="817">
                  <c:v>2.0604585714285122</c:v>
                </c:pt>
                <c:pt idx="818">
                  <c:v>5.2716328571428575</c:v>
                </c:pt>
                <c:pt idx="819">
                  <c:v>10.596432142857104</c:v>
                </c:pt>
                <c:pt idx="820">
                  <c:v>17.390778714285695</c:v>
                </c:pt>
                <c:pt idx="821">
                  <c:v>34.068694428571426</c:v>
                </c:pt>
                <c:pt idx="822">
                  <c:v>3.9476064285714081</c:v>
                </c:pt>
                <c:pt idx="823">
                  <c:v>11.14264457142855</c:v>
                </c:pt>
                <c:pt idx="824">
                  <c:v>15.435994857142795</c:v>
                </c:pt>
                <c:pt idx="825">
                  <c:v>10.900794142857102</c:v>
                </c:pt>
                <c:pt idx="826">
                  <c:v>-0.81253571428563376</c:v>
                </c:pt>
                <c:pt idx="827">
                  <c:v>4.7930564285715089</c:v>
                </c:pt>
                <c:pt idx="828">
                  <c:v>9.9200721428571015</c:v>
                </c:pt>
                <c:pt idx="829">
                  <c:v>2.5897619999999595</c:v>
                </c:pt>
                <c:pt idx="830">
                  <c:v>-23.474701714285715</c:v>
                </c:pt>
                <c:pt idx="831">
                  <c:v>14.196513428571448</c:v>
                </c:pt>
                <c:pt idx="832">
                  <c:v>6.303081857142856</c:v>
                </c:pt>
                <c:pt idx="833">
                  <c:v>-3.6532477142856834</c:v>
                </c:pt>
                <c:pt idx="834">
                  <c:v>26.834713857142837</c:v>
                </c:pt>
                <c:pt idx="835">
                  <c:v>8.5335341428571532</c:v>
                </c:pt>
                <c:pt idx="836">
                  <c:v>8.1898457857142901</c:v>
                </c:pt>
                <c:pt idx="837">
                  <c:v>8.6180791428571517</c:v>
                </c:pt>
                <c:pt idx="838">
                  <c:v>8.3365184285714289</c:v>
                </c:pt>
                <c:pt idx="839">
                  <c:v>-0.28400014285713837</c:v>
                </c:pt>
                <c:pt idx="840">
                  <c:v>3.871131999999994</c:v>
                </c:pt>
                <c:pt idx="841">
                  <c:v>17.925974428571443</c:v>
                </c:pt>
                <c:pt idx="842">
                  <c:v>0.47101257142855957</c:v>
                </c:pt>
                <c:pt idx="843">
                  <c:v>-0.80817914285713677</c:v>
                </c:pt>
                <c:pt idx="844">
                  <c:v>-1.7771165714285875</c:v>
                </c:pt>
                <c:pt idx="845">
                  <c:v>1.1355879999999843</c:v>
                </c:pt>
                <c:pt idx="846">
                  <c:v>4.3247288571428575</c:v>
                </c:pt>
                <c:pt idx="847">
                  <c:v>3.986548857142858</c:v>
                </c:pt>
                <c:pt idx="848">
                  <c:v>2.7525757857142956</c:v>
                </c:pt>
                <c:pt idx="849">
                  <c:v>-6.6732985714285782</c:v>
                </c:pt>
                <c:pt idx="850">
                  <c:v>3.7388061428571584</c:v>
                </c:pt>
                <c:pt idx="851">
                  <c:v>13.012883428571447</c:v>
                </c:pt>
                <c:pt idx="852">
                  <c:v>6.9786740000000052</c:v>
                </c:pt>
                <c:pt idx="853">
                  <c:v>-0.35163614285713862</c:v>
                </c:pt>
                <c:pt idx="854">
                  <c:v>-1.4224115000000008</c:v>
                </c:pt>
                <c:pt idx="855">
                  <c:v>-4.3913514285714346</c:v>
                </c:pt>
                <c:pt idx="856">
                  <c:v>-2.554930571428585</c:v>
                </c:pt>
                <c:pt idx="857">
                  <c:v>3.8512768571428575</c:v>
                </c:pt>
                <c:pt idx="858">
                  <c:v>5.3841035714285566</c:v>
                </c:pt>
                <c:pt idx="859">
                  <c:v>6.0097365714285571</c:v>
                </c:pt>
                <c:pt idx="860">
                  <c:v>-1.3264658571428622</c:v>
                </c:pt>
                <c:pt idx="861">
                  <c:v>12.308597714285723</c:v>
                </c:pt>
                <c:pt idx="862">
                  <c:v>4.4092738571428578</c:v>
                </c:pt>
                <c:pt idx="863">
                  <c:v>5.5701025714285812</c:v>
                </c:pt>
                <c:pt idx="864">
                  <c:v>4.0262591428571328</c:v>
                </c:pt>
                <c:pt idx="865">
                  <c:v>12.207143714285724</c:v>
                </c:pt>
                <c:pt idx="866">
                  <c:v>-5.450726142857155</c:v>
                </c:pt>
                <c:pt idx="867">
                  <c:v>8.6688061428571537</c:v>
                </c:pt>
                <c:pt idx="868">
                  <c:v>-14.358697714285725</c:v>
                </c:pt>
                <c:pt idx="869">
                  <c:v>-1.7712242857142844</c:v>
                </c:pt>
                <c:pt idx="870">
                  <c:v>13.226808142857148</c:v>
                </c:pt>
                <c:pt idx="871">
                  <c:v>-2.3461302857142847</c:v>
                </c:pt>
                <c:pt idx="872">
                  <c:v>2.2625987142857351</c:v>
                </c:pt>
                <c:pt idx="873">
                  <c:v>1.3554049999999833</c:v>
                </c:pt>
                <c:pt idx="874">
                  <c:v>5.3782112857142801</c:v>
                </c:pt>
                <c:pt idx="875">
                  <c:v>15.92031000000001</c:v>
                </c:pt>
                <c:pt idx="876">
                  <c:v>23.665642333333331</c:v>
                </c:pt>
                <c:pt idx="877">
                  <c:v>20.739342666666658</c:v>
                </c:pt>
                <c:pt idx="878">
                  <c:v>14.168127000000004</c:v>
                </c:pt>
                <c:pt idx="879">
                  <c:v>6.1881863333333129</c:v>
                </c:pt>
                <c:pt idx="880">
                  <c:v>17.974737333333334</c:v>
                </c:pt>
                <c:pt idx="881">
                  <c:v>25.50976600000001</c:v>
                </c:pt>
                <c:pt idx="882">
                  <c:v>25.553097333333312</c:v>
                </c:pt>
                <c:pt idx="883">
                  <c:v>21.751764999999999</c:v>
                </c:pt>
                <c:pt idx="884">
                  <c:v>13.636552333333332</c:v>
                </c:pt>
                <c:pt idx="885">
                  <c:v>3.022000333333354</c:v>
                </c:pt>
                <c:pt idx="886">
                  <c:v>8.3398323333333231</c:v>
                </c:pt>
                <c:pt idx="887">
                  <c:v>12.312372333333343</c:v>
                </c:pt>
                <c:pt idx="888">
                  <c:v>15.352799666666657</c:v>
                </c:pt>
                <c:pt idx="889">
                  <c:v>13.794011333333325</c:v>
                </c:pt>
                <c:pt idx="890">
                  <c:v>17.121891666666659</c:v>
                </c:pt>
                <c:pt idx="891">
                  <c:v>20.268008333333334</c:v>
                </c:pt>
                <c:pt idx="892">
                  <c:v>14.594012333333337</c:v>
                </c:pt>
                <c:pt idx="893">
                  <c:v>13.194800666666675</c:v>
                </c:pt>
                <c:pt idx="894">
                  <c:v>26.464065666666656</c:v>
                </c:pt>
                <c:pt idx="895">
                  <c:v>26.447156666666654</c:v>
                </c:pt>
                <c:pt idx="896">
                  <c:v>15.00722400000001</c:v>
                </c:pt>
                <c:pt idx="897">
                  <c:v>8.3419500000000042</c:v>
                </c:pt>
                <c:pt idx="898">
                  <c:v>18.511589999999995</c:v>
                </c:pt>
                <c:pt idx="899">
                  <c:v>6.6700766666666613</c:v>
                </c:pt>
                <c:pt idx="900">
                  <c:v>17.988486000000002</c:v>
                </c:pt>
                <c:pt idx="901">
                  <c:v>16.526916333333329</c:v>
                </c:pt>
                <c:pt idx="902">
                  <c:v>33.781394999999989</c:v>
                </c:pt>
                <c:pt idx="903">
                  <c:v>18.530616666666674</c:v>
                </c:pt>
                <c:pt idx="904">
                  <c:v>13.721097333333333</c:v>
                </c:pt>
                <c:pt idx="905">
                  <c:v>13.208549333333343</c:v>
                </c:pt>
                <c:pt idx="906">
                  <c:v>17.399831333333335</c:v>
                </c:pt>
                <c:pt idx="907">
                  <c:v>19.627583999999992</c:v>
                </c:pt>
                <c:pt idx="908">
                  <c:v>22.529578999999998</c:v>
                </c:pt>
                <c:pt idx="909">
                  <c:v>8.4000726666666754</c:v>
                </c:pt>
                <c:pt idx="910">
                  <c:v>20.350435666666655</c:v>
                </c:pt>
                <c:pt idx="911">
                  <c:v>28.822855000000004</c:v>
                </c:pt>
                <c:pt idx="912">
                  <c:v>8.2426136666666618</c:v>
                </c:pt>
                <c:pt idx="913">
                  <c:v>11.536676</c:v>
                </c:pt>
                <c:pt idx="914">
                  <c:v>16.628370333333326</c:v>
                </c:pt>
                <c:pt idx="915">
                  <c:v>15.809342666666657</c:v>
                </c:pt>
                <c:pt idx="916">
                  <c:v>22.858245666666647</c:v>
                </c:pt>
                <c:pt idx="917">
                  <c:v>4.9104980000000102</c:v>
                </c:pt>
                <c:pt idx="918">
                  <c:v>15.385574999999982</c:v>
                </c:pt>
                <c:pt idx="919">
                  <c:v>15.296794666666667</c:v>
                </c:pt>
                <c:pt idx="920">
                  <c:v>18.870914333333332</c:v>
                </c:pt>
                <c:pt idx="921">
                  <c:v>18.329826333333333</c:v>
                </c:pt>
                <c:pt idx="922">
                  <c:v>6.3192230000000009</c:v>
                </c:pt>
                <c:pt idx="923">
                  <c:v>7.8272843333333313</c:v>
                </c:pt>
                <c:pt idx="924">
                  <c:v>11.251340666666655</c:v>
                </c:pt>
                <c:pt idx="925">
                  <c:v>74.004486999999983</c:v>
                </c:pt>
                <c:pt idx="926">
                  <c:v>14.057159666666676</c:v>
                </c:pt>
                <c:pt idx="927">
                  <c:v>10.618312000000008</c:v>
                </c:pt>
                <c:pt idx="928">
                  <c:v>17.174736333333342</c:v>
                </c:pt>
                <c:pt idx="929">
                  <c:v>14.368917333333323</c:v>
                </c:pt>
                <c:pt idx="930">
                  <c:v>11.570494</c:v>
                </c:pt>
                <c:pt idx="931">
                  <c:v>19.045282333333322</c:v>
                </c:pt>
                <c:pt idx="932">
                  <c:v>12.423339666666646</c:v>
                </c:pt>
                <c:pt idx="933">
                  <c:v>19.654006333333324</c:v>
                </c:pt>
                <c:pt idx="934">
                  <c:v>19.862192333333336</c:v>
                </c:pt>
                <c:pt idx="935">
                  <c:v>15.608552333333337</c:v>
                </c:pt>
                <c:pt idx="936">
                  <c:v>11.594798666666669</c:v>
                </c:pt>
                <c:pt idx="937">
                  <c:v>7.7860706666666601</c:v>
                </c:pt>
                <c:pt idx="938">
                  <c:v>6.3044316666666571</c:v>
                </c:pt>
                <c:pt idx="939">
                  <c:v>6.9089203333333415</c:v>
                </c:pt>
                <c:pt idx="940">
                  <c:v>12.135886666666671</c:v>
                </c:pt>
                <c:pt idx="941">
                  <c:v>11.06957700000002</c:v>
                </c:pt>
                <c:pt idx="942">
                  <c:v>0.76359000000000066</c:v>
                </c:pt>
                <c:pt idx="943">
                  <c:v>13.018315000000005</c:v>
                </c:pt>
                <c:pt idx="944">
                  <c:v>9.2529183333333247</c:v>
                </c:pt>
                <c:pt idx="945">
                  <c:v>22.595097333333342</c:v>
                </c:pt>
                <c:pt idx="946">
                  <c:v>21.857454333333315</c:v>
                </c:pt>
                <c:pt idx="947">
                  <c:v>21.971581999999998</c:v>
                </c:pt>
                <c:pt idx="948">
                  <c:v>15.550429666666666</c:v>
                </c:pt>
                <c:pt idx="949">
                  <c:v>12.977101333333332</c:v>
                </c:pt>
                <c:pt idx="950">
                  <c:v>12.892556333333333</c:v>
                </c:pt>
                <c:pt idx="951">
                  <c:v>5.577344666666658</c:v>
                </c:pt>
                <c:pt idx="952">
                  <c:v>10.231522666666667</c:v>
                </c:pt>
                <c:pt idx="953">
                  <c:v>9.540371333333324</c:v>
                </c:pt>
                <c:pt idx="954">
                  <c:v>2.2906779999999909</c:v>
                </c:pt>
                <c:pt idx="955">
                  <c:v>7.3918856666666715</c:v>
                </c:pt>
                <c:pt idx="956">
                  <c:v>11.331650333333341</c:v>
                </c:pt>
                <c:pt idx="957">
                  <c:v>11.30734566666667</c:v>
                </c:pt>
                <c:pt idx="958">
                  <c:v>16.135891666666669</c:v>
                </c:pt>
                <c:pt idx="959">
                  <c:v>27.645578</c:v>
                </c:pt>
                <c:pt idx="960">
                  <c:v>28.075698666666646</c:v>
                </c:pt>
                <c:pt idx="961">
                  <c:v>11.897042999999989</c:v>
                </c:pt>
                <c:pt idx="962">
                  <c:v>2.2082506666666699</c:v>
                </c:pt>
                <c:pt idx="963">
                  <c:v>25.555215000000018</c:v>
                </c:pt>
                <c:pt idx="964">
                  <c:v>9.0764326666666761</c:v>
                </c:pt>
                <c:pt idx="965">
                  <c:v>18.933272333333342</c:v>
                </c:pt>
                <c:pt idx="966">
                  <c:v>23.595888666666674</c:v>
                </c:pt>
                <c:pt idx="967">
                  <c:v>18.081469333333324</c:v>
                </c:pt>
                <c:pt idx="968">
                  <c:v>13.491767000000003</c:v>
                </c:pt>
                <c:pt idx="969">
                  <c:v>8.9242516666666756</c:v>
                </c:pt>
                <c:pt idx="970">
                  <c:v>12.32822249999999</c:v>
                </c:pt>
                <c:pt idx="971">
                  <c:v>14.352008333333323</c:v>
                </c:pt>
                <c:pt idx="972">
                  <c:v>1.0267383333333289</c:v>
                </c:pt>
                <c:pt idx="973">
                  <c:v>13.245527666666677</c:v>
                </c:pt>
                <c:pt idx="974">
                  <c:v>10.347768000000009</c:v>
                </c:pt>
                <c:pt idx="975">
                  <c:v>10.408008333333337</c:v>
                </c:pt>
                <c:pt idx="976">
                  <c:v>4.4169766666666757</c:v>
                </c:pt>
                <c:pt idx="977">
                  <c:v>8.0513366666666712</c:v>
                </c:pt>
                <c:pt idx="978">
                  <c:v>13.001406000000005</c:v>
                </c:pt>
                <c:pt idx="979">
                  <c:v>11.191100333333328</c:v>
                </c:pt>
                <c:pt idx="980">
                  <c:v>13.232700428571448</c:v>
                </c:pt>
                <c:pt idx="981">
                  <c:v>5.0010888571428582</c:v>
                </c:pt>
                <c:pt idx="982">
                  <c:v>3.7446984285714073</c:v>
                </c:pt>
                <c:pt idx="983">
                  <c:v>8.9173167142857555</c:v>
                </c:pt>
                <c:pt idx="984">
                  <c:v>7.2771437142857041</c:v>
                </c:pt>
                <c:pt idx="985">
                  <c:v>14.455272857142848</c:v>
                </c:pt>
                <c:pt idx="986">
                  <c:v>-7.0673299999999788</c:v>
                </c:pt>
                <c:pt idx="987">
                  <c:v>17.165837285714346</c:v>
                </c:pt>
                <c:pt idx="988">
                  <c:v>3.1190654285714583</c:v>
                </c:pt>
                <c:pt idx="989">
                  <c:v>-6.5262419999999786</c:v>
                </c:pt>
                <c:pt idx="990">
                  <c:v>6.6294772857143052</c:v>
                </c:pt>
                <c:pt idx="991">
                  <c:v>8.0939001428571515</c:v>
                </c:pt>
                <c:pt idx="992">
                  <c:v>7.8976522857143063</c:v>
                </c:pt>
                <c:pt idx="993">
                  <c:v>2.1383434285714564</c:v>
                </c:pt>
                <c:pt idx="994">
                  <c:v>14.522908857142845</c:v>
                </c:pt>
                <c:pt idx="995">
                  <c:v>25.431266857142838</c:v>
                </c:pt>
                <c:pt idx="996">
                  <c:v>7.6271082857143053</c:v>
                </c:pt>
                <c:pt idx="997">
                  <c:v>15.165450857142897</c:v>
                </c:pt>
                <c:pt idx="998">
                  <c:v>-0.84122928571428446</c:v>
                </c:pt>
                <c:pt idx="999">
                  <c:v>4.6290908571428586</c:v>
                </c:pt>
                <c:pt idx="1000">
                  <c:v>0.11079914285716264</c:v>
                </c:pt>
                <c:pt idx="1001">
                  <c:v>5.2716328571428575</c:v>
                </c:pt>
                <c:pt idx="1002">
                  <c:v>9.7002551428572019</c:v>
                </c:pt>
                <c:pt idx="1003">
                  <c:v>-5.9123935714285292</c:v>
                </c:pt>
                <c:pt idx="1004">
                  <c:v>3.7395740000000597</c:v>
                </c:pt>
                <c:pt idx="1005">
                  <c:v>1.8524261428570608</c:v>
                </c:pt>
                <c:pt idx="1006">
                  <c:v>8.9680437142856526</c:v>
                </c:pt>
                <c:pt idx="1007">
                  <c:v>15.588175857142897</c:v>
                </c:pt>
                <c:pt idx="1008">
                  <c:v>-1.8050422857142365</c:v>
                </c:pt>
                <c:pt idx="1009">
                  <c:v>-42.428672285714285</c:v>
                </c:pt>
                <c:pt idx="1010">
                  <c:v>14.21342242857145</c:v>
                </c:pt>
                <c:pt idx="1011">
                  <c:v>16.196899857142899</c:v>
                </c:pt>
                <c:pt idx="1012">
                  <c:v>33.223244428571476</c:v>
                </c:pt>
                <c:pt idx="1013">
                  <c:v>8.4556492857143049</c:v>
                </c:pt>
                <c:pt idx="1014">
                  <c:v>-16.685479571428566</c:v>
                </c:pt>
                <c:pt idx="1015">
                  <c:v>-19.316623428571464</c:v>
                </c:pt>
                <c:pt idx="1016">
                  <c:v>2.2177640000000114</c:v>
                </c:pt>
                <c:pt idx="1017">
                  <c:v>-5.3882145714286338</c:v>
                </c:pt>
                <c:pt idx="1018">
                  <c:v>4.3754558571428577</c:v>
                </c:pt>
                <c:pt idx="1019">
                  <c:v>-5.4676351428571301</c:v>
                </c:pt>
                <c:pt idx="1020">
                  <c:v>1.2488265714286122</c:v>
                </c:pt>
                <c:pt idx="1021">
                  <c:v>-11.293044285714325</c:v>
                </c:pt>
                <c:pt idx="1022">
                  <c:v>30.101739571428581</c:v>
                </c:pt>
                <c:pt idx="1023">
                  <c:v>7.4918362857143066</c:v>
                </c:pt>
                <c:pt idx="1024">
                  <c:v>-7.6929630000000326</c:v>
                </c:pt>
                <c:pt idx="1025">
                  <c:v>2.3581604285714075</c:v>
                </c:pt>
                <c:pt idx="1026">
                  <c:v>3.5535749999999595</c:v>
                </c:pt>
                <c:pt idx="1027">
                  <c:v>-5.0905127142857332</c:v>
                </c:pt>
                <c:pt idx="1028">
                  <c:v>-11.101920857142826</c:v>
                </c:pt>
                <c:pt idx="1029">
                  <c:v>35.561810857142881</c:v>
                </c:pt>
                <c:pt idx="1030">
                  <c:v>-10.971773285714324</c:v>
                </c:pt>
                <c:pt idx="1031">
                  <c:v>-19.012261428571414</c:v>
                </c:pt>
                <c:pt idx="1032">
                  <c:v>-6.7122409999999793</c:v>
                </c:pt>
                <c:pt idx="1033">
                  <c:v>-19.688621428571416</c:v>
                </c:pt>
                <c:pt idx="1034">
                  <c:v>8.5115007142856527</c:v>
                </c:pt>
                <c:pt idx="1035">
                  <c:v>-10.493196857142879</c:v>
                </c:pt>
                <c:pt idx="1036">
                  <c:v>-4.5883671428571837</c:v>
                </c:pt>
                <c:pt idx="1037">
                  <c:v>5.2716328571428575</c:v>
                </c:pt>
                <c:pt idx="1038">
                  <c:v>7.8976522857143063</c:v>
                </c:pt>
                <c:pt idx="1039">
                  <c:v>-6.8526374285714287</c:v>
                </c:pt>
                <c:pt idx="1040">
                  <c:v>1.7899145714286124</c:v>
                </c:pt>
                <c:pt idx="1041">
                  <c:v>-17.16405600000002</c:v>
                </c:pt>
                <c:pt idx="1042">
                  <c:v>-1.9741322857142851</c:v>
                </c:pt>
                <c:pt idx="1043">
                  <c:v>73.818180857142892</c:v>
                </c:pt>
                <c:pt idx="1044">
                  <c:v>35.612537857142875</c:v>
                </c:pt>
                <c:pt idx="1045">
                  <c:v>16.230717857142796</c:v>
                </c:pt>
                <c:pt idx="1046">
                  <c:v>19.222075142857143</c:v>
                </c:pt>
                <c:pt idx="1047">
                  <c:v>-25.823516999999953</c:v>
                </c:pt>
              </c:numCache>
            </c:numRef>
          </c:yVal>
          <c:smooth val="0"/>
          <c:extLst>
            <c:ext xmlns:c16="http://schemas.microsoft.com/office/drawing/2014/chart" uri="{C3380CC4-5D6E-409C-BE32-E72D297353CC}">
              <c16:uniqueId val="{00000000-D73B-49F5-B680-92001BC2C678}"/>
            </c:ext>
          </c:extLst>
        </c:ser>
        <c:dLbls>
          <c:showLegendKey val="0"/>
          <c:showVal val="0"/>
          <c:showCatName val="0"/>
          <c:showSerName val="0"/>
          <c:showPercent val="0"/>
          <c:showBubbleSize val="0"/>
        </c:dLbls>
        <c:axId val="660008432"/>
        <c:axId val="660007120"/>
      </c:scatterChart>
      <c:valAx>
        <c:axId val="6600084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007120"/>
        <c:crosses val="autoZero"/>
        <c:crossBetween val="midCat"/>
      </c:valAx>
      <c:valAx>
        <c:axId val="660007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0084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5.9137387400417712E-2"/>
                  <c:y val="-0.576565632757084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scatterplots!$A$2:$A$31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scatterplots!$B$2:$B$31</c:f>
              <c:numCache>
                <c:formatCode>0.0</c:formatCode>
                <c:ptCount val="30"/>
                <c:pt idx="0">
                  <c:v>42.993665810924355</c:v>
                </c:pt>
                <c:pt idx="1">
                  <c:v>31.08</c:v>
                </c:pt>
                <c:pt idx="2">
                  <c:v>28.827139243589741</c:v>
                </c:pt>
                <c:pt idx="3">
                  <c:v>21.048816972222212</c:v>
                </c:pt>
                <c:pt idx="4">
                  <c:v>21.518990832142858</c:v>
                </c:pt>
                <c:pt idx="5">
                  <c:v>21.13247913928571</c:v>
                </c:pt>
                <c:pt idx="6">
                  <c:v>12.926504037735846</c:v>
                </c:pt>
                <c:pt idx="7">
                  <c:v>26.693042692307682</c:v>
                </c:pt>
                <c:pt idx="8">
                  <c:v>14.98765008823529</c:v>
                </c:pt>
                <c:pt idx="9">
                  <c:v>13.244078845238095</c:v>
                </c:pt>
                <c:pt idx="10">
                  <c:v>3.1237154035714281</c:v>
                </c:pt>
                <c:pt idx="11">
                  <c:v>12.9247388</c:v>
                </c:pt>
                <c:pt idx="12">
                  <c:v>36.255841294117651</c:v>
                </c:pt>
                <c:pt idx="13">
                  <c:v>29.940576319327747</c:v>
                </c:pt>
                <c:pt idx="14">
                  <c:v>8.3132469999999987</c:v>
                </c:pt>
                <c:pt idx="15">
                  <c:v>16.241271474358975</c:v>
                </c:pt>
                <c:pt idx="16">
                  <c:v>13.713364617857138</c:v>
                </c:pt>
                <c:pt idx="17">
                  <c:v>26.250158571843251</c:v>
                </c:pt>
                <c:pt idx="18">
                  <c:v>12.871141254437866</c:v>
                </c:pt>
                <c:pt idx="19">
                  <c:v>13.188993250000005</c:v>
                </c:pt>
                <c:pt idx="20">
                  <c:v>14.347965499999999</c:v>
                </c:pt>
                <c:pt idx="21">
                  <c:v>3.41</c:v>
                </c:pt>
                <c:pt idx="22">
                  <c:v>3.9535195952380948</c:v>
                </c:pt>
                <c:pt idx="23">
                  <c:v>6.405515764705898</c:v>
                </c:pt>
                <c:pt idx="24">
                  <c:v>4.027962975000003</c:v>
                </c:pt>
                <c:pt idx="25">
                  <c:v>17.120441509433959</c:v>
                </c:pt>
                <c:pt idx="26">
                  <c:v>2.6229398499999985</c:v>
                </c:pt>
                <c:pt idx="27">
                  <c:v>13.000901919871797</c:v>
                </c:pt>
                <c:pt idx="28">
                  <c:v>8.0682121470588211</c:v>
                </c:pt>
                <c:pt idx="29">
                  <c:v>1.4690053907562983</c:v>
                </c:pt>
              </c:numCache>
            </c:numRef>
          </c:yVal>
          <c:smooth val="0"/>
          <c:extLst>
            <c:ext xmlns:c16="http://schemas.microsoft.com/office/drawing/2014/chart" uri="{C3380CC4-5D6E-409C-BE32-E72D297353CC}">
              <c16:uniqueId val="{00000000-6C7F-46EC-89FE-8CF5F5A5DFFC}"/>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Grazing Days</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MEI (MJ ME/day)</a:t>
                </a:r>
                <a:endParaRPr lang="en-AU"/>
              </a:p>
            </c:rich>
          </c:tx>
          <c:layout>
            <c:manualLayout>
              <c:xMode val="edge"/>
              <c:yMode val="edge"/>
              <c:x val="8.8170462894930201E-3"/>
              <c:y val="0.24395070821947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5491281411605"/>
          <c:y val="4.11599625818522E-2"/>
          <c:w val="0.82718370104727013"/>
          <c:h val="0.7926910866730994"/>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0276556723576342"/>
                  <c:y val="-0.319898057644571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scatterplots!$A$34:$A$42</c:f>
              <c:numCache>
                <c:formatCode>General</c:formatCode>
                <c:ptCount val="9"/>
                <c:pt idx="0">
                  <c:v>1.5</c:v>
                </c:pt>
                <c:pt idx="1">
                  <c:v>1.75</c:v>
                </c:pt>
                <c:pt idx="2">
                  <c:v>2</c:v>
                </c:pt>
                <c:pt idx="3">
                  <c:v>2.25</c:v>
                </c:pt>
                <c:pt idx="4">
                  <c:v>2.5</c:v>
                </c:pt>
                <c:pt idx="5">
                  <c:v>2.75</c:v>
                </c:pt>
                <c:pt idx="6">
                  <c:v>3</c:v>
                </c:pt>
                <c:pt idx="7">
                  <c:v>3.25</c:v>
                </c:pt>
                <c:pt idx="8">
                  <c:v>3.5</c:v>
                </c:pt>
              </c:numCache>
            </c:numRef>
          </c:xVal>
          <c:yVal>
            <c:numRef>
              <c:f>scatterplots!$C$34:$C$42</c:f>
              <c:numCache>
                <c:formatCode>0.000</c:formatCode>
                <c:ptCount val="9"/>
                <c:pt idx="0">
                  <c:v>0.22500000000000003</c:v>
                </c:pt>
                <c:pt idx="1">
                  <c:v>0.16052631578947363</c:v>
                </c:pt>
                <c:pt idx="2">
                  <c:v>0.11092436974789924</c:v>
                </c:pt>
                <c:pt idx="3">
                  <c:v>0.16008403361344539</c:v>
                </c:pt>
                <c:pt idx="4">
                  <c:v>0.12635467980295564</c:v>
                </c:pt>
                <c:pt idx="5">
                  <c:v>0.17142857142857132</c:v>
                </c:pt>
                <c:pt idx="6">
                  <c:v>6.7757009345794414E-2</c:v>
                </c:pt>
                <c:pt idx="7">
                  <c:v>7.1428571428571369E-2</c:v>
                </c:pt>
                <c:pt idx="8">
                  <c:v>2.7346938775510202E-2</c:v>
                </c:pt>
              </c:numCache>
            </c:numRef>
          </c:yVal>
          <c:smooth val="0"/>
          <c:extLst>
            <c:ext xmlns:c16="http://schemas.microsoft.com/office/drawing/2014/chart" uri="{C3380CC4-5D6E-409C-BE32-E72D297353CC}">
              <c16:uniqueId val="{00000001-2639-4542-9FB7-9E71FA185CDB}"/>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Initial condition</a:t>
                </a:r>
                <a:r>
                  <a:rPr lang="en-AU" baseline="0"/>
                  <a:t> score</a:t>
                </a:r>
                <a:endParaRPr lang="en-AU"/>
              </a:p>
            </c:rich>
          </c:tx>
          <c:layout>
            <c:manualLayout>
              <c:xMode val="edge"/>
              <c:yMode val="edge"/>
              <c:x val="0.44219682440685004"/>
              <c:y val="0.928138299831323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LWG (kg/d)</a:t>
                </a:r>
                <a:endParaRPr lang="en-AU"/>
              </a:p>
            </c:rich>
          </c:tx>
          <c:layout>
            <c:manualLayout>
              <c:xMode val="edge"/>
              <c:yMode val="edge"/>
              <c:x val="1.9378082690158779E-2"/>
              <c:y val="0.25143433777980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0276556723576342"/>
                  <c:y val="-0.319898057644571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scatterplots!$A$54:$A$158</c:f>
              <c:numCache>
                <c:formatCode>General</c:formatCode>
                <c:ptCount val="105"/>
                <c:pt idx="0">
                  <c:v>48.2</c:v>
                </c:pt>
                <c:pt idx="1">
                  <c:v>48.4</c:v>
                </c:pt>
                <c:pt idx="2">
                  <c:v>48.6</c:v>
                </c:pt>
                <c:pt idx="3">
                  <c:v>49</c:v>
                </c:pt>
                <c:pt idx="4">
                  <c:v>49.4</c:v>
                </c:pt>
                <c:pt idx="5">
                  <c:v>49.6</c:v>
                </c:pt>
                <c:pt idx="6">
                  <c:v>50</c:v>
                </c:pt>
                <c:pt idx="7">
                  <c:v>50.2</c:v>
                </c:pt>
                <c:pt idx="8">
                  <c:v>50.4</c:v>
                </c:pt>
                <c:pt idx="9">
                  <c:v>50.6</c:v>
                </c:pt>
                <c:pt idx="10">
                  <c:v>50.8</c:v>
                </c:pt>
                <c:pt idx="11">
                  <c:v>51</c:v>
                </c:pt>
                <c:pt idx="12">
                  <c:v>51.2</c:v>
                </c:pt>
                <c:pt idx="13">
                  <c:v>51.4</c:v>
                </c:pt>
                <c:pt idx="14">
                  <c:v>51.6</c:v>
                </c:pt>
                <c:pt idx="15">
                  <c:v>51.8</c:v>
                </c:pt>
                <c:pt idx="16">
                  <c:v>52</c:v>
                </c:pt>
                <c:pt idx="17">
                  <c:v>52.2</c:v>
                </c:pt>
                <c:pt idx="18">
                  <c:v>52.4</c:v>
                </c:pt>
                <c:pt idx="19">
                  <c:v>52.6</c:v>
                </c:pt>
                <c:pt idx="20">
                  <c:v>52.8</c:v>
                </c:pt>
                <c:pt idx="21">
                  <c:v>53</c:v>
                </c:pt>
                <c:pt idx="22">
                  <c:v>53.2</c:v>
                </c:pt>
                <c:pt idx="23">
                  <c:v>53.4</c:v>
                </c:pt>
                <c:pt idx="24">
                  <c:v>53.6</c:v>
                </c:pt>
                <c:pt idx="25">
                  <c:v>53.8</c:v>
                </c:pt>
                <c:pt idx="26">
                  <c:v>54</c:v>
                </c:pt>
                <c:pt idx="27">
                  <c:v>54.2</c:v>
                </c:pt>
                <c:pt idx="28">
                  <c:v>54.4</c:v>
                </c:pt>
                <c:pt idx="29">
                  <c:v>54.5</c:v>
                </c:pt>
                <c:pt idx="30">
                  <c:v>54.6</c:v>
                </c:pt>
                <c:pt idx="31">
                  <c:v>54.8</c:v>
                </c:pt>
                <c:pt idx="32">
                  <c:v>55</c:v>
                </c:pt>
                <c:pt idx="33">
                  <c:v>55.2</c:v>
                </c:pt>
                <c:pt idx="34">
                  <c:v>55.4</c:v>
                </c:pt>
                <c:pt idx="35">
                  <c:v>55.6</c:v>
                </c:pt>
                <c:pt idx="36">
                  <c:v>55.8</c:v>
                </c:pt>
                <c:pt idx="37">
                  <c:v>56</c:v>
                </c:pt>
                <c:pt idx="38">
                  <c:v>56.2</c:v>
                </c:pt>
                <c:pt idx="39">
                  <c:v>56.4</c:v>
                </c:pt>
                <c:pt idx="40">
                  <c:v>56.6</c:v>
                </c:pt>
                <c:pt idx="41">
                  <c:v>56.8</c:v>
                </c:pt>
                <c:pt idx="42">
                  <c:v>57</c:v>
                </c:pt>
                <c:pt idx="43">
                  <c:v>57.2</c:v>
                </c:pt>
                <c:pt idx="44">
                  <c:v>57.4</c:v>
                </c:pt>
                <c:pt idx="45">
                  <c:v>57.5</c:v>
                </c:pt>
                <c:pt idx="46">
                  <c:v>57.6</c:v>
                </c:pt>
                <c:pt idx="47">
                  <c:v>57.8</c:v>
                </c:pt>
                <c:pt idx="48">
                  <c:v>58</c:v>
                </c:pt>
                <c:pt idx="49">
                  <c:v>58.2</c:v>
                </c:pt>
                <c:pt idx="50">
                  <c:v>58.4</c:v>
                </c:pt>
                <c:pt idx="51">
                  <c:v>58.5</c:v>
                </c:pt>
                <c:pt idx="52">
                  <c:v>58.6</c:v>
                </c:pt>
                <c:pt idx="53">
                  <c:v>58.8</c:v>
                </c:pt>
                <c:pt idx="54">
                  <c:v>59</c:v>
                </c:pt>
                <c:pt idx="55">
                  <c:v>59.2</c:v>
                </c:pt>
                <c:pt idx="56">
                  <c:v>59.5</c:v>
                </c:pt>
                <c:pt idx="57">
                  <c:v>59.6</c:v>
                </c:pt>
                <c:pt idx="58">
                  <c:v>59.8</c:v>
                </c:pt>
                <c:pt idx="59">
                  <c:v>60</c:v>
                </c:pt>
                <c:pt idx="60">
                  <c:v>60.2</c:v>
                </c:pt>
                <c:pt idx="61">
                  <c:v>60.4</c:v>
                </c:pt>
                <c:pt idx="62">
                  <c:v>60.5</c:v>
                </c:pt>
                <c:pt idx="63">
                  <c:v>60.6</c:v>
                </c:pt>
                <c:pt idx="64">
                  <c:v>60.8</c:v>
                </c:pt>
                <c:pt idx="65">
                  <c:v>61</c:v>
                </c:pt>
                <c:pt idx="66">
                  <c:v>61.2</c:v>
                </c:pt>
                <c:pt idx="67">
                  <c:v>61.4</c:v>
                </c:pt>
                <c:pt idx="68">
                  <c:v>61.5</c:v>
                </c:pt>
                <c:pt idx="69">
                  <c:v>61.6</c:v>
                </c:pt>
                <c:pt idx="70">
                  <c:v>62</c:v>
                </c:pt>
                <c:pt idx="71">
                  <c:v>62.4</c:v>
                </c:pt>
                <c:pt idx="72">
                  <c:v>62.5</c:v>
                </c:pt>
                <c:pt idx="73">
                  <c:v>62.8</c:v>
                </c:pt>
                <c:pt idx="74">
                  <c:v>63</c:v>
                </c:pt>
                <c:pt idx="75">
                  <c:v>63.2</c:v>
                </c:pt>
                <c:pt idx="76">
                  <c:v>63.4</c:v>
                </c:pt>
                <c:pt idx="77">
                  <c:v>63.5</c:v>
                </c:pt>
                <c:pt idx="78">
                  <c:v>63.6</c:v>
                </c:pt>
                <c:pt idx="79">
                  <c:v>63.8</c:v>
                </c:pt>
                <c:pt idx="80">
                  <c:v>64</c:v>
                </c:pt>
                <c:pt idx="81">
                  <c:v>64.2</c:v>
                </c:pt>
                <c:pt idx="82">
                  <c:v>64.400000000000006</c:v>
                </c:pt>
                <c:pt idx="83">
                  <c:v>64.5</c:v>
                </c:pt>
                <c:pt idx="84">
                  <c:v>64.599999999999994</c:v>
                </c:pt>
                <c:pt idx="85">
                  <c:v>65</c:v>
                </c:pt>
                <c:pt idx="86">
                  <c:v>66.400000000000006</c:v>
                </c:pt>
                <c:pt idx="87">
                  <c:v>67</c:v>
                </c:pt>
                <c:pt idx="88">
                  <c:v>68</c:v>
                </c:pt>
                <c:pt idx="89">
                  <c:v>68.8</c:v>
                </c:pt>
                <c:pt idx="90">
                  <c:v>70.599999999999994</c:v>
                </c:pt>
                <c:pt idx="91">
                  <c:v>71</c:v>
                </c:pt>
                <c:pt idx="92">
                  <c:v>72</c:v>
                </c:pt>
                <c:pt idx="93">
                  <c:v>72.5</c:v>
                </c:pt>
                <c:pt idx="94">
                  <c:v>73</c:v>
                </c:pt>
                <c:pt idx="95">
                  <c:v>73.5</c:v>
                </c:pt>
                <c:pt idx="96">
                  <c:v>74</c:v>
                </c:pt>
                <c:pt idx="97">
                  <c:v>74.5</c:v>
                </c:pt>
                <c:pt idx="98">
                  <c:v>75</c:v>
                </c:pt>
                <c:pt idx="99">
                  <c:v>75.5</c:v>
                </c:pt>
                <c:pt idx="100">
                  <c:v>76</c:v>
                </c:pt>
                <c:pt idx="101">
                  <c:v>76.5</c:v>
                </c:pt>
                <c:pt idx="102">
                  <c:v>77</c:v>
                </c:pt>
                <c:pt idx="103">
                  <c:v>77.5</c:v>
                </c:pt>
                <c:pt idx="104">
                  <c:v>78</c:v>
                </c:pt>
              </c:numCache>
            </c:numRef>
          </c:xVal>
          <c:yVal>
            <c:numRef>
              <c:f>scatterplots!$B$54:$B$158</c:f>
              <c:numCache>
                <c:formatCode>General</c:formatCode>
                <c:ptCount val="105"/>
                <c:pt idx="0">
                  <c:v>18.075140077380951</c:v>
                </c:pt>
                <c:pt idx="1">
                  <c:v>13.84692227888778</c:v>
                </c:pt>
                <c:pt idx="2">
                  <c:v>13.870739899572646</c:v>
                </c:pt>
                <c:pt idx="3">
                  <c:v>13.112563431623927</c:v>
                </c:pt>
                <c:pt idx="4">
                  <c:v>17.163170487179489</c:v>
                </c:pt>
                <c:pt idx="5">
                  <c:v>17.80576681196581</c:v>
                </c:pt>
                <c:pt idx="6">
                  <c:v>16.932607517094016</c:v>
                </c:pt>
                <c:pt idx="7">
                  <c:v>18.271719676085816</c:v>
                </c:pt>
                <c:pt idx="8">
                  <c:v>15.946162256410256</c:v>
                </c:pt>
                <c:pt idx="9">
                  <c:v>20.79159605641026</c:v>
                </c:pt>
                <c:pt idx="10">
                  <c:v>17.191414976190487</c:v>
                </c:pt>
                <c:pt idx="11">
                  <c:v>15.513613117357</c:v>
                </c:pt>
                <c:pt idx="12">
                  <c:v>14.028359025641025</c:v>
                </c:pt>
                <c:pt idx="13">
                  <c:v>18.406768016025641</c:v>
                </c:pt>
                <c:pt idx="14">
                  <c:v>15.503027852289378</c:v>
                </c:pt>
                <c:pt idx="15">
                  <c:v>18.86057568376069</c:v>
                </c:pt>
                <c:pt idx="16">
                  <c:v>21.948195055555548</c:v>
                </c:pt>
                <c:pt idx="17">
                  <c:v>17.321391908882781</c:v>
                </c:pt>
                <c:pt idx="18">
                  <c:v>18.188927207657425</c:v>
                </c:pt>
                <c:pt idx="19">
                  <c:v>11.663259334665334</c:v>
                </c:pt>
                <c:pt idx="20">
                  <c:v>15.867898361369397</c:v>
                </c:pt>
                <c:pt idx="21">
                  <c:v>17.134616013653016</c:v>
                </c:pt>
                <c:pt idx="22">
                  <c:v>17.25321398757195</c:v>
                </c:pt>
                <c:pt idx="23">
                  <c:v>13.942423918803421</c:v>
                </c:pt>
                <c:pt idx="24">
                  <c:v>11.573505337728934</c:v>
                </c:pt>
                <c:pt idx="25">
                  <c:v>17.737814356643359</c:v>
                </c:pt>
                <c:pt idx="26">
                  <c:v>17.753218086691088</c:v>
                </c:pt>
                <c:pt idx="27">
                  <c:v>18.071564974358971</c:v>
                </c:pt>
                <c:pt idx="28">
                  <c:v>19.201892851495725</c:v>
                </c:pt>
                <c:pt idx="29">
                  <c:v>15.977943974358972</c:v>
                </c:pt>
                <c:pt idx="30">
                  <c:v>16.639210588500781</c:v>
                </c:pt>
                <c:pt idx="31">
                  <c:v>22.516324414529908</c:v>
                </c:pt>
                <c:pt idx="32">
                  <c:v>20.913881860958487</c:v>
                </c:pt>
                <c:pt idx="33">
                  <c:v>14.503967027960927</c:v>
                </c:pt>
                <c:pt idx="34">
                  <c:v>19.210600589918016</c:v>
                </c:pt>
                <c:pt idx="35">
                  <c:v>15.550759807953947</c:v>
                </c:pt>
                <c:pt idx="36">
                  <c:v>16.925464466117219</c:v>
                </c:pt>
                <c:pt idx="37">
                  <c:v>16.735298291686576</c:v>
                </c:pt>
                <c:pt idx="38">
                  <c:v>20.484391629304021</c:v>
                </c:pt>
                <c:pt idx="39">
                  <c:v>19.40743958559861</c:v>
                </c:pt>
                <c:pt idx="40">
                  <c:v>14.691099621961369</c:v>
                </c:pt>
                <c:pt idx="41">
                  <c:v>11.254442330502828</c:v>
                </c:pt>
                <c:pt idx="42">
                  <c:v>17.098581554522397</c:v>
                </c:pt>
                <c:pt idx="43">
                  <c:v>12.638238927217703</c:v>
                </c:pt>
                <c:pt idx="44">
                  <c:v>16.680389683760684</c:v>
                </c:pt>
                <c:pt idx="45">
                  <c:v>20.464777914377287</c:v>
                </c:pt>
                <c:pt idx="46">
                  <c:v>19.481018850106032</c:v>
                </c:pt>
                <c:pt idx="47">
                  <c:v>15.206455200019281</c:v>
                </c:pt>
                <c:pt idx="48">
                  <c:v>18.109085811660556</c:v>
                </c:pt>
                <c:pt idx="49">
                  <c:v>14.735546197635689</c:v>
                </c:pt>
                <c:pt idx="50">
                  <c:v>12.290248192973696</c:v>
                </c:pt>
                <c:pt idx="51">
                  <c:v>16.720898005952378</c:v>
                </c:pt>
                <c:pt idx="52">
                  <c:v>22.494832474358976</c:v>
                </c:pt>
                <c:pt idx="53">
                  <c:v>20.058513713675207</c:v>
                </c:pt>
                <c:pt idx="54">
                  <c:v>18.353238266666672</c:v>
                </c:pt>
                <c:pt idx="55">
                  <c:v>18.917632440537236</c:v>
                </c:pt>
                <c:pt idx="56">
                  <c:v>15.473845811355313</c:v>
                </c:pt>
                <c:pt idx="57">
                  <c:v>19.51495836002093</c:v>
                </c:pt>
                <c:pt idx="58">
                  <c:v>13.56537207142858</c:v>
                </c:pt>
                <c:pt idx="59">
                  <c:v>18.639072613456712</c:v>
                </c:pt>
                <c:pt idx="60">
                  <c:v>17.725573664682539</c:v>
                </c:pt>
                <c:pt idx="61">
                  <c:v>20.653250064102565</c:v>
                </c:pt>
                <c:pt idx="62">
                  <c:v>18.970927437423686</c:v>
                </c:pt>
                <c:pt idx="63">
                  <c:v>20.869293723776227</c:v>
                </c:pt>
                <c:pt idx="64">
                  <c:v>30.540284428571418</c:v>
                </c:pt>
                <c:pt idx="65">
                  <c:v>14.865017047619045</c:v>
                </c:pt>
                <c:pt idx="66">
                  <c:v>19.76354014102564</c:v>
                </c:pt>
                <c:pt idx="67">
                  <c:v>19.97305257142856</c:v>
                </c:pt>
                <c:pt idx="68">
                  <c:v>24.472436217948719</c:v>
                </c:pt>
                <c:pt idx="69">
                  <c:v>19.989307630952382</c:v>
                </c:pt>
                <c:pt idx="70">
                  <c:v>20.040824319291819</c:v>
                </c:pt>
                <c:pt idx="71">
                  <c:v>13.575844965811967</c:v>
                </c:pt>
                <c:pt idx="72">
                  <c:v>16.84992335164835</c:v>
                </c:pt>
                <c:pt idx="73">
                  <c:v>21.330522737429238</c:v>
                </c:pt>
                <c:pt idx="74">
                  <c:v>19.448035769230771</c:v>
                </c:pt>
                <c:pt idx="75">
                  <c:v>18.62093073063841</c:v>
                </c:pt>
                <c:pt idx="76">
                  <c:v>23.304786615384611</c:v>
                </c:pt>
                <c:pt idx="77">
                  <c:v>22.005783928571429</c:v>
                </c:pt>
                <c:pt idx="78">
                  <c:v>16.206744833333332</c:v>
                </c:pt>
                <c:pt idx="79">
                  <c:v>8.9195798690476238</c:v>
                </c:pt>
                <c:pt idx="80">
                  <c:v>18.09297554611075</c:v>
                </c:pt>
                <c:pt idx="81">
                  <c:v>16.556764380785879</c:v>
                </c:pt>
                <c:pt idx="82">
                  <c:v>19.713991809523801</c:v>
                </c:pt>
                <c:pt idx="83">
                  <c:v>19.126974764194138</c:v>
                </c:pt>
                <c:pt idx="84">
                  <c:v>18.356651791666678</c:v>
                </c:pt>
                <c:pt idx="85">
                  <c:v>20.369918384615382</c:v>
                </c:pt>
                <c:pt idx="86">
                  <c:v>16.427407738095226</c:v>
                </c:pt>
                <c:pt idx="87">
                  <c:v>15.821234839285717</c:v>
                </c:pt>
                <c:pt idx="88">
                  <c:v>18.439029619047631</c:v>
                </c:pt>
                <c:pt idx="89">
                  <c:v>14.213806357142861</c:v>
                </c:pt>
                <c:pt idx="90">
                  <c:v>19.141380285714284</c:v>
                </c:pt>
                <c:pt idx="91">
                  <c:v>10.17758178571429</c:v>
                </c:pt>
                <c:pt idx="92">
                  <c:v>8.7443833928571415</c:v>
                </c:pt>
                <c:pt idx="93">
                  <c:v>8.3887498214285721</c:v>
                </c:pt>
                <c:pt idx="94">
                  <c:v>9.4170607142857126</c:v>
                </c:pt>
                <c:pt idx="95">
                  <c:v>3.5045130357142864</c:v>
                </c:pt>
                <c:pt idx="96">
                  <c:v>11.24241130952381</c:v>
                </c:pt>
                <c:pt idx="97">
                  <c:v>8.2656150000000004</c:v>
                </c:pt>
                <c:pt idx="98">
                  <c:v>7.867708928571429</c:v>
                </c:pt>
                <c:pt idx="99">
                  <c:v>10.311668660714286</c:v>
                </c:pt>
                <c:pt idx="100">
                  <c:v>4.8075951785714279</c:v>
                </c:pt>
                <c:pt idx="101">
                  <c:v>11.392820178571428</c:v>
                </c:pt>
                <c:pt idx="102">
                  <c:v>6.8219444642857141</c:v>
                </c:pt>
                <c:pt idx="103">
                  <c:v>8.7834531250000012</c:v>
                </c:pt>
                <c:pt idx="104">
                  <c:v>9.218027357142855</c:v>
                </c:pt>
              </c:numCache>
            </c:numRef>
          </c:yVal>
          <c:smooth val="0"/>
          <c:extLst>
            <c:ext xmlns:c16="http://schemas.microsoft.com/office/drawing/2014/chart" uri="{C3380CC4-5D6E-409C-BE32-E72D297353CC}">
              <c16:uniqueId val="{00000001-CB46-491A-B02C-768EBA7393DB}"/>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Initial condition</a:t>
                </a:r>
                <a:r>
                  <a:rPr lang="en-AU" baseline="0"/>
                  <a:t> score</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MEI (MJ ME/day)</a:t>
                </a:r>
                <a:endParaRPr lang="en-AU"/>
              </a:p>
            </c:rich>
          </c:tx>
          <c:layout>
            <c:manualLayout>
              <c:xMode val="edge"/>
              <c:yMode val="edge"/>
              <c:x val="8.8170462894930201E-3"/>
              <c:y val="0.24395070821947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0276556723576342"/>
                  <c:y val="-0.319898057644571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scatterplots!$A$161:$A$169</c:f>
              <c:numCache>
                <c:formatCode>General</c:formatCode>
                <c:ptCount val="9"/>
                <c:pt idx="0">
                  <c:v>14</c:v>
                </c:pt>
                <c:pt idx="1">
                  <c:v>29</c:v>
                </c:pt>
                <c:pt idx="2">
                  <c:v>43</c:v>
                </c:pt>
                <c:pt idx="3">
                  <c:v>46</c:v>
                </c:pt>
                <c:pt idx="4">
                  <c:v>110</c:v>
                </c:pt>
                <c:pt idx="5">
                  <c:v>133</c:v>
                </c:pt>
                <c:pt idx="6">
                  <c:v>161</c:v>
                </c:pt>
                <c:pt idx="7">
                  <c:v>186</c:v>
                </c:pt>
                <c:pt idx="8">
                  <c:v>245</c:v>
                </c:pt>
              </c:numCache>
            </c:numRef>
          </c:xVal>
          <c:yVal>
            <c:numRef>
              <c:f>scatterplots!$B$161:$B$169</c:f>
              <c:numCache>
                <c:formatCode>General</c:formatCode>
                <c:ptCount val="9"/>
                <c:pt idx="0">
                  <c:v>17.418073109768915</c:v>
                </c:pt>
                <c:pt idx="1">
                  <c:v>21.028993387605031</c:v>
                </c:pt>
                <c:pt idx="2">
                  <c:v>18.64504422329059</c:v>
                </c:pt>
                <c:pt idx="3">
                  <c:v>8.5987992202380994</c:v>
                </c:pt>
                <c:pt idx="4">
                  <c:v>18.570193121794873</c:v>
                </c:pt>
                <c:pt idx="5">
                  <c:v>12.467287759821428</c:v>
                </c:pt>
                <c:pt idx="6">
                  <c:v>17.521695288872447</c:v>
                </c:pt>
                <c:pt idx="7">
                  <c:v>10.596008457142851</c:v>
                </c:pt>
                <c:pt idx="8">
                  <c:v>18.765701373004365</c:v>
                </c:pt>
              </c:numCache>
            </c:numRef>
          </c:yVal>
          <c:smooth val="0"/>
          <c:extLst>
            <c:ext xmlns:c16="http://schemas.microsoft.com/office/drawing/2014/chart" uri="{C3380CC4-5D6E-409C-BE32-E72D297353CC}">
              <c16:uniqueId val="{00000001-3F79-45A8-A3B0-2F7261729E38}"/>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Initial condition</a:t>
                </a:r>
                <a:r>
                  <a:rPr lang="en-AU" baseline="0"/>
                  <a:t> score</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MEI (MJ ME/day)</a:t>
                </a:r>
                <a:endParaRPr lang="en-AU"/>
              </a:p>
            </c:rich>
          </c:tx>
          <c:layout>
            <c:manualLayout>
              <c:xMode val="edge"/>
              <c:yMode val="edge"/>
              <c:x val="8.8170462894930201E-3"/>
              <c:y val="0.24395070821947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pivot_CS!$J$16:$J$37</c:f>
              <c:numCache>
                <c:formatCode>0</c:formatCode>
                <c:ptCount val="22"/>
                <c:pt idx="0">
                  <c:v>13.86</c:v>
                </c:pt>
                <c:pt idx="1">
                  <c:v>27.72</c:v>
                </c:pt>
                <c:pt idx="2">
                  <c:v>28.6</c:v>
                </c:pt>
                <c:pt idx="3">
                  <c:v>32.400000000000006</c:v>
                </c:pt>
                <c:pt idx="4">
                  <c:v>34.020000000000003</c:v>
                </c:pt>
                <c:pt idx="5">
                  <c:v>34.580000000000005</c:v>
                </c:pt>
                <c:pt idx="6">
                  <c:v>41.58</c:v>
                </c:pt>
                <c:pt idx="7">
                  <c:v>51.03</c:v>
                </c:pt>
                <c:pt idx="8">
                  <c:v>51.870000000000005</c:v>
                </c:pt>
                <c:pt idx="9">
                  <c:v>53.46</c:v>
                </c:pt>
                <c:pt idx="10">
                  <c:v>55.44</c:v>
                </c:pt>
                <c:pt idx="11">
                  <c:v>59.400000000000006</c:v>
                </c:pt>
                <c:pt idx="12">
                  <c:v>60.480000000000004</c:v>
                </c:pt>
                <c:pt idx="13">
                  <c:v>68.040000000000006</c:v>
                </c:pt>
                <c:pt idx="14">
                  <c:v>69.160000000000011</c:v>
                </c:pt>
                <c:pt idx="15">
                  <c:v>69.3</c:v>
                </c:pt>
                <c:pt idx="16">
                  <c:v>83.16</c:v>
                </c:pt>
                <c:pt idx="17">
                  <c:v>97.02</c:v>
                </c:pt>
                <c:pt idx="18">
                  <c:v>102.06</c:v>
                </c:pt>
                <c:pt idx="19">
                  <c:v>103.74000000000001</c:v>
                </c:pt>
                <c:pt idx="20">
                  <c:v>106.92</c:v>
                </c:pt>
                <c:pt idx="21">
                  <c:v>110.88</c:v>
                </c:pt>
              </c:numCache>
            </c:numRef>
          </c:xVal>
          <c:yVal>
            <c:numRef>
              <c:f>pivot_CS!$K$16:$K$37</c:f>
              <c:numCache>
                <c:formatCode>0</c:formatCode>
                <c:ptCount val="22"/>
                <c:pt idx="0">
                  <c:v>625.85034013605423</c:v>
                </c:pt>
                <c:pt idx="1">
                  <c:v>331.13553113553121</c:v>
                </c:pt>
                <c:pt idx="2">
                  <c:v>-38.461538461538467</c:v>
                </c:pt>
                <c:pt idx="3">
                  <c:v>190.74074074074073</c:v>
                </c:pt>
                <c:pt idx="4">
                  <c:v>241.07142857142856</c:v>
                </c:pt>
                <c:pt idx="5">
                  <c:v>278.57142857142856</c:v>
                </c:pt>
                <c:pt idx="6">
                  <c:v>73.469387755102048</c:v>
                </c:pt>
                <c:pt idx="7">
                  <c:v>-142.85714285714283</c:v>
                </c:pt>
                <c:pt idx="8">
                  <c:v>35.714285714285708</c:v>
                </c:pt>
                <c:pt idx="9">
                  <c:v>357.14285714285717</c:v>
                </c:pt>
                <c:pt idx="10">
                  <c:v>368.25396825396837</c:v>
                </c:pt>
                <c:pt idx="11">
                  <c:v>250</c:v>
                </c:pt>
                <c:pt idx="12">
                  <c:v>85.470085470085465</c:v>
                </c:pt>
                <c:pt idx="13">
                  <c:v>139.28571428571422</c:v>
                </c:pt>
                <c:pt idx="14">
                  <c:v>50.000000000000028</c:v>
                </c:pt>
                <c:pt idx="15">
                  <c:v>109.52380952380946</c:v>
                </c:pt>
                <c:pt idx="16">
                  <c:v>-178.02197802197804</c:v>
                </c:pt>
                <c:pt idx="17">
                  <c:v>-137.41496598639429</c:v>
                </c:pt>
                <c:pt idx="18">
                  <c:v>-185.71428571428567</c:v>
                </c:pt>
                <c:pt idx="19">
                  <c:v>-166.66666666666666</c:v>
                </c:pt>
                <c:pt idx="20">
                  <c:v>-7.4074074074075105</c:v>
                </c:pt>
                <c:pt idx="21">
                  <c:v>-213.60544217687064</c:v>
                </c:pt>
              </c:numCache>
            </c:numRef>
          </c:yVal>
          <c:smooth val="0"/>
          <c:extLst>
            <c:ext xmlns:c16="http://schemas.microsoft.com/office/drawing/2014/chart" uri="{C3380CC4-5D6E-409C-BE32-E72D297353CC}">
              <c16:uniqueId val="{00000001-4DAB-4713-8B12-A26DDF172A36}"/>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1"/>
            <c:dispEq val="1"/>
            <c:trendlineLbl>
              <c:layout>
                <c:manualLayout>
                  <c:x val="5.9137387400417712E-2"/>
                  <c:y val="-0.576565632757084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scatterplots!$A$2:$A$31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scatterplots!$C$2:$C$31</c:f>
              <c:numCache>
                <c:formatCode>0.0</c:formatCode>
                <c:ptCount val="30"/>
                <c:pt idx="0">
                  <c:v>45.897532533676092</c:v>
                </c:pt>
                <c:pt idx="1">
                  <c:v>34.822588133031381</c:v>
                </c:pt>
                <c:pt idx="2">
                  <c:v>26.109017286544084</c:v>
                </c:pt>
                <c:pt idx="3">
                  <c:v>21.222964791797839</c:v>
                </c:pt>
                <c:pt idx="4">
                  <c:v>19.453358245765028</c:v>
                </c:pt>
                <c:pt idx="5">
                  <c:v>19.760025251335573</c:v>
                </c:pt>
                <c:pt idx="6">
                  <c:v>12.926504037735848</c:v>
                </c:pt>
                <c:pt idx="7">
                  <c:v>26.693042692307682</c:v>
                </c:pt>
                <c:pt idx="8">
                  <c:v>16.159335322954405</c:v>
                </c:pt>
                <c:pt idx="9">
                  <c:v>9.2422979154814087</c:v>
                </c:pt>
                <c:pt idx="10">
                  <c:v>2.7908208017594505</c:v>
                </c:pt>
                <c:pt idx="11">
                  <c:v>12.101700875981305</c:v>
                </c:pt>
                <c:pt idx="12">
                  <c:v>38.334375988699691</c:v>
                </c:pt>
                <c:pt idx="13">
                  <c:v>33.520503789525321</c:v>
                </c:pt>
                <c:pt idx="14">
                  <c:v>7.6876350972784389</c:v>
                </c:pt>
                <c:pt idx="15">
                  <c:v>16.367147400245816</c:v>
                </c:pt>
                <c:pt idx="16">
                  <c:v>12.906100854140345</c:v>
                </c:pt>
                <c:pt idx="17">
                  <c:v>26.250158571843251</c:v>
                </c:pt>
                <c:pt idx="18">
                  <c:v>12.871141254437866</c:v>
                </c:pt>
                <c:pt idx="19">
                  <c:v>12.508935627100357</c:v>
                </c:pt>
                <c:pt idx="20">
                  <c:v>15.744022633450507</c:v>
                </c:pt>
                <c:pt idx="21">
                  <c:v>3.5284125230306707</c:v>
                </c:pt>
                <c:pt idx="22">
                  <c:v>2.787747542405667</c:v>
                </c:pt>
                <c:pt idx="23">
                  <c:v>7.0996143435702166</c:v>
                </c:pt>
                <c:pt idx="24">
                  <c:v>3.5165826735723171</c:v>
                </c:pt>
                <c:pt idx="25">
                  <c:v>17.120441509433959</c:v>
                </c:pt>
                <c:pt idx="26">
                  <c:v>2.3860593696160173</c:v>
                </c:pt>
                <c:pt idx="27">
                  <c:v>13.000901919871797</c:v>
                </c:pt>
                <c:pt idx="28">
                  <c:v>9.4776322315494159</c:v>
                </c:pt>
                <c:pt idx="29">
                  <c:v>2.2533109737550951</c:v>
                </c:pt>
              </c:numCache>
            </c:numRef>
          </c:yVal>
          <c:smooth val="0"/>
          <c:extLst>
            <c:ext xmlns:c16="http://schemas.microsoft.com/office/drawing/2014/chart" uri="{C3380CC4-5D6E-409C-BE32-E72D297353CC}">
              <c16:uniqueId val="{00000001-1485-4469-8E51-868A2C85623F}"/>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Grazing Days</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MEI (MJ ME/day)</a:t>
                </a:r>
                <a:endParaRPr lang="en-AU"/>
              </a:p>
            </c:rich>
          </c:tx>
          <c:layout>
            <c:manualLayout>
              <c:xMode val="edge"/>
              <c:yMode val="edge"/>
              <c:x val="8.8170462894930201E-3"/>
              <c:y val="0.24395070821947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1"/>
            <c:dispEq val="1"/>
            <c:trendlineLbl>
              <c:layout>
                <c:manualLayout>
                  <c:x val="5.9137387400417712E-2"/>
                  <c:y val="-0.576565632757084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1"/>
            <c:trendlineLbl>
              <c:layout>
                <c:manualLayout>
                  <c:x val="6.4914288359068997E-2"/>
                  <c:y val="-0.50133011203347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scatterplots!$A$2:$A$31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scatterplots!$D$2:$D$31</c:f>
              <c:numCache>
                <c:formatCode>0.0</c:formatCode>
                <c:ptCount val="30"/>
                <c:pt idx="0">
                  <c:v>4.3588235294117599</c:v>
                </c:pt>
                <c:pt idx="1">
                  <c:v>2.667647058823531</c:v>
                </c:pt>
                <c:pt idx="2">
                  <c:v>4.3</c:v>
                </c:pt>
                <c:pt idx="3">
                  <c:v>2.5833333333333335</c:v>
                </c:pt>
                <c:pt idx="4">
                  <c:v>2.7950000000000004</c:v>
                </c:pt>
                <c:pt idx="5">
                  <c:v>2.6849999999999996</c:v>
                </c:pt>
                <c:pt idx="6">
                  <c:v>0.52830188679245282</c:v>
                </c:pt>
                <c:pt idx="7">
                  <c:v>4.8923076923076909</c:v>
                </c:pt>
                <c:pt idx="8">
                  <c:v>0.37058823529411705</c:v>
                </c:pt>
                <c:pt idx="9">
                  <c:v>-0.41666666666666669</c:v>
                </c:pt>
                <c:pt idx="10">
                  <c:v>-1.2</c:v>
                </c:pt>
                <c:pt idx="11">
                  <c:v>0.17499999999999999</c:v>
                </c:pt>
                <c:pt idx="12">
                  <c:v>2.8764705882352941</c:v>
                </c:pt>
                <c:pt idx="13">
                  <c:v>2.4823529411764724</c:v>
                </c:pt>
                <c:pt idx="14">
                  <c:v>-1.1666666666666667</c:v>
                </c:pt>
                <c:pt idx="15">
                  <c:v>0.95</c:v>
                </c:pt>
                <c:pt idx="16">
                  <c:v>0.29999999999999927</c:v>
                </c:pt>
                <c:pt idx="17">
                  <c:v>3.8566037735849052</c:v>
                </c:pt>
                <c:pt idx="18">
                  <c:v>0.32307692307692343</c:v>
                </c:pt>
                <c:pt idx="19">
                  <c:v>0.21000000000000049</c:v>
                </c:pt>
                <c:pt idx="20">
                  <c:v>0.2764705882352943</c:v>
                </c:pt>
                <c:pt idx="21">
                  <c:v>-1.2823529411764714</c:v>
                </c:pt>
                <c:pt idx="22">
                  <c:v>-2.9833333333333334</c:v>
                </c:pt>
                <c:pt idx="23">
                  <c:v>-0.86470588235293899</c:v>
                </c:pt>
                <c:pt idx="24">
                  <c:v>-2.0999999999999992</c:v>
                </c:pt>
                <c:pt idx="25">
                  <c:v>1.6301886792452827</c:v>
                </c:pt>
                <c:pt idx="26">
                  <c:v>-2.5200000000000005</c:v>
                </c:pt>
                <c:pt idx="27">
                  <c:v>0.40192307692307705</c:v>
                </c:pt>
                <c:pt idx="28">
                  <c:v>-0.51176470588235334</c:v>
                </c:pt>
                <c:pt idx="29">
                  <c:v>-1.5470588235294125</c:v>
                </c:pt>
              </c:numCache>
            </c:numRef>
          </c:yVal>
          <c:smooth val="0"/>
          <c:extLst>
            <c:ext xmlns:c16="http://schemas.microsoft.com/office/drawing/2014/chart" uri="{C3380CC4-5D6E-409C-BE32-E72D297353CC}">
              <c16:uniqueId val="{00000001-06CD-4651-8864-C3753D29B842}"/>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Grazing Days</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LWG (kg/week)</a:t>
                </a:r>
                <a:endParaRPr lang="en-AU"/>
              </a:p>
            </c:rich>
          </c:tx>
          <c:layout>
            <c:manualLayout>
              <c:xMode val="edge"/>
              <c:yMode val="edge"/>
              <c:x val="8.8170462894930201E-3"/>
              <c:y val="0.24395070821947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scatterplots!$E$1</c:f>
              <c:strCache>
                <c:ptCount val="1"/>
                <c:pt idx="0">
                  <c:v>LWG day</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0180055470381891E-2"/>
                  <c:y val="-0.5463893603405581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scatterplots!$A$2:$A$31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scatterplots!$E$2:$E$31</c:f>
              <c:numCache>
                <c:formatCode>0</c:formatCode>
                <c:ptCount val="30"/>
                <c:pt idx="0">
                  <c:v>622.68907563025141</c:v>
                </c:pt>
                <c:pt idx="1">
                  <c:v>381.09243697479019</c:v>
                </c:pt>
                <c:pt idx="2">
                  <c:v>614.28571428571422</c:v>
                </c:pt>
                <c:pt idx="3">
                  <c:v>369.04761904761909</c:v>
                </c:pt>
                <c:pt idx="4">
                  <c:v>399.28571428571433</c:v>
                </c:pt>
                <c:pt idx="5">
                  <c:v>383.5714285714285</c:v>
                </c:pt>
                <c:pt idx="6">
                  <c:v>75.471698113207538</c:v>
                </c:pt>
                <c:pt idx="7">
                  <c:v>698.90109890109875</c:v>
                </c:pt>
                <c:pt idx="8">
                  <c:v>52.941176470588154</c:v>
                </c:pt>
                <c:pt idx="9">
                  <c:v>-59.523809523809526</c:v>
                </c:pt>
                <c:pt idx="10">
                  <c:v>-171.42857142857142</c:v>
                </c:pt>
                <c:pt idx="11">
                  <c:v>24.999999999999996</c:v>
                </c:pt>
                <c:pt idx="12">
                  <c:v>410.92436974789916</c:v>
                </c:pt>
                <c:pt idx="13">
                  <c:v>354.62184873949604</c:v>
                </c:pt>
                <c:pt idx="14">
                  <c:v>-166.66666666666669</c:v>
                </c:pt>
                <c:pt idx="15">
                  <c:v>135.71428571428569</c:v>
                </c:pt>
                <c:pt idx="16">
                  <c:v>42.857142857142755</c:v>
                </c:pt>
                <c:pt idx="17">
                  <c:v>550.94339622641508</c:v>
                </c:pt>
                <c:pt idx="18">
                  <c:v>46.153846153846203</c:v>
                </c:pt>
                <c:pt idx="19">
                  <c:v>30.000000000000071</c:v>
                </c:pt>
                <c:pt idx="20">
                  <c:v>39.495798319327754</c:v>
                </c:pt>
                <c:pt idx="21">
                  <c:v>-183.19327731092446</c:v>
                </c:pt>
                <c:pt idx="22">
                  <c:v>-426.19047619047615</c:v>
                </c:pt>
                <c:pt idx="23">
                  <c:v>-123.52941176470557</c:v>
                </c:pt>
                <c:pt idx="24">
                  <c:v>-299.99999999999989</c:v>
                </c:pt>
                <c:pt idx="25">
                  <c:v>232.88409703504038</c:v>
                </c:pt>
                <c:pt idx="26">
                  <c:v>-360.00000000000006</c:v>
                </c:pt>
                <c:pt idx="27">
                  <c:v>57.417582417582437</c:v>
                </c:pt>
                <c:pt idx="28">
                  <c:v>-73.109243697479044</c:v>
                </c:pt>
                <c:pt idx="29">
                  <c:v>-221.00840336134465</c:v>
                </c:pt>
              </c:numCache>
            </c:numRef>
          </c:yVal>
          <c:smooth val="0"/>
          <c:extLst>
            <c:ext xmlns:c16="http://schemas.microsoft.com/office/drawing/2014/chart" uri="{C3380CC4-5D6E-409C-BE32-E72D297353CC}">
              <c16:uniqueId val="{00000000-10B6-4D8C-9DE9-A8F9A2533D3B}"/>
            </c:ext>
          </c:extLst>
        </c:ser>
        <c:dLbls>
          <c:showLegendKey val="0"/>
          <c:showVal val="0"/>
          <c:showCatName val="0"/>
          <c:showSerName val="0"/>
          <c:showPercent val="0"/>
          <c:showBubbleSize val="0"/>
        </c:dLbls>
        <c:axId val="492594311"/>
        <c:axId val="492595559"/>
      </c:scatterChart>
      <c:valAx>
        <c:axId val="492594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Sheep Grazing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2595559"/>
        <c:crosses val="autoZero"/>
        <c:crossBetween val="midCat"/>
      </c:valAx>
      <c:valAx>
        <c:axId val="4925955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Sheep LWG (g/hd/day)</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2594311"/>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Overall cumulative LWG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scatterplots!$AK$2</c:f>
              <c:strCache>
                <c:ptCount val="1"/>
                <c:pt idx="0">
                  <c:v>cumulative LWG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613613441322899"/>
                  <c:y val="-0.500849143236748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scatterplots!$AI$3:$AI$162</c:f>
              <c:numCache>
                <c:formatCode>General</c:formatCode>
                <c:ptCount val="1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numCache>
            </c:numRef>
          </c:xVal>
          <c:yVal>
            <c:numRef>
              <c:f>scatterplots!$AK$3:$AK$162</c:f>
              <c:numCache>
                <c:formatCode>General</c:formatCode>
                <c:ptCount val="160"/>
                <c:pt idx="0">
                  <c:v>0.57218460000000004</c:v>
                </c:pt>
                <c:pt idx="1">
                  <c:v>1.1370537999999999</c:v>
                </c:pt>
                <c:pt idx="2">
                  <c:v>1.6946075999999999</c:v>
                </c:pt>
                <c:pt idx="3">
                  <c:v>2.2448459999999999</c:v>
                </c:pt>
                <c:pt idx="4">
                  <c:v>2.7877689999999999</c:v>
                </c:pt>
                <c:pt idx="5">
                  <c:v>3.3233766</c:v>
                </c:pt>
                <c:pt idx="6">
                  <c:v>3.8516688000000001</c:v>
                </c:pt>
                <c:pt idx="7">
                  <c:v>4.3726456000000002</c:v>
                </c:pt>
                <c:pt idx="8">
                  <c:v>4.8863070000000004</c:v>
                </c:pt>
                <c:pt idx="9">
                  <c:v>5.3926530000000001</c:v>
                </c:pt>
                <c:pt idx="10">
                  <c:v>5.8916836000000004</c:v>
                </c:pt>
                <c:pt idx="11">
                  <c:v>6.3833988000000002</c:v>
                </c:pt>
                <c:pt idx="12">
                  <c:v>6.8677986000000004</c:v>
                </c:pt>
                <c:pt idx="13">
                  <c:v>7.3448830000000003</c:v>
                </c:pt>
                <c:pt idx="14">
                  <c:v>7.8146520000000006</c:v>
                </c:pt>
                <c:pt idx="15">
                  <c:v>8.2771056000000005</c:v>
                </c:pt>
                <c:pt idx="16">
                  <c:v>8.7322438000000009</c:v>
                </c:pt>
                <c:pt idx="17">
                  <c:v>9.1800666000000017</c:v>
                </c:pt>
                <c:pt idx="18">
                  <c:v>9.6205740000000013</c:v>
                </c:pt>
                <c:pt idx="19">
                  <c:v>10.053766000000001</c:v>
                </c:pt>
                <c:pt idx="20">
                  <c:v>10.479642600000002</c:v>
                </c:pt>
                <c:pt idx="21">
                  <c:v>10.898203800000001</c:v>
                </c:pt>
                <c:pt idx="22">
                  <c:v>11.309449600000001</c:v>
                </c:pt>
                <c:pt idx="23">
                  <c:v>11.713380000000001</c:v>
                </c:pt>
                <c:pt idx="24">
                  <c:v>12.109995000000001</c:v>
                </c:pt>
                <c:pt idx="25">
                  <c:v>12.499294600000001</c:v>
                </c:pt>
                <c:pt idx="26">
                  <c:v>12.8812788</c:v>
                </c:pt>
                <c:pt idx="27">
                  <c:v>13.255947600000001</c:v>
                </c:pt>
                <c:pt idx="28">
                  <c:v>13.623301000000001</c:v>
                </c:pt>
                <c:pt idx="29">
                  <c:v>13.983339000000001</c:v>
                </c:pt>
                <c:pt idx="30">
                  <c:v>14.336061600000001</c:v>
                </c:pt>
                <c:pt idx="31">
                  <c:v>14.681468800000001</c:v>
                </c:pt>
                <c:pt idx="32">
                  <c:v>15.019560600000002</c:v>
                </c:pt>
                <c:pt idx="33">
                  <c:v>15.350337000000001</c:v>
                </c:pt>
                <c:pt idx="34">
                  <c:v>15.673798000000001</c:v>
                </c:pt>
                <c:pt idx="35">
                  <c:v>15.989943600000002</c:v>
                </c:pt>
                <c:pt idx="36">
                  <c:v>16.298773800000003</c:v>
                </c:pt>
                <c:pt idx="37">
                  <c:v>16.600288600000003</c:v>
                </c:pt>
                <c:pt idx="38">
                  <c:v>16.894488000000003</c:v>
                </c:pt>
                <c:pt idx="39">
                  <c:v>17.181372000000003</c:v>
                </c:pt>
                <c:pt idx="40">
                  <c:v>17.460940600000004</c:v>
                </c:pt>
                <c:pt idx="41">
                  <c:v>17.733193800000006</c:v>
                </c:pt>
                <c:pt idx="42">
                  <c:v>17.998131600000004</c:v>
                </c:pt>
                <c:pt idx="43">
                  <c:v>18.255754000000003</c:v>
                </c:pt>
                <c:pt idx="44">
                  <c:v>18.506061000000003</c:v>
                </c:pt>
                <c:pt idx="45">
                  <c:v>18.749052600000002</c:v>
                </c:pt>
                <c:pt idx="46">
                  <c:v>18.984728800000003</c:v>
                </c:pt>
                <c:pt idx="47">
                  <c:v>19.213089600000004</c:v>
                </c:pt>
                <c:pt idx="48">
                  <c:v>19.434135000000005</c:v>
                </c:pt>
                <c:pt idx="49">
                  <c:v>19.647865000000003</c:v>
                </c:pt>
                <c:pt idx="50">
                  <c:v>19.854279600000002</c:v>
                </c:pt>
                <c:pt idx="51">
                  <c:v>20.053378800000001</c:v>
                </c:pt>
                <c:pt idx="52">
                  <c:v>20.2451626</c:v>
                </c:pt>
                <c:pt idx="53">
                  <c:v>20.429631000000001</c:v>
                </c:pt>
                <c:pt idx="54">
                  <c:v>20.606784000000001</c:v>
                </c:pt>
                <c:pt idx="55">
                  <c:v>20.776621600000002</c:v>
                </c:pt>
                <c:pt idx="56">
                  <c:v>20.939143800000004</c:v>
                </c:pt>
                <c:pt idx="57">
                  <c:v>21.094350600000002</c:v>
                </c:pt>
                <c:pt idx="58">
                  <c:v>21.242242000000001</c:v>
                </c:pt>
                <c:pt idx="59">
                  <c:v>21.382818</c:v>
                </c:pt>
                <c:pt idx="60">
                  <c:v>21.5160786</c:v>
                </c:pt>
                <c:pt idx="61">
                  <c:v>21.6420238</c:v>
                </c:pt>
                <c:pt idx="62">
                  <c:v>21.760653600000001</c:v>
                </c:pt>
                <c:pt idx="63">
                  <c:v>21.871968000000003</c:v>
                </c:pt>
                <c:pt idx="64">
                  <c:v>21.975967000000004</c:v>
                </c:pt>
                <c:pt idx="65">
                  <c:v>22.072650600000003</c:v>
                </c:pt>
                <c:pt idx="66">
                  <c:v>22.162018800000002</c:v>
                </c:pt>
                <c:pt idx="67">
                  <c:v>22.244071600000002</c:v>
                </c:pt>
                <c:pt idx="68">
                  <c:v>22.318809000000002</c:v>
                </c:pt>
                <c:pt idx="69">
                  <c:v>22.386231000000002</c:v>
                </c:pt>
                <c:pt idx="70">
                  <c:v>22.446337600000003</c:v>
                </c:pt>
                <c:pt idx="71">
                  <c:v>22.499128800000005</c:v>
                </c:pt>
                <c:pt idx="72">
                  <c:v>22.544604600000003</c:v>
                </c:pt>
                <c:pt idx="73">
                  <c:v>22.582765000000002</c:v>
                </c:pt>
                <c:pt idx="74">
                  <c:v>22.613610000000001</c:v>
                </c:pt>
                <c:pt idx="75">
                  <c:v>22.637139600000001</c:v>
                </c:pt>
                <c:pt idx="76">
                  <c:v>22.653353800000001</c:v>
                </c:pt>
                <c:pt idx="77">
                  <c:v>22.662252600000002</c:v>
                </c:pt>
                <c:pt idx="78">
                  <c:v>22.663836000000003</c:v>
                </c:pt>
                <c:pt idx="79">
                  <c:v>22.658104000000005</c:v>
                </c:pt>
                <c:pt idx="80">
                  <c:v>22.645056600000004</c:v>
                </c:pt>
                <c:pt idx="81">
                  <c:v>22.624693800000003</c:v>
                </c:pt>
                <c:pt idx="82">
                  <c:v>22.597015600000002</c:v>
                </c:pt>
                <c:pt idx="83">
                  <c:v>22.562022000000002</c:v>
                </c:pt>
                <c:pt idx="84">
                  <c:v>22.519713000000003</c:v>
                </c:pt>
                <c:pt idx="85">
                  <c:v>22.470088600000004</c:v>
                </c:pt>
                <c:pt idx="86">
                  <c:v>22.413148800000005</c:v>
                </c:pt>
                <c:pt idx="87">
                  <c:v>22.348893600000004</c:v>
                </c:pt>
                <c:pt idx="88">
                  <c:v>22.277323000000003</c:v>
                </c:pt>
                <c:pt idx="89">
                  <c:v>22.198437000000002</c:v>
                </c:pt>
                <c:pt idx="90">
                  <c:v>22.112235600000002</c:v>
                </c:pt>
                <c:pt idx="91">
                  <c:v>22.018718800000002</c:v>
                </c:pt>
                <c:pt idx="92">
                  <c:v>21.917886600000003</c:v>
                </c:pt>
                <c:pt idx="93">
                  <c:v>21.809739000000004</c:v>
                </c:pt>
                <c:pt idx="94">
                  <c:v>21.694276000000006</c:v>
                </c:pt>
                <c:pt idx="95">
                  <c:v>21.571497600000004</c:v>
                </c:pt>
                <c:pt idx="96">
                  <c:v>21.441403800000003</c:v>
                </c:pt>
                <c:pt idx="97">
                  <c:v>21.303994600000003</c:v>
                </c:pt>
                <c:pt idx="98">
                  <c:v>21.159270000000003</c:v>
                </c:pt>
                <c:pt idx="99">
                  <c:v>21.007230000000003</c:v>
                </c:pt>
                <c:pt idx="100">
                  <c:v>20.847874600000004</c:v>
                </c:pt>
                <c:pt idx="101">
                  <c:v>20.681203800000006</c:v>
                </c:pt>
                <c:pt idx="102">
                  <c:v>20.507217600000004</c:v>
                </c:pt>
                <c:pt idx="103">
                  <c:v>20.325916000000003</c:v>
                </c:pt>
                <c:pt idx="104">
                  <c:v>20.137299000000002</c:v>
                </c:pt>
                <c:pt idx="105">
                  <c:v>19.941366600000002</c:v>
                </c:pt>
                <c:pt idx="106">
                  <c:v>19.738118800000002</c:v>
                </c:pt>
                <c:pt idx="107">
                  <c:v>19.527555600000003</c:v>
                </c:pt>
                <c:pt idx="108">
                  <c:v>19.309677000000004</c:v>
                </c:pt>
                <c:pt idx="109">
                  <c:v>19.084483000000006</c:v>
                </c:pt>
                <c:pt idx="110">
                  <c:v>18.851973600000004</c:v>
                </c:pt>
                <c:pt idx="111">
                  <c:v>18.612148800000003</c:v>
                </c:pt>
                <c:pt idx="112">
                  <c:v>18.365008600000003</c:v>
                </c:pt>
                <c:pt idx="113">
                  <c:v>18.110553000000003</c:v>
                </c:pt>
                <c:pt idx="114">
                  <c:v>17.848782000000003</c:v>
                </c:pt>
                <c:pt idx="115">
                  <c:v>17.579695600000004</c:v>
                </c:pt>
                <c:pt idx="116">
                  <c:v>17.303293800000006</c:v>
                </c:pt>
                <c:pt idx="117">
                  <c:v>17.019576600000004</c:v>
                </c:pt>
                <c:pt idx="118">
                  <c:v>16.728544000000003</c:v>
                </c:pt>
                <c:pt idx="119">
                  <c:v>16.430196000000002</c:v>
                </c:pt>
                <c:pt idx="120">
                  <c:v>16.124532600000002</c:v>
                </c:pt>
                <c:pt idx="121">
                  <c:v>15.811553800000002</c:v>
                </c:pt>
                <c:pt idx="122">
                  <c:v>15.491259600000003</c:v>
                </c:pt>
                <c:pt idx="123">
                  <c:v>15.163650000000002</c:v>
                </c:pt>
                <c:pt idx="124">
                  <c:v>14.828725000000002</c:v>
                </c:pt>
                <c:pt idx="125">
                  <c:v>14.486484600000002</c:v>
                </c:pt>
                <c:pt idx="126">
                  <c:v>14.136928800000003</c:v>
                </c:pt>
                <c:pt idx="127">
                  <c:v>13.780057600000003</c:v>
                </c:pt>
                <c:pt idx="128">
                  <c:v>13.415871000000003</c:v>
                </c:pt>
                <c:pt idx="129">
                  <c:v>13.044369000000003</c:v>
                </c:pt>
                <c:pt idx="130">
                  <c:v>12.665551600000002</c:v>
                </c:pt>
                <c:pt idx="131">
                  <c:v>12.279418800000002</c:v>
                </c:pt>
                <c:pt idx="132">
                  <c:v>11.885970600000002</c:v>
                </c:pt>
                <c:pt idx="133">
                  <c:v>11.485207000000003</c:v>
                </c:pt>
                <c:pt idx="134">
                  <c:v>11.077128000000002</c:v>
                </c:pt>
                <c:pt idx="135">
                  <c:v>10.661733600000002</c:v>
                </c:pt>
                <c:pt idx="136">
                  <c:v>10.239023800000002</c:v>
                </c:pt>
                <c:pt idx="137">
                  <c:v>9.8089986000000025</c:v>
                </c:pt>
                <c:pt idx="138">
                  <c:v>9.3716580000000018</c:v>
                </c:pt>
                <c:pt idx="139">
                  <c:v>8.9270020000000017</c:v>
                </c:pt>
                <c:pt idx="140">
                  <c:v>8.475030600000002</c:v>
                </c:pt>
                <c:pt idx="141">
                  <c:v>8.0157438000000028</c:v>
                </c:pt>
                <c:pt idx="142">
                  <c:v>7.5491416000000031</c:v>
                </c:pt>
                <c:pt idx="143">
                  <c:v>7.0752240000000031</c:v>
                </c:pt>
                <c:pt idx="144">
                  <c:v>6.5939910000000035</c:v>
                </c:pt>
                <c:pt idx="145">
                  <c:v>6.1054426000000035</c:v>
                </c:pt>
                <c:pt idx="146">
                  <c:v>5.6095788000000031</c:v>
                </c:pt>
                <c:pt idx="147">
                  <c:v>5.1063996000000031</c:v>
                </c:pt>
                <c:pt idx="148">
                  <c:v>4.5959050000000028</c:v>
                </c:pt>
                <c:pt idx="149">
                  <c:v>4.0780950000000029</c:v>
                </c:pt>
                <c:pt idx="150">
                  <c:v>3.5529696000000026</c:v>
                </c:pt>
                <c:pt idx="151">
                  <c:v>3.0205288000000028</c:v>
                </c:pt>
                <c:pt idx="152">
                  <c:v>2.4807726000000025</c:v>
                </c:pt>
                <c:pt idx="153">
                  <c:v>1.9337010000000026</c:v>
                </c:pt>
                <c:pt idx="154">
                  <c:v>1.3793140000000026</c:v>
                </c:pt>
                <c:pt idx="155">
                  <c:v>0.81761160000000244</c:v>
                </c:pt>
                <c:pt idx="156">
                  <c:v>0.24859380000000231</c:v>
                </c:pt>
                <c:pt idx="157">
                  <c:v>-0.32773939999999768</c:v>
                </c:pt>
                <c:pt idx="158">
                  <c:v>-0.91138799999999764</c:v>
                </c:pt>
                <c:pt idx="159">
                  <c:v>-1.5023519999999975</c:v>
                </c:pt>
              </c:numCache>
            </c:numRef>
          </c:yVal>
          <c:smooth val="0"/>
          <c:extLst>
            <c:ext xmlns:c16="http://schemas.microsoft.com/office/drawing/2014/chart" uri="{C3380CC4-5D6E-409C-BE32-E72D297353CC}">
              <c16:uniqueId val="{00000000-7AE2-4D78-896D-F0E5D0E64364}"/>
            </c:ext>
          </c:extLst>
        </c:ser>
        <c:dLbls>
          <c:showLegendKey val="0"/>
          <c:showVal val="0"/>
          <c:showCatName val="0"/>
          <c:showSerName val="0"/>
          <c:showPercent val="0"/>
          <c:showBubbleSize val="0"/>
        </c:dLbls>
        <c:axId val="1984568504"/>
        <c:axId val="1984566840"/>
      </c:scatterChart>
      <c:valAx>
        <c:axId val="1984568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6840"/>
        <c:crosses val="autoZero"/>
        <c:crossBetween val="midCat"/>
      </c:valAx>
      <c:valAx>
        <c:axId val="1984566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85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CS&gt;2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pivot_CS!$J$4:$J$13</c:f>
              <c:numCache>
                <c:formatCode>0</c:formatCode>
                <c:ptCount val="10"/>
                <c:pt idx="0">
                  <c:v>13.86</c:v>
                </c:pt>
                <c:pt idx="1">
                  <c:v>27.72</c:v>
                </c:pt>
                <c:pt idx="2">
                  <c:v>41.58</c:v>
                </c:pt>
                <c:pt idx="3">
                  <c:v>53.46</c:v>
                </c:pt>
                <c:pt idx="4">
                  <c:v>55.44</c:v>
                </c:pt>
                <c:pt idx="5">
                  <c:v>69.3</c:v>
                </c:pt>
                <c:pt idx="6">
                  <c:v>83.16</c:v>
                </c:pt>
                <c:pt idx="7">
                  <c:v>97.02</c:v>
                </c:pt>
                <c:pt idx="8">
                  <c:v>106.92</c:v>
                </c:pt>
                <c:pt idx="9">
                  <c:v>110.88</c:v>
                </c:pt>
              </c:numCache>
            </c:numRef>
          </c:xVal>
          <c:yVal>
            <c:numRef>
              <c:f>pivot_CS!$K$4:$K$13</c:f>
              <c:numCache>
                <c:formatCode>0</c:formatCode>
                <c:ptCount val="10"/>
                <c:pt idx="0">
                  <c:v>708.57142857142844</c:v>
                </c:pt>
                <c:pt idx="1">
                  <c:v>560.71428571428532</c:v>
                </c:pt>
                <c:pt idx="2">
                  <c:v>125.71428571428547</c:v>
                </c:pt>
                <c:pt idx="3">
                  <c:v>520.00000000000034</c:v>
                </c:pt>
                <c:pt idx="4">
                  <c:v>272.72727272727315</c:v>
                </c:pt>
                <c:pt idx="5">
                  <c:v>44.999999999999922</c:v>
                </c:pt>
                <c:pt idx="6">
                  <c:v>-225.00000000000017</c:v>
                </c:pt>
                <c:pt idx="7">
                  <c:v>-17.142857142856563</c:v>
                </c:pt>
                <c:pt idx="8">
                  <c:v>-103.03030303030309</c:v>
                </c:pt>
                <c:pt idx="9">
                  <c:v>5.7142857142851771</c:v>
                </c:pt>
              </c:numCache>
            </c:numRef>
          </c:yVal>
          <c:smooth val="0"/>
          <c:extLst>
            <c:ext xmlns:c16="http://schemas.microsoft.com/office/drawing/2014/chart" uri="{C3380CC4-5D6E-409C-BE32-E72D297353CC}">
              <c16:uniqueId val="{00000001-E25C-4603-8B3B-DD151EF84F51}"/>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pivot_CS!$J$16:$J$37</c:f>
              <c:numCache>
                <c:formatCode>0</c:formatCode>
                <c:ptCount val="22"/>
                <c:pt idx="0">
                  <c:v>13.86</c:v>
                </c:pt>
                <c:pt idx="1">
                  <c:v>27.72</c:v>
                </c:pt>
                <c:pt idx="2">
                  <c:v>28.6</c:v>
                </c:pt>
                <c:pt idx="3">
                  <c:v>32.400000000000006</c:v>
                </c:pt>
                <c:pt idx="4">
                  <c:v>34.020000000000003</c:v>
                </c:pt>
                <c:pt idx="5">
                  <c:v>34.580000000000005</c:v>
                </c:pt>
                <c:pt idx="6">
                  <c:v>41.58</c:v>
                </c:pt>
                <c:pt idx="7">
                  <c:v>51.03</c:v>
                </c:pt>
                <c:pt idx="8">
                  <c:v>51.870000000000005</c:v>
                </c:pt>
                <c:pt idx="9">
                  <c:v>53.46</c:v>
                </c:pt>
                <c:pt idx="10">
                  <c:v>55.44</c:v>
                </c:pt>
                <c:pt idx="11">
                  <c:v>59.400000000000006</c:v>
                </c:pt>
                <c:pt idx="12">
                  <c:v>60.480000000000004</c:v>
                </c:pt>
                <c:pt idx="13">
                  <c:v>68.040000000000006</c:v>
                </c:pt>
                <c:pt idx="14">
                  <c:v>69.160000000000011</c:v>
                </c:pt>
                <c:pt idx="15">
                  <c:v>69.3</c:v>
                </c:pt>
                <c:pt idx="16">
                  <c:v>83.16</c:v>
                </c:pt>
                <c:pt idx="17">
                  <c:v>97.02</c:v>
                </c:pt>
                <c:pt idx="18">
                  <c:v>102.06</c:v>
                </c:pt>
                <c:pt idx="19">
                  <c:v>103.74000000000001</c:v>
                </c:pt>
                <c:pt idx="20">
                  <c:v>106.92</c:v>
                </c:pt>
                <c:pt idx="21">
                  <c:v>110.88</c:v>
                </c:pt>
              </c:numCache>
            </c:numRef>
          </c:xVal>
          <c:yVal>
            <c:numRef>
              <c:f>pivot_CS!$K$16:$K$37</c:f>
              <c:numCache>
                <c:formatCode>0</c:formatCode>
                <c:ptCount val="22"/>
                <c:pt idx="0">
                  <c:v>625.85034013605423</c:v>
                </c:pt>
                <c:pt idx="1">
                  <c:v>331.13553113553121</c:v>
                </c:pt>
                <c:pt idx="2">
                  <c:v>-38.461538461538467</c:v>
                </c:pt>
                <c:pt idx="3">
                  <c:v>190.74074074074073</c:v>
                </c:pt>
                <c:pt idx="4">
                  <c:v>241.07142857142856</c:v>
                </c:pt>
                <c:pt idx="5">
                  <c:v>278.57142857142856</c:v>
                </c:pt>
                <c:pt idx="6">
                  <c:v>73.469387755102048</c:v>
                </c:pt>
                <c:pt idx="7">
                  <c:v>-142.85714285714283</c:v>
                </c:pt>
                <c:pt idx="8">
                  <c:v>35.714285714285708</c:v>
                </c:pt>
                <c:pt idx="9">
                  <c:v>357.14285714285717</c:v>
                </c:pt>
                <c:pt idx="10">
                  <c:v>368.25396825396837</c:v>
                </c:pt>
                <c:pt idx="11">
                  <c:v>250</c:v>
                </c:pt>
                <c:pt idx="12">
                  <c:v>85.470085470085465</c:v>
                </c:pt>
                <c:pt idx="13">
                  <c:v>139.28571428571422</c:v>
                </c:pt>
                <c:pt idx="14">
                  <c:v>50.000000000000028</c:v>
                </c:pt>
                <c:pt idx="15">
                  <c:v>109.52380952380946</c:v>
                </c:pt>
                <c:pt idx="16">
                  <c:v>-178.02197802197804</c:v>
                </c:pt>
                <c:pt idx="17">
                  <c:v>-137.41496598639429</c:v>
                </c:pt>
                <c:pt idx="18">
                  <c:v>-185.71428571428567</c:v>
                </c:pt>
                <c:pt idx="19">
                  <c:v>-166.66666666666666</c:v>
                </c:pt>
                <c:pt idx="20">
                  <c:v>-7.4074074074075105</c:v>
                </c:pt>
                <c:pt idx="21">
                  <c:v>-213.60544217687064</c:v>
                </c:pt>
              </c:numCache>
            </c:numRef>
          </c:yVal>
          <c:smooth val="0"/>
          <c:extLst>
            <c:ext xmlns:c16="http://schemas.microsoft.com/office/drawing/2014/chart" uri="{C3380CC4-5D6E-409C-BE32-E72D297353CC}">
              <c16:uniqueId val="{00000001-9876-47A3-B690-706537F3885A}"/>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pivot_CS!$J$40:$J$61</c:f>
              <c:numCache>
                <c:formatCode>0</c:formatCode>
                <c:ptCount val="22"/>
                <c:pt idx="0">
                  <c:v>13.86</c:v>
                </c:pt>
                <c:pt idx="1">
                  <c:v>27.72</c:v>
                </c:pt>
                <c:pt idx="2">
                  <c:v>28.6</c:v>
                </c:pt>
                <c:pt idx="3">
                  <c:v>32.400000000000006</c:v>
                </c:pt>
                <c:pt idx="4">
                  <c:v>34.020000000000003</c:v>
                </c:pt>
                <c:pt idx="5">
                  <c:v>34.580000000000005</c:v>
                </c:pt>
                <c:pt idx="6">
                  <c:v>41.58</c:v>
                </c:pt>
                <c:pt idx="7">
                  <c:v>44.24</c:v>
                </c:pt>
                <c:pt idx="8">
                  <c:v>51.03</c:v>
                </c:pt>
                <c:pt idx="9">
                  <c:v>51.870000000000005</c:v>
                </c:pt>
                <c:pt idx="10">
                  <c:v>53.46</c:v>
                </c:pt>
                <c:pt idx="11">
                  <c:v>55.44</c:v>
                </c:pt>
                <c:pt idx="12">
                  <c:v>59.400000000000006</c:v>
                </c:pt>
                <c:pt idx="13">
                  <c:v>60.480000000000004</c:v>
                </c:pt>
                <c:pt idx="14">
                  <c:v>68.040000000000006</c:v>
                </c:pt>
                <c:pt idx="15">
                  <c:v>69.160000000000011</c:v>
                </c:pt>
                <c:pt idx="16">
                  <c:v>69.3</c:v>
                </c:pt>
                <c:pt idx="17">
                  <c:v>83.16</c:v>
                </c:pt>
                <c:pt idx="18">
                  <c:v>88.48</c:v>
                </c:pt>
                <c:pt idx="19">
                  <c:v>97.02</c:v>
                </c:pt>
                <c:pt idx="20">
                  <c:v>102.06</c:v>
                </c:pt>
                <c:pt idx="21">
                  <c:v>103.74000000000001</c:v>
                </c:pt>
              </c:numCache>
            </c:numRef>
          </c:xVal>
          <c:yVal>
            <c:numRef>
              <c:f>pivot_CS!$K$40:$K$61</c:f>
              <c:numCache>
                <c:formatCode>0</c:formatCode>
                <c:ptCount val="22"/>
                <c:pt idx="0">
                  <c:v>560.71428571428555</c:v>
                </c:pt>
                <c:pt idx="1">
                  <c:v>309.89010989011001</c:v>
                </c:pt>
                <c:pt idx="2">
                  <c:v>343.50132625994701</c:v>
                </c:pt>
                <c:pt idx="3">
                  <c:v>144.44444444444446</c:v>
                </c:pt>
                <c:pt idx="4">
                  <c:v>173.80952380952385</c:v>
                </c:pt>
                <c:pt idx="5">
                  <c:v>132.41758241758234</c:v>
                </c:pt>
                <c:pt idx="6">
                  <c:v>-46.428571428571587</c:v>
                </c:pt>
                <c:pt idx="7">
                  <c:v>-22.727272727272734</c:v>
                </c:pt>
                <c:pt idx="8">
                  <c:v>-166.66666666666666</c:v>
                </c:pt>
                <c:pt idx="9">
                  <c:v>32.967032967032978</c:v>
                </c:pt>
                <c:pt idx="10">
                  <c:v>775</c:v>
                </c:pt>
                <c:pt idx="11">
                  <c:v>485.71428571428635</c:v>
                </c:pt>
                <c:pt idx="12">
                  <c:v>-94.827586206896541</c:v>
                </c:pt>
                <c:pt idx="13">
                  <c:v>54.487179487179496</c:v>
                </c:pt>
                <c:pt idx="14">
                  <c:v>29.523809523809401</c:v>
                </c:pt>
                <c:pt idx="15">
                  <c:v>29.670329670329693</c:v>
                </c:pt>
                <c:pt idx="16">
                  <c:v>-168.74999999999974</c:v>
                </c:pt>
                <c:pt idx="17">
                  <c:v>-147.25274725274764</c:v>
                </c:pt>
                <c:pt idx="18">
                  <c:v>-214.28571428571431</c:v>
                </c:pt>
                <c:pt idx="19">
                  <c:v>-153.57142857142833</c:v>
                </c:pt>
                <c:pt idx="20">
                  <c:v>-145.71428571428564</c:v>
                </c:pt>
                <c:pt idx="21">
                  <c:v>-190.10989010989013</c:v>
                </c:pt>
              </c:numCache>
            </c:numRef>
          </c:yVal>
          <c:smooth val="0"/>
          <c:extLst>
            <c:ext xmlns:c16="http://schemas.microsoft.com/office/drawing/2014/chart" uri="{C3380CC4-5D6E-409C-BE32-E72D297353CC}">
              <c16:uniqueId val="{00000001-B743-4AF1-9AB4-9E902EF7D6AB}"/>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pivot_CS!$J$66:$J$75</c:f>
              <c:numCache>
                <c:formatCode>General</c:formatCode>
                <c:ptCount val="10"/>
                <c:pt idx="0">
                  <c:v>34.020000000000003</c:v>
                </c:pt>
                <c:pt idx="1">
                  <c:v>34.580000000000005</c:v>
                </c:pt>
                <c:pt idx="2">
                  <c:v>44.24</c:v>
                </c:pt>
                <c:pt idx="3">
                  <c:v>51.03</c:v>
                </c:pt>
                <c:pt idx="4">
                  <c:v>51.870000000000005</c:v>
                </c:pt>
                <c:pt idx="5">
                  <c:v>68.040000000000006</c:v>
                </c:pt>
                <c:pt idx="6">
                  <c:v>69.160000000000011</c:v>
                </c:pt>
                <c:pt idx="7">
                  <c:v>88.48</c:v>
                </c:pt>
                <c:pt idx="8">
                  <c:v>102.06</c:v>
                </c:pt>
                <c:pt idx="9">
                  <c:v>103.74000000000001</c:v>
                </c:pt>
              </c:numCache>
            </c:numRef>
          </c:xVal>
          <c:yVal>
            <c:numRef>
              <c:f>pivot_CS!$K$66:$K$75</c:f>
              <c:numCache>
                <c:formatCode>General</c:formatCode>
                <c:ptCount val="10"/>
                <c:pt idx="0">
                  <c:v>421.42857142857133</c:v>
                </c:pt>
                <c:pt idx="1">
                  <c:v>442.85714285714306</c:v>
                </c:pt>
                <c:pt idx="2">
                  <c:v>-33.834586466165412</c:v>
                </c:pt>
                <c:pt idx="3">
                  <c:v>-357.14285714285717</c:v>
                </c:pt>
                <c:pt idx="4">
                  <c:v>-142.85714285714286</c:v>
                </c:pt>
                <c:pt idx="5">
                  <c:v>-142.85714285714286</c:v>
                </c:pt>
                <c:pt idx="6">
                  <c:v>-85.714285714284898</c:v>
                </c:pt>
                <c:pt idx="7">
                  <c:v>-212.40601503759399</c:v>
                </c:pt>
                <c:pt idx="8">
                  <c:v>-71.428571428571431</c:v>
                </c:pt>
                <c:pt idx="9">
                  <c:v>-128.57142857142887</c:v>
                </c:pt>
              </c:numCache>
            </c:numRef>
          </c:yVal>
          <c:smooth val="0"/>
          <c:extLst>
            <c:ext xmlns:c16="http://schemas.microsoft.com/office/drawing/2014/chart" uri="{C3380CC4-5D6E-409C-BE32-E72D297353CC}">
              <c16:uniqueId val="{00000001-BB7D-4BEC-9310-3BCE0A1B1A51}"/>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 &lt;2 cumulative LWG</a:t>
            </a:r>
          </a:p>
        </c:rich>
      </c:tx>
      <c:layout>
        <c:manualLayout>
          <c:xMode val="edge"/>
          <c:yMode val="edge"/>
          <c:x val="0.17469086231770697"/>
          <c:y val="2.874251497005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scatterplots!$AM$2</c:f>
              <c:strCache>
                <c:ptCount val="1"/>
                <c:pt idx="0">
                  <c:v>cumulative LWG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613613441322899"/>
                  <c:y val="-0.500849143236748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scatterplots!$AI$3:$AI$202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scatterplots!$AM$3:$AM$202</c:f>
              <c:numCache>
                <c:formatCode>General</c:formatCode>
                <c:ptCount val="200"/>
                <c:pt idx="0">
                  <c:v>0.70211000000000001</c:v>
                </c:pt>
                <c:pt idx="1">
                  <c:v>1.3963300000000001</c:v>
                </c:pt>
                <c:pt idx="2">
                  <c:v>2.0826600000000002</c:v>
                </c:pt>
                <c:pt idx="3">
                  <c:v>2.7611000000000003</c:v>
                </c:pt>
                <c:pt idx="4">
                  <c:v>3.4316500000000003</c:v>
                </c:pt>
                <c:pt idx="5">
                  <c:v>4.0943100000000001</c:v>
                </c:pt>
                <c:pt idx="6">
                  <c:v>4.7490800000000002</c:v>
                </c:pt>
                <c:pt idx="7">
                  <c:v>5.3959600000000005</c:v>
                </c:pt>
                <c:pt idx="8">
                  <c:v>6.0349500000000003</c:v>
                </c:pt>
                <c:pt idx="9">
                  <c:v>6.6660500000000003</c:v>
                </c:pt>
                <c:pt idx="10">
                  <c:v>7.2892600000000005</c:v>
                </c:pt>
                <c:pt idx="11">
                  <c:v>7.904580000000001</c:v>
                </c:pt>
                <c:pt idx="12">
                  <c:v>8.5120100000000019</c:v>
                </c:pt>
                <c:pt idx="13">
                  <c:v>9.1115500000000011</c:v>
                </c:pt>
                <c:pt idx="14">
                  <c:v>9.7032000000000007</c:v>
                </c:pt>
                <c:pt idx="15">
                  <c:v>10.286960000000001</c:v>
                </c:pt>
                <c:pt idx="16">
                  <c:v>10.862830000000001</c:v>
                </c:pt>
                <c:pt idx="17">
                  <c:v>11.430810000000001</c:v>
                </c:pt>
                <c:pt idx="18">
                  <c:v>11.990900000000002</c:v>
                </c:pt>
                <c:pt idx="19">
                  <c:v>12.543100000000003</c:v>
                </c:pt>
                <c:pt idx="20">
                  <c:v>13.087410000000002</c:v>
                </c:pt>
                <c:pt idx="21">
                  <c:v>13.623830000000002</c:v>
                </c:pt>
                <c:pt idx="22">
                  <c:v>14.152360000000002</c:v>
                </c:pt>
                <c:pt idx="23">
                  <c:v>14.673000000000002</c:v>
                </c:pt>
                <c:pt idx="24">
                  <c:v>15.185750000000002</c:v>
                </c:pt>
                <c:pt idx="25">
                  <c:v>15.690610000000003</c:v>
                </c:pt>
                <c:pt idx="26">
                  <c:v>16.187580000000004</c:v>
                </c:pt>
                <c:pt idx="27">
                  <c:v>16.676660000000005</c:v>
                </c:pt>
                <c:pt idx="28">
                  <c:v>17.157850000000007</c:v>
                </c:pt>
                <c:pt idx="29">
                  <c:v>17.631150000000005</c:v>
                </c:pt>
                <c:pt idx="30">
                  <c:v>18.096560000000004</c:v>
                </c:pt>
                <c:pt idx="31">
                  <c:v>18.554080000000003</c:v>
                </c:pt>
                <c:pt idx="32">
                  <c:v>19.003710000000002</c:v>
                </c:pt>
                <c:pt idx="33">
                  <c:v>19.445450000000001</c:v>
                </c:pt>
                <c:pt idx="34">
                  <c:v>19.879300000000001</c:v>
                </c:pt>
                <c:pt idx="35">
                  <c:v>20.305260000000001</c:v>
                </c:pt>
                <c:pt idx="36">
                  <c:v>20.723330000000001</c:v>
                </c:pt>
                <c:pt idx="37">
                  <c:v>21.133510000000001</c:v>
                </c:pt>
                <c:pt idx="38">
                  <c:v>21.535800000000002</c:v>
                </c:pt>
                <c:pt idx="39">
                  <c:v>21.930200000000003</c:v>
                </c:pt>
                <c:pt idx="40">
                  <c:v>22.316710000000004</c:v>
                </c:pt>
                <c:pt idx="41">
                  <c:v>22.695330000000006</c:v>
                </c:pt>
                <c:pt idx="42">
                  <c:v>23.066060000000007</c:v>
                </c:pt>
                <c:pt idx="43">
                  <c:v>23.428900000000006</c:v>
                </c:pt>
                <c:pt idx="44">
                  <c:v>23.783850000000005</c:v>
                </c:pt>
                <c:pt idx="45">
                  <c:v>24.130910000000004</c:v>
                </c:pt>
                <c:pt idx="46">
                  <c:v>24.470080000000003</c:v>
                </c:pt>
                <c:pt idx="47">
                  <c:v>24.801360000000003</c:v>
                </c:pt>
                <c:pt idx="48">
                  <c:v>25.124750000000002</c:v>
                </c:pt>
                <c:pt idx="49">
                  <c:v>25.440250000000002</c:v>
                </c:pt>
                <c:pt idx="50">
                  <c:v>25.747860000000003</c:v>
                </c:pt>
                <c:pt idx="51">
                  <c:v>26.047580000000004</c:v>
                </c:pt>
                <c:pt idx="52">
                  <c:v>26.339410000000004</c:v>
                </c:pt>
                <c:pt idx="53">
                  <c:v>26.623350000000006</c:v>
                </c:pt>
                <c:pt idx="54">
                  <c:v>26.899400000000007</c:v>
                </c:pt>
                <c:pt idx="55">
                  <c:v>27.167560000000009</c:v>
                </c:pt>
                <c:pt idx="56">
                  <c:v>27.427830000000007</c:v>
                </c:pt>
                <c:pt idx="57">
                  <c:v>27.680210000000006</c:v>
                </c:pt>
                <c:pt idx="58">
                  <c:v>27.924700000000005</c:v>
                </c:pt>
                <c:pt idx="59">
                  <c:v>28.161300000000004</c:v>
                </c:pt>
                <c:pt idx="60">
                  <c:v>28.390010000000004</c:v>
                </c:pt>
                <c:pt idx="61">
                  <c:v>28.610830000000004</c:v>
                </c:pt>
                <c:pt idx="62">
                  <c:v>28.823760000000004</c:v>
                </c:pt>
                <c:pt idx="63">
                  <c:v>29.028800000000004</c:v>
                </c:pt>
                <c:pt idx="64">
                  <c:v>29.225950000000005</c:v>
                </c:pt>
                <c:pt idx="65">
                  <c:v>29.415210000000005</c:v>
                </c:pt>
                <c:pt idx="66">
                  <c:v>29.596580000000007</c:v>
                </c:pt>
                <c:pt idx="67">
                  <c:v>29.770060000000008</c:v>
                </c:pt>
                <c:pt idx="68">
                  <c:v>29.93565000000001</c:v>
                </c:pt>
                <c:pt idx="69">
                  <c:v>30.093350000000008</c:v>
                </c:pt>
                <c:pt idx="70">
                  <c:v>30.243160000000007</c:v>
                </c:pt>
                <c:pt idx="71">
                  <c:v>30.385080000000006</c:v>
                </c:pt>
                <c:pt idx="72">
                  <c:v>30.519110000000005</c:v>
                </c:pt>
                <c:pt idx="73">
                  <c:v>30.645250000000004</c:v>
                </c:pt>
                <c:pt idx="74">
                  <c:v>30.763500000000004</c:v>
                </c:pt>
                <c:pt idx="75">
                  <c:v>30.873860000000004</c:v>
                </c:pt>
                <c:pt idx="76">
                  <c:v>30.976330000000004</c:v>
                </c:pt>
                <c:pt idx="77">
                  <c:v>31.070910000000005</c:v>
                </c:pt>
                <c:pt idx="78">
                  <c:v>31.157600000000006</c:v>
                </c:pt>
                <c:pt idx="79">
                  <c:v>31.236400000000007</c:v>
                </c:pt>
                <c:pt idx="80">
                  <c:v>31.307310000000008</c:v>
                </c:pt>
                <c:pt idx="81">
                  <c:v>31.37033000000001</c:v>
                </c:pt>
                <c:pt idx="82">
                  <c:v>31.425460000000008</c:v>
                </c:pt>
                <c:pt idx="83">
                  <c:v>31.472700000000007</c:v>
                </c:pt>
                <c:pt idx="84">
                  <c:v>31.512050000000006</c:v>
                </c:pt>
                <c:pt idx="85">
                  <c:v>31.543510000000005</c:v>
                </c:pt>
                <c:pt idx="86">
                  <c:v>31.567080000000004</c:v>
                </c:pt>
                <c:pt idx="87">
                  <c:v>31.582760000000004</c:v>
                </c:pt>
                <c:pt idx="88">
                  <c:v>31.590550000000004</c:v>
                </c:pt>
                <c:pt idx="89">
                  <c:v>31.590450000000004</c:v>
                </c:pt>
                <c:pt idx="90">
                  <c:v>31.582460000000005</c:v>
                </c:pt>
                <c:pt idx="91">
                  <c:v>31.566580000000005</c:v>
                </c:pt>
                <c:pt idx="92">
                  <c:v>31.542810000000006</c:v>
                </c:pt>
                <c:pt idx="93">
                  <c:v>31.511150000000008</c:v>
                </c:pt>
                <c:pt idx="94">
                  <c:v>31.471600000000009</c:v>
                </c:pt>
                <c:pt idx="95">
                  <c:v>31.424160000000008</c:v>
                </c:pt>
                <c:pt idx="96">
                  <c:v>31.368830000000006</c:v>
                </c:pt>
                <c:pt idx="97">
                  <c:v>31.305610000000005</c:v>
                </c:pt>
                <c:pt idx="98">
                  <c:v>31.234500000000004</c:v>
                </c:pt>
                <c:pt idx="99">
                  <c:v>31.155500000000004</c:v>
                </c:pt>
                <c:pt idx="100">
                  <c:v>31.068610000000003</c:v>
                </c:pt>
                <c:pt idx="101">
                  <c:v>30.973830000000003</c:v>
                </c:pt>
                <c:pt idx="102">
                  <c:v>30.871160000000003</c:v>
                </c:pt>
                <c:pt idx="103">
                  <c:v>30.760600000000004</c:v>
                </c:pt>
                <c:pt idx="104">
                  <c:v>30.642150000000004</c:v>
                </c:pt>
                <c:pt idx="105">
                  <c:v>30.515810000000005</c:v>
                </c:pt>
                <c:pt idx="106">
                  <c:v>30.381580000000007</c:v>
                </c:pt>
                <c:pt idx="107">
                  <c:v>30.239460000000008</c:v>
                </c:pt>
                <c:pt idx="108">
                  <c:v>30.089450000000006</c:v>
                </c:pt>
                <c:pt idx="109">
                  <c:v>29.931550000000005</c:v>
                </c:pt>
                <c:pt idx="110">
                  <c:v>29.765760000000004</c:v>
                </c:pt>
                <c:pt idx="111">
                  <c:v>29.592080000000003</c:v>
                </c:pt>
                <c:pt idx="112">
                  <c:v>29.410510000000002</c:v>
                </c:pt>
                <c:pt idx="113">
                  <c:v>29.221050000000002</c:v>
                </c:pt>
                <c:pt idx="114">
                  <c:v>29.023700000000002</c:v>
                </c:pt>
                <c:pt idx="115">
                  <c:v>28.818460000000002</c:v>
                </c:pt>
                <c:pt idx="116">
                  <c:v>28.605330000000002</c:v>
                </c:pt>
                <c:pt idx="117">
                  <c:v>28.384310000000003</c:v>
                </c:pt>
                <c:pt idx="118">
                  <c:v>28.155400000000004</c:v>
                </c:pt>
                <c:pt idx="119">
                  <c:v>27.918600000000005</c:v>
                </c:pt>
                <c:pt idx="120">
                  <c:v>27.673910000000006</c:v>
                </c:pt>
                <c:pt idx="121">
                  <c:v>27.421330000000008</c:v>
                </c:pt>
                <c:pt idx="122">
                  <c:v>27.160860000000007</c:v>
                </c:pt>
                <c:pt idx="123">
                  <c:v>26.892500000000005</c:v>
                </c:pt>
                <c:pt idx="124">
                  <c:v>26.616250000000004</c:v>
                </c:pt>
                <c:pt idx="125">
                  <c:v>26.332110000000004</c:v>
                </c:pt>
                <c:pt idx="126">
                  <c:v>26.040080000000003</c:v>
                </c:pt>
                <c:pt idx="127">
                  <c:v>25.740160000000003</c:v>
                </c:pt>
                <c:pt idx="128">
                  <c:v>25.432350000000003</c:v>
                </c:pt>
                <c:pt idx="129">
                  <c:v>25.116650000000003</c:v>
                </c:pt>
                <c:pt idx="130">
                  <c:v>24.793060000000004</c:v>
                </c:pt>
                <c:pt idx="131">
                  <c:v>24.461580000000005</c:v>
                </c:pt>
                <c:pt idx="132">
                  <c:v>24.122210000000006</c:v>
                </c:pt>
                <c:pt idx="133">
                  <c:v>23.774950000000008</c:v>
                </c:pt>
                <c:pt idx="134">
                  <c:v>23.419800000000009</c:v>
                </c:pt>
                <c:pt idx="135">
                  <c:v>23.056760000000008</c:v>
                </c:pt>
                <c:pt idx="136">
                  <c:v>22.685830000000006</c:v>
                </c:pt>
                <c:pt idx="137">
                  <c:v>22.307010000000005</c:v>
                </c:pt>
                <c:pt idx="138">
                  <c:v>21.920300000000005</c:v>
                </c:pt>
                <c:pt idx="139">
                  <c:v>21.525700000000004</c:v>
                </c:pt>
                <c:pt idx="140">
                  <c:v>21.123210000000004</c:v>
                </c:pt>
                <c:pt idx="141">
                  <c:v>20.712830000000004</c:v>
                </c:pt>
                <c:pt idx="142">
                  <c:v>20.294560000000004</c:v>
                </c:pt>
                <c:pt idx="143">
                  <c:v>19.868400000000005</c:v>
                </c:pt>
                <c:pt idx="144">
                  <c:v>19.434350000000006</c:v>
                </c:pt>
                <c:pt idx="145">
                  <c:v>18.992410000000007</c:v>
                </c:pt>
                <c:pt idx="146">
                  <c:v>18.542580000000008</c:v>
                </c:pt>
                <c:pt idx="147">
                  <c:v>18.08486000000001</c:v>
                </c:pt>
                <c:pt idx="148">
                  <c:v>17.619250000000008</c:v>
                </c:pt>
                <c:pt idx="149">
                  <c:v>17.145750000000007</c:v>
                </c:pt>
                <c:pt idx="150">
                  <c:v>16.664360000000006</c:v>
                </c:pt>
                <c:pt idx="151">
                  <c:v>16.175080000000005</c:v>
                </c:pt>
                <c:pt idx="152">
                  <c:v>15.677910000000004</c:v>
                </c:pt>
                <c:pt idx="153">
                  <c:v>15.172850000000004</c:v>
                </c:pt>
                <c:pt idx="154">
                  <c:v>14.659900000000004</c:v>
                </c:pt>
                <c:pt idx="155">
                  <c:v>14.139060000000004</c:v>
                </c:pt>
                <c:pt idx="156">
                  <c:v>13.610330000000005</c:v>
                </c:pt>
                <c:pt idx="157">
                  <c:v>13.073710000000005</c:v>
                </c:pt>
                <c:pt idx="158">
                  <c:v>12.529200000000005</c:v>
                </c:pt>
                <c:pt idx="159">
                  <c:v>11.976800000000004</c:v>
                </c:pt>
                <c:pt idx="160">
                  <c:v>11.416510000000004</c:v>
                </c:pt>
                <c:pt idx="161">
                  <c:v>10.848330000000004</c:v>
                </c:pt>
                <c:pt idx="162">
                  <c:v>10.272260000000005</c:v>
                </c:pt>
                <c:pt idx="163">
                  <c:v>9.6883000000000052</c:v>
                </c:pt>
                <c:pt idx="164">
                  <c:v>9.0964500000000061</c:v>
                </c:pt>
                <c:pt idx="165">
                  <c:v>8.4967100000000055</c:v>
                </c:pt>
                <c:pt idx="166">
                  <c:v>7.8890800000000052</c:v>
                </c:pt>
                <c:pt idx="167">
                  <c:v>7.2735600000000051</c:v>
                </c:pt>
                <c:pt idx="168">
                  <c:v>6.6501500000000053</c:v>
                </c:pt>
                <c:pt idx="169">
                  <c:v>6.0188500000000058</c:v>
                </c:pt>
                <c:pt idx="170">
                  <c:v>5.3796600000000057</c:v>
                </c:pt>
                <c:pt idx="171">
                  <c:v>4.7325800000000058</c:v>
                </c:pt>
                <c:pt idx="172">
                  <c:v>4.0776100000000053</c:v>
                </c:pt>
                <c:pt idx="173">
                  <c:v>3.4147500000000055</c:v>
                </c:pt>
                <c:pt idx="174">
                  <c:v>2.7440000000000055</c:v>
                </c:pt>
                <c:pt idx="175">
                  <c:v>2.0653600000000054</c:v>
                </c:pt>
                <c:pt idx="176">
                  <c:v>1.3788300000000056</c:v>
                </c:pt>
                <c:pt idx="177">
                  <c:v>0.68441000000000574</c:v>
                </c:pt>
                <c:pt idx="178">
                  <c:v>-1.7899999999994254E-2</c:v>
                </c:pt>
                <c:pt idx="179">
                  <c:v>-0.72809999999999431</c:v>
                </c:pt>
                <c:pt idx="180">
                  <c:v>-1.4461899999999943</c:v>
                </c:pt>
                <c:pt idx="181">
                  <c:v>-2.1721699999999942</c:v>
                </c:pt>
                <c:pt idx="182">
                  <c:v>-2.9060399999999942</c:v>
                </c:pt>
                <c:pt idx="183">
                  <c:v>-3.6477999999999939</c:v>
                </c:pt>
                <c:pt idx="184">
                  <c:v>-4.3974499999999939</c:v>
                </c:pt>
                <c:pt idx="185">
                  <c:v>-5.1549899999999935</c:v>
                </c:pt>
                <c:pt idx="186">
                  <c:v>-5.9204199999999929</c:v>
                </c:pt>
                <c:pt idx="187">
                  <c:v>-6.6937399999999929</c:v>
                </c:pt>
                <c:pt idx="188">
                  <c:v>-7.4749499999999927</c:v>
                </c:pt>
                <c:pt idx="189">
                  <c:v>-8.2640499999999921</c:v>
                </c:pt>
                <c:pt idx="190">
                  <c:v>-9.0610399999999913</c:v>
                </c:pt>
                <c:pt idx="191">
                  <c:v>-9.865919999999992</c:v>
                </c:pt>
                <c:pt idx="192">
                  <c:v>-10.678689999999992</c:v>
                </c:pt>
                <c:pt idx="193">
                  <c:v>-11.499349999999993</c:v>
                </c:pt>
                <c:pt idx="194">
                  <c:v>-12.327899999999993</c:v>
                </c:pt>
                <c:pt idx="195">
                  <c:v>-13.164339999999992</c:v>
                </c:pt>
                <c:pt idx="196">
                  <c:v>-14.008669999999992</c:v>
                </c:pt>
                <c:pt idx="197">
                  <c:v>-14.860889999999991</c:v>
                </c:pt>
                <c:pt idx="198">
                  <c:v>-15.720999999999991</c:v>
                </c:pt>
                <c:pt idx="199">
                  <c:v>-16.588999999999992</c:v>
                </c:pt>
              </c:numCache>
            </c:numRef>
          </c:yVal>
          <c:smooth val="0"/>
          <c:extLst>
            <c:ext xmlns:c16="http://schemas.microsoft.com/office/drawing/2014/chart" uri="{C3380CC4-5D6E-409C-BE32-E72D297353CC}">
              <c16:uniqueId val="{00000001-027F-4464-ACC8-1321E1D67547}"/>
            </c:ext>
          </c:extLst>
        </c:ser>
        <c:dLbls>
          <c:showLegendKey val="0"/>
          <c:showVal val="0"/>
          <c:showCatName val="0"/>
          <c:showSerName val="0"/>
          <c:showPercent val="0"/>
          <c:showBubbleSize val="0"/>
        </c:dLbls>
        <c:axId val="1984568504"/>
        <c:axId val="1984566840"/>
      </c:scatterChart>
      <c:valAx>
        <c:axId val="1984568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6840"/>
        <c:crosses val="autoZero"/>
        <c:crossBetween val="midCat"/>
      </c:valAx>
      <c:valAx>
        <c:axId val="1984566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85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 2-2.75 cumulative LWG</a:t>
            </a:r>
          </a:p>
        </c:rich>
      </c:tx>
      <c:layout>
        <c:manualLayout>
          <c:xMode val="edge"/>
          <c:yMode val="edge"/>
          <c:x val="0.17469086231770697"/>
          <c:y val="2.874251497005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scatterplots!$AK$2</c:f>
              <c:strCache>
                <c:ptCount val="1"/>
                <c:pt idx="0">
                  <c:v>cumulative LWG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613613441322899"/>
                  <c:y val="-0.500849143236748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scatterplots!$AI$3:$AI$202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scatterplots!$AO$3:$AO$202</c:f>
              <c:numCache>
                <c:formatCode>General</c:formatCode>
                <c:ptCount val="200"/>
                <c:pt idx="0">
                  <c:v>0.43436999999999998</c:v>
                </c:pt>
                <c:pt idx="1">
                  <c:v>0.86311000000000004</c:v>
                </c:pt>
                <c:pt idx="2">
                  <c:v>1.2862200000000001</c:v>
                </c:pt>
                <c:pt idx="3">
                  <c:v>1.7037000000000002</c:v>
                </c:pt>
                <c:pt idx="4">
                  <c:v>2.1155500000000003</c:v>
                </c:pt>
                <c:pt idx="5">
                  <c:v>2.5217700000000001</c:v>
                </c:pt>
                <c:pt idx="6">
                  <c:v>2.9223600000000003</c:v>
                </c:pt>
                <c:pt idx="7">
                  <c:v>3.3173200000000005</c:v>
                </c:pt>
                <c:pt idx="8">
                  <c:v>3.7066500000000007</c:v>
                </c:pt>
                <c:pt idx="9">
                  <c:v>4.0903500000000008</c:v>
                </c:pt>
                <c:pt idx="10">
                  <c:v>4.4684200000000009</c:v>
                </c:pt>
                <c:pt idx="11">
                  <c:v>4.8408600000000011</c:v>
                </c:pt>
                <c:pt idx="12">
                  <c:v>5.2076700000000011</c:v>
                </c:pt>
                <c:pt idx="13">
                  <c:v>5.5688500000000012</c:v>
                </c:pt>
                <c:pt idx="14">
                  <c:v>5.9244000000000012</c:v>
                </c:pt>
                <c:pt idx="15">
                  <c:v>6.2743200000000012</c:v>
                </c:pt>
                <c:pt idx="16">
                  <c:v>6.6186100000000012</c:v>
                </c:pt>
                <c:pt idx="17">
                  <c:v>6.9572700000000012</c:v>
                </c:pt>
                <c:pt idx="18">
                  <c:v>7.2903000000000011</c:v>
                </c:pt>
                <c:pt idx="19">
                  <c:v>7.617700000000001</c:v>
                </c:pt>
                <c:pt idx="20">
                  <c:v>7.9394700000000009</c:v>
                </c:pt>
                <c:pt idx="21">
                  <c:v>8.2556100000000008</c:v>
                </c:pt>
                <c:pt idx="22">
                  <c:v>8.5661200000000015</c:v>
                </c:pt>
                <c:pt idx="23">
                  <c:v>8.8710000000000022</c:v>
                </c:pt>
                <c:pt idx="24">
                  <c:v>9.1702500000000029</c:v>
                </c:pt>
                <c:pt idx="25">
                  <c:v>9.4638700000000036</c:v>
                </c:pt>
                <c:pt idx="26">
                  <c:v>9.7518600000000042</c:v>
                </c:pt>
                <c:pt idx="27">
                  <c:v>10.034220000000005</c:v>
                </c:pt>
                <c:pt idx="28">
                  <c:v>10.310950000000005</c:v>
                </c:pt>
                <c:pt idx="29">
                  <c:v>10.582050000000006</c:v>
                </c:pt>
                <c:pt idx="30">
                  <c:v>10.847520000000006</c:v>
                </c:pt>
                <c:pt idx="31">
                  <c:v>11.107360000000007</c:v>
                </c:pt>
                <c:pt idx="32">
                  <c:v>11.361570000000007</c:v>
                </c:pt>
                <c:pt idx="33">
                  <c:v>11.610150000000008</c:v>
                </c:pt>
                <c:pt idx="34">
                  <c:v>11.853100000000008</c:v>
                </c:pt>
                <c:pt idx="35">
                  <c:v>12.090420000000009</c:v>
                </c:pt>
                <c:pt idx="36">
                  <c:v>12.322110000000009</c:v>
                </c:pt>
                <c:pt idx="37">
                  <c:v>12.54817000000001</c:v>
                </c:pt>
                <c:pt idx="38">
                  <c:v>12.76860000000001</c:v>
                </c:pt>
                <c:pt idx="39">
                  <c:v>12.98340000000001</c:v>
                </c:pt>
                <c:pt idx="40">
                  <c:v>13.192570000000011</c:v>
                </c:pt>
                <c:pt idx="41">
                  <c:v>13.396110000000011</c:v>
                </c:pt>
                <c:pt idx="42">
                  <c:v>13.594020000000011</c:v>
                </c:pt>
                <c:pt idx="43">
                  <c:v>13.786300000000011</c:v>
                </c:pt>
                <c:pt idx="44">
                  <c:v>13.972950000000012</c:v>
                </c:pt>
                <c:pt idx="45">
                  <c:v>14.153970000000012</c:v>
                </c:pt>
                <c:pt idx="46">
                  <c:v>14.329360000000012</c:v>
                </c:pt>
                <c:pt idx="47">
                  <c:v>14.499120000000012</c:v>
                </c:pt>
                <c:pt idx="48">
                  <c:v>14.663250000000012</c:v>
                </c:pt>
                <c:pt idx="49">
                  <c:v>14.821750000000012</c:v>
                </c:pt>
                <c:pt idx="50">
                  <c:v>14.974620000000012</c:v>
                </c:pt>
                <c:pt idx="51">
                  <c:v>15.121860000000012</c:v>
                </c:pt>
                <c:pt idx="52">
                  <c:v>15.263470000000012</c:v>
                </c:pt>
                <c:pt idx="53">
                  <c:v>15.399450000000012</c:v>
                </c:pt>
                <c:pt idx="54">
                  <c:v>15.529800000000012</c:v>
                </c:pt>
                <c:pt idx="55">
                  <c:v>15.654520000000012</c:v>
                </c:pt>
                <c:pt idx="56">
                  <c:v>15.773610000000012</c:v>
                </c:pt>
                <c:pt idx="57">
                  <c:v>15.887070000000012</c:v>
                </c:pt>
                <c:pt idx="58">
                  <c:v>15.994900000000012</c:v>
                </c:pt>
                <c:pt idx="59">
                  <c:v>16.097100000000012</c:v>
                </c:pt>
                <c:pt idx="60">
                  <c:v>16.193670000000012</c:v>
                </c:pt>
                <c:pt idx="61">
                  <c:v>16.284610000000011</c:v>
                </c:pt>
                <c:pt idx="62">
                  <c:v>16.369920000000011</c:v>
                </c:pt>
                <c:pt idx="63">
                  <c:v>16.449600000000011</c:v>
                </c:pt>
                <c:pt idx="64">
                  <c:v>16.523650000000011</c:v>
                </c:pt>
                <c:pt idx="65">
                  <c:v>16.59207000000001</c:v>
                </c:pt>
                <c:pt idx="66">
                  <c:v>16.65486000000001</c:v>
                </c:pt>
                <c:pt idx="67">
                  <c:v>16.71202000000001</c:v>
                </c:pt>
                <c:pt idx="68">
                  <c:v>16.763550000000009</c:v>
                </c:pt>
                <c:pt idx="69">
                  <c:v>16.809450000000009</c:v>
                </c:pt>
                <c:pt idx="70">
                  <c:v>16.849720000000008</c:v>
                </c:pt>
                <c:pt idx="71">
                  <c:v>16.884360000000008</c:v>
                </c:pt>
                <c:pt idx="72">
                  <c:v>16.913370000000008</c:v>
                </c:pt>
                <c:pt idx="73">
                  <c:v>16.936750000000007</c:v>
                </c:pt>
                <c:pt idx="74">
                  <c:v>16.954500000000007</c:v>
                </c:pt>
                <c:pt idx="75">
                  <c:v>16.966620000000006</c:v>
                </c:pt>
                <c:pt idx="76">
                  <c:v>16.973110000000005</c:v>
                </c:pt>
                <c:pt idx="77">
                  <c:v>16.973970000000005</c:v>
                </c:pt>
                <c:pt idx="78">
                  <c:v>16.969200000000004</c:v>
                </c:pt>
                <c:pt idx="79">
                  <c:v>16.958800000000004</c:v>
                </c:pt>
                <c:pt idx="80">
                  <c:v>16.942770000000003</c:v>
                </c:pt>
                <c:pt idx="81">
                  <c:v>16.921110000000002</c:v>
                </c:pt>
                <c:pt idx="82">
                  <c:v>16.893820000000002</c:v>
                </c:pt>
                <c:pt idx="83">
                  <c:v>16.860900000000001</c:v>
                </c:pt>
                <c:pt idx="84">
                  <c:v>16.82235</c:v>
                </c:pt>
                <c:pt idx="85">
                  <c:v>16.778169999999999</c:v>
                </c:pt>
                <c:pt idx="86">
                  <c:v>16.728359999999999</c:v>
                </c:pt>
                <c:pt idx="87">
                  <c:v>16.672919999999998</c:v>
                </c:pt>
                <c:pt idx="88">
                  <c:v>16.611849999999997</c:v>
                </c:pt>
                <c:pt idx="89">
                  <c:v>16.545149999999996</c:v>
                </c:pt>
                <c:pt idx="90">
                  <c:v>16.472819999999995</c:v>
                </c:pt>
                <c:pt idx="91">
                  <c:v>16.394859999999994</c:v>
                </c:pt>
                <c:pt idx="92">
                  <c:v>16.311269999999993</c:v>
                </c:pt>
                <c:pt idx="93">
                  <c:v>16.222049999999992</c:v>
                </c:pt>
                <c:pt idx="94">
                  <c:v>16.127199999999991</c:v>
                </c:pt>
                <c:pt idx="95">
                  <c:v>16.02671999999999</c:v>
                </c:pt>
                <c:pt idx="96">
                  <c:v>15.920609999999991</c:v>
                </c:pt>
                <c:pt idx="97">
                  <c:v>15.808869999999992</c:v>
                </c:pt>
                <c:pt idx="98">
                  <c:v>15.691499999999992</c:v>
                </c:pt>
                <c:pt idx="99">
                  <c:v>15.568499999999993</c:v>
                </c:pt>
                <c:pt idx="100">
                  <c:v>15.439869999999994</c:v>
                </c:pt>
                <c:pt idx="101">
                  <c:v>15.305609999999994</c:v>
                </c:pt>
                <c:pt idx="102">
                  <c:v>15.165719999999995</c:v>
                </c:pt>
                <c:pt idx="103">
                  <c:v>15.020199999999996</c:v>
                </c:pt>
                <c:pt idx="104">
                  <c:v>14.869049999999996</c:v>
                </c:pt>
                <c:pt idx="105">
                  <c:v>14.712269999999997</c:v>
                </c:pt>
                <c:pt idx="106">
                  <c:v>14.549859999999997</c:v>
                </c:pt>
                <c:pt idx="107">
                  <c:v>14.381819999999998</c:v>
                </c:pt>
                <c:pt idx="108">
                  <c:v>14.208149999999998</c:v>
                </c:pt>
                <c:pt idx="109">
                  <c:v>14.028849999999998</c:v>
                </c:pt>
                <c:pt idx="110">
                  <c:v>13.843919999999999</c:v>
                </c:pt>
                <c:pt idx="111">
                  <c:v>13.653359999999999</c:v>
                </c:pt>
                <c:pt idx="112">
                  <c:v>13.45717</c:v>
                </c:pt>
                <c:pt idx="113">
                  <c:v>13.25535</c:v>
                </c:pt>
                <c:pt idx="114">
                  <c:v>13.0479</c:v>
                </c:pt>
                <c:pt idx="115">
                  <c:v>12.834820000000001</c:v>
                </c:pt>
                <c:pt idx="116">
                  <c:v>12.616110000000001</c:v>
                </c:pt>
                <c:pt idx="117">
                  <c:v>12.391770000000001</c:v>
                </c:pt>
                <c:pt idx="118">
                  <c:v>12.161800000000001</c:v>
                </c:pt>
                <c:pt idx="119">
                  <c:v>11.926200000000001</c:v>
                </c:pt>
                <c:pt idx="120">
                  <c:v>11.684970000000002</c:v>
                </c:pt>
                <c:pt idx="121">
                  <c:v>11.438110000000002</c:v>
                </c:pt>
                <c:pt idx="122">
                  <c:v>11.185620000000002</c:v>
                </c:pt>
                <c:pt idx="123">
                  <c:v>10.927500000000002</c:v>
                </c:pt>
                <c:pt idx="124">
                  <c:v>10.663750000000002</c:v>
                </c:pt>
                <c:pt idx="125">
                  <c:v>10.394370000000002</c:v>
                </c:pt>
                <c:pt idx="126">
                  <c:v>10.119360000000002</c:v>
                </c:pt>
                <c:pt idx="127">
                  <c:v>9.8387200000000021</c:v>
                </c:pt>
                <c:pt idx="128">
                  <c:v>9.5524500000000021</c:v>
                </c:pt>
                <c:pt idx="129">
                  <c:v>9.2605500000000021</c:v>
                </c:pt>
                <c:pt idx="130">
                  <c:v>8.963020000000002</c:v>
                </c:pt>
                <c:pt idx="131">
                  <c:v>8.6598600000000019</c:v>
                </c:pt>
                <c:pt idx="132">
                  <c:v>8.3510700000000018</c:v>
                </c:pt>
                <c:pt idx="133">
                  <c:v>8.0366500000000016</c:v>
                </c:pt>
                <c:pt idx="134">
                  <c:v>7.7166000000000015</c:v>
                </c:pt>
                <c:pt idx="135">
                  <c:v>7.3909200000000013</c:v>
                </c:pt>
                <c:pt idx="136">
                  <c:v>7.0596100000000011</c:v>
                </c:pt>
                <c:pt idx="137">
                  <c:v>6.7226700000000008</c:v>
                </c:pt>
                <c:pt idx="138">
                  <c:v>6.3801000000000005</c:v>
                </c:pt>
                <c:pt idx="139">
                  <c:v>6.0319000000000003</c:v>
                </c:pt>
                <c:pt idx="140">
                  <c:v>5.67807</c:v>
                </c:pt>
                <c:pt idx="141">
                  <c:v>5.3186099999999996</c:v>
                </c:pt>
                <c:pt idx="142">
                  <c:v>4.9535199999999993</c:v>
                </c:pt>
                <c:pt idx="143">
                  <c:v>4.5827999999999989</c:v>
                </c:pt>
                <c:pt idx="144">
                  <c:v>4.2064499999999985</c:v>
                </c:pt>
                <c:pt idx="145">
                  <c:v>3.8244699999999985</c:v>
                </c:pt>
                <c:pt idx="146">
                  <c:v>3.4368599999999985</c:v>
                </c:pt>
                <c:pt idx="147">
                  <c:v>3.0436199999999984</c:v>
                </c:pt>
                <c:pt idx="148">
                  <c:v>2.6447499999999984</c:v>
                </c:pt>
                <c:pt idx="149">
                  <c:v>2.2402499999999983</c:v>
                </c:pt>
                <c:pt idx="150">
                  <c:v>1.8301199999999982</c:v>
                </c:pt>
                <c:pt idx="151">
                  <c:v>1.4143599999999981</c:v>
                </c:pt>
                <c:pt idx="152">
                  <c:v>0.99296999999999813</c:v>
                </c:pt>
                <c:pt idx="153">
                  <c:v>0.56594999999999818</c:v>
                </c:pt>
                <c:pt idx="154">
                  <c:v>0.1332999999999982</c:v>
                </c:pt>
                <c:pt idx="155">
                  <c:v>-0.30498000000000175</c:v>
                </c:pt>
                <c:pt idx="156">
                  <c:v>-0.74889000000000172</c:v>
                </c:pt>
                <c:pt idx="157">
                  <c:v>-1.1984300000000017</c:v>
                </c:pt>
                <c:pt idx="158">
                  <c:v>-1.6536000000000017</c:v>
                </c:pt>
                <c:pt idx="159">
                  <c:v>-2.1144000000000016</c:v>
                </c:pt>
                <c:pt idx="160">
                  <c:v>-2.5808300000000015</c:v>
                </c:pt>
                <c:pt idx="161">
                  <c:v>-3.0528900000000014</c:v>
                </c:pt>
                <c:pt idx="162">
                  <c:v>-3.5305800000000014</c:v>
                </c:pt>
                <c:pt idx="163">
                  <c:v>-4.0139000000000014</c:v>
                </c:pt>
                <c:pt idx="164">
                  <c:v>-4.5028500000000014</c:v>
                </c:pt>
                <c:pt idx="165">
                  <c:v>-4.9974300000000014</c:v>
                </c:pt>
                <c:pt idx="166">
                  <c:v>-5.4976400000000014</c:v>
                </c:pt>
                <c:pt idx="167">
                  <c:v>-6.0034800000000015</c:v>
                </c:pt>
                <c:pt idx="168">
                  <c:v>-6.5149500000000016</c:v>
                </c:pt>
                <c:pt idx="169">
                  <c:v>-7.0320500000000017</c:v>
                </c:pt>
                <c:pt idx="170">
                  <c:v>-7.5547800000000018</c:v>
                </c:pt>
                <c:pt idx="171">
                  <c:v>-8.083140000000002</c:v>
                </c:pt>
                <c:pt idx="172">
                  <c:v>-8.6171300000000013</c:v>
                </c:pt>
                <c:pt idx="173">
                  <c:v>-9.1567500000000006</c:v>
                </c:pt>
                <c:pt idx="174">
                  <c:v>-9.702</c:v>
                </c:pt>
                <c:pt idx="175">
                  <c:v>-10.252879999999999</c:v>
                </c:pt>
                <c:pt idx="176">
                  <c:v>-10.809389999999999</c:v>
                </c:pt>
                <c:pt idx="177">
                  <c:v>-11.371529999999998</c:v>
                </c:pt>
                <c:pt idx="178">
                  <c:v>-11.939299999999998</c:v>
                </c:pt>
                <c:pt idx="179">
                  <c:v>-12.512699999999997</c:v>
                </c:pt>
                <c:pt idx="180">
                  <c:v>-13.091729999999997</c:v>
                </c:pt>
                <c:pt idx="181">
                  <c:v>-13.676389999999996</c:v>
                </c:pt>
                <c:pt idx="182">
                  <c:v>-14.266679999999996</c:v>
                </c:pt>
                <c:pt idx="183">
                  <c:v>-14.862599999999995</c:v>
                </c:pt>
                <c:pt idx="184">
                  <c:v>-15.464149999999995</c:v>
                </c:pt>
                <c:pt idx="185">
                  <c:v>-16.071329999999996</c:v>
                </c:pt>
                <c:pt idx="186">
                  <c:v>-16.684139999999996</c:v>
                </c:pt>
                <c:pt idx="187">
                  <c:v>-17.302579999999995</c:v>
                </c:pt>
                <c:pt idx="188">
                  <c:v>-17.926649999999995</c:v>
                </c:pt>
                <c:pt idx="189">
                  <c:v>-18.556349999999995</c:v>
                </c:pt>
                <c:pt idx="190">
                  <c:v>-19.191679999999995</c:v>
                </c:pt>
                <c:pt idx="191">
                  <c:v>-19.832639999999994</c:v>
                </c:pt>
                <c:pt idx="192">
                  <c:v>-20.479229999999994</c:v>
                </c:pt>
                <c:pt idx="193">
                  <c:v>-21.131449999999994</c:v>
                </c:pt>
                <c:pt idx="194">
                  <c:v>-21.789299999999994</c:v>
                </c:pt>
                <c:pt idx="195">
                  <c:v>-22.452779999999994</c:v>
                </c:pt>
                <c:pt idx="196">
                  <c:v>-23.121889999999993</c:v>
                </c:pt>
                <c:pt idx="197">
                  <c:v>-23.796629999999993</c:v>
                </c:pt>
                <c:pt idx="198">
                  <c:v>-24.476999999999993</c:v>
                </c:pt>
                <c:pt idx="199">
                  <c:v>-25.162999999999993</c:v>
                </c:pt>
              </c:numCache>
            </c:numRef>
          </c:yVal>
          <c:smooth val="0"/>
          <c:extLst>
            <c:ext xmlns:c16="http://schemas.microsoft.com/office/drawing/2014/chart" uri="{C3380CC4-5D6E-409C-BE32-E72D297353CC}">
              <c16:uniqueId val="{00000001-1FDE-4F02-8421-932CE676C699}"/>
            </c:ext>
          </c:extLst>
        </c:ser>
        <c:dLbls>
          <c:showLegendKey val="0"/>
          <c:showVal val="0"/>
          <c:showCatName val="0"/>
          <c:showSerName val="0"/>
          <c:showPercent val="0"/>
          <c:showBubbleSize val="0"/>
        </c:dLbls>
        <c:axId val="1984568504"/>
        <c:axId val="1984566840"/>
      </c:scatterChart>
      <c:valAx>
        <c:axId val="1984568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6840"/>
        <c:crosses val="autoZero"/>
        <c:crossBetween val="midCat"/>
      </c:valAx>
      <c:valAx>
        <c:axId val="1984566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85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pivot_CS!$J$40:$J$61</c:f>
              <c:numCache>
                <c:formatCode>0</c:formatCode>
                <c:ptCount val="22"/>
                <c:pt idx="0">
                  <c:v>13.86</c:v>
                </c:pt>
                <c:pt idx="1">
                  <c:v>27.72</c:v>
                </c:pt>
                <c:pt idx="2">
                  <c:v>28.6</c:v>
                </c:pt>
                <c:pt idx="3">
                  <c:v>32.400000000000006</c:v>
                </c:pt>
                <c:pt idx="4">
                  <c:v>34.020000000000003</c:v>
                </c:pt>
                <c:pt idx="5">
                  <c:v>34.580000000000005</c:v>
                </c:pt>
                <c:pt idx="6">
                  <c:v>41.58</c:v>
                </c:pt>
                <c:pt idx="7">
                  <c:v>44.24</c:v>
                </c:pt>
                <c:pt idx="8">
                  <c:v>51.03</c:v>
                </c:pt>
                <c:pt idx="9">
                  <c:v>51.870000000000005</c:v>
                </c:pt>
                <c:pt idx="10">
                  <c:v>53.46</c:v>
                </c:pt>
                <c:pt idx="11">
                  <c:v>55.44</c:v>
                </c:pt>
                <c:pt idx="12">
                  <c:v>59.400000000000006</c:v>
                </c:pt>
                <c:pt idx="13">
                  <c:v>60.480000000000004</c:v>
                </c:pt>
                <c:pt idx="14">
                  <c:v>68.040000000000006</c:v>
                </c:pt>
                <c:pt idx="15">
                  <c:v>69.160000000000011</c:v>
                </c:pt>
                <c:pt idx="16">
                  <c:v>69.3</c:v>
                </c:pt>
                <c:pt idx="17">
                  <c:v>83.16</c:v>
                </c:pt>
                <c:pt idx="18">
                  <c:v>88.48</c:v>
                </c:pt>
                <c:pt idx="19">
                  <c:v>97.02</c:v>
                </c:pt>
                <c:pt idx="20">
                  <c:v>102.06</c:v>
                </c:pt>
                <c:pt idx="21">
                  <c:v>103.74000000000001</c:v>
                </c:pt>
              </c:numCache>
            </c:numRef>
          </c:xVal>
          <c:yVal>
            <c:numRef>
              <c:f>pivot_CS!$K$40:$K$61</c:f>
              <c:numCache>
                <c:formatCode>0</c:formatCode>
                <c:ptCount val="22"/>
                <c:pt idx="0">
                  <c:v>560.71428571428555</c:v>
                </c:pt>
                <c:pt idx="1">
                  <c:v>309.89010989011001</c:v>
                </c:pt>
                <c:pt idx="2">
                  <c:v>343.50132625994701</c:v>
                </c:pt>
                <c:pt idx="3">
                  <c:v>144.44444444444446</c:v>
                </c:pt>
                <c:pt idx="4">
                  <c:v>173.80952380952385</c:v>
                </c:pt>
                <c:pt idx="5">
                  <c:v>132.41758241758234</c:v>
                </c:pt>
                <c:pt idx="6">
                  <c:v>-46.428571428571587</c:v>
                </c:pt>
                <c:pt idx="7">
                  <c:v>-22.727272727272734</c:v>
                </c:pt>
                <c:pt idx="8">
                  <c:v>-166.66666666666666</c:v>
                </c:pt>
                <c:pt idx="9">
                  <c:v>32.967032967032978</c:v>
                </c:pt>
                <c:pt idx="10">
                  <c:v>775</c:v>
                </c:pt>
                <c:pt idx="11">
                  <c:v>485.71428571428635</c:v>
                </c:pt>
                <c:pt idx="12">
                  <c:v>-94.827586206896541</c:v>
                </c:pt>
                <c:pt idx="13">
                  <c:v>54.487179487179496</c:v>
                </c:pt>
                <c:pt idx="14">
                  <c:v>29.523809523809401</c:v>
                </c:pt>
                <c:pt idx="15">
                  <c:v>29.670329670329693</c:v>
                </c:pt>
                <c:pt idx="16">
                  <c:v>-168.74999999999974</c:v>
                </c:pt>
                <c:pt idx="17">
                  <c:v>-147.25274725274764</c:v>
                </c:pt>
                <c:pt idx="18">
                  <c:v>-214.28571428571431</c:v>
                </c:pt>
                <c:pt idx="19">
                  <c:v>-153.57142857142833</c:v>
                </c:pt>
                <c:pt idx="20">
                  <c:v>-145.71428571428564</c:v>
                </c:pt>
                <c:pt idx="21">
                  <c:v>-190.10989010989013</c:v>
                </c:pt>
              </c:numCache>
            </c:numRef>
          </c:yVal>
          <c:smooth val="0"/>
          <c:extLst>
            <c:ext xmlns:c16="http://schemas.microsoft.com/office/drawing/2014/chart" uri="{C3380CC4-5D6E-409C-BE32-E72D297353CC}">
              <c16:uniqueId val="{00000001-C958-46FF-B858-A0EA82EEAFD0}"/>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 3-3.75 cumulative LWG</a:t>
            </a:r>
          </a:p>
        </c:rich>
      </c:tx>
      <c:layout>
        <c:manualLayout>
          <c:xMode val="edge"/>
          <c:yMode val="edge"/>
          <c:x val="0.17469086231770697"/>
          <c:y val="2.874251497005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scatterplots!$AK$2</c:f>
              <c:strCache>
                <c:ptCount val="1"/>
                <c:pt idx="0">
                  <c:v>cumulative LWG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613613441322899"/>
                  <c:y val="-0.500849143236748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scatterplots!$AI$3:$AI$202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scatterplots!$AQ$3:$AQ$202</c:f>
              <c:numCache>
                <c:formatCode>General</c:formatCode>
                <c:ptCount val="200"/>
                <c:pt idx="0">
                  <c:v>0.45535999999999999</c:v>
                </c:pt>
                <c:pt idx="1">
                  <c:v>0.90407999999999999</c:v>
                </c:pt>
                <c:pt idx="2">
                  <c:v>1.34616</c:v>
                </c:pt>
                <c:pt idx="3">
                  <c:v>1.7816000000000001</c:v>
                </c:pt>
                <c:pt idx="4">
                  <c:v>2.2103999999999999</c:v>
                </c:pt>
                <c:pt idx="5">
                  <c:v>2.6325599999999998</c:v>
                </c:pt>
                <c:pt idx="6">
                  <c:v>3.0480799999999997</c:v>
                </c:pt>
                <c:pt idx="7">
                  <c:v>3.4569599999999996</c:v>
                </c:pt>
                <c:pt idx="8">
                  <c:v>3.8591999999999995</c:v>
                </c:pt>
                <c:pt idx="9">
                  <c:v>4.2547999999999995</c:v>
                </c:pt>
                <c:pt idx="10">
                  <c:v>4.6437599999999994</c:v>
                </c:pt>
                <c:pt idx="11">
                  <c:v>5.0260799999999994</c:v>
                </c:pt>
                <c:pt idx="12">
                  <c:v>5.4017599999999995</c:v>
                </c:pt>
                <c:pt idx="13">
                  <c:v>5.7707999999999995</c:v>
                </c:pt>
                <c:pt idx="14">
                  <c:v>6.1331999999999995</c:v>
                </c:pt>
                <c:pt idx="15">
                  <c:v>6.4889599999999996</c:v>
                </c:pt>
                <c:pt idx="16">
                  <c:v>6.8380799999999997</c:v>
                </c:pt>
                <c:pt idx="17">
                  <c:v>7.1805599999999998</c:v>
                </c:pt>
                <c:pt idx="18">
                  <c:v>7.5164</c:v>
                </c:pt>
                <c:pt idx="19">
                  <c:v>7.8456000000000001</c:v>
                </c:pt>
                <c:pt idx="20">
                  <c:v>8.1681600000000003</c:v>
                </c:pt>
                <c:pt idx="21">
                  <c:v>8.4840800000000005</c:v>
                </c:pt>
                <c:pt idx="22">
                  <c:v>8.7933599999999998</c:v>
                </c:pt>
                <c:pt idx="23">
                  <c:v>9.0960000000000001</c:v>
                </c:pt>
                <c:pt idx="24">
                  <c:v>9.3919999999999995</c:v>
                </c:pt>
                <c:pt idx="25">
                  <c:v>9.6813599999999997</c:v>
                </c:pt>
                <c:pt idx="26">
                  <c:v>9.9640799999999992</c:v>
                </c:pt>
                <c:pt idx="27">
                  <c:v>10.240159999999999</c:v>
                </c:pt>
                <c:pt idx="28">
                  <c:v>10.509599999999999</c:v>
                </c:pt>
                <c:pt idx="29">
                  <c:v>10.772399999999999</c:v>
                </c:pt>
                <c:pt idx="30">
                  <c:v>11.028559999999999</c:v>
                </c:pt>
                <c:pt idx="31">
                  <c:v>11.278079999999999</c:v>
                </c:pt>
                <c:pt idx="32">
                  <c:v>11.520959999999999</c:v>
                </c:pt>
                <c:pt idx="33">
                  <c:v>11.757199999999999</c:v>
                </c:pt>
                <c:pt idx="34">
                  <c:v>11.986799999999999</c:v>
                </c:pt>
                <c:pt idx="35">
                  <c:v>12.209759999999999</c:v>
                </c:pt>
                <c:pt idx="36">
                  <c:v>12.426079999999999</c:v>
                </c:pt>
                <c:pt idx="37">
                  <c:v>12.635759999999999</c:v>
                </c:pt>
                <c:pt idx="38">
                  <c:v>12.838799999999999</c:v>
                </c:pt>
                <c:pt idx="39">
                  <c:v>13.0352</c:v>
                </c:pt>
                <c:pt idx="40">
                  <c:v>13.224959999999999</c:v>
                </c:pt>
                <c:pt idx="41">
                  <c:v>13.40808</c:v>
                </c:pt>
                <c:pt idx="42">
                  <c:v>13.58456</c:v>
                </c:pt>
                <c:pt idx="43">
                  <c:v>13.7544</c:v>
                </c:pt>
                <c:pt idx="44">
                  <c:v>13.9176</c:v>
                </c:pt>
                <c:pt idx="45">
                  <c:v>14.074160000000001</c:v>
                </c:pt>
                <c:pt idx="46">
                  <c:v>14.224080000000001</c:v>
                </c:pt>
                <c:pt idx="47">
                  <c:v>14.367360000000001</c:v>
                </c:pt>
                <c:pt idx="48">
                  <c:v>14.504000000000001</c:v>
                </c:pt>
                <c:pt idx="49">
                  <c:v>14.634000000000002</c:v>
                </c:pt>
                <c:pt idx="50">
                  <c:v>14.757360000000002</c:v>
                </c:pt>
                <c:pt idx="51">
                  <c:v>14.874080000000003</c:v>
                </c:pt>
                <c:pt idx="52">
                  <c:v>14.984160000000003</c:v>
                </c:pt>
                <c:pt idx="53">
                  <c:v>15.087600000000004</c:v>
                </c:pt>
                <c:pt idx="54">
                  <c:v>15.184400000000004</c:v>
                </c:pt>
                <c:pt idx="55">
                  <c:v>15.274560000000005</c:v>
                </c:pt>
                <c:pt idx="56">
                  <c:v>15.358080000000005</c:v>
                </c:pt>
                <c:pt idx="57">
                  <c:v>15.434960000000004</c:v>
                </c:pt>
                <c:pt idx="58">
                  <c:v>15.505200000000004</c:v>
                </c:pt>
                <c:pt idx="59">
                  <c:v>15.568800000000003</c:v>
                </c:pt>
                <c:pt idx="60">
                  <c:v>15.625760000000003</c:v>
                </c:pt>
                <c:pt idx="61">
                  <c:v>15.676080000000002</c:v>
                </c:pt>
                <c:pt idx="62">
                  <c:v>15.719760000000003</c:v>
                </c:pt>
                <c:pt idx="63">
                  <c:v>15.756800000000002</c:v>
                </c:pt>
                <c:pt idx="64">
                  <c:v>15.787200000000002</c:v>
                </c:pt>
                <c:pt idx="65">
                  <c:v>15.810960000000001</c:v>
                </c:pt>
                <c:pt idx="66">
                  <c:v>15.828080000000002</c:v>
                </c:pt>
                <c:pt idx="67">
                  <c:v>15.838560000000001</c:v>
                </c:pt>
                <c:pt idx="68">
                  <c:v>15.842400000000001</c:v>
                </c:pt>
                <c:pt idx="69">
                  <c:v>15.839600000000001</c:v>
                </c:pt>
                <c:pt idx="70">
                  <c:v>15.830160000000001</c:v>
                </c:pt>
                <c:pt idx="71">
                  <c:v>15.814080000000001</c:v>
                </c:pt>
                <c:pt idx="72">
                  <c:v>15.791360000000001</c:v>
                </c:pt>
                <c:pt idx="73">
                  <c:v>15.762</c:v>
                </c:pt>
                <c:pt idx="74">
                  <c:v>15.726000000000001</c:v>
                </c:pt>
                <c:pt idx="75">
                  <c:v>15.68336</c:v>
                </c:pt>
                <c:pt idx="76">
                  <c:v>15.634080000000001</c:v>
                </c:pt>
                <c:pt idx="77">
                  <c:v>15.57816</c:v>
                </c:pt>
                <c:pt idx="78">
                  <c:v>15.515600000000001</c:v>
                </c:pt>
                <c:pt idx="79">
                  <c:v>15.446400000000001</c:v>
                </c:pt>
                <c:pt idx="80">
                  <c:v>15.370560000000001</c:v>
                </c:pt>
                <c:pt idx="81">
                  <c:v>15.288080000000001</c:v>
                </c:pt>
                <c:pt idx="82">
                  <c:v>15.198960000000001</c:v>
                </c:pt>
                <c:pt idx="83">
                  <c:v>15.103200000000001</c:v>
                </c:pt>
                <c:pt idx="84">
                  <c:v>15.000800000000002</c:v>
                </c:pt>
                <c:pt idx="85">
                  <c:v>14.891760000000001</c:v>
                </c:pt>
                <c:pt idx="86">
                  <c:v>14.776080000000002</c:v>
                </c:pt>
                <c:pt idx="87">
                  <c:v>14.653760000000002</c:v>
                </c:pt>
                <c:pt idx="88">
                  <c:v>14.524800000000003</c:v>
                </c:pt>
                <c:pt idx="89">
                  <c:v>14.389200000000002</c:v>
                </c:pt>
                <c:pt idx="90">
                  <c:v>14.246960000000003</c:v>
                </c:pt>
                <c:pt idx="91">
                  <c:v>14.098080000000003</c:v>
                </c:pt>
                <c:pt idx="92">
                  <c:v>13.942560000000004</c:v>
                </c:pt>
                <c:pt idx="93">
                  <c:v>13.780400000000004</c:v>
                </c:pt>
                <c:pt idx="94">
                  <c:v>13.611600000000005</c:v>
                </c:pt>
                <c:pt idx="95">
                  <c:v>13.436160000000005</c:v>
                </c:pt>
                <c:pt idx="96">
                  <c:v>13.254080000000005</c:v>
                </c:pt>
                <c:pt idx="97">
                  <c:v>13.065360000000005</c:v>
                </c:pt>
                <c:pt idx="98">
                  <c:v>12.870000000000005</c:v>
                </c:pt>
                <c:pt idx="99">
                  <c:v>12.668000000000005</c:v>
                </c:pt>
                <c:pt idx="100">
                  <c:v>12.459360000000004</c:v>
                </c:pt>
                <c:pt idx="101">
                  <c:v>12.244080000000004</c:v>
                </c:pt>
                <c:pt idx="102">
                  <c:v>12.022160000000003</c:v>
                </c:pt>
                <c:pt idx="103">
                  <c:v>11.793600000000003</c:v>
                </c:pt>
                <c:pt idx="104">
                  <c:v>11.558400000000002</c:v>
                </c:pt>
                <c:pt idx="105">
                  <c:v>11.316560000000003</c:v>
                </c:pt>
                <c:pt idx="106">
                  <c:v>11.068080000000002</c:v>
                </c:pt>
                <c:pt idx="107">
                  <c:v>10.812960000000002</c:v>
                </c:pt>
                <c:pt idx="108">
                  <c:v>10.551200000000001</c:v>
                </c:pt>
                <c:pt idx="109">
                  <c:v>10.282800000000002</c:v>
                </c:pt>
                <c:pt idx="110">
                  <c:v>10.007760000000001</c:v>
                </c:pt>
                <c:pt idx="111">
                  <c:v>9.7260800000000014</c:v>
                </c:pt>
                <c:pt idx="112">
                  <c:v>9.4377600000000008</c:v>
                </c:pt>
                <c:pt idx="113">
                  <c:v>9.1428000000000011</c:v>
                </c:pt>
                <c:pt idx="114">
                  <c:v>8.8412000000000006</c:v>
                </c:pt>
                <c:pt idx="115">
                  <c:v>8.532960000000001</c:v>
                </c:pt>
                <c:pt idx="116">
                  <c:v>8.2180800000000005</c:v>
                </c:pt>
                <c:pt idx="117">
                  <c:v>7.8965600000000009</c:v>
                </c:pt>
                <c:pt idx="118">
                  <c:v>7.5684000000000013</c:v>
                </c:pt>
                <c:pt idx="119">
                  <c:v>7.2336000000000018</c:v>
                </c:pt>
                <c:pt idx="120">
                  <c:v>6.8921600000000023</c:v>
                </c:pt>
                <c:pt idx="121">
                  <c:v>6.5440800000000028</c:v>
                </c:pt>
                <c:pt idx="122">
                  <c:v>6.1893600000000024</c:v>
                </c:pt>
                <c:pt idx="123">
                  <c:v>5.8280000000000021</c:v>
                </c:pt>
                <c:pt idx="124">
                  <c:v>5.4600000000000017</c:v>
                </c:pt>
                <c:pt idx="125">
                  <c:v>5.0853600000000014</c:v>
                </c:pt>
                <c:pt idx="126">
                  <c:v>4.7040800000000011</c:v>
                </c:pt>
                <c:pt idx="127">
                  <c:v>4.3161600000000009</c:v>
                </c:pt>
                <c:pt idx="128">
                  <c:v>3.9216000000000011</c:v>
                </c:pt>
                <c:pt idx="129">
                  <c:v>3.5204000000000013</c:v>
                </c:pt>
                <c:pt idx="130">
                  <c:v>3.1125600000000015</c:v>
                </c:pt>
                <c:pt idx="131">
                  <c:v>2.6980800000000018</c:v>
                </c:pt>
                <c:pt idx="132">
                  <c:v>2.2769600000000016</c:v>
                </c:pt>
                <c:pt idx="133">
                  <c:v>1.8492000000000017</c:v>
                </c:pt>
                <c:pt idx="134">
                  <c:v>1.4148000000000018</c:v>
                </c:pt>
                <c:pt idx="135">
                  <c:v>0.97376000000000185</c:v>
                </c:pt>
                <c:pt idx="136">
                  <c:v>0.52608000000000188</c:v>
                </c:pt>
                <c:pt idx="137">
                  <c:v>7.1760000000001933E-2</c:v>
                </c:pt>
                <c:pt idx="138">
                  <c:v>-0.38919999999999799</c:v>
                </c:pt>
                <c:pt idx="139">
                  <c:v>-0.8567999999999979</c:v>
                </c:pt>
                <c:pt idx="140">
                  <c:v>-1.331039999999998</c:v>
                </c:pt>
                <c:pt idx="141">
                  <c:v>-1.811919999999998</c:v>
                </c:pt>
                <c:pt idx="142">
                  <c:v>-2.2994399999999979</c:v>
                </c:pt>
                <c:pt idx="143">
                  <c:v>-2.7935999999999979</c:v>
                </c:pt>
                <c:pt idx="144">
                  <c:v>-3.2943999999999978</c:v>
                </c:pt>
                <c:pt idx="145">
                  <c:v>-3.8018399999999977</c:v>
                </c:pt>
                <c:pt idx="146">
                  <c:v>-4.3159199999999975</c:v>
                </c:pt>
                <c:pt idx="147">
                  <c:v>-4.8366399999999974</c:v>
                </c:pt>
                <c:pt idx="148">
                  <c:v>-5.3639999999999972</c:v>
                </c:pt>
                <c:pt idx="149">
                  <c:v>-5.897999999999997</c:v>
                </c:pt>
                <c:pt idx="150">
                  <c:v>-6.4386399999999968</c:v>
                </c:pt>
                <c:pt idx="151">
                  <c:v>-6.9859199999999966</c:v>
                </c:pt>
                <c:pt idx="152">
                  <c:v>-7.5398399999999963</c:v>
                </c:pt>
                <c:pt idx="153">
                  <c:v>-8.1003999999999969</c:v>
                </c:pt>
                <c:pt idx="154">
                  <c:v>-8.6675999999999966</c:v>
                </c:pt>
                <c:pt idx="155">
                  <c:v>-9.2414399999999972</c:v>
                </c:pt>
                <c:pt idx="156">
                  <c:v>-9.8219199999999969</c:v>
                </c:pt>
                <c:pt idx="157">
                  <c:v>-10.409039999999997</c:v>
                </c:pt>
                <c:pt idx="158">
                  <c:v>-11.002799999999997</c:v>
                </c:pt>
                <c:pt idx="159">
                  <c:v>-11.603199999999998</c:v>
                </c:pt>
                <c:pt idx="160">
                  <c:v>-12.210239999999997</c:v>
                </c:pt>
                <c:pt idx="161">
                  <c:v>-12.823919999999998</c:v>
                </c:pt>
                <c:pt idx="162">
                  <c:v>-13.444239999999997</c:v>
                </c:pt>
                <c:pt idx="163">
                  <c:v>-14.071199999999997</c:v>
                </c:pt>
                <c:pt idx="164">
                  <c:v>-14.704799999999997</c:v>
                </c:pt>
                <c:pt idx="165">
                  <c:v>-15.345039999999997</c:v>
                </c:pt>
                <c:pt idx="166">
                  <c:v>-15.991919999999997</c:v>
                </c:pt>
                <c:pt idx="167">
                  <c:v>-16.645439999999997</c:v>
                </c:pt>
                <c:pt idx="168">
                  <c:v>-17.305599999999998</c:v>
                </c:pt>
                <c:pt idx="169">
                  <c:v>-17.972399999999997</c:v>
                </c:pt>
                <c:pt idx="170">
                  <c:v>-18.645839999999996</c:v>
                </c:pt>
                <c:pt idx="171">
                  <c:v>-19.325919999999996</c:v>
                </c:pt>
                <c:pt idx="172">
                  <c:v>-20.012639999999998</c:v>
                </c:pt>
                <c:pt idx="173">
                  <c:v>-20.705999999999996</c:v>
                </c:pt>
                <c:pt idx="174">
                  <c:v>-21.405999999999995</c:v>
                </c:pt>
                <c:pt idx="175">
                  <c:v>-22.112639999999995</c:v>
                </c:pt>
                <c:pt idx="176">
                  <c:v>-22.825919999999996</c:v>
                </c:pt>
                <c:pt idx="177">
                  <c:v>-23.545839999999995</c:v>
                </c:pt>
                <c:pt idx="178">
                  <c:v>-24.272399999999994</c:v>
                </c:pt>
                <c:pt idx="179">
                  <c:v>-25.005599999999994</c:v>
                </c:pt>
                <c:pt idx="180">
                  <c:v>-25.745439999999995</c:v>
                </c:pt>
                <c:pt idx="181">
                  <c:v>-26.491919999999993</c:v>
                </c:pt>
                <c:pt idx="182">
                  <c:v>-27.245039999999992</c:v>
                </c:pt>
                <c:pt idx="183">
                  <c:v>-28.004799999999992</c:v>
                </c:pt>
                <c:pt idx="184">
                  <c:v>-28.771199999999993</c:v>
                </c:pt>
                <c:pt idx="185">
                  <c:v>-29.544239999999995</c:v>
                </c:pt>
                <c:pt idx="186">
                  <c:v>-30.323919999999994</c:v>
                </c:pt>
                <c:pt idx="187">
                  <c:v>-31.110239999999994</c:v>
                </c:pt>
                <c:pt idx="188">
                  <c:v>-31.903199999999995</c:v>
                </c:pt>
                <c:pt idx="189">
                  <c:v>-32.702799999999996</c:v>
                </c:pt>
                <c:pt idx="190">
                  <c:v>-33.509039999999999</c:v>
                </c:pt>
                <c:pt idx="191">
                  <c:v>-34.321919999999999</c:v>
                </c:pt>
                <c:pt idx="192">
                  <c:v>-35.141439999999996</c:v>
                </c:pt>
                <c:pt idx="193">
                  <c:v>-35.967599999999997</c:v>
                </c:pt>
                <c:pt idx="194">
                  <c:v>-36.800399999999996</c:v>
                </c:pt>
                <c:pt idx="195">
                  <c:v>-37.63984</c:v>
                </c:pt>
                <c:pt idx="196">
                  <c:v>-38.48592</c:v>
                </c:pt>
                <c:pt idx="197">
                  <c:v>-39.338639999999998</c:v>
                </c:pt>
                <c:pt idx="198">
                  <c:v>-40.198</c:v>
                </c:pt>
                <c:pt idx="199">
                  <c:v>-41.064</c:v>
                </c:pt>
              </c:numCache>
            </c:numRef>
          </c:yVal>
          <c:smooth val="0"/>
          <c:extLst>
            <c:ext xmlns:c16="http://schemas.microsoft.com/office/drawing/2014/chart" uri="{C3380CC4-5D6E-409C-BE32-E72D297353CC}">
              <c16:uniqueId val="{00000001-3B54-41A7-B74D-7414C1A1C9F7}"/>
            </c:ext>
          </c:extLst>
        </c:ser>
        <c:dLbls>
          <c:showLegendKey val="0"/>
          <c:showVal val="0"/>
          <c:showCatName val="0"/>
          <c:showSerName val="0"/>
          <c:showPercent val="0"/>
          <c:showBubbleSize val="0"/>
        </c:dLbls>
        <c:axId val="1984568504"/>
        <c:axId val="1984566840"/>
      </c:scatterChart>
      <c:valAx>
        <c:axId val="1984568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6840"/>
        <c:crosses val="autoZero"/>
        <c:crossBetween val="midCat"/>
      </c:valAx>
      <c:valAx>
        <c:axId val="1984566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85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 + 4 cumulative LWG</a:t>
            </a:r>
          </a:p>
        </c:rich>
      </c:tx>
      <c:layout>
        <c:manualLayout>
          <c:xMode val="edge"/>
          <c:yMode val="edge"/>
          <c:x val="0.17469086231770697"/>
          <c:y val="2.874251497005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scatterplots!$AK$2</c:f>
              <c:strCache>
                <c:ptCount val="1"/>
                <c:pt idx="0">
                  <c:v>cumulative LWG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613613441322899"/>
                  <c:y val="-0.500849143236748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scatterplots!$AI$3:$AI$202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scatterplots!$AS$3:$AS$202</c:f>
              <c:numCache>
                <c:formatCode>General</c:formatCode>
                <c:ptCount val="200"/>
                <c:pt idx="0">
                  <c:v>0.30570999999999998</c:v>
                </c:pt>
                <c:pt idx="1">
                  <c:v>0.60613000000000006</c:v>
                </c:pt>
                <c:pt idx="2">
                  <c:v>0.90126000000000006</c:v>
                </c:pt>
                <c:pt idx="3">
                  <c:v>1.1911</c:v>
                </c:pt>
                <c:pt idx="4">
                  <c:v>1.4756500000000001</c:v>
                </c:pt>
                <c:pt idx="5">
                  <c:v>1.7549100000000002</c:v>
                </c:pt>
                <c:pt idx="6">
                  <c:v>2.02888</c:v>
                </c:pt>
                <c:pt idx="7">
                  <c:v>2.2975599999999998</c:v>
                </c:pt>
                <c:pt idx="8">
                  <c:v>2.5609500000000001</c:v>
                </c:pt>
                <c:pt idx="9">
                  <c:v>2.8190499999999998</c:v>
                </c:pt>
                <c:pt idx="10">
                  <c:v>3.07186</c:v>
                </c:pt>
                <c:pt idx="11">
                  <c:v>3.3193800000000002</c:v>
                </c:pt>
                <c:pt idx="12">
                  <c:v>3.5616100000000004</c:v>
                </c:pt>
                <c:pt idx="13">
                  <c:v>3.7985500000000005</c:v>
                </c:pt>
                <c:pt idx="14">
                  <c:v>4.0302000000000007</c:v>
                </c:pt>
                <c:pt idx="15">
                  <c:v>4.2565600000000003</c:v>
                </c:pt>
                <c:pt idx="16">
                  <c:v>4.4776300000000004</c:v>
                </c:pt>
                <c:pt idx="17">
                  <c:v>4.6934100000000001</c:v>
                </c:pt>
                <c:pt idx="18">
                  <c:v>4.9039000000000001</c:v>
                </c:pt>
                <c:pt idx="19">
                  <c:v>5.1090999999999998</c:v>
                </c:pt>
                <c:pt idx="20">
                  <c:v>5.3090099999999998</c:v>
                </c:pt>
                <c:pt idx="21">
                  <c:v>5.5036299999999994</c:v>
                </c:pt>
                <c:pt idx="22">
                  <c:v>5.6929599999999994</c:v>
                </c:pt>
                <c:pt idx="23">
                  <c:v>5.8769999999999989</c:v>
                </c:pt>
                <c:pt idx="24">
                  <c:v>6.0557499999999989</c:v>
                </c:pt>
                <c:pt idx="25">
                  <c:v>6.2292099999999992</c:v>
                </c:pt>
                <c:pt idx="26">
                  <c:v>6.3973799999999992</c:v>
                </c:pt>
                <c:pt idx="27">
                  <c:v>6.5602599999999995</c:v>
                </c:pt>
                <c:pt idx="28">
                  <c:v>6.7178499999999994</c:v>
                </c:pt>
                <c:pt idx="29">
                  <c:v>6.8701499999999998</c:v>
                </c:pt>
                <c:pt idx="30">
                  <c:v>7.0171599999999996</c:v>
                </c:pt>
                <c:pt idx="31">
                  <c:v>7.1588799999999999</c:v>
                </c:pt>
                <c:pt idx="32">
                  <c:v>7.2953099999999997</c:v>
                </c:pt>
                <c:pt idx="33">
                  <c:v>7.42645</c:v>
                </c:pt>
                <c:pt idx="34">
                  <c:v>7.5522999999999998</c:v>
                </c:pt>
                <c:pt idx="35">
                  <c:v>7.67286</c:v>
                </c:pt>
                <c:pt idx="36">
                  <c:v>7.7881299999999998</c:v>
                </c:pt>
                <c:pt idx="37">
                  <c:v>7.89811</c:v>
                </c:pt>
                <c:pt idx="38">
                  <c:v>8.0028000000000006</c:v>
                </c:pt>
                <c:pt idx="39">
                  <c:v>8.1021999999999998</c:v>
                </c:pt>
                <c:pt idx="40">
                  <c:v>8.1963100000000004</c:v>
                </c:pt>
                <c:pt idx="41">
                  <c:v>8.2851300000000005</c:v>
                </c:pt>
                <c:pt idx="42">
                  <c:v>8.3686600000000002</c:v>
                </c:pt>
                <c:pt idx="43">
                  <c:v>8.4468999999999994</c:v>
                </c:pt>
                <c:pt idx="44">
                  <c:v>8.5198499999999999</c:v>
                </c:pt>
                <c:pt idx="45">
                  <c:v>8.58751</c:v>
                </c:pt>
                <c:pt idx="46">
                  <c:v>8.6498799999999996</c:v>
                </c:pt>
                <c:pt idx="47">
                  <c:v>8.7069599999999987</c:v>
                </c:pt>
                <c:pt idx="48">
                  <c:v>8.7587499999999991</c:v>
                </c:pt>
                <c:pt idx="49">
                  <c:v>8.8052499999999991</c:v>
                </c:pt>
                <c:pt idx="50">
                  <c:v>8.8464599999999987</c:v>
                </c:pt>
                <c:pt idx="51">
                  <c:v>8.8823799999999995</c:v>
                </c:pt>
                <c:pt idx="52">
                  <c:v>8.9130099999999999</c:v>
                </c:pt>
                <c:pt idx="53">
                  <c:v>8.9383499999999998</c:v>
                </c:pt>
                <c:pt idx="54">
                  <c:v>8.9583999999999993</c:v>
                </c:pt>
                <c:pt idx="55">
                  <c:v>8.97316</c:v>
                </c:pt>
                <c:pt idx="56">
                  <c:v>8.9826300000000003</c:v>
                </c:pt>
                <c:pt idx="57">
                  <c:v>8.9868100000000002</c:v>
                </c:pt>
                <c:pt idx="58">
                  <c:v>8.9856999999999996</c:v>
                </c:pt>
                <c:pt idx="59">
                  <c:v>8.9793000000000003</c:v>
                </c:pt>
                <c:pt idx="60">
                  <c:v>8.9676100000000005</c:v>
                </c:pt>
                <c:pt idx="61">
                  <c:v>8.9506300000000003</c:v>
                </c:pt>
                <c:pt idx="62">
                  <c:v>8.9283599999999996</c:v>
                </c:pt>
                <c:pt idx="63">
                  <c:v>8.9008000000000003</c:v>
                </c:pt>
                <c:pt idx="64">
                  <c:v>8.8679500000000004</c:v>
                </c:pt>
                <c:pt idx="65">
                  <c:v>8.8298100000000002</c:v>
                </c:pt>
                <c:pt idx="66">
                  <c:v>8.7863799999999994</c:v>
                </c:pt>
                <c:pt idx="67">
                  <c:v>8.73766</c:v>
                </c:pt>
                <c:pt idx="68">
                  <c:v>8.6836500000000001</c:v>
                </c:pt>
                <c:pt idx="69">
                  <c:v>8.6243499999999997</c:v>
                </c:pt>
                <c:pt idx="70">
                  <c:v>8.5597599999999989</c:v>
                </c:pt>
                <c:pt idx="71">
                  <c:v>8.4898799999999994</c:v>
                </c:pt>
                <c:pt idx="72">
                  <c:v>8.4147099999999995</c:v>
                </c:pt>
                <c:pt idx="73">
                  <c:v>8.334249999999999</c:v>
                </c:pt>
                <c:pt idx="74">
                  <c:v>8.2484999999999982</c:v>
                </c:pt>
                <c:pt idx="75">
                  <c:v>8.1574599999999986</c:v>
                </c:pt>
                <c:pt idx="76">
                  <c:v>8.0611299999999986</c:v>
                </c:pt>
                <c:pt idx="77">
                  <c:v>7.959509999999999</c:v>
                </c:pt>
                <c:pt idx="78">
                  <c:v>7.8525999999999989</c:v>
                </c:pt>
                <c:pt idx="79">
                  <c:v>7.7403999999999993</c:v>
                </c:pt>
                <c:pt idx="80">
                  <c:v>7.6229099999999992</c:v>
                </c:pt>
                <c:pt idx="81">
                  <c:v>7.5001299999999995</c:v>
                </c:pt>
                <c:pt idx="82">
                  <c:v>7.3720599999999994</c:v>
                </c:pt>
                <c:pt idx="83">
                  <c:v>7.2386999999999997</c:v>
                </c:pt>
                <c:pt idx="84">
                  <c:v>7.1000499999999995</c:v>
                </c:pt>
                <c:pt idx="85">
                  <c:v>6.9561099999999998</c:v>
                </c:pt>
                <c:pt idx="86">
                  <c:v>6.8068799999999996</c:v>
                </c:pt>
                <c:pt idx="87">
                  <c:v>6.6523599999999998</c:v>
                </c:pt>
                <c:pt idx="88">
                  <c:v>6.4925499999999996</c:v>
                </c:pt>
                <c:pt idx="89">
                  <c:v>6.3274499999999998</c:v>
                </c:pt>
                <c:pt idx="90">
                  <c:v>6.1570599999999995</c:v>
                </c:pt>
                <c:pt idx="91">
                  <c:v>5.9813799999999997</c:v>
                </c:pt>
                <c:pt idx="92">
                  <c:v>5.8004099999999994</c:v>
                </c:pt>
                <c:pt idx="93">
                  <c:v>5.6141499999999995</c:v>
                </c:pt>
                <c:pt idx="94">
                  <c:v>5.4225999999999992</c:v>
                </c:pt>
                <c:pt idx="95">
                  <c:v>5.2257599999999993</c:v>
                </c:pt>
                <c:pt idx="96">
                  <c:v>5.0236299999999989</c:v>
                </c:pt>
                <c:pt idx="97">
                  <c:v>4.816209999999999</c:v>
                </c:pt>
                <c:pt idx="98">
                  <c:v>4.6034999999999986</c:v>
                </c:pt>
                <c:pt idx="99">
                  <c:v>4.3854999999999986</c:v>
                </c:pt>
                <c:pt idx="100">
                  <c:v>4.1622099999999991</c:v>
                </c:pt>
                <c:pt idx="101">
                  <c:v>3.9336299999999991</c:v>
                </c:pt>
                <c:pt idx="102">
                  <c:v>3.699759999999999</c:v>
                </c:pt>
                <c:pt idx="103">
                  <c:v>3.460599999999999</c:v>
                </c:pt>
                <c:pt idx="104">
                  <c:v>3.216149999999999</c:v>
                </c:pt>
                <c:pt idx="105">
                  <c:v>2.9664099999999989</c:v>
                </c:pt>
                <c:pt idx="106">
                  <c:v>2.7113799999999988</c:v>
                </c:pt>
                <c:pt idx="107">
                  <c:v>2.4510599999999987</c:v>
                </c:pt>
                <c:pt idx="108">
                  <c:v>2.1854499999999986</c:v>
                </c:pt>
                <c:pt idx="109">
                  <c:v>1.9145499999999986</c:v>
                </c:pt>
                <c:pt idx="110">
                  <c:v>1.6383599999999987</c:v>
                </c:pt>
                <c:pt idx="111">
                  <c:v>1.3568799999999988</c:v>
                </c:pt>
                <c:pt idx="112">
                  <c:v>1.0701099999999988</c:v>
                </c:pt>
                <c:pt idx="113">
                  <c:v>0.7780499999999988</c:v>
                </c:pt>
                <c:pt idx="114">
                  <c:v>0.48069999999999879</c:v>
                </c:pt>
                <c:pt idx="115">
                  <c:v>0.17805999999999883</c:v>
                </c:pt>
                <c:pt idx="116">
                  <c:v>-0.1298700000000011</c:v>
                </c:pt>
                <c:pt idx="117">
                  <c:v>-0.44309000000000115</c:v>
                </c:pt>
                <c:pt idx="118">
                  <c:v>-0.76160000000000116</c:v>
                </c:pt>
                <c:pt idx="119">
                  <c:v>-1.0854000000000013</c:v>
                </c:pt>
                <c:pt idx="120">
                  <c:v>-1.4144900000000014</c:v>
                </c:pt>
                <c:pt idx="121">
                  <c:v>-1.7488700000000015</c:v>
                </c:pt>
                <c:pt idx="122">
                  <c:v>-2.0885400000000014</c:v>
                </c:pt>
                <c:pt idx="123">
                  <c:v>-2.4335000000000013</c:v>
                </c:pt>
                <c:pt idx="124">
                  <c:v>-2.7837500000000013</c:v>
                </c:pt>
                <c:pt idx="125">
                  <c:v>-3.1392900000000012</c:v>
                </c:pt>
                <c:pt idx="126">
                  <c:v>-3.5001200000000012</c:v>
                </c:pt>
                <c:pt idx="127">
                  <c:v>-3.8662400000000012</c:v>
                </c:pt>
                <c:pt idx="128">
                  <c:v>-4.2376500000000012</c:v>
                </c:pt>
                <c:pt idx="129">
                  <c:v>-4.6143500000000017</c:v>
                </c:pt>
                <c:pt idx="130">
                  <c:v>-4.9963400000000018</c:v>
                </c:pt>
                <c:pt idx="131">
                  <c:v>-5.3836200000000014</c:v>
                </c:pt>
                <c:pt idx="132">
                  <c:v>-5.7761900000000015</c:v>
                </c:pt>
                <c:pt idx="133">
                  <c:v>-6.1740500000000011</c:v>
                </c:pt>
                <c:pt idx="134">
                  <c:v>-6.5772000000000013</c:v>
                </c:pt>
                <c:pt idx="135">
                  <c:v>-6.985640000000001</c:v>
                </c:pt>
                <c:pt idx="136">
                  <c:v>-7.3993700000000011</c:v>
                </c:pt>
                <c:pt idx="137">
                  <c:v>-7.8183900000000008</c:v>
                </c:pt>
                <c:pt idx="138">
                  <c:v>-8.242700000000001</c:v>
                </c:pt>
                <c:pt idx="139">
                  <c:v>-8.6723000000000017</c:v>
                </c:pt>
                <c:pt idx="140">
                  <c:v>-9.107190000000001</c:v>
                </c:pt>
                <c:pt idx="141">
                  <c:v>-9.5473700000000008</c:v>
                </c:pt>
                <c:pt idx="142">
                  <c:v>-9.9928400000000011</c:v>
                </c:pt>
                <c:pt idx="143">
                  <c:v>-10.443600000000002</c:v>
                </c:pt>
                <c:pt idx="144">
                  <c:v>-10.899650000000001</c:v>
                </c:pt>
                <c:pt idx="145">
                  <c:v>-11.360990000000001</c:v>
                </c:pt>
                <c:pt idx="146">
                  <c:v>-11.827620000000001</c:v>
                </c:pt>
                <c:pt idx="147">
                  <c:v>-12.299540000000002</c:v>
                </c:pt>
                <c:pt idx="148">
                  <c:v>-12.776750000000002</c:v>
                </c:pt>
                <c:pt idx="149">
                  <c:v>-13.259250000000002</c:v>
                </c:pt>
                <c:pt idx="150">
                  <c:v>-13.747040000000002</c:v>
                </c:pt>
                <c:pt idx="151">
                  <c:v>-14.240120000000003</c:v>
                </c:pt>
                <c:pt idx="152">
                  <c:v>-14.738490000000002</c:v>
                </c:pt>
                <c:pt idx="153">
                  <c:v>-15.242150000000002</c:v>
                </c:pt>
                <c:pt idx="154">
                  <c:v>-15.751100000000003</c:v>
                </c:pt>
                <c:pt idx="155">
                  <c:v>-16.265340000000002</c:v>
                </c:pt>
                <c:pt idx="156">
                  <c:v>-16.784870000000002</c:v>
                </c:pt>
                <c:pt idx="157">
                  <c:v>-17.309690000000003</c:v>
                </c:pt>
                <c:pt idx="158">
                  <c:v>-17.839800000000004</c:v>
                </c:pt>
                <c:pt idx="159">
                  <c:v>-18.375200000000003</c:v>
                </c:pt>
                <c:pt idx="160">
                  <c:v>-18.915890000000005</c:v>
                </c:pt>
                <c:pt idx="161">
                  <c:v>-19.461870000000005</c:v>
                </c:pt>
                <c:pt idx="162">
                  <c:v>-20.013140000000003</c:v>
                </c:pt>
                <c:pt idx="163">
                  <c:v>-20.569700000000005</c:v>
                </c:pt>
                <c:pt idx="164">
                  <c:v>-21.131550000000004</c:v>
                </c:pt>
                <c:pt idx="165">
                  <c:v>-21.698690000000003</c:v>
                </c:pt>
                <c:pt idx="166">
                  <c:v>-22.271120000000003</c:v>
                </c:pt>
                <c:pt idx="167">
                  <c:v>-22.848840000000003</c:v>
                </c:pt>
                <c:pt idx="168">
                  <c:v>-23.431850000000004</c:v>
                </c:pt>
                <c:pt idx="169">
                  <c:v>-24.020150000000005</c:v>
                </c:pt>
                <c:pt idx="170">
                  <c:v>-24.613740000000004</c:v>
                </c:pt>
                <c:pt idx="171">
                  <c:v>-25.212620000000005</c:v>
                </c:pt>
                <c:pt idx="172">
                  <c:v>-25.816790000000005</c:v>
                </c:pt>
                <c:pt idx="173">
                  <c:v>-26.426250000000003</c:v>
                </c:pt>
                <c:pt idx="174">
                  <c:v>-27.041000000000004</c:v>
                </c:pt>
                <c:pt idx="175">
                  <c:v>-27.661040000000003</c:v>
                </c:pt>
                <c:pt idx="176">
                  <c:v>-28.286370000000005</c:v>
                </c:pt>
                <c:pt idx="177">
                  <c:v>-28.916990000000006</c:v>
                </c:pt>
                <c:pt idx="178">
                  <c:v>-29.552900000000005</c:v>
                </c:pt>
                <c:pt idx="179">
                  <c:v>-30.194100000000006</c:v>
                </c:pt>
                <c:pt idx="180">
                  <c:v>-30.840590000000006</c:v>
                </c:pt>
                <c:pt idx="181">
                  <c:v>-31.492370000000005</c:v>
                </c:pt>
                <c:pt idx="182">
                  <c:v>-32.149440000000006</c:v>
                </c:pt>
                <c:pt idx="183">
                  <c:v>-32.811800000000005</c:v>
                </c:pt>
                <c:pt idx="184">
                  <c:v>-33.479450000000007</c:v>
                </c:pt>
                <c:pt idx="185">
                  <c:v>-34.152390000000004</c:v>
                </c:pt>
                <c:pt idx="186">
                  <c:v>-34.830620000000003</c:v>
                </c:pt>
                <c:pt idx="187">
                  <c:v>-35.514140000000005</c:v>
                </c:pt>
                <c:pt idx="188">
                  <c:v>-36.202950000000001</c:v>
                </c:pt>
                <c:pt idx="189">
                  <c:v>-36.89705</c:v>
                </c:pt>
                <c:pt idx="190">
                  <c:v>-37.596440000000001</c:v>
                </c:pt>
                <c:pt idx="191">
                  <c:v>-38.301120000000004</c:v>
                </c:pt>
                <c:pt idx="192">
                  <c:v>-39.011090000000003</c:v>
                </c:pt>
                <c:pt idx="193">
                  <c:v>-39.726350000000004</c:v>
                </c:pt>
                <c:pt idx="194">
                  <c:v>-40.446900000000007</c:v>
                </c:pt>
                <c:pt idx="195">
                  <c:v>-41.172740000000005</c:v>
                </c:pt>
                <c:pt idx="196">
                  <c:v>-41.903870000000005</c:v>
                </c:pt>
                <c:pt idx="197">
                  <c:v>-42.640290000000007</c:v>
                </c:pt>
                <c:pt idx="198">
                  <c:v>-43.382000000000005</c:v>
                </c:pt>
                <c:pt idx="199">
                  <c:v>-44.129000000000005</c:v>
                </c:pt>
              </c:numCache>
            </c:numRef>
          </c:yVal>
          <c:smooth val="0"/>
          <c:extLst>
            <c:ext xmlns:c16="http://schemas.microsoft.com/office/drawing/2014/chart" uri="{C3380CC4-5D6E-409C-BE32-E72D297353CC}">
              <c16:uniqueId val="{00000001-B765-4F00-AEBE-1AFBE1CEF4B5}"/>
            </c:ext>
          </c:extLst>
        </c:ser>
        <c:dLbls>
          <c:showLegendKey val="0"/>
          <c:showVal val="0"/>
          <c:showCatName val="0"/>
          <c:showSerName val="0"/>
          <c:showPercent val="0"/>
          <c:showBubbleSize val="0"/>
        </c:dLbls>
        <c:axId val="1984568504"/>
        <c:axId val="1984566840"/>
      </c:scatterChart>
      <c:valAx>
        <c:axId val="1984568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6840"/>
        <c:crosses val="autoZero"/>
        <c:crossBetween val="midCat"/>
      </c:valAx>
      <c:valAx>
        <c:axId val="1984566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85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Supplement</a:t>
            </a:r>
            <a:r>
              <a:rPr lang="en-AU" baseline="0"/>
              <a:t> day 90 - CS &lt; 2</a:t>
            </a:r>
            <a:endParaRPr lang="en-AU"/>
          </a:p>
        </c:rich>
      </c:tx>
      <c:layout>
        <c:manualLayout>
          <c:xMode val="edge"/>
          <c:yMode val="edge"/>
          <c:x val="0.2586666666666666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scatterplots!$AI$3:$AI$202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scatterplots!$AX$3:$AX$202</c:f>
              <c:numCache>
                <c:formatCode>General</c:formatCode>
                <c:ptCount val="200"/>
                <c:pt idx="0">
                  <c:v>0.70211000000000001</c:v>
                </c:pt>
                <c:pt idx="1">
                  <c:v>1.3963300000000001</c:v>
                </c:pt>
                <c:pt idx="2">
                  <c:v>2.0826600000000002</c:v>
                </c:pt>
                <c:pt idx="3">
                  <c:v>2.7611000000000003</c:v>
                </c:pt>
                <c:pt idx="4">
                  <c:v>3.4316500000000003</c:v>
                </c:pt>
                <c:pt idx="5">
                  <c:v>4.0943100000000001</c:v>
                </c:pt>
                <c:pt idx="6">
                  <c:v>4.7490800000000002</c:v>
                </c:pt>
                <c:pt idx="7">
                  <c:v>5.3959600000000005</c:v>
                </c:pt>
                <c:pt idx="8">
                  <c:v>6.0349500000000003</c:v>
                </c:pt>
                <c:pt idx="9">
                  <c:v>6.6660500000000003</c:v>
                </c:pt>
                <c:pt idx="10">
                  <c:v>7.2892600000000005</c:v>
                </c:pt>
                <c:pt idx="11">
                  <c:v>7.904580000000001</c:v>
                </c:pt>
                <c:pt idx="12">
                  <c:v>8.5120100000000019</c:v>
                </c:pt>
                <c:pt idx="13">
                  <c:v>9.1115500000000011</c:v>
                </c:pt>
                <c:pt idx="14">
                  <c:v>9.7032000000000007</c:v>
                </c:pt>
                <c:pt idx="15">
                  <c:v>10.286960000000001</c:v>
                </c:pt>
                <c:pt idx="16">
                  <c:v>10.862830000000001</c:v>
                </c:pt>
                <c:pt idx="17">
                  <c:v>11.430810000000001</c:v>
                </c:pt>
                <c:pt idx="18">
                  <c:v>11.990900000000002</c:v>
                </c:pt>
                <c:pt idx="19">
                  <c:v>12.543100000000003</c:v>
                </c:pt>
                <c:pt idx="20">
                  <c:v>13.087410000000002</c:v>
                </c:pt>
                <c:pt idx="21">
                  <c:v>13.623830000000002</c:v>
                </c:pt>
                <c:pt idx="22">
                  <c:v>14.152360000000002</c:v>
                </c:pt>
                <c:pt idx="23">
                  <c:v>14.673000000000002</c:v>
                </c:pt>
                <c:pt idx="24">
                  <c:v>15.185750000000002</c:v>
                </c:pt>
                <c:pt idx="25">
                  <c:v>15.690610000000003</c:v>
                </c:pt>
                <c:pt idx="26">
                  <c:v>16.187580000000004</c:v>
                </c:pt>
                <c:pt idx="27">
                  <c:v>16.676660000000005</c:v>
                </c:pt>
                <c:pt idx="28">
                  <c:v>17.157850000000007</c:v>
                </c:pt>
                <c:pt idx="29">
                  <c:v>17.631150000000005</c:v>
                </c:pt>
                <c:pt idx="30">
                  <c:v>18.096560000000004</c:v>
                </c:pt>
                <c:pt idx="31">
                  <c:v>18.554080000000003</c:v>
                </c:pt>
                <c:pt idx="32">
                  <c:v>19.003710000000002</c:v>
                </c:pt>
                <c:pt idx="33">
                  <c:v>19.445450000000001</c:v>
                </c:pt>
                <c:pt idx="34">
                  <c:v>19.879300000000001</c:v>
                </c:pt>
                <c:pt idx="35">
                  <c:v>20.305260000000001</c:v>
                </c:pt>
                <c:pt idx="36">
                  <c:v>20.723330000000001</c:v>
                </c:pt>
                <c:pt idx="37">
                  <c:v>21.133510000000001</c:v>
                </c:pt>
                <c:pt idx="38">
                  <c:v>21.535800000000002</c:v>
                </c:pt>
                <c:pt idx="39">
                  <c:v>21.930200000000003</c:v>
                </c:pt>
                <c:pt idx="40">
                  <c:v>22.316710000000004</c:v>
                </c:pt>
                <c:pt idx="41">
                  <c:v>22.695330000000006</c:v>
                </c:pt>
                <c:pt idx="42">
                  <c:v>23.066060000000007</c:v>
                </c:pt>
                <c:pt idx="43">
                  <c:v>23.428900000000006</c:v>
                </c:pt>
                <c:pt idx="44">
                  <c:v>23.783850000000005</c:v>
                </c:pt>
                <c:pt idx="45">
                  <c:v>24.130910000000004</c:v>
                </c:pt>
                <c:pt idx="46">
                  <c:v>24.470080000000003</c:v>
                </c:pt>
                <c:pt idx="47">
                  <c:v>24.801360000000003</c:v>
                </c:pt>
                <c:pt idx="48">
                  <c:v>25.124750000000002</c:v>
                </c:pt>
                <c:pt idx="49">
                  <c:v>25.440250000000002</c:v>
                </c:pt>
                <c:pt idx="50">
                  <c:v>25.747860000000003</c:v>
                </c:pt>
                <c:pt idx="51">
                  <c:v>26.047580000000004</c:v>
                </c:pt>
                <c:pt idx="52">
                  <c:v>26.339410000000004</c:v>
                </c:pt>
                <c:pt idx="53">
                  <c:v>26.623350000000006</c:v>
                </c:pt>
                <c:pt idx="54">
                  <c:v>26.899400000000007</c:v>
                </c:pt>
                <c:pt idx="55">
                  <c:v>27.167560000000009</c:v>
                </c:pt>
                <c:pt idx="56">
                  <c:v>27.427830000000007</c:v>
                </c:pt>
                <c:pt idx="57">
                  <c:v>27.680210000000006</c:v>
                </c:pt>
                <c:pt idx="58">
                  <c:v>27.924700000000005</c:v>
                </c:pt>
                <c:pt idx="59">
                  <c:v>28.161300000000004</c:v>
                </c:pt>
                <c:pt idx="60">
                  <c:v>28.390010000000004</c:v>
                </c:pt>
                <c:pt idx="61">
                  <c:v>28.610830000000004</c:v>
                </c:pt>
                <c:pt idx="62">
                  <c:v>28.823760000000004</c:v>
                </c:pt>
                <c:pt idx="63">
                  <c:v>29.028800000000004</c:v>
                </c:pt>
                <c:pt idx="64">
                  <c:v>29.225950000000005</c:v>
                </c:pt>
                <c:pt idx="65">
                  <c:v>29.415210000000005</c:v>
                </c:pt>
                <c:pt idx="66">
                  <c:v>29.596580000000007</c:v>
                </c:pt>
                <c:pt idx="67">
                  <c:v>29.770060000000008</c:v>
                </c:pt>
                <c:pt idx="68">
                  <c:v>29.93565000000001</c:v>
                </c:pt>
                <c:pt idx="69">
                  <c:v>30.093350000000008</c:v>
                </c:pt>
                <c:pt idx="70">
                  <c:v>30.243160000000007</c:v>
                </c:pt>
                <c:pt idx="71">
                  <c:v>30.385080000000006</c:v>
                </c:pt>
                <c:pt idx="72">
                  <c:v>30.519110000000005</c:v>
                </c:pt>
                <c:pt idx="73">
                  <c:v>30.645250000000004</c:v>
                </c:pt>
                <c:pt idx="74">
                  <c:v>30.763500000000004</c:v>
                </c:pt>
                <c:pt idx="75">
                  <c:v>30.873860000000004</c:v>
                </c:pt>
                <c:pt idx="76">
                  <c:v>30.976330000000004</c:v>
                </c:pt>
                <c:pt idx="77">
                  <c:v>31.070910000000005</c:v>
                </c:pt>
                <c:pt idx="78">
                  <c:v>31.157600000000006</c:v>
                </c:pt>
                <c:pt idx="79">
                  <c:v>31.236400000000007</c:v>
                </c:pt>
                <c:pt idx="80">
                  <c:v>31.307310000000008</c:v>
                </c:pt>
                <c:pt idx="81">
                  <c:v>31.37033000000001</c:v>
                </c:pt>
                <c:pt idx="82">
                  <c:v>31.425460000000008</c:v>
                </c:pt>
                <c:pt idx="83">
                  <c:v>31.472700000000007</c:v>
                </c:pt>
                <c:pt idx="84">
                  <c:v>31.512050000000006</c:v>
                </c:pt>
                <c:pt idx="85">
                  <c:v>31.543510000000005</c:v>
                </c:pt>
                <c:pt idx="86">
                  <c:v>31.567080000000004</c:v>
                </c:pt>
                <c:pt idx="87">
                  <c:v>31.582760000000004</c:v>
                </c:pt>
                <c:pt idx="88">
                  <c:v>31.590550000000004</c:v>
                </c:pt>
                <c:pt idx="89">
                  <c:v>31.590450000000004</c:v>
                </c:pt>
                <c:pt idx="90">
                  <c:v>31.702460000000006</c:v>
                </c:pt>
                <c:pt idx="91">
                  <c:v>31.806580000000007</c:v>
                </c:pt>
                <c:pt idx="92">
                  <c:v>31.902810000000006</c:v>
                </c:pt>
                <c:pt idx="93">
                  <c:v>31.991150000000005</c:v>
                </c:pt>
                <c:pt idx="94">
                  <c:v>32.071600000000004</c:v>
                </c:pt>
                <c:pt idx="95">
                  <c:v>32.144160000000007</c:v>
                </c:pt>
                <c:pt idx="96">
                  <c:v>32.208830000000006</c:v>
                </c:pt>
                <c:pt idx="97">
                  <c:v>32.265610000000009</c:v>
                </c:pt>
                <c:pt idx="98">
                  <c:v>32.31450000000001</c:v>
                </c:pt>
                <c:pt idx="99">
                  <c:v>32.355500000000006</c:v>
                </c:pt>
                <c:pt idx="100">
                  <c:v>32.388610000000007</c:v>
                </c:pt>
                <c:pt idx="101">
                  <c:v>32.413830000000004</c:v>
                </c:pt>
                <c:pt idx="102">
                  <c:v>32.431160000000006</c:v>
                </c:pt>
                <c:pt idx="103">
                  <c:v>32.440600000000003</c:v>
                </c:pt>
                <c:pt idx="104">
                  <c:v>32.442150000000005</c:v>
                </c:pt>
                <c:pt idx="105">
                  <c:v>32.435810000000004</c:v>
                </c:pt>
                <c:pt idx="106">
                  <c:v>32.421580000000006</c:v>
                </c:pt>
                <c:pt idx="107">
                  <c:v>32.399460000000005</c:v>
                </c:pt>
                <c:pt idx="108">
                  <c:v>32.369450000000008</c:v>
                </c:pt>
                <c:pt idx="109">
                  <c:v>32.331550000000007</c:v>
                </c:pt>
                <c:pt idx="110">
                  <c:v>32.28576000000001</c:v>
                </c:pt>
                <c:pt idx="111">
                  <c:v>32.232080000000011</c:v>
                </c:pt>
                <c:pt idx="112">
                  <c:v>32.170510000000007</c:v>
                </c:pt>
                <c:pt idx="113">
                  <c:v>32.101050000000008</c:v>
                </c:pt>
                <c:pt idx="114">
                  <c:v>32.023700000000005</c:v>
                </c:pt>
                <c:pt idx="115">
                  <c:v>31.938460000000006</c:v>
                </c:pt>
                <c:pt idx="116">
                  <c:v>31.845330000000008</c:v>
                </c:pt>
                <c:pt idx="117">
                  <c:v>31.744310000000009</c:v>
                </c:pt>
                <c:pt idx="118">
                  <c:v>31.635400000000008</c:v>
                </c:pt>
                <c:pt idx="119">
                  <c:v>31.518600000000006</c:v>
                </c:pt>
                <c:pt idx="120">
                  <c:v>31.393910000000005</c:v>
                </c:pt>
                <c:pt idx="121">
                  <c:v>31.261330000000005</c:v>
                </c:pt>
                <c:pt idx="122">
                  <c:v>31.120860000000004</c:v>
                </c:pt>
                <c:pt idx="123">
                  <c:v>30.972500000000004</c:v>
                </c:pt>
                <c:pt idx="124">
                  <c:v>30.816250000000004</c:v>
                </c:pt>
                <c:pt idx="125">
                  <c:v>30.652110000000004</c:v>
                </c:pt>
                <c:pt idx="126">
                  <c:v>30.480080000000005</c:v>
                </c:pt>
                <c:pt idx="127">
                  <c:v>30.300160000000005</c:v>
                </c:pt>
                <c:pt idx="128">
                  <c:v>30.112350000000006</c:v>
                </c:pt>
                <c:pt idx="129">
                  <c:v>29.916650000000008</c:v>
                </c:pt>
                <c:pt idx="130">
                  <c:v>29.713060000000009</c:v>
                </c:pt>
                <c:pt idx="131">
                  <c:v>29.501580000000008</c:v>
                </c:pt>
                <c:pt idx="132">
                  <c:v>29.282210000000006</c:v>
                </c:pt>
                <c:pt idx="133">
                  <c:v>29.054950000000005</c:v>
                </c:pt>
                <c:pt idx="134">
                  <c:v>28.819800000000004</c:v>
                </c:pt>
                <c:pt idx="135">
                  <c:v>28.576760000000004</c:v>
                </c:pt>
                <c:pt idx="136">
                  <c:v>28.325830000000003</c:v>
                </c:pt>
                <c:pt idx="137">
                  <c:v>28.067010000000003</c:v>
                </c:pt>
                <c:pt idx="138">
                  <c:v>27.800300000000004</c:v>
                </c:pt>
                <c:pt idx="139">
                  <c:v>27.525700000000004</c:v>
                </c:pt>
                <c:pt idx="140">
                  <c:v>27.243210000000005</c:v>
                </c:pt>
                <c:pt idx="141">
                  <c:v>26.952830000000006</c:v>
                </c:pt>
                <c:pt idx="142">
                  <c:v>26.654560000000007</c:v>
                </c:pt>
                <c:pt idx="143">
                  <c:v>26.348400000000009</c:v>
                </c:pt>
                <c:pt idx="144">
                  <c:v>26.034350000000011</c:v>
                </c:pt>
                <c:pt idx="145">
                  <c:v>25.712410000000009</c:v>
                </c:pt>
                <c:pt idx="146">
                  <c:v>25.382580000000008</c:v>
                </c:pt>
                <c:pt idx="147">
                  <c:v>25.044860000000007</c:v>
                </c:pt>
                <c:pt idx="148">
                  <c:v>24.699250000000006</c:v>
                </c:pt>
                <c:pt idx="149">
                  <c:v>24.345750000000006</c:v>
                </c:pt>
                <c:pt idx="150">
                  <c:v>23.984360000000006</c:v>
                </c:pt>
                <c:pt idx="151">
                  <c:v>23.615080000000006</c:v>
                </c:pt>
                <c:pt idx="152">
                  <c:v>23.237910000000007</c:v>
                </c:pt>
                <c:pt idx="153">
                  <c:v>22.852850000000007</c:v>
                </c:pt>
                <c:pt idx="154">
                  <c:v>22.459900000000008</c:v>
                </c:pt>
                <c:pt idx="155">
                  <c:v>22.059060000000009</c:v>
                </c:pt>
                <c:pt idx="156">
                  <c:v>21.650330000000011</c:v>
                </c:pt>
                <c:pt idx="157">
                  <c:v>21.233710000000013</c:v>
                </c:pt>
                <c:pt idx="158">
                  <c:v>20.809200000000011</c:v>
                </c:pt>
                <c:pt idx="159">
                  <c:v>20.37680000000001</c:v>
                </c:pt>
                <c:pt idx="160">
                  <c:v>19.936510000000009</c:v>
                </c:pt>
                <c:pt idx="161">
                  <c:v>19.488330000000008</c:v>
                </c:pt>
                <c:pt idx="162">
                  <c:v>19.032260000000008</c:v>
                </c:pt>
                <c:pt idx="163">
                  <c:v>18.568300000000008</c:v>
                </c:pt>
                <c:pt idx="164">
                  <c:v>18.096450000000008</c:v>
                </c:pt>
                <c:pt idx="165">
                  <c:v>17.616710000000008</c:v>
                </c:pt>
                <c:pt idx="166">
                  <c:v>17.129080000000009</c:v>
                </c:pt>
                <c:pt idx="167">
                  <c:v>16.63356000000001</c:v>
                </c:pt>
                <c:pt idx="168">
                  <c:v>16.130150000000011</c:v>
                </c:pt>
                <c:pt idx="169">
                  <c:v>15.618850000000011</c:v>
                </c:pt>
                <c:pt idx="170">
                  <c:v>15.099660000000011</c:v>
                </c:pt>
                <c:pt idx="171">
                  <c:v>14.572580000000011</c:v>
                </c:pt>
                <c:pt idx="172">
                  <c:v>14.037610000000011</c:v>
                </c:pt>
                <c:pt idx="173">
                  <c:v>13.494750000000012</c:v>
                </c:pt>
                <c:pt idx="174">
                  <c:v>12.944000000000011</c:v>
                </c:pt>
                <c:pt idx="175">
                  <c:v>12.385360000000011</c:v>
                </c:pt>
                <c:pt idx="176">
                  <c:v>11.818830000000011</c:v>
                </c:pt>
                <c:pt idx="177">
                  <c:v>11.244410000000011</c:v>
                </c:pt>
                <c:pt idx="178">
                  <c:v>10.662100000000011</c:v>
                </c:pt>
                <c:pt idx="179">
                  <c:v>10.071900000000012</c:v>
                </c:pt>
                <c:pt idx="180">
                  <c:v>9.4738100000000127</c:v>
                </c:pt>
                <c:pt idx="181">
                  <c:v>8.8678300000000121</c:v>
                </c:pt>
                <c:pt idx="182">
                  <c:v>8.2539600000000117</c:v>
                </c:pt>
                <c:pt idx="183">
                  <c:v>7.6322000000000116</c:v>
                </c:pt>
                <c:pt idx="184">
                  <c:v>7.0025500000000118</c:v>
                </c:pt>
                <c:pt idx="185">
                  <c:v>6.3650100000000123</c:v>
                </c:pt>
                <c:pt idx="186">
                  <c:v>5.7195800000000121</c:v>
                </c:pt>
                <c:pt idx="187">
                  <c:v>5.0662600000000122</c:v>
                </c:pt>
                <c:pt idx="188">
                  <c:v>4.4050500000000117</c:v>
                </c:pt>
                <c:pt idx="189">
                  <c:v>3.7359500000000119</c:v>
                </c:pt>
                <c:pt idx="190">
                  <c:v>3.0589600000000119</c:v>
                </c:pt>
                <c:pt idx="191">
                  <c:v>2.3740800000000117</c:v>
                </c:pt>
                <c:pt idx="192">
                  <c:v>1.6813100000000119</c:v>
                </c:pt>
                <c:pt idx="193">
                  <c:v>0.98065000000001201</c:v>
                </c:pt>
                <c:pt idx="194">
                  <c:v>0.27210000000001211</c:v>
                </c:pt>
                <c:pt idx="195">
                  <c:v>-0.44433999999998774</c:v>
                </c:pt>
                <c:pt idx="196">
                  <c:v>-1.1686699999999877</c:v>
                </c:pt>
                <c:pt idx="197">
                  <c:v>-1.9008899999999875</c:v>
                </c:pt>
                <c:pt idx="198">
                  <c:v>-2.6409999999999876</c:v>
                </c:pt>
                <c:pt idx="199">
                  <c:v>-3.3889999999999878</c:v>
                </c:pt>
              </c:numCache>
            </c:numRef>
          </c:yVal>
          <c:smooth val="0"/>
          <c:extLst>
            <c:ext xmlns:c16="http://schemas.microsoft.com/office/drawing/2014/chart" uri="{C3380CC4-5D6E-409C-BE32-E72D297353CC}">
              <c16:uniqueId val="{00000000-476F-4DB0-9AC8-93595842CDE1}"/>
            </c:ext>
          </c:extLst>
        </c:ser>
        <c:dLbls>
          <c:showLegendKey val="0"/>
          <c:showVal val="0"/>
          <c:showCatName val="0"/>
          <c:showSerName val="0"/>
          <c:showPercent val="0"/>
          <c:showBubbleSize val="0"/>
        </c:dLbls>
        <c:axId val="748287944"/>
        <c:axId val="748288928"/>
      </c:scatterChart>
      <c:valAx>
        <c:axId val="748287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88928"/>
        <c:crosses val="autoZero"/>
        <c:crossBetween val="midCat"/>
      </c:valAx>
      <c:valAx>
        <c:axId val="748288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879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Unsupplemented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9.1897530451035242E-2"/>
                  <c:y val="0.1896217297797620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scatterplots!$AY$3:$AY$92</c:f>
              <c:numCache>
                <c:formatCode>General</c:formatCode>
                <c:ptCount val="9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numCache>
            </c:numRef>
          </c:xVal>
          <c:yVal>
            <c:numRef>
              <c:f>scatterplots!$AX$3:$AX$92</c:f>
              <c:numCache>
                <c:formatCode>General</c:formatCode>
                <c:ptCount val="90"/>
                <c:pt idx="0">
                  <c:v>0.70211000000000001</c:v>
                </c:pt>
                <c:pt idx="1">
                  <c:v>1.3963300000000001</c:v>
                </c:pt>
                <c:pt idx="2">
                  <c:v>2.0826600000000002</c:v>
                </c:pt>
                <c:pt idx="3">
                  <c:v>2.7611000000000003</c:v>
                </c:pt>
                <c:pt idx="4">
                  <c:v>3.4316500000000003</c:v>
                </c:pt>
                <c:pt idx="5">
                  <c:v>4.0943100000000001</c:v>
                </c:pt>
                <c:pt idx="6">
                  <c:v>4.7490800000000002</c:v>
                </c:pt>
                <c:pt idx="7">
                  <c:v>5.3959600000000005</c:v>
                </c:pt>
                <c:pt idx="8">
                  <c:v>6.0349500000000003</c:v>
                </c:pt>
                <c:pt idx="9">
                  <c:v>6.6660500000000003</c:v>
                </c:pt>
                <c:pt idx="10">
                  <c:v>7.2892600000000005</c:v>
                </c:pt>
                <c:pt idx="11">
                  <c:v>7.904580000000001</c:v>
                </c:pt>
                <c:pt idx="12">
                  <c:v>8.5120100000000019</c:v>
                </c:pt>
                <c:pt idx="13">
                  <c:v>9.1115500000000011</c:v>
                </c:pt>
                <c:pt idx="14">
                  <c:v>9.7032000000000007</c:v>
                </c:pt>
                <c:pt idx="15">
                  <c:v>10.286960000000001</c:v>
                </c:pt>
                <c:pt idx="16">
                  <c:v>10.862830000000001</c:v>
                </c:pt>
                <c:pt idx="17">
                  <c:v>11.430810000000001</c:v>
                </c:pt>
                <c:pt idx="18">
                  <c:v>11.990900000000002</c:v>
                </c:pt>
                <c:pt idx="19">
                  <c:v>12.543100000000003</c:v>
                </c:pt>
                <c:pt idx="20">
                  <c:v>13.087410000000002</c:v>
                </c:pt>
                <c:pt idx="21">
                  <c:v>13.623830000000002</c:v>
                </c:pt>
                <c:pt idx="22">
                  <c:v>14.152360000000002</c:v>
                </c:pt>
                <c:pt idx="23">
                  <c:v>14.673000000000002</c:v>
                </c:pt>
                <c:pt idx="24">
                  <c:v>15.185750000000002</c:v>
                </c:pt>
                <c:pt idx="25">
                  <c:v>15.690610000000003</c:v>
                </c:pt>
                <c:pt idx="26">
                  <c:v>16.187580000000004</c:v>
                </c:pt>
                <c:pt idx="27">
                  <c:v>16.676660000000005</c:v>
                </c:pt>
                <c:pt idx="28">
                  <c:v>17.157850000000007</c:v>
                </c:pt>
                <c:pt idx="29">
                  <c:v>17.631150000000005</c:v>
                </c:pt>
                <c:pt idx="30">
                  <c:v>18.096560000000004</c:v>
                </c:pt>
                <c:pt idx="31">
                  <c:v>18.554080000000003</c:v>
                </c:pt>
                <c:pt idx="32">
                  <c:v>19.003710000000002</c:v>
                </c:pt>
                <c:pt idx="33">
                  <c:v>19.445450000000001</c:v>
                </c:pt>
                <c:pt idx="34">
                  <c:v>19.879300000000001</c:v>
                </c:pt>
                <c:pt idx="35">
                  <c:v>20.305260000000001</c:v>
                </c:pt>
                <c:pt idx="36">
                  <c:v>20.723330000000001</c:v>
                </c:pt>
                <c:pt idx="37">
                  <c:v>21.133510000000001</c:v>
                </c:pt>
                <c:pt idx="38">
                  <c:v>21.535800000000002</c:v>
                </c:pt>
                <c:pt idx="39">
                  <c:v>21.930200000000003</c:v>
                </c:pt>
                <c:pt idx="40">
                  <c:v>22.316710000000004</c:v>
                </c:pt>
                <c:pt idx="41">
                  <c:v>22.695330000000006</c:v>
                </c:pt>
                <c:pt idx="42">
                  <c:v>23.066060000000007</c:v>
                </c:pt>
                <c:pt idx="43">
                  <c:v>23.428900000000006</c:v>
                </c:pt>
                <c:pt idx="44">
                  <c:v>23.783850000000005</c:v>
                </c:pt>
                <c:pt idx="45">
                  <c:v>24.130910000000004</c:v>
                </c:pt>
                <c:pt idx="46">
                  <c:v>24.470080000000003</c:v>
                </c:pt>
                <c:pt idx="47">
                  <c:v>24.801360000000003</c:v>
                </c:pt>
                <c:pt idx="48">
                  <c:v>25.124750000000002</c:v>
                </c:pt>
                <c:pt idx="49">
                  <c:v>25.440250000000002</c:v>
                </c:pt>
                <c:pt idx="50">
                  <c:v>25.747860000000003</c:v>
                </c:pt>
                <c:pt idx="51">
                  <c:v>26.047580000000004</c:v>
                </c:pt>
                <c:pt idx="52">
                  <c:v>26.339410000000004</c:v>
                </c:pt>
                <c:pt idx="53">
                  <c:v>26.623350000000006</c:v>
                </c:pt>
                <c:pt idx="54">
                  <c:v>26.899400000000007</c:v>
                </c:pt>
                <c:pt idx="55">
                  <c:v>27.167560000000009</c:v>
                </c:pt>
                <c:pt idx="56">
                  <c:v>27.427830000000007</c:v>
                </c:pt>
                <c:pt idx="57">
                  <c:v>27.680210000000006</c:v>
                </c:pt>
                <c:pt idx="58">
                  <c:v>27.924700000000005</c:v>
                </c:pt>
                <c:pt idx="59">
                  <c:v>28.161300000000004</c:v>
                </c:pt>
                <c:pt idx="60">
                  <c:v>28.390010000000004</c:v>
                </c:pt>
                <c:pt idx="61">
                  <c:v>28.610830000000004</c:v>
                </c:pt>
                <c:pt idx="62">
                  <c:v>28.823760000000004</c:v>
                </c:pt>
                <c:pt idx="63">
                  <c:v>29.028800000000004</c:v>
                </c:pt>
                <c:pt idx="64">
                  <c:v>29.225950000000005</c:v>
                </c:pt>
                <c:pt idx="65">
                  <c:v>29.415210000000005</c:v>
                </c:pt>
                <c:pt idx="66">
                  <c:v>29.596580000000007</c:v>
                </c:pt>
                <c:pt idx="67">
                  <c:v>29.770060000000008</c:v>
                </c:pt>
                <c:pt idx="68">
                  <c:v>29.93565000000001</c:v>
                </c:pt>
                <c:pt idx="69">
                  <c:v>30.093350000000008</c:v>
                </c:pt>
                <c:pt idx="70">
                  <c:v>30.243160000000007</c:v>
                </c:pt>
                <c:pt idx="71">
                  <c:v>30.385080000000006</c:v>
                </c:pt>
                <c:pt idx="72">
                  <c:v>30.519110000000005</c:v>
                </c:pt>
                <c:pt idx="73">
                  <c:v>30.645250000000004</c:v>
                </c:pt>
                <c:pt idx="74">
                  <c:v>30.763500000000004</c:v>
                </c:pt>
                <c:pt idx="75">
                  <c:v>30.873860000000004</c:v>
                </c:pt>
                <c:pt idx="76">
                  <c:v>30.976330000000004</c:v>
                </c:pt>
                <c:pt idx="77">
                  <c:v>31.070910000000005</c:v>
                </c:pt>
                <c:pt idx="78">
                  <c:v>31.157600000000006</c:v>
                </c:pt>
                <c:pt idx="79">
                  <c:v>31.236400000000007</c:v>
                </c:pt>
                <c:pt idx="80">
                  <c:v>31.307310000000008</c:v>
                </c:pt>
                <c:pt idx="81">
                  <c:v>31.37033000000001</c:v>
                </c:pt>
                <c:pt idx="82">
                  <c:v>31.425460000000008</c:v>
                </c:pt>
                <c:pt idx="83">
                  <c:v>31.472700000000007</c:v>
                </c:pt>
                <c:pt idx="84">
                  <c:v>31.512050000000006</c:v>
                </c:pt>
                <c:pt idx="85">
                  <c:v>31.543510000000005</c:v>
                </c:pt>
                <c:pt idx="86">
                  <c:v>31.567080000000004</c:v>
                </c:pt>
                <c:pt idx="87">
                  <c:v>31.582760000000004</c:v>
                </c:pt>
                <c:pt idx="88">
                  <c:v>31.590550000000004</c:v>
                </c:pt>
                <c:pt idx="89">
                  <c:v>31.590450000000004</c:v>
                </c:pt>
              </c:numCache>
            </c:numRef>
          </c:yVal>
          <c:smooth val="0"/>
          <c:extLst>
            <c:ext xmlns:c16="http://schemas.microsoft.com/office/drawing/2014/chart" uri="{C3380CC4-5D6E-409C-BE32-E72D297353CC}">
              <c16:uniqueId val="{00000000-643E-4CE9-A1F1-6E0D4800CBB6}"/>
            </c:ext>
          </c:extLst>
        </c:ser>
        <c:dLbls>
          <c:showLegendKey val="0"/>
          <c:showVal val="0"/>
          <c:showCatName val="0"/>
          <c:showSerName val="0"/>
          <c:showPercent val="0"/>
          <c:showBubbleSize val="0"/>
        </c:dLbls>
        <c:axId val="745534872"/>
        <c:axId val="745536512"/>
      </c:scatterChart>
      <c:valAx>
        <c:axId val="745534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6512"/>
        <c:crosses val="autoZero"/>
        <c:crossBetween val="midCat"/>
      </c:valAx>
      <c:valAx>
        <c:axId val="745536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48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Chart Supplemented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8.8742930021071378E-2"/>
                  <c:y val="-0.52819776775475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scatterplots!$AY$93:$AY$202</c:f>
              <c:numCache>
                <c:formatCode>General</c:formatCode>
                <c:ptCount val="11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numCache>
            </c:numRef>
          </c:xVal>
          <c:yVal>
            <c:numRef>
              <c:f>scatterplots!$AX$93:$AX$202</c:f>
              <c:numCache>
                <c:formatCode>General</c:formatCode>
                <c:ptCount val="110"/>
                <c:pt idx="0">
                  <c:v>31.702460000000006</c:v>
                </c:pt>
                <c:pt idx="1">
                  <c:v>31.806580000000007</c:v>
                </c:pt>
                <c:pt idx="2">
                  <c:v>31.902810000000006</c:v>
                </c:pt>
                <c:pt idx="3">
                  <c:v>31.991150000000005</c:v>
                </c:pt>
                <c:pt idx="4">
                  <c:v>32.071600000000004</c:v>
                </c:pt>
                <c:pt idx="5">
                  <c:v>32.144160000000007</c:v>
                </c:pt>
                <c:pt idx="6">
                  <c:v>32.208830000000006</c:v>
                </c:pt>
                <c:pt idx="7">
                  <c:v>32.265610000000009</c:v>
                </c:pt>
                <c:pt idx="8">
                  <c:v>32.31450000000001</c:v>
                </c:pt>
                <c:pt idx="9">
                  <c:v>32.355500000000006</c:v>
                </c:pt>
                <c:pt idx="10">
                  <c:v>32.388610000000007</c:v>
                </c:pt>
                <c:pt idx="11">
                  <c:v>32.413830000000004</c:v>
                </c:pt>
                <c:pt idx="12">
                  <c:v>32.431160000000006</c:v>
                </c:pt>
                <c:pt idx="13">
                  <c:v>32.440600000000003</c:v>
                </c:pt>
                <c:pt idx="14">
                  <c:v>32.442150000000005</c:v>
                </c:pt>
                <c:pt idx="15">
                  <c:v>32.435810000000004</c:v>
                </c:pt>
                <c:pt idx="16">
                  <c:v>32.421580000000006</c:v>
                </c:pt>
                <c:pt idx="17">
                  <c:v>32.399460000000005</c:v>
                </c:pt>
                <c:pt idx="18">
                  <c:v>32.369450000000008</c:v>
                </c:pt>
                <c:pt idx="19">
                  <c:v>32.331550000000007</c:v>
                </c:pt>
                <c:pt idx="20">
                  <c:v>32.28576000000001</c:v>
                </c:pt>
                <c:pt idx="21">
                  <c:v>32.232080000000011</c:v>
                </c:pt>
                <c:pt idx="22">
                  <c:v>32.170510000000007</c:v>
                </c:pt>
                <c:pt idx="23">
                  <c:v>32.101050000000008</c:v>
                </c:pt>
                <c:pt idx="24">
                  <c:v>32.023700000000005</c:v>
                </c:pt>
                <c:pt idx="25">
                  <c:v>31.938460000000006</c:v>
                </c:pt>
                <c:pt idx="26">
                  <c:v>31.845330000000008</c:v>
                </c:pt>
                <c:pt idx="27">
                  <c:v>31.744310000000009</c:v>
                </c:pt>
                <c:pt idx="28">
                  <c:v>31.635400000000008</c:v>
                </c:pt>
                <c:pt idx="29">
                  <c:v>31.518600000000006</c:v>
                </c:pt>
                <c:pt idx="30">
                  <c:v>31.393910000000005</c:v>
                </c:pt>
                <c:pt idx="31">
                  <c:v>31.261330000000005</c:v>
                </c:pt>
                <c:pt idx="32">
                  <c:v>31.120860000000004</c:v>
                </c:pt>
                <c:pt idx="33">
                  <c:v>30.972500000000004</c:v>
                </c:pt>
                <c:pt idx="34">
                  <c:v>30.816250000000004</c:v>
                </c:pt>
                <c:pt idx="35">
                  <c:v>30.652110000000004</c:v>
                </c:pt>
                <c:pt idx="36">
                  <c:v>30.480080000000005</c:v>
                </c:pt>
                <c:pt idx="37">
                  <c:v>30.300160000000005</c:v>
                </c:pt>
                <c:pt idx="38">
                  <c:v>30.112350000000006</c:v>
                </c:pt>
                <c:pt idx="39">
                  <c:v>29.916650000000008</c:v>
                </c:pt>
                <c:pt idx="40">
                  <c:v>29.713060000000009</c:v>
                </c:pt>
                <c:pt idx="41">
                  <c:v>29.501580000000008</c:v>
                </c:pt>
                <c:pt idx="42">
                  <c:v>29.282210000000006</c:v>
                </c:pt>
                <c:pt idx="43">
                  <c:v>29.054950000000005</c:v>
                </c:pt>
                <c:pt idx="44">
                  <c:v>28.819800000000004</c:v>
                </c:pt>
                <c:pt idx="45">
                  <c:v>28.576760000000004</c:v>
                </c:pt>
                <c:pt idx="46">
                  <c:v>28.325830000000003</c:v>
                </c:pt>
                <c:pt idx="47">
                  <c:v>28.067010000000003</c:v>
                </c:pt>
                <c:pt idx="48">
                  <c:v>27.800300000000004</c:v>
                </c:pt>
                <c:pt idx="49">
                  <c:v>27.525700000000004</c:v>
                </c:pt>
                <c:pt idx="50">
                  <c:v>27.243210000000005</c:v>
                </c:pt>
                <c:pt idx="51">
                  <c:v>26.952830000000006</c:v>
                </c:pt>
                <c:pt idx="52">
                  <c:v>26.654560000000007</c:v>
                </c:pt>
                <c:pt idx="53">
                  <c:v>26.348400000000009</c:v>
                </c:pt>
                <c:pt idx="54">
                  <c:v>26.034350000000011</c:v>
                </c:pt>
                <c:pt idx="55">
                  <c:v>25.712410000000009</c:v>
                </c:pt>
                <c:pt idx="56">
                  <c:v>25.382580000000008</c:v>
                </c:pt>
                <c:pt idx="57">
                  <c:v>25.044860000000007</c:v>
                </c:pt>
                <c:pt idx="58">
                  <c:v>24.699250000000006</c:v>
                </c:pt>
                <c:pt idx="59">
                  <c:v>24.345750000000006</c:v>
                </c:pt>
                <c:pt idx="60">
                  <c:v>23.984360000000006</c:v>
                </c:pt>
                <c:pt idx="61">
                  <c:v>23.615080000000006</c:v>
                </c:pt>
                <c:pt idx="62">
                  <c:v>23.237910000000007</c:v>
                </c:pt>
                <c:pt idx="63">
                  <c:v>22.852850000000007</c:v>
                </c:pt>
                <c:pt idx="64">
                  <c:v>22.459900000000008</c:v>
                </c:pt>
                <c:pt idx="65">
                  <c:v>22.059060000000009</c:v>
                </c:pt>
                <c:pt idx="66">
                  <c:v>21.650330000000011</c:v>
                </c:pt>
                <c:pt idx="67">
                  <c:v>21.233710000000013</c:v>
                </c:pt>
                <c:pt idx="68">
                  <c:v>20.809200000000011</c:v>
                </c:pt>
                <c:pt idx="69">
                  <c:v>20.37680000000001</c:v>
                </c:pt>
                <c:pt idx="70">
                  <c:v>19.936510000000009</c:v>
                </c:pt>
                <c:pt idx="71">
                  <c:v>19.488330000000008</c:v>
                </c:pt>
                <c:pt idx="72">
                  <c:v>19.032260000000008</c:v>
                </c:pt>
                <c:pt idx="73">
                  <c:v>18.568300000000008</c:v>
                </c:pt>
                <c:pt idx="74">
                  <c:v>18.096450000000008</c:v>
                </c:pt>
                <c:pt idx="75">
                  <c:v>17.616710000000008</c:v>
                </c:pt>
                <c:pt idx="76">
                  <c:v>17.129080000000009</c:v>
                </c:pt>
                <c:pt idx="77">
                  <c:v>16.63356000000001</c:v>
                </c:pt>
                <c:pt idx="78">
                  <c:v>16.130150000000011</c:v>
                </c:pt>
                <c:pt idx="79">
                  <c:v>15.618850000000011</c:v>
                </c:pt>
                <c:pt idx="80">
                  <c:v>15.099660000000011</c:v>
                </c:pt>
                <c:pt idx="81">
                  <c:v>14.572580000000011</c:v>
                </c:pt>
                <c:pt idx="82">
                  <c:v>14.037610000000011</c:v>
                </c:pt>
                <c:pt idx="83">
                  <c:v>13.494750000000012</c:v>
                </c:pt>
                <c:pt idx="84">
                  <c:v>12.944000000000011</c:v>
                </c:pt>
                <c:pt idx="85">
                  <c:v>12.385360000000011</c:v>
                </c:pt>
                <c:pt idx="86">
                  <c:v>11.818830000000011</c:v>
                </c:pt>
                <c:pt idx="87">
                  <c:v>11.244410000000011</c:v>
                </c:pt>
                <c:pt idx="88">
                  <c:v>10.662100000000011</c:v>
                </c:pt>
                <c:pt idx="89">
                  <c:v>10.071900000000012</c:v>
                </c:pt>
                <c:pt idx="90">
                  <c:v>9.4738100000000127</c:v>
                </c:pt>
                <c:pt idx="91">
                  <c:v>8.8678300000000121</c:v>
                </c:pt>
                <c:pt idx="92">
                  <c:v>8.2539600000000117</c:v>
                </c:pt>
                <c:pt idx="93">
                  <c:v>7.6322000000000116</c:v>
                </c:pt>
                <c:pt idx="94">
                  <c:v>7.0025500000000118</c:v>
                </c:pt>
                <c:pt idx="95">
                  <c:v>6.3650100000000123</c:v>
                </c:pt>
                <c:pt idx="96">
                  <c:v>5.7195800000000121</c:v>
                </c:pt>
                <c:pt idx="97">
                  <c:v>5.0662600000000122</c:v>
                </c:pt>
                <c:pt idx="98">
                  <c:v>4.4050500000000117</c:v>
                </c:pt>
                <c:pt idx="99">
                  <c:v>3.7359500000000119</c:v>
                </c:pt>
                <c:pt idx="100">
                  <c:v>3.0589600000000119</c:v>
                </c:pt>
                <c:pt idx="101">
                  <c:v>2.3740800000000117</c:v>
                </c:pt>
                <c:pt idx="102">
                  <c:v>1.6813100000000119</c:v>
                </c:pt>
                <c:pt idx="103">
                  <c:v>0.98065000000001201</c:v>
                </c:pt>
                <c:pt idx="104">
                  <c:v>0.27210000000001211</c:v>
                </c:pt>
                <c:pt idx="105">
                  <c:v>-0.44433999999998774</c:v>
                </c:pt>
                <c:pt idx="106">
                  <c:v>-1.1686699999999877</c:v>
                </c:pt>
                <c:pt idx="107">
                  <c:v>-1.9008899999999875</c:v>
                </c:pt>
                <c:pt idx="108">
                  <c:v>-2.6409999999999876</c:v>
                </c:pt>
                <c:pt idx="109">
                  <c:v>-3.3889999999999878</c:v>
                </c:pt>
              </c:numCache>
            </c:numRef>
          </c:yVal>
          <c:smooth val="0"/>
          <c:extLst>
            <c:ext xmlns:c16="http://schemas.microsoft.com/office/drawing/2014/chart" uri="{C3380CC4-5D6E-409C-BE32-E72D297353CC}">
              <c16:uniqueId val="{00000000-74F9-4A47-B56B-431618CA6947}"/>
            </c:ext>
          </c:extLst>
        </c:ser>
        <c:dLbls>
          <c:showLegendKey val="0"/>
          <c:showVal val="0"/>
          <c:showCatName val="0"/>
          <c:showSerName val="0"/>
          <c:showPercent val="0"/>
          <c:showBubbleSize val="0"/>
        </c:dLbls>
        <c:axId val="745534872"/>
        <c:axId val="745536512"/>
      </c:scatterChart>
      <c:valAx>
        <c:axId val="745534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6512"/>
        <c:crosses val="autoZero"/>
        <c:crossBetween val="midCat"/>
      </c:valAx>
      <c:valAx>
        <c:axId val="745536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48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Relationship</a:t>
            </a:r>
            <a:r>
              <a:rPr lang="en-AU" baseline="0"/>
              <a:t> between y adj and b</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5.1847526004928104E-2"/>
                  <c:y val="-5.610107822497203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scatterplots!$AZ$19:$AZ$21</c:f>
              <c:numCache>
                <c:formatCode>General</c:formatCode>
                <c:ptCount val="3"/>
                <c:pt idx="0">
                  <c:v>100</c:v>
                </c:pt>
                <c:pt idx="1">
                  <c:v>200</c:v>
                </c:pt>
                <c:pt idx="2">
                  <c:v>300</c:v>
                </c:pt>
              </c:numCache>
            </c:numRef>
          </c:xVal>
          <c:yVal>
            <c:numRef>
              <c:f>scatterplots!$BC$19:$BC$21</c:f>
              <c:numCache>
                <c:formatCode>General</c:formatCode>
                <c:ptCount val="3"/>
                <c:pt idx="0">
                  <c:v>3.5999999999999997E-2</c:v>
                </c:pt>
                <c:pt idx="1">
                  <c:v>7.5999999999999998E-2</c:v>
                </c:pt>
                <c:pt idx="2">
                  <c:v>0.11600000000000001</c:v>
                </c:pt>
              </c:numCache>
            </c:numRef>
          </c:yVal>
          <c:smooth val="0"/>
          <c:extLst>
            <c:ext xmlns:c16="http://schemas.microsoft.com/office/drawing/2014/chart" uri="{C3380CC4-5D6E-409C-BE32-E72D297353CC}">
              <c16:uniqueId val="{00000000-40C2-4C2B-874C-3CCD5D8BC092}"/>
            </c:ext>
          </c:extLst>
        </c:ser>
        <c:dLbls>
          <c:showLegendKey val="0"/>
          <c:showVal val="0"/>
          <c:showCatName val="0"/>
          <c:showSerName val="0"/>
          <c:showPercent val="0"/>
          <c:showBubbleSize val="0"/>
        </c:dLbls>
        <c:axId val="874615288"/>
        <c:axId val="874611680"/>
      </c:scatterChart>
      <c:valAx>
        <c:axId val="874615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611680"/>
        <c:crosses val="autoZero"/>
        <c:crossBetween val="midCat"/>
      </c:valAx>
      <c:valAx>
        <c:axId val="8746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6152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[220214 StubbleGrazingCalculator_mature_ewes_on_wheat_stubbles_PRODUCER.xlsx]pivot!PivotTable1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pivot!$B$3</c:f>
              <c:strCache>
                <c:ptCount val="1"/>
                <c:pt idx="0">
                  <c:v>Total</c:v>
                </c:pt>
              </c:strCache>
            </c:strRef>
          </c:tx>
          <c:spPr>
            <a:solidFill>
              <a:schemeClr val="accent1"/>
            </a:solidFill>
            <a:ln>
              <a:noFill/>
            </a:ln>
            <a:effectLst/>
          </c:spPr>
          <c:invertIfNegative val="0"/>
          <c:cat>
            <c:strRef>
              <c:f>pivot!$A$4:$A$26</c:f>
              <c:strCache>
                <c:ptCount val="22"/>
                <c:pt idx="0">
                  <c:v>14</c:v>
                </c:pt>
                <c:pt idx="1">
                  <c:v>28</c:v>
                </c:pt>
                <c:pt idx="2">
                  <c:v>29</c:v>
                </c:pt>
                <c:pt idx="3">
                  <c:v>34</c:v>
                </c:pt>
                <c:pt idx="4">
                  <c:v>35</c:v>
                </c:pt>
                <c:pt idx="5">
                  <c:v>42</c:v>
                </c:pt>
                <c:pt idx="6">
                  <c:v>44</c:v>
                </c:pt>
                <c:pt idx="7">
                  <c:v>51</c:v>
                </c:pt>
                <c:pt idx="8">
                  <c:v>52</c:v>
                </c:pt>
                <c:pt idx="9">
                  <c:v>53</c:v>
                </c:pt>
                <c:pt idx="10">
                  <c:v>55</c:v>
                </c:pt>
                <c:pt idx="11">
                  <c:v>59</c:v>
                </c:pt>
                <c:pt idx="12">
                  <c:v>68</c:v>
                </c:pt>
                <c:pt idx="13">
                  <c:v>69</c:v>
                </c:pt>
                <c:pt idx="14">
                  <c:v>69</c:v>
                </c:pt>
                <c:pt idx="15">
                  <c:v>83</c:v>
                </c:pt>
                <c:pt idx="16">
                  <c:v>88</c:v>
                </c:pt>
                <c:pt idx="17">
                  <c:v>97</c:v>
                </c:pt>
                <c:pt idx="18">
                  <c:v>102</c:v>
                </c:pt>
                <c:pt idx="19">
                  <c:v>104</c:v>
                </c:pt>
                <c:pt idx="20">
                  <c:v>107</c:v>
                </c:pt>
                <c:pt idx="21">
                  <c:v>111</c:v>
                </c:pt>
              </c:strCache>
            </c:strRef>
          </c:cat>
          <c:val>
            <c:numRef>
              <c:f>pivot!$B$4:$B$26</c:f>
              <c:numCache>
                <c:formatCode>General</c:formatCode>
                <c:ptCount val="22"/>
                <c:pt idx="0">
                  <c:v>1142.8571428571429</c:v>
                </c:pt>
                <c:pt idx="1">
                  <c:v>-114.28571428571438</c:v>
                </c:pt>
                <c:pt idx="2">
                  <c:v>335.16483516483515</c:v>
                </c:pt>
                <c:pt idx="3">
                  <c:v>176.78571428571431</c:v>
                </c:pt>
                <c:pt idx="4">
                  <c:v>201.42857142857147</c:v>
                </c:pt>
                <c:pt idx="5">
                  <c:v>828.57142857142912</c:v>
                </c:pt>
                <c:pt idx="6">
                  <c:v>-33.834586466165412</c:v>
                </c:pt>
                <c:pt idx="7">
                  <c:v>-125.00000000000001</c:v>
                </c:pt>
                <c:pt idx="8">
                  <c:v>28.571428571428584</c:v>
                </c:pt>
                <c:pt idx="9">
                  <c:v>-66.666666666667609</c:v>
                </c:pt>
                <c:pt idx="10">
                  <c:v>57.142857142857956</c:v>
                </c:pt>
                <c:pt idx="11">
                  <c:v>-132.65306122448982</c:v>
                </c:pt>
                <c:pt idx="12">
                  <c:v>-107.14285714285728</c:v>
                </c:pt>
                <c:pt idx="13">
                  <c:v>-71.428571428571416</c:v>
                </c:pt>
                <c:pt idx="14">
                  <c:v>-199.99999999999929</c:v>
                </c:pt>
                <c:pt idx="15">
                  <c:v>314.28571428571371</c:v>
                </c:pt>
                <c:pt idx="16">
                  <c:v>-212.40601503759399</c:v>
                </c:pt>
                <c:pt idx="17">
                  <c:v>-114.28571428571388</c:v>
                </c:pt>
                <c:pt idx="18">
                  <c:v>-129.46428571428564</c:v>
                </c:pt>
                <c:pt idx="19">
                  <c:v>-145.71428571428567</c:v>
                </c:pt>
                <c:pt idx="20">
                  <c:v>-1000</c:v>
                </c:pt>
                <c:pt idx="21">
                  <c:v>-400.00000000000063</c:v>
                </c:pt>
              </c:numCache>
            </c:numRef>
          </c:val>
          <c:extLst>
            <c:ext xmlns:c16="http://schemas.microsoft.com/office/drawing/2014/chart" uri="{C3380CC4-5D6E-409C-BE32-E72D297353CC}">
              <c16:uniqueId val="{00000000-D324-4996-9252-04326D4BC0C1}"/>
            </c:ext>
          </c:extLst>
        </c:ser>
        <c:dLbls>
          <c:showLegendKey val="0"/>
          <c:showVal val="0"/>
          <c:showCatName val="0"/>
          <c:showSerName val="0"/>
          <c:showPercent val="0"/>
          <c:showBubbleSize val="0"/>
        </c:dLbls>
        <c:gapWidth val="219"/>
        <c:overlap val="-27"/>
        <c:axId val="764744032"/>
        <c:axId val="764743704"/>
      </c:barChart>
      <c:catAx>
        <c:axId val="76474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4743704"/>
        <c:crosses val="autoZero"/>
        <c:auto val="1"/>
        <c:lblAlgn val="ctr"/>
        <c:lblOffset val="100"/>
        <c:noMultiLvlLbl val="0"/>
      </c:catAx>
      <c:valAx>
        <c:axId val="764743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4744032"/>
        <c:crosses val="autoZero"/>
        <c:crossBetween val="between"/>
      </c:valAx>
      <c:spPr>
        <a:noFill/>
        <a:ln>
          <a:noFill/>
        </a:ln>
        <a:effectLst/>
      </c:spPr>
    </c:plotArea>
    <c:legend>
      <c:legendPos val="r"/>
      <c:layout>
        <c:manualLayout>
          <c:xMode val="edge"/>
          <c:yMode val="edge"/>
          <c:x val="0.83603896103896103"/>
          <c:y val="1.7001312335958012E-2"/>
          <c:w val="7.1885271097869519E-2"/>
          <c:h val="4.293573230264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96297862096103E-2"/>
          <c:y val="4.9910873440285206E-2"/>
          <c:w val="0.8752896827493879"/>
          <c:h val="0.8673858548430109"/>
        </c:manualLayout>
      </c:layout>
      <c:scatterChart>
        <c:scatterStyle val="lineMarker"/>
        <c:varyColors val="0"/>
        <c:ser>
          <c:idx val="0"/>
          <c:order val="0"/>
          <c:tx>
            <c:strRef>
              <c:f>pivot!$AD$1</c:f>
              <c:strCache>
                <c:ptCount val="1"/>
                <c:pt idx="0">
                  <c:v>2008CSR</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pivot!$AD$2:$AD$31</c:f>
              <c:numCache>
                <c:formatCode>General</c:formatCode>
                <c:ptCount val="30"/>
                <c:pt idx="0">
                  <c:v>43.345838484848471</c:v>
                </c:pt>
                <c:pt idx="1">
                  <c:v>27.188801315126046</c:v>
                </c:pt>
                <c:pt idx="8">
                  <c:v>21.342155838935568</c:v>
                </c:pt>
                <c:pt idx="12">
                  <c:v>30.670234778867098</c:v>
                </c:pt>
                <c:pt idx="20">
                  <c:v>23.887142911764698</c:v>
                </c:pt>
                <c:pt idx="21">
                  <c:v>18.784198892156859</c:v>
                </c:pt>
                <c:pt idx="23">
                  <c:v>17.180210153061232</c:v>
                </c:pt>
                <c:pt idx="29">
                  <c:v>12.932216756302521</c:v>
                </c:pt>
              </c:numCache>
            </c:numRef>
          </c:yVal>
          <c:smooth val="0"/>
          <c:extLst>
            <c:ext xmlns:c16="http://schemas.microsoft.com/office/drawing/2014/chart" uri="{C3380CC4-5D6E-409C-BE32-E72D297353CC}">
              <c16:uniqueId val="{00000000-3008-4DA0-9A63-72A53F989ABE}"/>
            </c:ext>
          </c:extLst>
        </c:ser>
        <c:ser>
          <c:idx val="1"/>
          <c:order val="1"/>
          <c:tx>
            <c:strRef>
              <c:f>pivot!$AE$1</c:f>
              <c:strCache>
                <c:ptCount val="1"/>
                <c:pt idx="0">
                  <c:v>2008HSR</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pivot!$AE$2:$AE$31</c:f>
              <c:numCache>
                <c:formatCode>General</c:formatCode>
                <c:ptCount val="30"/>
                <c:pt idx="1">
                  <c:v>45.95626819327731</c:v>
                </c:pt>
                <c:pt idx="13">
                  <c:v>38.463152109243708</c:v>
                </c:pt>
                <c:pt idx="21">
                  <c:v>25.793529487394952</c:v>
                </c:pt>
                <c:pt idx="28">
                  <c:v>21.881757098039216</c:v>
                </c:pt>
              </c:numCache>
            </c:numRef>
          </c:yVal>
          <c:smooth val="0"/>
          <c:extLst>
            <c:ext xmlns:c16="http://schemas.microsoft.com/office/drawing/2014/chart" uri="{C3380CC4-5D6E-409C-BE32-E72D297353CC}">
              <c16:uniqueId val="{00000002-3008-4DA0-9A63-72A53F989ABE}"/>
            </c:ext>
          </c:extLst>
        </c:ser>
        <c:ser>
          <c:idx val="2"/>
          <c:order val="2"/>
          <c:tx>
            <c:strRef>
              <c:f>pivot!$AF$1</c:f>
              <c:strCache>
                <c:ptCount val="1"/>
                <c:pt idx="0">
                  <c:v>2014C</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pivot!$AF$2:$AF$31</c:f>
              <c:numCache>
                <c:formatCode>General</c:formatCode>
                <c:ptCount val="30"/>
                <c:pt idx="6">
                  <c:v>12.971169320754715</c:v>
                </c:pt>
                <c:pt idx="17">
                  <c:v>19.44979188679245</c:v>
                </c:pt>
                <c:pt idx="25">
                  <c:v>19.010740662092626</c:v>
                </c:pt>
              </c:numCache>
            </c:numRef>
          </c:yVal>
          <c:smooth val="0"/>
          <c:extLst>
            <c:ext xmlns:c16="http://schemas.microsoft.com/office/drawing/2014/chart" uri="{C3380CC4-5D6E-409C-BE32-E72D297353CC}">
              <c16:uniqueId val="{00000004-3008-4DA0-9A63-72A53F989ABE}"/>
            </c:ext>
          </c:extLst>
        </c:ser>
        <c:ser>
          <c:idx val="3"/>
          <c:order val="3"/>
          <c:tx>
            <c:strRef>
              <c:f>pivot!$AG$1</c:f>
              <c:strCache>
                <c:ptCount val="1"/>
                <c:pt idx="0">
                  <c:v>2014SB</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pivot!$AG$2:$AG$31</c:f>
              <c:numCache>
                <c:formatCode>General</c:formatCode>
                <c:ptCount val="30"/>
                <c:pt idx="7">
                  <c:v>27.106662846153849</c:v>
                </c:pt>
                <c:pt idx="18">
                  <c:v>20.953022692307687</c:v>
                </c:pt>
                <c:pt idx="27">
                  <c:v>18.448767956293704</c:v>
                </c:pt>
              </c:numCache>
            </c:numRef>
          </c:yVal>
          <c:smooth val="0"/>
          <c:extLst>
            <c:ext xmlns:c16="http://schemas.microsoft.com/office/drawing/2014/chart" uri="{C3380CC4-5D6E-409C-BE32-E72D297353CC}">
              <c16:uniqueId val="{00000006-3008-4DA0-9A63-72A53F989ABE}"/>
            </c:ext>
          </c:extLst>
        </c:ser>
        <c:ser>
          <c:idx val="4"/>
          <c:order val="4"/>
          <c:tx>
            <c:strRef>
              <c:f>pivot!$AH$1</c:f>
              <c:strCache>
                <c:ptCount val="1"/>
                <c:pt idx="0">
                  <c:v>2015E</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pivot!$AH$2:$AH$31</c:f>
              <c:numCache>
                <c:formatCode>General</c:formatCode>
                <c:ptCount val="30"/>
                <c:pt idx="4">
                  <c:v>21.755294107142859</c:v>
                </c:pt>
                <c:pt idx="10">
                  <c:v>15.454445630952382</c:v>
                </c:pt>
                <c:pt idx="16">
                  <c:v>15.097273821428569</c:v>
                </c:pt>
                <c:pt idx="24">
                  <c:v>11.165000297619047</c:v>
                </c:pt>
              </c:numCache>
            </c:numRef>
          </c:yVal>
          <c:smooth val="0"/>
          <c:extLst>
            <c:ext xmlns:c16="http://schemas.microsoft.com/office/drawing/2014/chart" uri="{C3380CC4-5D6E-409C-BE32-E72D297353CC}">
              <c16:uniqueId val="{00000007-3008-4DA0-9A63-72A53F989ABE}"/>
            </c:ext>
          </c:extLst>
        </c:ser>
        <c:ser>
          <c:idx val="5"/>
          <c:order val="5"/>
          <c:tx>
            <c:strRef>
              <c:f>pivot!$AI$1</c:f>
              <c:strCache>
                <c:ptCount val="1"/>
                <c:pt idx="0">
                  <c:v>2015W</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pivot!$AI$2:$AI$31</c:f>
              <c:numCache>
                <c:formatCode>General</c:formatCode>
                <c:ptCount val="30"/>
                <c:pt idx="5">
                  <c:v>21.359482464285716</c:v>
                </c:pt>
                <c:pt idx="11">
                  <c:v>18.648227976190473</c:v>
                </c:pt>
                <c:pt idx="19">
                  <c:v>17.374939257142852</c:v>
                </c:pt>
                <c:pt idx="26">
                  <c:v>12.189034838095237</c:v>
                </c:pt>
              </c:numCache>
            </c:numRef>
          </c:yVal>
          <c:smooth val="0"/>
          <c:extLst>
            <c:ext xmlns:c16="http://schemas.microsoft.com/office/drawing/2014/chart" uri="{C3380CC4-5D6E-409C-BE32-E72D297353CC}">
              <c16:uniqueId val="{00000008-3008-4DA0-9A63-72A53F989ABE}"/>
            </c:ext>
          </c:extLst>
        </c:ser>
        <c:ser>
          <c:idx val="6"/>
          <c:order val="6"/>
          <c:tx>
            <c:strRef>
              <c:f>pivot!$AJ$1</c:f>
              <c:strCache>
                <c:ptCount val="1"/>
                <c:pt idx="0">
                  <c:v>MADFIG</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1">
                    <a:lumMod val="60000"/>
                  </a:schemeClr>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pivot!$AJ$2:$AJ$31</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9-3008-4DA0-9A63-72A53F989ABE}"/>
            </c:ext>
          </c:extLst>
        </c:ser>
        <c:ser>
          <c:idx val="7"/>
          <c:order val="7"/>
          <c:tx>
            <c:strRef>
              <c:f>pivot!$AK$1</c:f>
              <c:strCache>
                <c:ptCount val="1"/>
                <c:pt idx="0">
                  <c:v>WMG1</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pivot!$AK$2:$AK$31</c:f>
              <c:numCache>
                <c:formatCode>General</c:formatCode>
                <c:ptCount val="30"/>
                <c:pt idx="2">
                  <c:v>29.190682743589743</c:v>
                </c:pt>
                <c:pt idx="14">
                  <c:v>18.407722567901239</c:v>
                </c:pt>
              </c:numCache>
            </c:numRef>
          </c:yVal>
          <c:smooth val="0"/>
          <c:extLst>
            <c:ext xmlns:c16="http://schemas.microsoft.com/office/drawing/2014/chart" uri="{C3380CC4-5D6E-409C-BE32-E72D297353CC}">
              <c16:uniqueId val="{0000000A-3008-4DA0-9A63-72A53F989ABE}"/>
            </c:ext>
          </c:extLst>
        </c:ser>
        <c:ser>
          <c:idx val="8"/>
          <c:order val="8"/>
          <c:tx>
            <c:strRef>
              <c:f>pivot!$AL$1</c:f>
              <c:strCache>
                <c:ptCount val="1"/>
                <c:pt idx="0">
                  <c:v>WMG2</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pivot!$AL$2:$AL$31</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0B-3008-4DA0-9A63-72A53F989ABE}"/>
            </c:ext>
          </c:extLst>
        </c:ser>
        <c:dLbls>
          <c:showLegendKey val="0"/>
          <c:showVal val="0"/>
          <c:showCatName val="0"/>
          <c:showSerName val="0"/>
          <c:showPercent val="0"/>
          <c:showBubbleSize val="0"/>
        </c:dLbls>
        <c:axId val="665475056"/>
        <c:axId val="661979456"/>
      </c:scatterChart>
      <c:valAx>
        <c:axId val="665475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79456"/>
        <c:crosses val="autoZero"/>
        <c:crossBetween val="midCat"/>
      </c:valAx>
      <c:valAx>
        <c:axId val="661979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475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01859750256389"/>
          <c:y val="2.2478416296347493E-2"/>
          <c:w val="0.56838577028282833"/>
          <c:h val="0.790386044693006"/>
        </c:manualLayout>
      </c:layout>
      <c:scatterChart>
        <c:scatterStyle val="lineMarker"/>
        <c:varyColors val="0"/>
        <c:ser>
          <c:idx val="0"/>
          <c:order val="0"/>
          <c:tx>
            <c:strRef>
              <c:f>pivot!$B$199</c:f>
              <c:strCache>
                <c:ptCount val="1"/>
                <c:pt idx="0">
                  <c:v>2008CSR</c:v>
                </c:pt>
              </c:strCache>
            </c:strRef>
          </c:tx>
          <c:spPr>
            <a:ln w="19050" cap="rnd">
              <a:noFill/>
              <a:round/>
            </a:ln>
            <a:effectLst/>
          </c:spPr>
          <c:marker>
            <c:symbol val="triang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0-EAD1-4DEF-A03E-A11DD5C0F595}"/>
            </c:ext>
          </c:extLst>
        </c:ser>
        <c:ser>
          <c:idx val="1"/>
          <c:order val="1"/>
          <c:tx>
            <c:strRef>
              <c:f>pivot!$C$199</c:f>
              <c:strCache>
                <c:ptCount val="1"/>
                <c:pt idx="0">
                  <c:v>2008HSR</c:v>
                </c:pt>
              </c:strCache>
            </c:strRef>
          </c:tx>
          <c:spPr>
            <a:ln w="19050" cap="rnd">
              <a:noFill/>
              <a:round/>
            </a:ln>
            <a:effectLst/>
          </c:spPr>
          <c:marker>
            <c:symbol val="triangl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1-EAD1-4DEF-A03E-A11DD5C0F595}"/>
            </c:ext>
          </c:extLst>
        </c:ser>
        <c:ser>
          <c:idx val="2"/>
          <c:order val="2"/>
          <c:tx>
            <c:strRef>
              <c:f>pivot!$D$199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2-EAD1-4DEF-A03E-A11DD5C0F595}"/>
            </c:ext>
          </c:extLst>
        </c:ser>
        <c:ser>
          <c:idx val="3"/>
          <c:order val="3"/>
          <c:tx>
            <c:strRef>
              <c:f>pivot!$E$199</c:f>
              <c:strCache>
                <c:ptCount val="1"/>
                <c:pt idx="0">
                  <c:v>2014SB</c:v>
                </c:pt>
              </c:strCache>
            </c:strRef>
          </c:tx>
          <c:spPr>
            <a:ln w="19050" cap="rnd">
              <a:noFill/>
              <a:round/>
            </a:ln>
            <a:effectLst/>
          </c:spPr>
          <c:marker>
            <c:symbol val="squar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3-EAD1-4DEF-A03E-A11DD5C0F595}"/>
            </c:ext>
          </c:extLst>
        </c:ser>
        <c:ser>
          <c:idx val="4"/>
          <c:order val="4"/>
          <c:tx>
            <c:strRef>
              <c:f>pivot!$F$199</c:f>
              <c:strCache>
                <c:ptCount val="1"/>
                <c:pt idx="0">
                  <c:v>2015E</c:v>
                </c:pt>
              </c:strCache>
            </c:strRef>
          </c:tx>
          <c:spPr>
            <a:ln w="19050" cap="rnd">
              <a:noFill/>
              <a:round/>
            </a:ln>
            <a:effectLst/>
          </c:spPr>
          <c:marker>
            <c:symbol val="circ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4-EAD1-4DEF-A03E-A11DD5C0F595}"/>
            </c:ext>
          </c:extLst>
        </c:ser>
        <c:ser>
          <c:idx val="5"/>
          <c:order val="5"/>
          <c:tx>
            <c:strRef>
              <c:f>pivot!$G$199</c:f>
              <c:strCache>
                <c:ptCount val="1"/>
                <c:pt idx="0">
                  <c:v>2015W</c:v>
                </c:pt>
              </c:strCache>
            </c:strRef>
          </c:tx>
          <c:spPr>
            <a:ln w="19050" cap="rnd">
              <a:noFill/>
              <a:round/>
            </a:ln>
            <a:effectLst/>
          </c:spPr>
          <c:marker>
            <c:symbol val="circle"/>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5-EAD1-4DEF-A03E-A11DD5C0F595}"/>
            </c:ext>
          </c:extLst>
        </c:ser>
        <c:ser>
          <c:idx val="6"/>
          <c:order val="6"/>
          <c:tx>
            <c:strRef>
              <c:f>pivot!$H$199</c:f>
              <c:strCache>
                <c:ptCount val="1"/>
                <c:pt idx="0">
                  <c:v>MADFIG</c:v>
                </c:pt>
              </c:strCache>
            </c:strRef>
          </c:tx>
          <c:spPr>
            <a:ln w="19050" cap="rnd">
              <a:noFill/>
              <a:round/>
            </a:ln>
            <a:effectLst/>
          </c:spPr>
          <c:marker>
            <c:symbol val="x"/>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6-EAD1-4DEF-A03E-A11DD5C0F595}"/>
            </c:ext>
          </c:extLst>
        </c:ser>
        <c:ser>
          <c:idx val="7"/>
          <c:order val="7"/>
          <c:tx>
            <c:strRef>
              <c:f>pivot!$I$199</c:f>
              <c:strCache>
                <c:ptCount val="1"/>
                <c:pt idx="0">
                  <c:v>WMG1</c:v>
                </c:pt>
              </c:strCache>
            </c:strRef>
          </c:tx>
          <c:spPr>
            <a:ln w="19050" cap="rnd">
              <a:noFill/>
              <a:round/>
            </a:ln>
            <a:effectLst/>
          </c:spPr>
          <c:marker>
            <c:symbol val="diamond"/>
            <c:size val="6"/>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7-EAD1-4DEF-A03E-A11DD5C0F595}"/>
            </c:ext>
          </c:extLst>
        </c:ser>
        <c:ser>
          <c:idx val="8"/>
          <c:order val="8"/>
          <c:tx>
            <c:strRef>
              <c:f>pivot!$J$199</c:f>
              <c:strCache>
                <c:ptCount val="1"/>
                <c:pt idx="0">
                  <c:v>WMG2</c:v>
                </c:pt>
              </c:strCache>
            </c:strRef>
          </c:tx>
          <c:spPr>
            <a:ln w="19050" cap="rnd">
              <a:noFill/>
              <a:round/>
            </a:ln>
            <a:effectLst/>
          </c:spPr>
          <c:marker>
            <c:symbol val="diamond"/>
            <c:size val="7"/>
            <c:spPr>
              <a:solidFill>
                <a:srgbClr val="000000"/>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08-EAD1-4DEF-A03E-A11DD5C0F595}"/>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0387953275434924"/>
              <c:y val="0.8845625710226436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1337454028846582E-3"/>
              <c:y val="0.33824434962354327"/>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legend>
      <c:legendPos val="b"/>
      <c:layout>
        <c:manualLayout>
          <c:xMode val="edge"/>
          <c:yMode val="edge"/>
          <c:x val="0.77345224556719694"/>
          <c:y val="9.085022697867472E-3"/>
          <c:w val="0.22654775443280309"/>
          <c:h val="0.2961915998500518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01859750256389"/>
          <c:y val="2.2478416296347493E-2"/>
          <c:w val="0.70602598907438274"/>
          <c:h val="0.80157933207279775"/>
        </c:manualLayout>
      </c:layout>
      <c:scatterChart>
        <c:scatterStyle val="lineMarker"/>
        <c:varyColors val="0"/>
        <c:ser>
          <c:idx val="0"/>
          <c:order val="0"/>
          <c:tx>
            <c:strRef>
              <c:f>pivot!$B$199</c:f>
              <c:strCache>
                <c:ptCount val="1"/>
                <c:pt idx="0">
                  <c:v>2008CSR</c:v>
                </c:pt>
              </c:strCache>
            </c:strRef>
          </c:tx>
          <c:spPr>
            <a:ln w="19050" cap="rnd">
              <a:noFill/>
              <a:round/>
            </a:ln>
            <a:effectLst/>
          </c:spPr>
          <c:marker>
            <c:symbol val="triangle"/>
            <c:size val="7"/>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1-8046-493D-BDC5-39C82A0D6869}"/>
            </c:ext>
          </c:extLst>
        </c:ser>
        <c:ser>
          <c:idx val="1"/>
          <c:order val="1"/>
          <c:tx>
            <c:strRef>
              <c:f>pivot!$C$199</c:f>
              <c:strCache>
                <c:ptCount val="1"/>
                <c:pt idx="0">
                  <c:v>2008HSR</c:v>
                </c:pt>
              </c:strCache>
            </c:strRef>
          </c:tx>
          <c:spPr>
            <a:ln w="19050" cap="rnd">
              <a:noFill/>
              <a:round/>
            </a:ln>
            <a:effectLst/>
          </c:spPr>
          <c:marker>
            <c:symbol val="triangl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3-8046-493D-BDC5-39C82A0D6869}"/>
            </c:ext>
          </c:extLst>
        </c:ser>
        <c:ser>
          <c:idx val="2"/>
          <c:order val="2"/>
          <c:tx>
            <c:strRef>
              <c:f>pivot!$D$199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5-8046-493D-BDC5-39C82A0D6869}"/>
            </c:ext>
          </c:extLst>
        </c:ser>
        <c:ser>
          <c:idx val="3"/>
          <c:order val="3"/>
          <c:tx>
            <c:strRef>
              <c:f>pivot!$E$199</c:f>
              <c:strCache>
                <c:ptCount val="1"/>
                <c:pt idx="0">
                  <c:v>2014SB</c:v>
                </c:pt>
              </c:strCache>
            </c:strRef>
          </c:tx>
          <c:spPr>
            <a:ln w="19050" cap="rnd">
              <a:noFill/>
              <a:round/>
            </a:ln>
            <a:effectLst/>
          </c:spPr>
          <c:marker>
            <c:symbol val="squar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7-8046-493D-BDC5-39C82A0D6869}"/>
            </c:ext>
          </c:extLst>
        </c:ser>
        <c:ser>
          <c:idx val="4"/>
          <c:order val="4"/>
          <c:tx>
            <c:strRef>
              <c:f>pivot!$F$199</c:f>
              <c:strCache>
                <c:ptCount val="1"/>
                <c:pt idx="0">
                  <c:v>2015E</c:v>
                </c:pt>
              </c:strCache>
            </c:strRef>
          </c:tx>
          <c:spPr>
            <a:ln w="19050" cap="rnd">
              <a:noFill/>
              <a:round/>
            </a:ln>
            <a:effectLst/>
          </c:spPr>
          <c:marker>
            <c:symbol val="circ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9-8046-493D-BDC5-39C82A0D6869}"/>
            </c:ext>
          </c:extLst>
        </c:ser>
        <c:ser>
          <c:idx val="5"/>
          <c:order val="5"/>
          <c:tx>
            <c:strRef>
              <c:f>pivot!$G$199</c:f>
              <c:strCache>
                <c:ptCount val="1"/>
                <c:pt idx="0">
                  <c:v>2015W</c:v>
                </c:pt>
              </c:strCache>
            </c:strRef>
          </c:tx>
          <c:spPr>
            <a:ln w="19050" cap="rnd">
              <a:noFill/>
              <a:round/>
            </a:ln>
            <a:effectLst/>
          </c:spPr>
          <c:marker>
            <c:symbol val="circle"/>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B-8046-493D-BDC5-39C82A0D6869}"/>
            </c:ext>
          </c:extLst>
        </c:ser>
        <c:ser>
          <c:idx val="6"/>
          <c:order val="6"/>
          <c:tx>
            <c:strRef>
              <c:f>pivot!$H$199</c:f>
              <c:strCache>
                <c:ptCount val="1"/>
                <c:pt idx="0">
                  <c:v>MADFIG</c:v>
                </c:pt>
              </c:strCache>
            </c:strRef>
          </c:tx>
          <c:spPr>
            <a:ln w="19050" cap="rnd">
              <a:noFill/>
              <a:round/>
            </a:ln>
            <a:effectLst/>
          </c:spPr>
          <c:marker>
            <c:symbol val="x"/>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8046-493D-BDC5-39C82A0D6869}"/>
            </c:ext>
          </c:extLst>
        </c:ser>
        <c:ser>
          <c:idx val="7"/>
          <c:order val="7"/>
          <c:tx>
            <c:strRef>
              <c:f>pivot!$I$199</c:f>
              <c:strCache>
                <c:ptCount val="1"/>
                <c:pt idx="0">
                  <c:v>WMG1</c:v>
                </c:pt>
              </c:strCache>
            </c:strRef>
          </c:tx>
          <c:spPr>
            <a:ln w="19050" cap="rnd">
              <a:noFill/>
              <a:round/>
            </a:ln>
            <a:effectLst/>
          </c:spPr>
          <c:marker>
            <c:symbol val="diamond"/>
            <c:size val="6"/>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F-8046-493D-BDC5-39C82A0D6869}"/>
            </c:ext>
          </c:extLst>
        </c:ser>
        <c:ser>
          <c:idx val="8"/>
          <c:order val="8"/>
          <c:tx>
            <c:strRef>
              <c:f>pivot!$J$199</c:f>
              <c:strCache>
                <c:ptCount val="1"/>
                <c:pt idx="0">
                  <c:v>WMG2</c:v>
                </c:pt>
              </c:strCache>
            </c:strRef>
          </c:tx>
          <c:spPr>
            <a:ln w="19050" cap="rnd">
              <a:noFill/>
              <a:round/>
            </a:ln>
            <a:effectLst/>
          </c:spPr>
          <c:marker>
            <c:symbol val="diamond"/>
            <c:size val="7"/>
            <c:spPr>
              <a:solidFill>
                <a:srgbClr val="000000"/>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11-8046-493D-BDC5-39C82A0D6869}"/>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7619896974652193"/>
              <c:y val="0.8981422028281030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1337454028846582E-3"/>
              <c:y val="0.36540366683578901"/>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&gt; 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19432191394923"/>
          <c:y val="0.16022831050228312"/>
          <c:w val="0.84598892415934923"/>
          <c:h val="0.78954337899543381"/>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pivot_CS!$J$66:$J$75</c:f>
              <c:numCache>
                <c:formatCode>General</c:formatCode>
                <c:ptCount val="10"/>
                <c:pt idx="0">
                  <c:v>34.020000000000003</c:v>
                </c:pt>
                <c:pt idx="1">
                  <c:v>34.580000000000005</c:v>
                </c:pt>
                <c:pt idx="2">
                  <c:v>44.24</c:v>
                </c:pt>
                <c:pt idx="3">
                  <c:v>51.03</c:v>
                </c:pt>
                <c:pt idx="4">
                  <c:v>51.870000000000005</c:v>
                </c:pt>
                <c:pt idx="5">
                  <c:v>68.040000000000006</c:v>
                </c:pt>
                <c:pt idx="6">
                  <c:v>69.160000000000011</c:v>
                </c:pt>
                <c:pt idx="7">
                  <c:v>88.48</c:v>
                </c:pt>
                <c:pt idx="8">
                  <c:v>102.06</c:v>
                </c:pt>
                <c:pt idx="9">
                  <c:v>103.74000000000001</c:v>
                </c:pt>
              </c:numCache>
            </c:numRef>
          </c:xVal>
          <c:yVal>
            <c:numRef>
              <c:f>pivot_CS!$K$66:$K$75</c:f>
              <c:numCache>
                <c:formatCode>General</c:formatCode>
                <c:ptCount val="10"/>
                <c:pt idx="0">
                  <c:v>421.42857142857133</c:v>
                </c:pt>
                <c:pt idx="1">
                  <c:v>442.85714285714306</c:v>
                </c:pt>
                <c:pt idx="2">
                  <c:v>-33.834586466165412</c:v>
                </c:pt>
                <c:pt idx="3">
                  <c:v>-357.14285714285717</c:v>
                </c:pt>
                <c:pt idx="4">
                  <c:v>-142.85714285714286</c:v>
                </c:pt>
                <c:pt idx="5">
                  <c:v>-142.85714285714286</c:v>
                </c:pt>
                <c:pt idx="6">
                  <c:v>-85.714285714284898</c:v>
                </c:pt>
                <c:pt idx="7">
                  <c:v>-212.40601503759399</c:v>
                </c:pt>
                <c:pt idx="8">
                  <c:v>-71.428571428571431</c:v>
                </c:pt>
                <c:pt idx="9">
                  <c:v>-128.57142857142887</c:v>
                </c:pt>
              </c:numCache>
            </c:numRef>
          </c:yVal>
          <c:smooth val="0"/>
          <c:extLst>
            <c:ext xmlns:c16="http://schemas.microsoft.com/office/drawing/2014/chart" uri="{C3380CC4-5D6E-409C-BE32-E72D297353CC}">
              <c16:uniqueId val="{00000001-E88E-4BCC-9F4C-87D1CF4F2573}"/>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01246316603059"/>
          <c:y val="2.2478416296347493E-2"/>
          <c:w val="0.71267513646683722"/>
          <c:h val="0.790386044693006"/>
        </c:manualLayout>
      </c:layout>
      <c:scatterChart>
        <c:scatterStyle val="lineMarker"/>
        <c:varyColors val="0"/>
        <c:ser>
          <c:idx val="0"/>
          <c:order val="0"/>
          <c:tx>
            <c:strRef>
              <c:f>pivot!$B$199</c:f>
              <c:strCache>
                <c:ptCount val="1"/>
                <c:pt idx="0">
                  <c:v>2008CSR</c:v>
                </c:pt>
              </c:strCache>
            </c:strRef>
          </c:tx>
          <c:spPr>
            <a:ln w="19050" cap="rnd">
              <a:noFill/>
              <a:round/>
            </a:ln>
            <a:effectLst/>
          </c:spPr>
          <c:marker>
            <c:symbol val="triangle"/>
            <c:size val="7"/>
            <c:spPr>
              <a:solidFill>
                <a:schemeClr val="accent6"/>
              </a:solidFill>
              <a:ln w="9525">
                <a:solidFill>
                  <a:schemeClr val="bg1"/>
                </a:solidFill>
              </a:ln>
              <a:effectLst/>
            </c:spPr>
          </c:marker>
          <c:trendline>
            <c:spPr>
              <a:ln w="19050" cap="rnd">
                <a:solidFill>
                  <a:schemeClr val="accent6"/>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1-A408-4E30-9EF5-E75C8A98B436}"/>
            </c:ext>
          </c:extLst>
        </c:ser>
        <c:ser>
          <c:idx val="1"/>
          <c:order val="1"/>
          <c:tx>
            <c:strRef>
              <c:f>pivot!$C$199</c:f>
              <c:strCache>
                <c:ptCount val="1"/>
                <c:pt idx="0">
                  <c:v>2008HSR</c:v>
                </c:pt>
              </c:strCache>
            </c:strRef>
          </c:tx>
          <c:spPr>
            <a:ln w="19050" cap="rnd">
              <a:solidFill>
                <a:srgbClr val="0070C0"/>
              </a:solidFill>
              <a:round/>
            </a:ln>
            <a:effectLst/>
          </c:spPr>
          <c:marker>
            <c:symbol val="triangle"/>
            <c:size val="5"/>
            <c:spPr>
              <a:solidFill>
                <a:schemeClr val="bg1"/>
              </a:solidFill>
              <a:ln w="9525">
                <a:solidFill>
                  <a:srgbClr val="0070C0"/>
                </a:solidFill>
              </a:ln>
              <a:effectLst/>
            </c:spPr>
          </c:marker>
          <c:trendline>
            <c:spPr>
              <a:ln w="19050" cap="rnd">
                <a:solidFill>
                  <a:schemeClr val="accent2"/>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3-A408-4E30-9EF5-E75C8A98B436}"/>
            </c:ext>
          </c:extLst>
        </c:ser>
        <c:ser>
          <c:idx val="2"/>
          <c:order val="2"/>
          <c:tx>
            <c:strRef>
              <c:f>pivot!$D$199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9050" cap="rnd">
                <a:solidFill>
                  <a:schemeClr val="tx1"/>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5-A408-4E30-9EF5-E75C8A98B436}"/>
            </c:ext>
          </c:extLst>
        </c:ser>
        <c:ser>
          <c:idx val="3"/>
          <c:order val="3"/>
          <c:tx>
            <c:strRef>
              <c:f>pivot!$E$199</c:f>
              <c:strCache>
                <c:ptCount val="1"/>
                <c:pt idx="0">
                  <c:v>2014SB</c:v>
                </c:pt>
              </c:strCache>
            </c:strRef>
          </c:tx>
          <c:spPr>
            <a:ln w="19050" cap="rnd">
              <a:noFill/>
              <a:round/>
            </a:ln>
            <a:effectLst/>
          </c:spPr>
          <c:marker>
            <c:symbol val="square"/>
            <c:size val="5"/>
            <c:spPr>
              <a:solidFill>
                <a:schemeClr val="bg1"/>
              </a:solidFill>
              <a:ln w="9525">
                <a:solidFill>
                  <a:srgbClr val="7030A0"/>
                </a:solidFill>
              </a:ln>
              <a:effectLst/>
            </c:spPr>
          </c:marker>
          <c:trendline>
            <c:spPr>
              <a:ln w="19050" cap="rnd">
                <a:solidFill>
                  <a:srgbClr val="7030A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7-A408-4E30-9EF5-E75C8A98B436}"/>
            </c:ext>
          </c:extLst>
        </c:ser>
        <c:ser>
          <c:idx val="4"/>
          <c:order val="4"/>
          <c:tx>
            <c:strRef>
              <c:f>pivot!$F$199</c:f>
              <c:strCache>
                <c:ptCount val="1"/>
                <c:pt idx="0">
                  <c:v>2015E</c:v>
                </c:pt>
              </c:strCache>
            </c:strRef>
          </c:tx>
          <c:spPr>
            <a:ln w="19050" cap="rnd">
              <a:noFill/>
              <a:round/>
            </a:ln>
            <a:effectLst/>
          </c:spPr>
          <c:marker>
            <c:symbol val="circle"/>
            <c:size val="6"/>
            <c:spPr>
              <a:solidFill>
                <a:srgbClr val="CC0099"/>
              </a:solidFill>
              <a:ln w="9525">
                <a:solidFill>
                  <a:schemeClr val="bg1"/>
                </a:solidFill>
              </a:ln>
              <a:effectLst/>
            </c:spPr>
          </c:marker>
          <c:trendline>
            <c:spPr>
              <a:ln w="19050" cap="rnd">
                <a:solidFill>
                  <a:srgbClr val="CC0099"/>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9-A408-4E30-9EF5-E75C8A98B436}"/>
            </c:ext>
          </c:extLst>
        </c:ser>
        <c:ser>
          <c:idx val="5"/>
          <c:order val="5"/>
          <c:tx>
            <c:strRef>
              <c:f>pivot!$G$199</c:f>
              <c:strCache>
                <c:ptCount val="1"/>
                <c:pt idx="0">
                  <c:v>2015W</c:v>
                </c:pt>
              </c:strCache>
            </c:strRef>
          </c:tx>
          <c:spPr>
            <a:ln w="19050" cap="rnd">
              <a:noFill/>
              <a:round/>
            </a:ln>
            <a:effectLst/>
          </c:spPr>
          <c:marker>
            <c:symbol val="circle"/>
            <c:size val="5"/>
            <c:spPr>
              <a:solidFill>
                <a:schemeClr val="bg1"/>
              </a:solidFill>
              <a:ln w="9525">
                <a:solidFill>
                  <a:schemeClr val="accent4"/>
                </a:solidFill>
              </a:ln>
              <a:effectLst/>
            </c:spPr>
          </c:marker>
          <c:trendline>
            <c:spPr>
              <a:ln w="19050" cap="rnd">
                <a:solidFill>
                  <a:srgbClr val="FFC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B-A408-4E30-9EF5-E75C8A98B436}"/>
            </c:ext>
          </c:extLst>
        </c:ser>
        <c:ser>
          <c:idx val="6"/>
          <c:order val="6"/>
          <c:tx>
            <c:strRef>
              <c:f>pivot!$H$199</c:f>
              <c:strCache>
                <c:ptCount val="1"/>
                <c:pt idx="0">
                  <c:v>MADFIG</c:v>
                </c:pt>
              </c:strCache>
            </c:strRef>
          </c:tx>
          <c:spPr>
            <a:ln w="19050" cap="rnd">
              <a:noFill/>
              <a:round/>
            </a:ln>
            <a:effectLst/>
          </c:spPr>
          <c:marker>
            <c:symbol val="circle"/>
            <c:size val="5"/>
            <c:spPr>
              <a:solidFill>
                <a:schemeClr val="bg1"/>
              </a:solidFill>
              <a:ln w="9525">
                <a:solidFill>
                  <a:srgbClr val="00B050"/>
                </a:solidFill>
              </a:ln>
              <a:effectLst/>
            </c:spPr>
          </c:marker>
          <c:trendline>
            <c:spPr>
              <a:ln w="19050" cap="rnd">
                <a:solidFill>
                  <a:srgbClr val="00B05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A408-4E30-9EF5-E75C8A98B436}"/>
            </c:ext>
          </c:extLst>
        </c:ser>
        <c:ser>
          <c:idx val="7"/>
          <c:order val="7"/>
          <c:tx>
            <c:strRef>
              <c:f>pivot!$I$199</c:f>
              <c:strCache>
                <c:ptCount val="1"/>
                <c:pt idx="0">
                  <c:v>WMG1</c:v>
                </c:pt>
              </c:strCache>
            </c:strRef>
          </c:tx>
          <c:spPr>
            <a:ln w="19050" cap="rnd">
              <a:solidFill>
                <a:srgbClr val="FF0000"/>
              </a:solidFill>
              <a:round/>
            </a:ln>
            <a:effectLst/>
          </c:spPr>
          <c:marker>
            <c:symbol val="diamond"/>
            <c:size val="6"/>
            <c:spPr>
              <a:solidFill>
                <a:schemeClr val="bg1"/>
              </a:solidFill>
              <a:ln w="9525">
                <a:solidFill>
                  <a:srgbClr val="FF0000"/>
                </a:solidFill>
              </a:ln>
              <a:effectLst/>
            </c:spPr>
          </c:marker>
          <c:trendline>
            <c:spPr>
              <a:ln w="19050" cap="rnd">
                <a:solidFill>
                  <a:srgbClr val="FF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F-A408-4E30-9EF5-E75C8A98B436}"/>
            </c:ext>
          </c:extLst>
        </c:ser>
        <c:ser>
          <c:idx val="8"/>
          <c:order val="8"/>
          <c:tx>
            <c:strRef>
              <c:f>pivot!$J$199</c:f>
              <c:strCache>
                <c:ptCount val="1"/>
                <c:pt idx="0">
                  <c:v>WMG2</c:v>
                </c:pt>
              </c:strCache>
            </c:strRef>
          </c:tx>
          <c:spPr>
            <a:ln w="19050" cap="rnd">
              <a:solidFill>
                <a:schemeClr val="accent2"/>
              </a:solidFill>
              <a:round/>
            </a:ln>
            <a:effectLst/>
          </c:spPr>
          <c:marker>
            <c:symbol val="diamond"/>
            <c:size val="7"/>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11-A408-4E30-9EF5-E75C8A98B436}"/>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8731520216414664"/>
              <c:y val="0.8809974087337266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5857591420704312E-2"/>
              <c:y val="0.33467926097119571"/>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96297862096103E-2"/>
          <c:y val="4.9910873440285206E-2"/>
          <c:w val="0.8752896827493879"/>
          <c:h val="0.8673858548430109"/>
        </c:manualLayout>
      </c:layout>
      <c:scatterChart>
        <c:scatterStyle val="lineMarker"/>
        <c:varyColors val="0"/>
        <c:ser>
          <c:idx val="0"/>
          <c:order val="0"/>
          <c:tx>
            <c:strRef>
              <c:f>pivot_CS!$AD$1</c:f>
              <c:strCache>
                <c:ptCount val="1"/>
                <c:pt idx="0">
                  <c:v>2008CSR</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pivot_CS!$AD$2:$AD$31</c:f>
              <c:numCache>
                <c:formatCode>General</c:formatCode>
                <c:ptCount val="30"/>
                <c:pt idx="0">
                  <c:v>43.345838484848471</c:v>
                </c:pt>
                <c:pt idx="1">
                  <c:v>27.188801315126046</c:v>
                </c:pt>
                <c:pt idx="8">
                  <c:v>21.342155838935568</c:v>
                </c:pt>
                <c:pt idx="12">
                  <c:v>30.670234778867098</c:v>
                </c:pt>
                <c:pt idx="20">
                  <c:v>23.887142911764698</c:v>
                </c:pt>
                <c:pt idx="21">
                  <c:v>18.784198892156859</c:v>
                </c:pt>
                <c:pt idx="23">
                  <c:v>17.180210153061232</c:v>
                </c:pt>
                <c:pt idx="29">
                  <c:v>12.932216756302521</c:v>
                </c:pt>
              </c:numCache>
            </c:numRef>
          </c:yVal>
          <c:smooth val="0"/>
          <c:extLst>
            <c:ext xmlns:c16="http://schemas.microsoft.com/office/drawing/2014/chart" uri="{C3380CC4-5D6E-409C-BE32-E72D297353CC}">
              <c16:uniqueId val="{00000001-6901-444F-94D7-3D3EBA4463C9}"/>
            </c:ext>
          </c:extLst>
        </c:ser>
        <c:ser>
          <c:idx val="1"/>
          <c:order val="1"/>
          <c:tx>
            <c:strRef>
              <c:f>pivot_CS!$AE$1</c:f>
              <c:strCache>
                <c:ptCount val="1"/>
                <c:pt idx="0">
                  <c:v>2008HSR</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pivot_CS!$AE$2:$AE$31</c:f>
              <c:numCache>
                <c:formatCode>General</c:formatCode>
                <c:ptCount val="30"/>
                <c:pt idx="1">
                  <c:v>45.95626819327731</c:v>
                </c:pt>
                <c:pt idx="13">
                  <c:v>38.463152109243708</c:v>
                </c:pt>
                <c:pt idx="21">
                  <c:v>25.793529487394952</c:v>
                </c:pt>
                <c:pt idx="28">
                  <c:v>21.881757098039216</c:v>
                </c:pt>
              </c:numCache>
            </c:numRef>
          </c:yVal>
          <c:smooth val="0"/>
          <c:extLst>
            <c:ext xmlns:c16="http://schemas.microsoft.com/office/drawing/2014/chart" uri="{C3380CC4-5D6E-409C-BE32-E72D297353CC}">
              <c16:uniqueId val="{00000003-6901-444F-94D7-3D3EBA4463C9}"/>
            </c:ext>
          </c:extLst>
        </c:ser>
        <c:ser>
          <c:idx val="2"/>
          <c:order val="2"/>
          <c:tx>
            <c:strRef>
              <c:f>pivot_CS!$AF$1</c:f>
              <c:strCache>
                <c:ptCount val="1"/>
                <c:pt idx="0">
                  <c:v>2014C</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pivot_CS!$AF$2:$AF$31</c:f>
              <c:numCache>
                <c:formatCode>General</c:formatCode>
                <c:ptCount val="30"/>
                <c:pt idx="6">
                  <c:v>12.971169320754715</c:v>
                </c:pt>
                <c:pt idx="17">
                  <c:v>19.44979188679245</c:v>
                </c:pt>
                <c:pt idx="25">
                  <c:v>19.010740662092626</c:v>
                </c:pt>
              </c:numCache>
            </c:numRef>
          </c:yVal>
          <c:smooth val="0"/>
          <c:extLst>
            <c:ext xmlns:c16="http://schemas.microsoft.com/office/drawing/2014/chart" uri="{C3380CC4-5D6E-409C-BE32-E72D297353CC}">
              <c16:uniqueId val="{00000005-6901-444F-94D7-3D3EBA4463C9}"/>
            </c:ext>
          </c:extLst>
        </c:ser>
        <c:ser>
          <c:idx val="3"/>
          <c:order val="3"/>
          <c:tx>
            <c:strRef>
              <c:f>pivot_CS!$AG$1</c:f>
              <c:strCache>
                <c:ptCount val="1"/>
                <c:pt idx="0">
                  <c:v>2014SB</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pivot_CS!$AG$2:$AG$31</c:f>
              <c:numCache>
                <c:formatCode>General</c:formatCode>
                <c:ptCount val="30"/>
                <c:pt idx="7">
                  <c:v>27.106662846153849</c:v>
                </c:pt>
                <c:pt idx="18">
                  <c:v>20.953022692307687</c:v>
                </c:pt>
                <c:pt idx="27">
                  <c:v>18.448767956293704</c:v>
                </c:pt>
              </c:numCache>
            </c:numRef>
          </c:yVal>
          <c:smooth val="0"/>
          <c:extLst>
            <c:ext xmlns:c16="http://schemas.microsoft.com/office/drawing/2014/chart" uri="{C3380CC4-5D6E-409C-BE32-E72D297353CC}">
              <c16:uniqueId val="{00000007-6901-444F-94D7-3D3EBA4463C9}"/>
            </c:ext>
          </c:extLst>
        </c:ser>
        <c:ser>
          <c:idx val="4"/>
          <c:order val="4"/>
          <c:tx>
            <c:strRef>
              <c:f>pivot_CS!$AH$1</c:f>
              <c:strCache>
                <c:ptCount val="1"/>
                <c:pt idx="0">
                  <c:v>2015E</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pivot_CS!$AH$2:$AH$31</c:f>
              <c:numCache>
                <c:formatCode>General</c:formatCode>
                <c:ptCount val="30"/>
                <c:pt idx="4">
                  <c:v>21.755294107142859</c:v>
                </c:pt>
                <c:pt idx="10">
                  <c:v>15.454445630952382</c:v>
                </c:pt>
                <c:pt idx="16">
                  <c:v>15.097273821428569</c:v>
                </c:pt>
                <c:pt idx="24">
                  <c:v>11.165000297619047</c:v>
                </c:pt>
              </c:numCache>
            </c:numRef>
          </c:yVal>
          <c:smooth val="0"/>
          <c:extLst>
            <c:ext xmlns:c16="http://schemas.microsoft.com/office/drawing/2014/chart" uri="{C3380CC4-5D6E-409C-BE32-E72D297353CC}">
              <c16:uniqueId val="{00000009-6901-444F-94D7-3D3EBA4463C9}"/>
            </c:ext>
          </c:extLst>
        </c:ser>
        <c:ser>
          <c:idx val="5"/>
          <c:order val="5"/>
          <c:tx>
            <c:strRef>
              <c:f>pivot_CS!$AI$1</c:f>
              <c:strCache>
                <c:ptCount val="1"/>
                <c:pt idx="0">
                  <c:v>2015W</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pivot_CS!$AI$2:$AI$31</c:f>
              <c:numCache>
                <c:formatCode>General</c:formatCode>
                <c:ptCount val="30"/>
                <c:pt idx="5">
                  <c:v>21.359482464285716</c:v>
                </c:pt>
                <c:pt idx="11">
                  <c:v>18.648227976190473</c:v>
                </c:pt>
                <c:pt idx="19">
                  <c:v>17.374939257142852</c:v>
                </c:pt>
                <c:pt idx="26">
                  <c:v>12.189034838095237</c:v>
                </c:pt>
              </c:numCache>
            </c:numRef>
          </c:yVal>
          <c:smooth val="0"/>
          <c:extLst>
            <c:ext xmlns:c16="http://schemas.microsoft.com/office/drawing/2014/chart" uri="{C3380CC4-5D6E-409C-BE32-E72D297353CC}">
              <c16:uniqueId val="{0000000B-6901-444F-94D7-3D3EBA4463C9}"/>
            </c:ext>
          </c:extLst>
        </c:ser>
        <c:ser>
          <c:idx val="6"/>
          <c:order val="6"/>
          <c:tx>
            <c:strRef>
              <c:f>pivot_CS!$AJ$1</c:f>
              <c:strCache>
                <c:ptCount val="1"/>
                <c:pt idx="0">
                  <c:v>MADFIG</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1">
                    <a:lumMod val="60000"/>
                  </a:schemeClr>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pivot_CS!$AJ$2:$AJ$31</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6901-444F-94D7-3D3EBA4463C9}"/>
            </c:ext>
          </c:extLst>
        </c:ser>
        <c:ser>
          <c:idx val="7"/>
          <c:order val="7"/>
          <c:tx>
            <c:strRef>
              <c:f>pivot_CS!$AK$1</c:f>
              <c:strCache>
                <c:ptCount val="1"/>
                <c:pt idx="0">
                  <c:v>WMG1</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pivot_CS!$AK$2:$AK$31</c:f>
              <c:numCache>
                <c:formatCode>General</c:formatCode>
                <c:ptCount val="30"/>
                <c:pt idx="2">
                  <c:v>29.190682743589743</c:v>
                </c:pt>
                <c:pt idx="14">
                  <c:v>18.407722567901239</c:v>
                </c:pt>
              </c:numCache>
            </c:numRef>
          </c:yVal>
          <c:smooth val="0"/>
          <c:extLst>
            <c:ext xmlns:c16="http://schemas.microsoft.com/office/drawing/2014/chart" uri="{C3380CC4-5D6E-409C-BE32-E72D297353CC}">
              <c16:uniqueId val="{0000000E-6901-444F-94D7-3D3EBA4463C9}"/>
            </c:ext>
          </c:extLst>
        </c:ser>
        <c:ser>
          <c:idx val="8"/>
          <c:order val="8"/>
          <c:tx>
            <c:strRef>
              <c:f>pivot_CS!$AL$1</c:f>
              <c:strCache>
                <c:ptCount val="1"/>
                <c:pt idx="0">
                  <c:v>WMG2</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pivot_CS!$AL$2:$AL$31</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0F-6901-444F-94D7-3D3EBA4463C9}"/>
            </c:ext>
          </c:extLst>
        </c:ser>
        <c:dLbls>
          <c:showLegendKey val="0"/>
          <c:showVal val="0"/>
          <c:showCatName val="0"/>
          <c:showSerName val="0"/>
          <c:showPercent val="0"/>
          <c:showBubbleSize val="0"/>
        </c:dLbls>
        <c:axId val="665475056"/>
        <c:axId val="661979456"/>
      </c:scatterChart>
      <c:valAx>
        <c:axId val="665475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79456"/>
        <c:crosses val="autoZero"/>
        <c:crossBetween val="midCat"/>
      </c:valAx>
      <c:valAx>
        <c:axId val="661979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475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01859750256389"/>
          <c:y val="2.2478416296347493E-2"/>
          <c:w val="0.56838577028282833"/>
          <c:h val="0.790386044693006"/>
        </c:manualLayout>
      </c:layout>
      <c:scatterChart>
        <c:scatterStyle val="lineMarker"/>
        <c:varyColors val="0"/>
        <c:ser>
          <c:idx val="0"/>
          <c:order val="0"/>
          <c:tx>
            <c:strRef>
              <c:f>pivot_CS!$B$199</c:f>
              <c:strCache>
                <c:ptCount val="1"/>
                <c:pt idx="0">
                  <c:v>2008CSR</c:v>
                </c:pt>
              </c:strCache>
            </c:strRef>
          </c:tx>
          <c:spPr>
            <a:ln w="19050" cap="rnd">
              <a:noFill/>
              <a:round/>
            </a:ln>
            <a:effectLst/>
          </c:spPr>
          <c:marker>
            <c:symbol val="triang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1-B631-4B83-8CD3-1F8BEBA5EDA0}"/>
            </c:ext>
          </c:extLst>
        </c:ser>
        <c:ser>
          <c:idx val="1"/>
          <c:order val="1"/>
          <c:tx>
            <c:strRef>
              <c:f>pivot_CS!$C$199</c:f>
              <c:strCache>
                <c:ptCount val="1"/>
                <c:pt idx="0">
                  <c:v>2008HSR</c:v>
                </c:pt>
              </c:strCache>
            </c:strRef>
          </c:tx>
          <c:spPr>
            <a:ln w="19050" cap="rnd">
              <a:noFill/>
              <a:round/>
            </a:ln>
            <a:effectLst/>
          </c:spPr>
          <c:marker>
            <c:symbol val="triangl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3-B631-4B83-8CD3-1F8BEBA5EDA0}"/>
            </c:ext>
          </c:extLst>
        </c:ser>
        <c:ser>
          <c:idx val="2"/>
          <c:order val="2"/>
          <c:tx>
            <c:strRef>
              <c:f>pivot_CS!$D$199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5-B631-4B83-8CD3-1F8BEBA5EDA0}"/>
            </c:ext>
          </c:extLst>
        </c:ser>
        <c:ser>
          <c:idx val="3"/>
          <c:order val="3"/>
          <c:tx>
            <c:strRef>
              <c:f>pivot_CS!$E$199</c:f>
              <c:strCache>
                <c:ptCount val="1"/>
                <c:pt idx="0">
                  <c:v>2014SB</c:v>
                </c:pt>
              </c:strCache>
            </c:strRef>
          </c:tx>
          <c:spPr>
            <a:ln w="19050" cap="rnd">
              <a:noFill/>
              <a:round/>
            </a:ln>
            <a:effectLst/>
          </c:spPr>
          <c:marker>
            <c:symbol val="squar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7-B631-4B83-8CD3-1F8BEBA5EDA0}"/>
            </c:ext>
          </c:extLst>
        </c:ser>
        <c:ser>
          <c:idx val="4"/>
          <c:order val="4"/>
          <c:tx>
            <c:strRef>
              <c:f>pivot_CS!$F$199</c:f>
              <c:strCache>
                <c:ptCount val="1"/>
                <c:pt idx="0">
                  <c:v>2015E</c:v>
                </c:pt>
              </c:strCache>
            </c:strRef>
          </c:tx>
          <c:spPr>
            <a:ln w="19050" cap="rnd">
              <a:noFill/>
              <a:round/>
            </a:ln>
            <a:effectLst/>
          </c:spPr>
          <c:marker>
            <c:symbol val="circ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9-B631-4B83-8CD3-1F8BEBA5EDA0}"/>
            </c:ext>
          </c:extLst>
        </c:ser>
        <c:ser>
          <c:idx val="5"/>
          <c:order val="5"/>
          <c:tx>
            <c:strRef>
              <c:f>pivot_CS!$G$199</c:f>
              <c:strCache>
                <c:ptCount val="1"/>
                <c:pt idx="0">
                  <c:v>2015W</c:v>
                </c:pt>
              </c:strCache>
            </c:strRef>
          </c:tx>
          <c:spPr>
            <a:ln w="19050" cap="rnd">
              <a:noFill/>
              <a:round/>
            </a:ln>
            <a:effectLst/>
          </c:spPr>
          <c:marker>
            <c:symbol val="circle"/>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B-B631-4B83-8CD3-1F8BEBA5EDA0}"/>
            </c:ext>
          </c:extLst>
        </c:ser>
        <c:ser>
          <c:idx val="6"/>
          <c:order val="6"/>
          <c:tx>
            <c:strRef>
              <c:f>pivot_CS!$H$199</c:f>
              <c:strCache>
                <c:ptCount val="1"/>
                <c:pt idx="0">
                  <c:v>MADFIG</c:v>
                </c:pt>
              </c:strCache>
            </c:strRef>
          </c:tx>
          <c:spPr>
            <a:ln w="19050" cap="rnd">
              <a:noFill/>
              <a:round/>
            </a:ln>
            <a:effectLst/>
          </c:spPr>
          <c:marker>
            <c:symbol val="x"/>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B631-4B83-8CD3-1F8BEBA5EDA0}"/>
            </c:ext>
          </c:extLst>
        </c:ser>
        <c:ser>
          <c:idx val="7"/>
          <c:order val="7"/>
          <c:tx>
            <c:strRef>
              <c:f>pivot_CS!$I$199</c:f>
              <c:strCache>
                <c:ptCount val="1"/>
                <c:pt idx="0">
                  <c:v>WMG1</c:v>
                </c:pt>
              </c:strCache>
            </c:strRef>
          </c:tx>
          <c:spPr>
            <a:ln w="19050" cap="rnd">
              <a:noFill/>
              <a:round/>
            </a:ln>
            <a:effectLst/>
          </c:spPr>
          <c:marker>
            <c:symbol val="diamond"/>
            <c:size val="6"/>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F-B631-4B83-8CD3-1F8BEBA5EDA0}"/>
            </c:ext>
          </c:extLst>
        </c:ser>
        <c:ser>
          <c:idx val="8"/>
          <c:order val="8"/>
          <c:tx>
            <c:strRef>
              <c:f>pivot_CS!$J$199</c:f>
              <c:strCache>
                <c:ptCount val="1"/>
                <c:pt idx="0">
                  <c:v>WMG2</c:v>
                </c:pt>
              </c:strCache>
            </c:strRef>
          </c:tx>
          <c:spPr>
            <a:ln w="19050" cap="rnd">
              <a:noFill/>
              <a:round/>
            </a:ln>
            <a:effectLst/>
          </c:spPr>
          <c:marker>
            <c:symbol val="diamond"/>
            <c:size val="7"/>
            <c:spPr>
              <a:solidFill>
                <a:srgbClr val="000000"/>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11-B631-4B83-8CD3-1F8BEBA5EDA0}"/>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0387953275434924"/>
              <c:y val="0.8845625710226436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1337454028846582E-3"/>
              <c:y val="0.33824434962354327"/>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legend>
      <c:legendPos val="b"/>
      <c:layout>
        <c:manualLayout>
          <c:xMode val="edge"/>
          <c:yMode val="edge"/>
          <c:x val="0.77345224556719694"/>
          <c:y val="9.085022697867472E-3"/>
          <c:w val="0.22654775443280309"/>
          <c:h val="0.2961915998500518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01859750256389"/>
          <c:y val="2.2478416296347493E-2"/>
          <c:w val="0.70602598907438274"/>
          <c:h val="0.80157933207279775"/>
        </c:manualLayout>
      </c:layout>
      <c:scatterChart>
        <c:scatterStyle val="lineMarker"/>
        <c:varyColors val="0"/>
        <c:ser>
          <c:idx val="0"/>
          <c:order val="0"/>
          <c:tx>
            <c:strRef>
              <c:f>pivot_CS!$B$199</c:f>
              <c:strCache>
                <c:ptCount val="1"/>
                <c:pt idx="0">
                  <c:v>2008CSR</c:v>
                </c:pt>
              </c:strCache>
            </c:strRef>
          </c:tx>
          <c:spPr>
            <a:ln w="19050" cap="rnd">
              <a:noFill/>
              <a:round/>
            </a:ln>
            <a:effectLst/>
          </c:spPr>
          <c:marker>
            <c:symbol val="triangle"/>
            <c:size val="7"/>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1-265A-4247-9747-663C729DB6C2}"/>
            </c:ext>
          </c:extLst>
        </c:ser>
        <c:ser>
          <c:idx val="1"/>
          <c:order val="1"/>
          <c:tx>
            <c:strRef>
              <c:f>pivot_CS!$C$199</c:f>
              <c:strCache>
                <c:ptCount val="1"/>
                <c:pt idx="0">
                  <c:v>2008HSR</c:v>
                </c:pt>
              </c:strCache>
            </c:strRef>
          </c:tx>
          <c:spPr>
            <a:ln w="19050" cap="rnd">
              <a:noFill/>
              <a:round/>
            </a:ln>
            <a:effectLst/>
          </c:spPr>
          <c:marker>
            <c:symbol val="triangl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3-265A-4247-9747-663C729DB6C2}"/>
            </c:ext>
          </c:extLst>
        </c:ser>
        <c:ser>
          <c:idx val="2"/>
          <c:order val="2"/>
          <c:tx>
            <c:strRef>
              <c:f>pivot_CS!$D$199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5-265A-4247-9747-663C729DB6C2}"/>
            </c:ext>
          </c:extLst>
        </c:ser>
        <c:ser>
          <c:idx val="3"/>
          <c:order val="3"/>
          <c:tx>
            <c:strRef>
              <c:f>pivot_CS!$E$199</c:f>
              <c:strCache>
                <c:ptCount val="1"/>
                <c:pt idx="0">
                  <c:v>2014SB</c:v>
                </c:pt>
              </c:strCache>
            </c:strRef>
          </c:tx>
          <c:spPr>
            <a:ln w="19050" cap="rnd">
              <a:noFill/>
              <a:round/>
            </a:ln>
            <a:effectLst/>
          </c:spPr>
          <c:marker>
            <c:symbol val="squar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7-265A-4247-9747-663C729DB6C2}"/>
            </c:ext>
          </c:extLst>
        </c:ser>
        <c:ser>
          <c:idx val="4"/>
          <c:order val="4"/>
          <c:tx>
            <c:strRef>
              <c:f>pivot_CS!$F$199</c:f>
              <c:strCache>
                <c:ptCount val="1"/>
                <c:pt idx="0">
                  <c:v>2015E</c:v>
                </c:pt>
              </c:strCache>
            </c:strRef>
          </c:tx>
          <c:spPr>
            <a:ln w="19050" cap="rnd">
              <a:noFill/>
              <a:round/>
            </a:ln>
            <a:effectLst/>
          </c:spPr>
          <c:marker>
            <c:symbol val="circ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9-265A-4247-9747-663C729DB6C2}"/>
            </c:ext>
          </c:extLst>
        </c:ser>
        <c:ser>
          <c:idx val="5"/>
          <c:order val="5"/>
          <c:tx>
            <c:strRef>
              <c:f>pivot_CS!$G$199</c:f>
              <c:strCache>
                <c:ptCount val="1"/>
                <c:pt idx="0">
                  <c:v>2015W</c:v>
                </c:pt>
              </c:strCache>
            </c:strRef>
          </c:tx>
          <c:spPr>
            <a:ln w="19050" cap="rnd">
              <a:noFill/>
              <a:round/>
            </a:ln>
            <a:effectLst/>
          </c:spPr>
          <c:marker>
            <c:symbol val="circle"/>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B-265A-4247-9747-663C729DB6C2}"/>
            </c:ext>
          </c:extLst>
        </c:ser>
        <c:ser>
          <c:idx val="6"/>
          <c:order val="6"/>
          <c:tx>
            <c:strRef>
              <c:f>pivot_CS!$H$199</c:f>
              <c:strCache>
                <c:ptCount val="1"/>
                <c:pt idx="0">
                  <c:v>MADFIG</c:v>
                </c:pt>
              </c:strCache>
            </c:strRef>
          </c:tx>
          <c:spPr>
            <a:ln w="19050" cap="rnd">
              <a:noFill/>
              <a:round/>
            </a:ln>
            <a:effectLst/>
          </c:spPr>
          <c:marker>
            <c:symbol val="x"/>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265A-4247-9747-663C729DB6C2}"/>
            </c:ext>
          </c:extLst>
        </c:ser>
        <c:ser>
          <c:idx val="7"/>
          <c:order val="7"/>
          <c:tx>
            <c:strRef>
              <c:f>pivot_CS!$I$199</c:f>
              <c:strCache>
                <c:ptCount val="1"/>
                <c:pt idx="0">
                  <c:v>WMG1</c:v>
                </c:pt>
              </c:strCache>
            </c:strRef>
          </c:tx>
          <c:spPr>
            <a:ln w="19050" cap="rnd">
              <a:noFill/>
              <a:round/>
            </a:ln>
            <a:effectLst/>
          </c:spPr>
          <c:marker>
            <c:symbol val="diamond"/>
            <c:size val="6"/>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F-265A-4247-9747-663C729DB6C2}"/>
            </c:ext>
          </c:extLst>
        </c:ser>
        <c:ser>
          <c:idx val="8"/>
          <c:order val="8"/>
          <c:tx>
            <c:strRef>
              <c:f>pivot_CS!$J$199</c:f>
              <c:strCache>
                <c:ptCount val="1"/>
                <c:pt idx="0">
                  <c:v>WMG2</c:v>
                </c:pt>
              </c:strCache>
            </c:strRef>
          </c:tx>
          <c:spPr>
            <a:ln w="19050" cap="rnd">
              <a:noFill/>
              <a:round/>
            </a:ln>
            <a:effectLst/>
          </c:spPr>
          <c:marker>
            <c:symbol val="diamond"/>
            <c:size val="7"/>
            <c:spPr>
              <a:solidFill>
                <a:srgbClr val="000000"/>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11-265A-4247-9747-663C729DB6C2}"/>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7619896974652193"/>
              <c:y val="0.8981422028281030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1337454028846582E-3"/>
              <c:y val="0.36540366683578901"/>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01246316603059"/>
          <c:y val="2.2478416296347493E-2"/>
          <c:w val="0.71267513646683722"/>
          <c:h val="0.790386044693006"/>
        </c:manualLayout>
      </c:layout>
      <c:scatterChart>
        <c:scatterStyle val="lineMarker"/>
        <c:varyColors val="0"/>
        <c:ser>
          <c:idx val="0"/>
          <c:order val="0"/>
          <c:tx>
            <c:strRef>
              <c:f>pivot_CS!$B$199</c:f>
              <c:strCache>
                <c:ptCount val="1"/>
                <c:pt idx="0">
                  <c:v>2008CSR</c:v>
                </c:pt>
              </c:strCache>
            </c:strRef>
          </c:tx>
          <c:spPr>
            <a:ln w="19050" cap="rnd">
              <a:noFill/>
              <a:round/>
            </a:ln>
            <a:effectLst/>
          </c:spPr>
          <c:marker>
            <c:symbol val="triangle"/>
            <c:size val="7"/>
            <c:spPr>
              <a:solidFill>
                <a:schemeClr val="accent6"/>
              </a:solidFill>
              <a:ln w="9525">
                <a:solidFill>
                  <a:schemeClr val="bg1"/>
                </a:solidFill>
              </a:ln>
              <a:effectLst/>
            </c:spPr>
          </c:marker>
          <c:trendline>
            <c:spPr>
              <a:ln w="19050" cap="rnd">
                <a:solidFill>
                  <a:schemeClr val="accent6"/>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1-B47A-49DB-9594-E8AFF498C83E}"/>
            </c:ext>
          </c:extLst>
        </c:ser>
        <c:ser>
          <c:idx val="1"/>
          <c:order val="1"/>
          <c:tx>
            <c:strRef>
              <c:f>pivot_CS!$C$199</c:f>
              <c:strCache>
                <c:ptCount val="1"/>
                <c:pt idx="0">
                  <c:v>2008HSR</c:v>
                </c:pt>
              </c:strCache>
            </c:strRef>
          </c:tx>
          <c:spPr>
            <a:ln w="19050" cap="rnd">
              <a:solidFill>
                <a:srgbClr val="0070C0"/>
              </a:solidFill>
              <a:round/>
            </a:ln>
            <a:effectLst/>
          </c:spPr>
          <c:marker>
            <c:symbol val="triangle"/>
            <c:size val="5"/>
            <c:spPr>
              <a:solidFill>
                <a:schemeClr val="bg1"/>
              </a:solidFill>
              <a:ln w="9525">
                <a:solidFill>
                  <a:srgbClr val="0070C0"/>
                </a:solidFill>
              </a:ln>
              <a:effectLst/>
            </c:spPr>
          </c:marker>
          <c:trendline>
            <c:spPr>
              <a:ln w="19050" cap="rnd">
                <a:solidFill>
                  <a:schemeClr val="accent2"/>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3-B47A-49DB-9594-E8AFF498C83E}"/>
            </c:ext>
          </c:extLst>
        </c:ser>
        <c:ser>
          <c:idx val="2"/>
          <c:order val="2"/>
          <c:tx>
            <c:strRef>
              <c:f>pivot_CS!$D$199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9050" cap="rnd">
                <a:solidFill>
                  <a:schemeClr val="tx1"/>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5-B47A-49DB-9594-E8AFF498C83E}"/>
            </c:ext>
          </c:extLst>
        </c:ser>
        <c:ser>
          <c:idx val="3"/>
          <c:order val="3"/>
          <c:tx>
            <c:strRef>
              <c:f>pivot_CS!$E$199</c:f>
              <c:strCache>
                <c:ptCount val="1"/>
                <c:pt idx="0">
                  <c:v>2014SB</c:v>
                </c:pt>
              </c:strCache>
            </c:strRef>
          </c:tx>
          <c:spPr>
            <a:ln w="19050" cap="rnd">
              <a:noFill/>
              <a:round/>
            </a:ln>
            <a:effectLst/>
          </c:spPr>
          <c:marker>
            <c:symbol val="square"/>
            <c:size val="5"/>
            <c:spPr>
              <a:solidFill>
                <a:schemeClr val="bg1"/>
              </a:solidFill>
              <a:ln w="9525">
                <a:solidFill>
                  <a:srgbClr val="7030A0"/>
                </a:solidFill>
              </a:ln>
              <a:effectLst/>
            </c:spPr>
          </c:marker>
          <c:trendline>
            <c:spPr>
              <a:ln w="19050" cap="rnd">
                <a:solidFill>
                  <a:srgbClr val="7030A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7-B47A-49DB-9594-E8AFF498C83E}"/>
            </c:ext>
          </c:extLst>
        </c:ser>
        <c:ser>
          <c:idx val="4"/>
          <c:order val="4"/>
          <c:tx>
            <c:strRef>
              <c:f>pivot_CS!$F$199</c:f>
              <c:strCache>
                <c:ptCount val="1"/>
                <c:pt idx="0">
                  <c:v>2015E</c:v>
                </c:pt>
              </c:strCache>
            </c:strRef>
          </c:tx>
          <c:spPr>
            <a:ln w="19050" cap="rnd">
              <a:noFill/>
              <a:round/>
            </a:ln>
            <a:effectLst/>
          </c:spPr>
          <c:marker>
            <c:symbol val="circle"/>
            <c:size val="6"/>
            <c:spPr>
              <a:solidFill>
                <a:srgbClr val="CC0099"/>
              </a:solidFill>
              <a:ln w="9525">
                <a:solidFill>
                  <a:schemeClr val="bg1"/>
                </a:solidFill>
              </a:ln>
              <a:effectLst/>
            </c:spPr>
          </c:marker>
          <c:trendline>
            <c:spPr>
              <a:ln w="19050" cap="rnd">
                <a:solidFill>
                  <a:srgbClr val="CC0099"/>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9-B47A-49DB-9594-E8AFF498C83E}"/>
            </c:ext>
          </c:extLst>
        </c:ser>
        <c:ser>
          <c:idx val="5"/>
          <c:order val="5"/>
          <c:tx>
            <c:strRef>
              <c:f>pivot_CS!$G$199</c:f>
              <c:strCache>
                <c:ptCount val="1"/>
                <c:pt idx="0">
                  <c:v>2015W</c:v>
                </c:pt>
              </c:strCache>
            </c:strRef>
          </c:tx>
          <c:spPr>
            <a:ln w="19050" cap="rnd">
              <a:noFill/>
              <a:round/>
            </a:ln>
            <a:effectLst/>
          </c:spPr>
          <c:marker>
            <c:symbol val="circle"/>
            <c:size val="5"/>
            <c:spPr>
              <a:solidFill>
                <a:schemeClr val="bg1"/>
              </a:solidFill>
              <a:ln w="9525">
                <a:solidFill>
                  <a:schemeClr val="accent4"/>
                </a:solidFill>
              </a:ln>
              <a:effectLst/>
            </c:spPr>
          </c:marker>
          <c:trendline>
            <c:spPr>
              <a:ln w="19050" cap="rnd">
                <a:solidFill>
                  <a:srgbClr val="FFC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B-B47A-49DB-9594-E8AFF498C83E}"/>
            </c:ext>
          </c:extLst>
        </c:ser>
        <c:ser>
          <c:idx val="6"/>
          <c:order val="6"/>
          <c:tx>
            <c:strRef>
              <c:f>pivot_CS!$H$199</c:f>
              <c:strCache>
                <c:ptCount val="1"/>
                <c:pt idx="0">
                  <c:v>MADFIG</c:v>
                </c:pt>
              </c:strCache>
            </c:strRef>
          </c:tx>
          <c:spPr>
            <a:ln w="19050" cap="rnd">
              <a:noFill/>
              <a:round/>
            </a:ln>
            <a:effectLst/>
          </c:spPr>
          <c:marker>
            <c:symbol val="circle"/>
            <c:size val="5"/>
            <c:spPr>
              <a:solidFill>
                <a:schemeClr val="bg1"/>
              </a:solidFill>
              <a:ln w="9525">
                <a:solidFill>
                  <a:srgbClr val="00B050"/>
                </a:solidFill>
              </a:ln>
              <a:effectLst/>
            </c:spPr>
          </c:marker>
          <c:trendline>
            <c:spPr>
              <a:ln w="19050" cap="rnd">
                <a:solidFill>
                  <a:srgbClr val="00B05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B47A-49DB-9594-E8AFF498C83E}"/>
            </c:ext>
          </c:extLst>
        </c:ser>
        <c:ser>
          <c:idx val="7"/>
          <c:order val="7"/>
          <c:tx>
            <c:strRef>
              <c:f>pivot_CS!$I$199</c:f>
              <c:strCache>
                <c:ptCount val="1"/>
                <c:pt idx="0">
                  <c:v>WMG1</c:v>
                </c:pt>
              </c:strCache>
            </c:strRef>
          </c:tx>
          <c:spPr>
            <a:ln w="19050" cap="rnd">
              <a:solidFill>
                <a:srgbClr val="FF0000"/>
              </a:solidFill>
              <a:round/>
            </a:ln>
            <a:effectLst/>
          </c:spPr>
          <c:marker>
            <c:symbol val="diamond"/>
            <c:size val="6"/>
            <c:spPr>
              <a:solidFill>
                <a:schemeClr val="bg1"/>
              </a:solidFill>
              <a:ln w="9525">
                <a:solidFill>
                  <a:srgbClr val="FF0000"/>
                </a:solidFill>
              </a:ln>
              <a:effectLst/>
            </c:spPr>
          </c:marker>
          <c:trendline>
            <c:spPr>
              <a:ln w="19050" cap="rnd">
                <a:solidFill>
                  <a:srgbClr val="FF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F-B47A-49DB-9594-E8AFF498C83E}"/>
            </c:ext>
          </c:extLst>
        </c:ser>
        <c:ser>
          <c:idx val="8"/>
          <c:order val="8"/>
          <c:tx>
            <c:strRef>
              <c:f>pivot_CS!$J$199</c:f>
              <c:strCache>
                <c:ptCount val="1"/>
                <c:pt idx="0">
                  <c:v>WMG2</c:v>
                </c:pt>
              </c:strCache>
            </c:strRef>
          </c:tx>
          <c:spPr>
            <a:ln w="19050" cap="rnd">
              <a:solidFill>
                <a:schemeClr val="accent2"/>
              </a:solidFill>
              <a:round/>
            </a:ln>
            <a:effectLst/>
          </c:spPr>
          <c:marker>
            <c:symbol val="diamond"/>
            <c:size val="7"/>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11-B47A-49DB-9594-E8AFF498C83E}"/>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8731520216414664"/>
              <c:y val="0.8809974087337266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5857591420704312E-2"/>
              <c:y val="0.33467926097119571"/>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CS&gt;2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pivot_CS!$J$4:$J$13</c:f>
              <c:numCache>
                <c:formatCode>0</c:formatCode>
                <c:ptCount val="10"/>
                <c:pt idx="0">
                  <c:v>13.86</c:v>
                </c:pt>
                <c:pt idx="1">
                  <c:v>27.72</c:v>
                </c:pt>
                <c:pt idx="2">
                  <c:v>41.58</c:v>
                </c:pt>
                <c:pt idx="3">
                  <c:v>53.46</c:v>
                </c:pt>
                <c:pt idx="4">
                  <c:v>55.44</c:v>
                </c:pt>
                <c:pt idx="5">
                  <c:v>69.3</c:v>
                </c:pt>
                <c:pt idx="6">
                  <c:v>83.16</c:v>
                </c:pt>
                <c:pt idx="7">
                  <c:v>97.02</c:v>
                </c:pt>
                <c:pt idx="8">
                  <c:v>106.92</c:v>
                </c:pt>
                <c:pt idx="9">
                  <c:v>110.88</c:v>
                </c:pt>
              </c:numCache>
            </c:numRef>
          </c:xVal>
          <c:yVal>
            <c:numRef>
              <c:f>pivot_CS!$K$4:$K$13</c:f>
              <c:numCache>
                <c:formatCode>0</c:formatCode>
                <c:ptCount val="10"/>
                <c:pt idx="0">
                  <c:v>708.57142857142844</c:v>
                </c:pt>
                <c:pt idx="1">
                  <c:v>560.71428571428532</c:v>
                </c:pt>
                <c:pt idx="2">
                  <c:v>125.71428571428547</c:v>
                </c:pt>
                <c:pt idx="3">
                  <c:v>520.00000000000034</c:v>
                </c:pt>
                <c:pt idx="4">
                  <c:v>272.72727272727315</c:v>
                </c:pt>
                <c:pt idx="5">
                  <c:v>44.999999999999922</c:v>
                </c:pt>
                <c:pt idx="6">
                  <c:v>-225.00000000000017</c:v>
                </c:pt>
                <c:pt idx="7">
                  <c:v>-17.142857142856563</c:v>
                </c:pt>
                <c:pt idx="8">
                  <c:v>-103.03030303030309</c:v>
                </c:pt>
                <c:pt idx="9">
                  <c:v>5.7142857142851771</c:v>
                </c:pt>
              </c:numCache>
            </c:numRef>
          </c:yVal>
          <c:smooth val="0"/>
          <c:extLst>
            <c:ext xmlns:c16="http://schemas.microsoft.com/office/drawing/2014/chart" uri="{C3380CC4-5D6E-409C-BE32-E72D297353CC}">
              <c16:uniqueId val="{00000001-07F3-463F-B050-F41B1361305B}"/>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pivot_CS!$J$16:$J$37</c:f>
              <c:numCache>
                <c:formatCode>0</c:formatCode>
                <c:ptCount val="22"/>
                <c:pt idx="0">
                  <c:v>13.86</c:v>
                </c:pt>
                <c:pt idx="1">
                  <c:v>27.72</c:v>
                </c:pt>
                <c:pt idx="2">
                  <c:v>28.6</c:v>
                </c:pt>
                <c:pt idx="3">
                  <c:v>32.400000000000006</c:v>
                </c:pt>
                <c:pt idx="4">
                  <c:v>34.020000000000003</c:v>
                </c:pt>
                <c:pt idx="5">
                  <c:v>34.580000000000005</c:v>
                </c:pt>
                <c:pt idx="6">
                  <c:v>41.58</c:v>
                </c:pt>
                <c:pt idx="7">
                  <c:v>51.03</c:v>
                </c:pt>
                <c:pt idx="8">
                  <c:v>51.870000000000005</c:v>
                </c:pt>
                <c:pt idx="9">
                  <c:v>53.46</c:v>
                </c:pt>
                <c:pt idx="10">
                  <c:v>55.44</c:v>
                </c:pt>
                <c:pt idx="11">
                  <c:v>59.400000000000006</c:v>
                </c:pt>
                <c:pt idx="12">
                  <c:v>60.480000000000004</c:v>
                </c:pt>
                <c:pt idx="13">
                  <c:v>68.040000000000006</c:v>
                </c:pt>
                <c:pt idx="14">
                  <c:v>69.160000000000011</c:v>
                </c:pt>
                <c:pt idx="15">
                  <c:v>69.3</c:v>
                </c:pt>
                <c:pt idx="16">
                  <c:v>83.16</c:v>
                </c:pt>
                <c:pt idx="17">
                  <c:v>97.02</c:v>
                </c:pt>
                <c:pt idx="18">
                  <c:v>102.06</c:v>
                </c:pt>
                <c:pt idx="19">
                  <c:v>103.74000000000001</c:v>
                </c:pt>
                <c:pt idx="20">
                  <c:v>106.92</c:v>
                </c:pt>
                <c:pt idx="21">
                  <c:v>110.88</c:v>
                </c:pt>
              </c:numCache>
            </c:numRef>
          </c:xVal>
          <c:yVal>
            <c:numRef>
              <c:f>pivot_CS!$K$16:$K$37</c:f>
              <c:numCache>
                <c:formatCode>0</c:formatCode>
                <c:ptCount val="22"/>
                <c:pt idx="0">
                  <c:v>625.85034013605423</c:v>
                </c:pt>
                <c:pt idx="1">
                  <c:v>331.13553113553121</c:v>
                </c:pt>
                <c:pt idx="2">
                  <c:v>-38.461538461538467</c:v>
                </c:pt>
                <c:pt idx="3">
                  <c:v>190.74074074074073</c:v>
                </c:pt>
                <c:pt idx="4">
                  <c:v>241.07142857142856</c:v>
                </c:pt>
                <c:pt idx="5">
                  <c:v>278.57142857142856</c:v>
                </c:pt>
                <c:pt idx="6">
                  <c:v>73.469387755102048</c:v>
                </c:pt>
                <c:pt idx="7">
                  <c:v>-142.85714285714283</c:v>
                </c:pt>
                <c:pt idx="8">
                  <c:v>35.714285714285708</c:v>
                </c:pt>
                <c:pt idx="9">
                  <c:v>357.14285714285717</c:v>
                </c:pt>
                <c:pt idx="10">
                  <c:v>368.25396825396837</c:v>
                </c:pt>
                <c:pt idx="11">
                  <c:v>250</c:v>
                </c:pt>
                <c:pt idx="12">
                  <c:v>85.470085470085465</c:v>
                </c:pt>
                <c:pt idx="13">
                  <c:v>139.28571428571422</c:v>
                </c:pt>
                <c:pt idx="14">
                  <c:v>50.000000000000028</c:v>
                </c:pt>
                <c:pt idx="15">
                  <c:v>109.52380952380946</c:v>
                </c:pt>
                <c:pt idx="16">
                  <c:v>-178.02197802197804</c:v>
                </c:pt>
                <c:pt idx="17">
                  <c:v>-137.41496598639429</c:v>
                </c:pt>
                <c:pt idx="18">
                  <c:v>-185.71428571428567</c:v>
                </c:pt>
                <c:pt idx="19">
                  <c:v>-166.66666666666666</c:v>
                </c:pt>
                <c:pt idx="20">
                  <c:v>-7.4074074074075105</c:v>
                </c:pt>
                <c:pt idx="21">
                  <c:v>-213.60544217687064</c:v>
                </c:pt>
              </c:numCache>
            </c:numRef>
          </c:yVal>
          <c:smooth val="0"/>
          <c:extLst>
            <c:ext xmlns:c16="http://schemas.microsoft.com/office/drawing/2014/chart" uri="{C3380CC4-5D6E-409C-BE32-E72D297353CC}">
              <c16:uniqueId val="{00000001-0B8C-4D45-B4DB-A3710003D526}"/>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pivot_CS!$J$40:$J$61</c:f>
              <c:numCache>
                <c:formatCode>0</c:formatCode>
                <c:ptCount val="22"/>
                <c:pt idx="0">
                  <c:v>13.86</c:v>
                </c:pt>
                <c:pt idx="1">
                  <c:v>27.72</c:v>
                </c:pt>
                <c:pt idx="2">
                  <c:v>28.6</c:v>
                </c:pt>
                <c:pt idx="3">
                  <c:v>32.400000000000006</c:v>
                </c:pt>
                <c:pt idx="4">
                  <c:v>34.020000000000003</c:v>
                </c:pt>
                <c:pt idx="5">
                  <c:v>34.580000000000005</c:v>
                </c:pt>
                <c:pt idx="6">
                  <c:v>41.58</c:v>
                </c:pt>
                <c:pt idx="7">
                  <c:v>44.24</c:v>
                </c:pt>
                <c:pt idx="8">
                  <c:v>51.03</c:v>
                </c:pt>
                <c:pt idx="9">
                  <c:v>51.870000000000005</c:v>
                </c:pt>
                <c:pt idx="10">
                  <c:v>53.46</c:v>
                </c:pt>
                <c:pt idx="11">
                  <c:v>55.44</c:v>
                </c:pt>
                <c:pt idx="12">
                  <c:v>59.400000000000006</c:v>
                </c:pt>
                <c:pt idx="13">
                  <c:v>60.480000000000004</c:v>
                </c:pt>
                <c:pt idx="14">
                  <c:v>68.040000000000006</c:v>
                </c:pt>
                <c:pt idx="15">
                  <c:v>69.160000000000011</c:v>
                </c:pt>
                <c:pt idx="16">
                  <c:v>69.3</c:v>
                </c:pt>
                <c:pt idx="17">
                  <c:v>83.16</c:v>
                </c:pt>
                <c:pt idx="18">
                  <c:v>88.48</c:v>
                </c:pt>
                <c:pt idx="19">
                  <c:v>97.02</c:v>
                </c:pt>
                <c:pt idx="20">
                  <c:v>102.06</c:v>
                </c:pt>
                <c:pt idx="21">
                  <c:v>103.74000000000001</c:v>
                </c:pt>
              </c:numCache>
            </c:numRef>
          </c:xVal>
          <c:yVal>
            <c:numRef>
              <c:f>pivot_CS!$K$40:$K$61</c:f>
              <c:numCache>
                <c:formatCode>0</c:formatCode>
                <c:ptCount val="22"/>
                <c:pt idx="0">
                  <c:v>560.71428571428555</c:v>
                </c:pt>
                <c:pt idx="1">
                  <c:v>309.89010989011001</c:v>
                </c:pt>
                <c:pt idx="2">
                  <c:v>343.50132625994701</c:v>
                </c:pt>
                <c:pt idx="3">
                  <c:v>144.44444444444446</c:v>
                </c:pt>
                <c:pt idx="4">
                  <c:v>173.80952380952385</c:v>
                </c:pt>
                <c:pt idx="5">
                  <c:v>132.41758241758234</c:v>
                </c:pt>
                <c:pt idx="6">
                  <c:v>-46.428571428571587</c:v>
                </c:pt>
                <c:pt idx="7">
                  <c:v>-22.727272727272734</c:v>
                </c:pt>
                <c:pt idx="8">
                  <c:v>-166.66666666666666</c:v>
                </c:pt>
                <c:pt idx="9">
                  <c:v>32.967032967032978</c:v>
                </c:pt>
                <c:pt idx="10">
                  <c:v>775</c:v>
                </c:pt>
                <c:pt idx="11">
                  <c:v>485.71428571428635</c:v>
                </c:pt>
                <c:pt idx="12">
                  <c:v>-94.827586206896541</c:v>
                </c:pt>
                <c:pt idx="13">
                  <c:v>54.487179487179496</c:v>
                </c:pt>
                <c:pt idx="14">
                  <c:v>29.523809523809401</c:v>
                </c:pt>
                <c:pt idx="15">
                  <c:v>29.670329670329693</c:v>
                </c:pt>
                <c:pt idx="16">
                  <c:v>-168.74999999999974</c:v>
                </c:pt>
                <c:pt idx="17">
                  <c:v>-147.25274725274764</c:v>
                </c:pt>
                <c:pt idx="18">
                  <c:v>-214.28571428571431</c:v>
                </c:pt>
                <c:pt idx="19">
                  <c:v>-153.57142857142833</c:v>
                </c:pt>
                <c:pt idx="20">
                  <c:v>-145.71428571428564</c:v>
                </c:pt>
                <c:pt idx="21">
                  <c:v>-190.10989010989013</c:v>
                </c:pt>
              </c:numCache>
            </c:numRef>
          </c:yVal>
          <c:smooth val="0"/>
          <c:extLst>
            <c:ext xmlns:c16="http://schemas.microsoft.com/office/drawing/2014/chart" uri="{C3380CC4-5D6E-409C-BE32-E72D297353CC}">
              <c16:uniqueId val="{00000001-6F6B-4957-BBE9-4C00BB409AE6}"/>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pivot_CS!$J$66:$J$75</c:f>
              <c:numCache>
                <c:formatCode>General</c:formatCode>
                <c:ptCount val="10"/>
                <c:pt idx="0">
                  <c:v>34.020000000000003</c:v>
                </c:pt>
                <c:pt idx="1">
                  <c:v>34.580000000000005</c:v>
                </c:pt>
                <c:pt idx="2">
                  <c:v>44.24</c:v>
                </c:pt>
                <c:pt idx="3">
                  <c:v>51.03</c:v>
                </c:pt>
                <c:pt idx="4">
                  <c:v>51.870000000000005</c:v>
                </c:pt>
                <c:pt idx="5">
                  <c:v>68.040000000000006</c:v>
                </c:pt>
                <c:pt idx="6">
                  <c:v>69.160000000000011</c:v>
                </c:pt>
                <c:pt idx="7">
                  <c:v>88.48</c:v>
                </c:pt>
                <c:pt idx="8">
                  <c:v>102.06</c:v>
                </c:pt>
                <c:pt idx="9">
                  <c:v>103.74000000000001</c:v>
                </c:pt>
              </c:numCache>
            </c:numRef>
          </c:xVal>
          <c:yVal>
            <c:numRef>
              <c:f>pivot_CS!$K$66:$K$75</c:f>
              <c:numCache>
                <c:formatCode>General</c:formatCode>
                <c:ptCount val="10"/>
                <c:pt idx="0">
                  <c:v>421.42857142857133</c:v>
                </c:pt>
                <c:pt idx="1">
                  <c:v>442.85714285714306</c:v>
                </c:pt>
                <c:pt idx="2">
                  <c:v>-33.834586466165412</c:v>
                </c:pt>
                <c:pt idx="3">
                  <c:v>-357.14285714285717</c:v>
                </c:pt>
                <c:pt idx="4">
                  <c:v>-142.85714285714286</c:v>
                </c:pt>
                <c:pt idx="5">
                  <c:v>-142.85714285714286</c:v>
                </c:pt>
                <c:pt idx="6">
                  <c:v>-85.714285714284898</c:v>
                </c:pt>
                <c:pt idx="7">
                  <c:v>-212.40601503759399</c:v>
                </c:pt>
                <c:pt idx="8">
                  <c:v>-71.428571428571431</c:v>
                </c:pt>
                <c:pt idx="9">
                  <c:v>-128.57142857142887</c:v>
                </c:pt>
              </c:numCache>
            </c:numRef>
          </c:yVal>
          <c:smooth val="0"/>
          <c:extLst>
            <c:ext xmlns:c16="http://schemas.microsoft.com/office/drawing/2014/chart" uri="{C3380CC4-5D6E-409C-BE32-E72D297353CC}">
              <c16:uniqueId val="{00000001-0020-4C2B-86EB-F4EE181F085E}"/>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supplement_LWG!$H$3:$H$202</c:f>
              <c:numCache>
                <c:formatCode>0.000</c:formatCode>
                <c:ptCount val="200"/>
                <c:pt idx="0">
                  <c:v>0.29716000000000004</c:v>
                </c:pt>
                <c:pt idx="1">
                  <c:v>0.59148000000000001</c:v>
                </c:pt>
                <c:pt idx="2">
                  <c:v>0.88295999999999997</c:v>
                </c:pt>
                <c:pt idx="3">
                  <c:v>1.1716</c:v>
                </c:pt>
                <c:pt idx="4">
                  <c:v>1.4574</c:v>
                </c:pt>
                <c:pt idx="5">
                  <c:v>1.7403599999999999</c:v>
                </c:pt>
                <c:pt idx="6">
                  <c:v>2.0204800000000001</c:v>
                </c:pt>
                <c:pt idx="7">
                  <c:v>2.2977600000000002</c:v>
                </c:pt>
                <c:pt idx="8">
                  <c:v>2.5722000000000005</c:v>
                </c:pt>
                <c:pt idx="9">
                  <c:v>2.8438000000000003</c:v>
                </c:pt>
                <c:pt idx="10">
                  <c:v>3.1125600000000002</c:v>
                </c:pt>
                <c:pt idx="11">
                  <c:v>3.3784800000000001</c:v>
                </c:pt>
                <c:pt idx="12">
                  <c:v>3.6415600000000001</c:v>
                </c:pt>
                <c:pt idx="13">
                  <c:v>3.9018000000000002</c:v>
                </c:pt>
                <c:pt idx="14">
                  <c:v>4.1592000000000002</c:v>
                </c:pt>
                <c:pt idx="15">
                  <c:v>4.4137599999999999</c:v>
                </c:pt>
                <c:pt idx="16">
                  <c:v>4.6654799999999996</c:v>
                </c:pt>
                <c:pt idx="17">
                  <c:v>4.9143599999999994</c:v>
                </c:pt>
                <c:pt idx="18">
                  <c:v>5.1603999999999992</c:v>
                </c:pt>
                <c:pt idx="19">
                  <c:v>5.4035999999999991</c:v>
                </c:pt>
                <c:pt idx="20">
                  <c:v>5.643959999999999</c:v>
                </c:pt>
                <c:pt idx="21">
                  <c:v>5.8814799999999989</c:v>
                </c:pt>
                <c:pt idx="22">
                  <c:v>6.1161599999999989</c:v>
                </c:pt>
                <c:pt idx="23">
                  <c:v>6.347999999999999</c:v>
                </c:pt>
                <c:pt idx="24">
                  <c:v>6.5769999999999991</c:v>
                </c:pt>
                <c:pt idx="25">
                  <c:v>6.8031599999999992</c:v>
                </c:pt>
                <c:pt idx="26">
                  <c:v>7.0264799999999994</c:v>
                </c:pt>
                <c:pt idx="27">
                  <c:v>7.2469599999999996</c:v>
                </c:pt>
                <c:pt idx="28">
                  <c:v>7.4645999999999999</c:v>
                </c:pt>
                <c:pt idx="29">
                  <c:v>7.6794000000000002</c:v>
                </c:pt>
                <c:pt idx="30">
                  <c:v>7.8913600000000006</c:v>
                </c:pt>
                <c:pt idx="31">
                  <c:v>8.100480000000001</c:v>
                </c:pt>
                <c:pt idx="32">
                  <c:v>8.3067600000000006</c:v>
                </c:pt>
                <c:pt idx="33">
                  <c:v>8.5102000000000011</c:v>
                </c:pt>
                <c:pt idx="34">
                  <c:v>8.7108000000000008</c:v>
                </c:pt>
                <c:pt idx="35">
                  <c:v>8.9085600000000014</c:v>
                </c:pt>
                <c:pt idx="36">
                  <c:v>9.1034800000000011</c:v>
                </c:pt>
                <c:pt idx="37">
                  <c:v>9.2955600000000018</c:v>
                </c:pt>
                <c:pt idx="38">
                  <c:v>9.4848000000000017</c:v>
                </c:pt>
                <c:pt idx="39">
                  <c:v>9.6712000000000025</c:v>
                </c:pt>
                <c:pt idx="40">
                  <c:v>9.8547600000000024</c:v>
                </c:pt>
                <c:pt idx="41">
                  <c:v>10.035480000000003</c:v>
                </c:pt>
                <c:pt idx="42">
                  <c:v>10.213360000000003</c:v>
                </c:pt>
                <c:pt idx="43">
                  <c:v>10.388400000000003</c:v>
                </c:pt>
                <c:pt idx="44">
                  <c:v>10.560600000000003</c:v>
                </c:pt>
                <c:pt idx="45">
                  <c:v>10.729960000000002</c:v>
                </c:pt>
                <c:pt idx="46">
                  <c:v>10.896480000000002</c:v>
                </c:pt>
                <c:pt idx="47">
                  <c:v>11.060160000000002</c:v>
                </c:pt>
                <c:pt idx="48">
                  <c:v>11.221000000000002</c:v>
                </c:pt>
                <c:pt idx="49">
                  <c:v>11.379000000000001</c:v>
                </c:pt>
                <c:pt idx="50">
                  <c:v>11.534160000000002</c:v>
                </c:pt>
                <c:pt idx="51">
                  <c:v>11.686480000000001</c:v>
                </c:pt>
                <c:pt idx="52">
                  <c:v>11.835960000000002</c:v>
                </c:pt>
                <c:pt idx="53">
                  <c:v>11.982600000000001</c:v>
                </c:pt>
                <c:pt idx="54">
                  <c:v>12.126400000000002</c:v>
                </c:pt>
                <c:pt idx="55">
                  <c:v>12.267360000000002</c:v>
                </c:pt>
                <c:pt idx="56">
                  <c:v>12.405480000000003</c:v>
                </c:pt>
                <c:pt idx="57">
                  <c:v>12.540760000000002</c:v>
                </c:pt>
                <c:pt idx="58">
                  <c:v>12.673200000000003</c:v>
                </c:pt>
                <c:pt idx="59">
                  <c:v>12.802800000000003</c:v>
                </c:pt>
                <c:pt idx="60">
                  <c:v>12.929560000000004</c:v>
                </c:pt>
                <c:pt idx="61">
                  <c:v>13.053480000000004</c:v>
                </c:pt>
                <c:pt idx="62">
                  <c:v>13.174560000000003</c:v>
                </c:pt>
                <c:pt idx="63">
                  <c:v>13.292800000000003</c:v>
                </c:pt>
                <c:pt idx="64">
                  <c:v>13.408200000000003</c:v>
                </c:pt>
                <c:pt idx="65">
                  <c:v>13.520760000000003</c:v>
                </c:pt>
                <c:pt idx="66">
                  <c:v>13.630480000000002</c:v>
                </c:pt>
                <c:pt idx="67">
                  <c:v>13.737360000000002</c:v>
                </c:pt>
                <c:pt idx="68">
                  <c:v>13.841400000000002</c:v>
                </c:pt>
                <c:pt idx="69">
                  <c:v>13.942600000000002</c:v>
                </c:pt>
                <c:pt idx="70">
                  <c:v>14.040960000000002</c:v>
                </c:pt>
                <c:pt idx="71">
                  <c:v>14.136480000000002</c:v>
                </c:pt>
                <c:pt idx="72">
                  <c:v>14.229160000000002</c:v>
                </c:pt>
                <c:pt idx="73">
                  <c:v>14.319000000000003</c:v>
                </c:pt>
                <c:pt idx="74">
                  <c:v>14.406000000000002</c:v>
                </c:pt>
                <c:pt idx="75">
                  <c:v>14.490160000000003</c:v>
                </c:pt>
                <c:pt idx="76">
                  <c:v>14.571480000000003</c:v>
                </c:pt>
                <c:pt idx="77">
                  <c:v>14.649960000000004</c:v>
                </c:pt>
                <c:pt idx="78">
                  <c:v>14.725600000000004</c:v>
                </c:pt>
                <c:pt idx="79">
                  <c:v>14.798400000000004</c:v>
                </c:pt>
                <c:pt idx="80">
                  <c:v>14.868360000000004</c:v>
                </c:pt>
                <c:pt idx="81">
                  <c:v>14.935480000000004</c:v>
                </c:pt>
                <c:pt idx="82">
                  <c:v>14.999760000000004</c:v>
                </c:pt>
                <c:pt idx="83">
                  <c:v>15.061200000000003</c:v>
                </c:pt>
                <c:pt idx="84">
                  <c:v>15.119800000000003</c:v>
                </c:pt>
                <c:pt idx="85">
                  <c:v>15.175560000000003</c:v>
                </c:pt>
                <c:pt idx="86">
                  <c:v>15.228480000000003</c:v>
                </c:pt>
                <c:pt idx="87">
                  <c:v>15.278560000000002</c:v>
                </c:pt>
                <c:pt idx="88">
                  <c:v>15.325800000000003</c:v>
                </c:pt>
                <c:pt idx="89">
                  <c:v>15.410200000000003</c:v>
                </c:pt>
                <c:pt idx="90">
                  <c:v>15.491760000000003</c:v>
                </c:pt>
                <c:pt idx="91">
                  <c:v>15.570480000000003</c:v>
                </c:pt>
                <c:pt idx="92">
                  <c:v>15.646360000000003</c:v>
                </c:pt>
                <c:pt idx="93">
                  <c:v>15.719400000000004</c:v>
                </c:pt>
                <c:pt idx="94">
                  <c:v>15.789600000000004</c:v>
                </c:pt>
                <c:pt idx="95">
                  <c:v>15.856960000000004</c:v>
                </c:pt>
                <c:pt idx="96">
                  <c:v>15.921480000000004</c:v>
                </c:pt>
                <c:pt idx="97">
                  <c:v>15.983160000000005</c:v>
                </c:pt>
                <c:pt idx="98">
                  <c:v>16.042000000000005</c:v>
                </c:pt>
                <c:pt idx="99">
                  <c:v>16.098000000000006</c:v>
                </c:pt>
                <c:pt idx="100">
                  <c:v>16.151160000000004</c:v>
                </c:pt>
                <c:pt idx="101">
                  <c:v>16.201480000000004</c:v>
                </c:pt>
                <c:pt idx="102">
                  <c:v>16.248960000000004</c:v>
                </c:pt>
                <c:pt idx="103">
                  <c:v>16.293600000000005</c:v>
                </c:pt>
                <c:pt idx="104">
                  <c:v>16.335400000000003</c:v>
                </c:pt>
                <c:pt idx="105">
                  <c:v>16.374360000000003</c:v>
                </c:pt>
                <c:pt idx="106">
                  <c:v>16.410480000000003</c:v>
                </c:pt>
                <c:pt idx="107">
                  <c:v>16.443760000000005</c:v>
                </c:pt>
                <c:pt idx="108">
                  <c:v>16.474200000000003</c:v>
                </c:pt>
                <c:pt idx="109">
                  <c:v>16.501800000000003</c:v>
                </c:pt>
                <c:pt idx="110">
                  <c:v>16.526560000000003</c:v>
                </c:pt>
                <c:pt idx="111">
                  <c:v>16.548480000000005</c:v>
                </c:pt>
                <c:pt idx="112">
                  <c:v>16.567560000000004</c:v>
                </c:pt>
                <c:pt idx="113">
                  <c:v>16.583800000000004</c:v>
                </c:pt>
                <c:pt idx="114">
                  <c:v>16.597200000000004</c:v>
                </c:pt>
                <c:pt idx="115">
                  <c:v>16.607760000000006</c:v>
                </c:pt>
                <c:pt idx="116">
                  <c:v>16.615480000000005</c:v>
                </c:pt>
                <c:pt idx="117">
                  <c:v>16.620360000000005</c:v>
                </c:pt>
                <c:pt idx="118">
                  <c:v>16.622400000000006</c:v>
                </c:pt>
                <c:pt idx="119">
                  <c:v>16.621600000000004</c:v>
                </c:pt>
                <c:pt idx="120">
                  <c:v>16.617960000000004</c:v>
                </c:pt>
                <c:pt idx="121">
                  <c:v>16.611480000000004</c:v>
                </c:pt>
                <c:pt idx="122">
                  <c:v>16.602160000000005</c:v>
                </c:pt>
                <c:pt idx="123">
                  <c:v>16.590000000000003</c:v>
                </c:pt>
                <c:pt idx="124">
                  <c:v>16.575000000000003</c:v>
                </c:pt>
                <c:pt idx="125">
                  <c:v>16.557160000000003</c:v>
                </c:pt>
                <c:pt idx="126">
                  <c:v>16.536480000000005</c:v>
                </c:pt>
                <c:pt idx="127">
                  <c:v>16.512960000000003</c:v>
                </c:pt>
                <c:pt idx="128">
                  <c:v>16.486600000000003</c:v>
                </c:pt>
                <c:pt idx="129">
                  <c:v>16.457400000000003</c:v>
                </c:pt>
                <c:pt idx="130">
                  <c:v>16.425360000000005</c:v>
                </c:pt>
                <c:pt idx="131">
                  <c:v>16.390480000000004</c:v>
                </c:pt>
                <c:pt idx="132">
                  <c:v>16.352760000000004</c:v>
                </c:pt>
                <c:pt idx="133">
                  <c:v>16.312200000000004</c:v>
                </c:pt>
                <c:pt idx="134">
                  <c:v>16.268800000000006</c:v>
                </c:pt>
                <c:pt idx="135">
                  <c:v>16.222560000000005</c:v>
                </c:pt>
                <c:pt idx="136">
                  <c:v>16.173480000000005</c:v>
                </c:pt>
                <c:pt idx="137">
                  <c:v>16.121560000000006</c:v>
                </c:pt>
                <c:pt idx="138">
                  <c:v>16.066800000000004</c:v>
                </c:pt>
                <c:pt idx="139">
                  <c:v>16.009200000000003</c:v>
                </c:pt>
                <c:pt idx="140">
                  <c:v>15.948760000000004</c:v>
                </c:pt>
                <c:pt idx="141">
                  <c:v>15.885480000000003</c:v>
                </c:pt>
                <c:pt idx="142">
                  <c:v>15.819360000000003</c:v>
                </c:pt>
                <c:pt idx="143">
                  <c:v>15.750400000000003</c:v>
                </c:pt>
                <c:pt idx="144">
                  <c:v>15.678600000000003</c:v>
                </c:pt>
                <c:pt idx="145">
                  <c:v>15.603960000000002</c:v>
                </c:pt>
                <c:pt idx="146">
                  <c:v>15.526480000000003</c:v>
                </c:pt>
                <c:pt idx="147">
                  <c:v>15.446160000000003</c:v>
                </c:pt>
                <c:pt idx="148">
                  <c:v>15.363000000000003</c:v>
                </c:pt>
                <c:pt idx="149">
                  <c:v>15.277000000000003</c:v>
                </c:pt>
                <c:pt idx="150">
                  <c:v>15.188160000000003</c:v>
                </c:pt>
                <c:pt idx="151">
                  <c:v>15.096480000000003</c:v>
                </c:pt>
                <c:pt idx="152">
                  <c:v>15.001960000000004</c:v>
                </c:pt>
                <c:pt idx="153">
                  <c:v>14.904600000000004</c:v>
                </c:pt>
                <c:pt idx="154">
                  <c:v>14.804400000000005</c:v>
                </c:pt>
                <c:pt idx="155">
                  <c:v>14.701360000000005</c:v>
                </c:pt>
                <c:pt idx="156">
                  <c:v>14.595480000000006</c:v>
                </c:pt>
                <c:pt idx="157">
                  <c:v>14.486760000000006</c:v>
                </c:pt>
                <c:pt idx="158">
                  <c:v>14.375200000000005</c:v>
                </c:pt>
                <c:pt idx="159">
                  <c:v>14.260800000000005</c:v>
                </c:pt>
                <c:pt idx="160">
                  <c:v>14.143560000000004</c:v>
                </c:pt>
                <c:pt idx="161">
                  <c:v>14.023480000000005</c:v>
                </c:pt>
                <c:pt idx="162">
                  <c:v>13.900560000000004</c:v>
                </c:pt>
                <c:pt idx="163">
                  <c:v>13.774800000000004</c:v>
                </c:pt>
                <c:pt idx="164">
                  <c:v>13.646200000000004</c:v>
                </c:pt>
                <c:pt idx="165">
                  <c:v>13.514760000000004</c:v>
                </c:pt>
                <c:pt idx="166">
                  <c:v>13.380480000000004</c:v>
                </c:pt>
                <c:pt idx="167">
                  <c:v>13.243360000000004</c:v>
                </c:pt>
                <c:pt idx="168">
                  <c:v>13.103400000000004</c:v>
                </c:pt>
                <c:pt idx="169">
                  <c:v>12.960600000000005</c:v>
                </c:pt>
                <c:pt idx="170">
                  <c:v>12.814960000000005</c:v>
                </c:pt>
                <c:pt idx="171">
                  <c:v>12.666480000000005</c:v>
                </c:pt>
                <c:pt idx="172">
                  <c:v>12.515160000000005</c:v>
                </c:pt>
                <c:pt idx="173">
                  <c:v>12.361000000000006</c:v>
                </c:pt>
                <c:pt idx="174">
                  <c:v>12.204000000000006</c:v>
                </c:pt>
                <c:pt idx="175">
                  <c:v>12.044160000000007</c:v>
                </c:pt>
                <c:pt idx="176">
                  <c:v>11.881480000000007</c:v>
                </c:pt>
                <c:pt idx="177">
                  <c:v>11.715960000000006</c:v>
                </c:pt>
                <c:pt idx="178">
                  <c:v>11.547600000000006</c:v>
                </c:pt>
                <c:pt idx="179">
                  <c:v>11.376400000000006</c:v>
                </c:pt>
                <c:pt idx="180">
                  <c:v>11.202360000000006</c:v>
                </c:pt>
                <c:pt idx="181">
                  <c:v>11.025480000000005</c:v>
                </c:pt>
                <c:pt idx="182">
                  <c:v>10.845760000000006</c:v>
                </c:pt>
                <c:pt idx="183">
                  <c:v>10.663200000000005</c:v>
                </c:pt>
                <c:pt idx="184">
                  <c:v>10.477800000000006</c:v>
                </c:pt>
                <c:pt idx="185">
                  <c:v>10.289560000000005</c:v>
                </c:pt>
                <c:pt idx="186">
                  <c:v>10.098480000000006</c:v>
                </c:pt>
                <c:pt idx="187">
                  <c:v>9.9045600000000054</c:v>
                </c:pt>
                <c:pt idx="188">
                  <c:v>9.707800000000006</c:v>
                </c:pt>
                <c:pt idx="189">
                  <c:v>9.5082000000000058</c:v>
                </c:pt>
                <c:pt idx="190">
                  <c:v>9.3057600000000065</c:v>
                </c:pt>
                <c:pt idx="191">
                  <c:v>9.1004800000000063</c:v>
                </c:pt>
                <c:pt idx="192">
                  <c:v>8.8923600000000071</c:v>
                </c:pt>
                <c:pt idx="193">
                  <c:v>8.6814000000000071</c:v>
                </c:pt>
                <c:pt idx="194">
                  <c:v>8.467600000000008</c:v>
                </c:pt>
                <c:pt idx="195">
                  <c:v>8.2509600000000081</c:v>
                </c:pt>
                <c:pt idx="196">
                  <c:v>8.0314800000000073</c:v>
                </c:pt>
                <c:pt idx="197">
                  <c:v>7.8091600000000074</c:v>
                </c:pt>
                <c:pt idx="198">
                  <c:v>7.5840000000000076</c:v>
                </c:pt>
                <c:pt idx="199">
                  <c:v>7.3560000000000079</c:v>
                </c:pt>
              </c:numCache>
            </c:numRef>
          </c:yVal>
          <c:smooth val="0"/>
          <c:extLst>
            <c:ext xmlns:c16="http://schemas.microsoft.com/office/drawing/2014/chart" uri="{C3380CC4-5D6E-409C-BE32-E72D297353CC}">
              <c16:uniqueId val="{00000001-BDB0-4CAC-858D-D3F9B3C4DCCA}"/>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CS&lt;2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300"/>
            <c:dispRSqr val="1"/>
            <c:dispEq val="1"/>
            <c:trendlineLbl>
              <c:layout>
                <c:manualLayout>
                  <c:x val="9.0581508583511869E-2"/>
                  <c:y val="-0.60589012580324009"/>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y = -2.841x + 300</a:t>
                    </a:r>
                    <a:br>
                      <a:rPr lang="en-US" baseline="0"/>
                    </a:b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pivot_CS!$J$4:$J$13</c:f>
              <c:numCache>
                <c:formatCode>0</c:formatCode>
                <c:ptCount val="10"/>
                <c:pt idx="0">
                  <c:v>13.86</c:v>
                </c:pt>
                <c:pt idx="1">
                  <c:v>27.72</c:v>
                </c:pt>
                <c:pt idx="2">
                  <c:v>41.58</c:v>
                </c:pt>
                <c:pt idx="3">
                  <c:v>53.46</c:v>
                </c:pt>
                <c:pt idx="4">
                  <c:v>55.44</c:v>
                </c:pt>
                <c:pt idx="5">
                  <c:v>69.3</c:v>
                </c:pt>
                <c:pt idx="6">
                  <c:v>83.16</c:v>
                </c:pt>
                <c:pt idx="7">
                  <c:v>97.02</c:v>
                </c:pt>
                <c:pt idx="8">
                  <c:v>106.92</c:v>
                </c:pt>
                <c:pt idx="9">
                  <c:v>110.88</c:v>
                </c:pt>
              </c:numCache>
            </c:numRef>
          </c:xVal>
          <c:yVal>
            <c:numRef>
              <c:f>pivot_CS!$K$4:$K$13</c:f>
              <c:numCache>
                <c:formatCode>0</c:formatCode>
                <c:ptCount val="10"/>
                <c:pt idx="0">
                  <c:v>708.57142857142844</c:v>
                </c:pt>
                <c:pt idx="1">
                  <c:v>560.71428571428532</c:v>
                </c:pt>
                <c:pt idx="2">
                  <c:v>125.71428571428547</c:v>
                </c:pt>
                <c:pt idx="3">
                  <c:v>520.00000000000034</c:v>
                </c:pt>
                <c:pt idx="4">
                  <c:v>272.72727272727315</c:v>
                </c:pt>
                <c:pt idx="5">
                  <c:v>44.999999999999922</c:v>
                </c:pt>
                <c:pt idx="6">
                  <c:v>-225.00000000000017</c:v>
                </c:pt>
                <c:pt idx="7">
                  <c:v>-17.142857142856563</c:v>
                </c:pt>
                <c:pt idx="8">
                  <c:v>-103.03030303030309</c:v>
                </c:pt>
                <c:pt idx="9">
                  <c:v>5.7142857142851771</c:v>
                </c:pt>
              </c:numCache>
            </c:numRef>
          </c:yVal>
          <c:smooth val="0"/>
          <c:extLst>
            <c:ext xmlns:c16="http://schemas.microsoft.com/office/drawing/2014/chart" uri="{C3380CC4-5D6E-409C-BE32-E72D297353CC}">
              <c16:uniqueId val="{00000001-91E3-42F8-A751-B566A038236B}"/>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min val="-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S_100_90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259258590795001"/>
                  <c:y val="-0.7124320072930724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supplement_LWG!$D$92:$D$201</c:f>
              <c:numCache>
                <c:formatCode>0.000</c:formatCode>
                <c:ptCount val="110"/>
                <c:pt idx="0">
                  <c:v>8.4400000000000003E-2</c:v>
                </c:pt>
                <c:pt idx="1">
                  <c:v>8.1559999999999994E-2</c:v>
                </c:pt>
                <c:pt idx="2">
                  <c:v>7.8720000000000026E-2</c:v>
                </c:pt>
                <c:pt idx="3">
                  <c:v>7.5880000000000003E-2</c:v>
                </c:pt>
                <c:pt idx="4">
                  <c:v>7.3040000000000022E-2</c:v>
                </c:pt>
                <c:pt idx="5">
                  <c:v>7.0199999999999985E-2</c:v>
                </c:pt>
                <c:pt idx="6">
                  <c:v>6.7360000000000017E-2</c:v>
                </c:pt>
                <c:pt idx="7">
                  <c:v>6.4520000000000036E-2</c:v>
                </c:pt>
                <c:pt idx="8">
                  <c:v>6.1680000000000013E-2</c:v>
                </c:pt>
                <c:pt idx="9">
                  <c:v>5.8840000000000031E-2</c:v>
                </c:pt>
                <c:pt idx="10">
                  <c:v>5.6000000000000001E-2</c:v>
                </c:pt>
                <c:pt idx="11">
                  <c:v>5.3160000000000027E-2</c:v>
                </c:pt>
                <c:pt idx="12">
                  <c:v>5.031999999999999E-2</c:v>
                </c:pt>
                <c:pt idx="13">
                  <c:v>4.7480000000000022E-2</c:v>
                </c:pt>
                <c:pt idx="14">
                  <c:v>4.4639999999999985E-2</c:v>
                </c:pt>
                <c:pt idx="15">
                  <c:v>4.1800000000000011E-2</c:v>
                </c:pt>
                <c:pt idx="16">
                  <c:v>3.8960000000000036E-2</c:v>
                </c:pt>
                <c:pt idx="17">
                  <c:v>3.6120000000000006E-2</c:v>
                </c:pt>
                <c:pt idx="18">
                  <c:v>3.3280000000000032E-2</c:v>
                </c:pt>
                <c:pt idx="19">
                  <c:v>3.0439999999999998E-2</c:v>
                </c:pt>
                <c:pt idx="20">
                  <c:v>2.7600000000000024E-2</c:v>
                </c:pt>
                <c:pt idx="21">
                  <c:v>2.475999999999999E-2</c:v>
                </c:pt>
                <c:pt idx="22">
                  <c:v>2.1920000000000016E-2</c:v>
                </c:pt>
                <c:pt idx="23">
                  <c:v>1.9080000000000041E-2</c:v>
                </c:pt>
                <c:pt idx="24">
                  <c:v>1.6240000000000011E-2</c:v>
                </c:pt>
                <c:pt idx="25">
                  <c:v>1.3400000000000033E-2</c:v>
                </c:pt>
                <c:pt idx="26">
                  <c:v>1.0560000000000003E-2</c:v>
                </c:pt>
                <c:pt idx="27">
                  <c:v>7.7200000000000255E-3</c:v>
                </c:pt>
                <c:pt idx="28">
                  <c:v>4.8799999999999955E-3</c:v>
                </c:pt>
                <c:pt idx="29">
                  <c:v>2.040000000000021E-3</c:v>
                </c:pt>
                <c:pt idx="30">
                  <c:v>-7.9999999999995353E-4</c:v>
                </c:pt>
                <c:pt idx="31">
                  <c:v>-3.6399999999999835E-3</c:v>
                </c:pt>
                <c:pt idx="32">
                  <c:v>-6.479999999999958E-3</c:v>
                </c:pt>
                <c:pt idx="33">
                  <c:v>-9.319999999999995E-3</c:v>
                </c:pt>
                <c:pt idx="34">
                  <c:v>-1.2159999999999969E-2</c:v>
                </c:pt>
                <c:pt idx="35">
                  <c:v>-1.4999999999999999E-2</c:v>
                </c:pt>
                <c:pt idx="36">
                  <c:v>-1.7839999999999974E-2</c:v>
                </c:pt>
                <c:pt idx="37">
                  <c:v>-2.0680000000000004E-2</c:v>
                </c:pt>
                <c:pt idx="38">
                  <c:v>-2.3519999999999978E-2</c:v>
                </c:pt>
                <c:pt idx="39">
                  <c:v>-2.635999999999996E-2</c:v>
                </c:pt>
                <c:pt idx="40">
                  <c:v>-2.9199999999999983E-2</c:v>
                </c:pt>
                <c:pt idx="41">
                  <c:v>-3.2039999999999964E-2</c:v>
                </c:pt>
                <c:pt idx="42">
                  <c:v>-3.4880000000000001E-2</c:v>
                </c:pt>
                <c:pt idx="43">
                  <c:v>-3.7719999999999969E-2</c:v>
                </c:pt>
                <c:pt idx="44">
                  <c:v>-4.0560000000000006E-2</c:v>
                </c:pt>
                <c:pt idx="45">
                  <c:v>-4.3399999999999973E-2</c:v>
                </c:pt>
                <c:pt idx="46">
                  <c:v>-4.624000000000001E-2</c:v>
                </c:pt>
                <c:pt idx="47">
                  <c:v>-4.9079999999999978E-2</c:v>
                </c:pt>
                <c:pt idx="48">
                  <c:v>-5.1919999999999959E-2</c:v>
                </c:pt>
                <c:pt idx="49">
                  <c:v>-5.4759999999999996E-2</c:v>
                </c:pt>
                <c:pt idx="50">
                  <c:v>-5.7599999999999964E-2</c:v>
                </c:pt>
                <c:pt idx="51">
                  <c:v>-6.0440000000000001E-2</c:v>
                </c:pt>
                <c:pt idx="52">
                  <c:v>-6.3279999999999975E-2</c:v>
                </c:pt>
                <c:pt idx="53">
                  <c:v>-6.6120000000000012E-2</c:v>
                </c:pt>
                <c:pt idx="54">
                  <c:v>-6.8959999999999966E-2</c:v>
                </c:pt>
                <c:pt idx="55">
                  <c:v>-7.1799999999999947E-2</c:v>
                </c:pt>
                <c:pt idx="56">
                  <c:v>-7.4639999999999984E-2</c:v>
                </c:pt>
                <c:pt idx="57">
                  <c:v>-7.7479999999999966E-2</c:v>
                </c:pt>
                <c:pt idx="58">
                  <c:v>-8.0320000000000003E-2</c:v>
                </c:pt>
                <c:pt idx="59">
                  <c:v>-8.3159999999999956E-2</c:v>
                </c:pt>
                <c:pt idx="60">
                  <c:v>-8.5999999999999993E-2</c:v>
                </c:pt>
                <c:pt idx="61">
                  <c:v>-8.8839999999999975E-2</c:v>
                </c:pt>
                <c:pt idx="62">
                  <c:v>-9.1679999999999956E-2</c:v>
                </c:pt>
                <c:pt idx="63">
                  <c:v>-9.4519999999999965E-2</c:v>
                </c:pt>
                <c:pt idx="64">
                  <c:v>-9.7359999999999947E-2</c:v>
                </c:pt>
                <c:pt idx="65">
                  <c:v>-0.10019999999999998</c:v>
                </c:pt>
                <c:pt idx="66">
                  <c:v>-0.10303999999999996</c:v>
                </c:pt>
                <c:pt idx="67">
                  <c:v>-0.10587999999999997</c:v>
                </c:pt>
                <c:pt idx="68">
                  <c:v>-0.10871999999999996</c:v>
                </c:pt>
                <c:pt idx="69">
                  <c:v>-0.11155999999999999</c:v>
                </c:pt>
                <c:pt idx="70">
                  <c:v>-0.11439999999999997</c:v>
                </c:pt>
                <c:pt idx="71">
                  <c:v>-0.11723999999999996</c:v>
                </c:pt>
                <c:pt idx="72">
                  <c:v>-0.12007999999999996</c:v>
                </c:pt>
                <c:pt idx="73">
                  <c:v>-0.12291999999999995</c:v>
                </c:pt>
                <c:pt idx="74">
                  <c:v>-0.12575999999999998</c:v>
                </c:pt>
                <c:pt idx="75">
                  <c:v>-0.12859999999999996</c:v>
                </c:pt>
                <c:pt idx="76">
                  <c:v>-0.13144</c:v>
                </c:pt>
                <c:pt idx="77">
                  <c:v>-0.13427999999999995</c:v>
                </c:pt>
                <c:pt idx="78">
                  <c:v>-0.13711999999999999</c:v>
                </c:pt>
                <c:pt idx="79">
                  <c:v>-0.13995999999999997</c:v>
                </c:pt>
                <c:pt idx="80">
                  <c:v>-0.14279999999999995</c:v>
                </c:pt>
                <c:pt idx="81">
                  <c:v>-0.14563999999999999</c:v>
                </c:pt>
                <c:pt idx="82">
                  <c:v>-0.14847999999999995</c:v>
                </c:pt>
                <c:pt idx="83">
                  <c:v>-0.15131999999999998</c:v>
                </c:pt>
                <c:pt idx="84">
                  <c:v>-0.15415999999999996</c:v>
                </c:pt>
                <c:pt idx="85">
                  <c:v>-0.157</c:v>
                </c:pt>
                <c:pt idx="86">
                  <c:v>-0.15983999999999995</c:v>
                </c:pt>
                <c:pt idx="87">
                  <c:v>-0.16267999999999994</c:v>
                </c:pt>
                <c:pt idx="88">
                  <c:v>-0.16551999999999997</c:v>
                </c:pt>
                <c:pt idx="89">
                  <c:v>-0.16835999999999995</c:v>
                </c:pt>
                <c:pt idx="90">
                  <c:v>-0.17119999999999999</c:v>
                </c:pt>
                <c:pt idx="91">
                  <c:v>-0.17403999999999994</c:v>
                </c:pt>
                <c:pt idx="92">
                  <c:v>-0.17687999999999998</c:v>
                </c:pt>
                <c:pt idx="93">
                  <c:v>-0.17972000000000002</c:v>
                </c:pt>
                <c:pt idx="94">
                  <c:v>-0.18255999999999994</c:v>
                </c:pt>
                <c:pt idx="95">
                  <c:v>-0.18539999999999998</c:v>
                </c:pt>
                <c:pt idx="96">
                  <c:v>-0.18823999999999999</c:v>
                </c:pt>
                <c:pt idx="97">
                  <c:v>-0.19107999999999992</c:v>
                </c:pt>
                <c:pt idx="98">
                  <c:v>-0.19391999999999995</c:v>
                </c:pt>
                <c:pt idx="99">
                  <c:v>-0.19675999999999999</c:v>
                </c:pt>
                <c:pt idx="100">
                  <c:v>-0.19960000000000003</c:v>
                </c:pt>
                <c:pt idx="101">
                  <c:v>-0.20243999999999993</c:v>
                </c:pt>
                <c:pt idx="102">
                  <c:v>-0.20527999999999996</c:v>
                </c:pt>
                <c:pt idx="103">
                  <c:v>-0.20812</c:v>
                </c:pt>
                <c:pt idx="104">
                  <c:v>-0.2109599999999999</c:v>
                </c:pt>
                <c:pt idx="105">
                  <c:v>-0.21379999999999996</c:v>
                </c:pt>
                <c:pt idx="106">
                  <c:v>-0.21663999999999997</c:v>
                </c:pt>
                <c:pt idx="107">
                  <c:v>-0.21948000000000004</c:v>
                </c:pt>
                <c:pt idx="108">
                  <c:v>-0.22231999999999993</c:v>
                </c:pt>
                <c:pt idx="109">
                  <c:v>-0.22515999999999994</c:v>
                </c:pt>
              </c:numCache>
            </c:numRef>
          </c:yVal>
          <c:smooth val="0"/>
          <c:extLst>
            <c:ext xmlns:c16="http://schemas.microsoft.com/office/drawing/2014/chart" uri="{C3380CC4-5D6E-409C-BE32-E72D297353CC}">
              <c16:uniqueId val="{00000001-F676-4431-B3F0-D6ADA7584B0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8.4063490687201606E-2"/>
                  <c:y val="-0.6050029047163656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supplement_LWG!$A$3:$B$92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supplement_LWG!$C$3:$C$92</c:f>
              <c:numCache>
                <c:formatCode>0.000</c:formatCode>
                <c:ptCount val="90"/>
                <c:pt idx="0">
                  <c:v>0.29716000000000004</c:v>
                </c:pt>
                <c:pt idx="1">
                  <c:v>0.29431999999999997</c:v>
                </c:pt>
                <c:pt idx="2">
                  <c:v>0.29148000000000002</c:v>
                </c:pt>
                <c:pt idx="3">
                  <c:v>0.28864000000000001</c:v>
                </c:pt>
                <c:pt idx="4">
                  <c:v>0.2858</c:v>
                </c:pt>
                <c:pt idx="5">
                  <c:v>0.28295999999999999</c:v>
                </c:pt>
                <c:pt idx="6">
                  <c:v>0.28011999999999998</c:v>
                </c:pt>
                <c:pt idx="7">
                  <c:v>0.27727999999999997</c:v>
                </c:pt>
                <c:pt idx="8">
                  <c:v>0.27444000000000002</c:v>
                </c:pt>
                <c:pt idx="9">
                  <c:v>0.27160000000000001</c:v>
                </c:pt>
                <c:pt idx="10">
                  <c:v>0.26876</c:v>
                </c:pt>
                <c:pt idx="11">
                  <c:v>0.26591999999999999</c:v>
                </c:pt>
                <c:pt idx="12">
                  <c:v>0.26307999999999998</c:v>
                </c:pt>
                <c:pt idx="13">
                  <c:v>0.26024000000000003</c:v>
                </c:pt>
                <c:pt idx="14">
                  <c:v>0.25739999999999996</c:v>
                </c:pt>
                <c:pt idx="15">
                  <c:v>0.25456000000000001</c:v>
                </c:pt>
                <c:pt idx="16">
                  <c:v>0.25172</c:v>
                </c:pt>
                <c:pt idx="17">
                  <c:v>0.24887999999999999</c:v>
                </c:pt>
                <c:pt idx="18">
                  <c:v>0.24604000000000001</c:v>
                </c:pt>
                <c:pt idx="19">
                  <c:v>0.2432</c:v>
                </c:pt>
                <c:pt idx="20">
                  <c:v>0.24036000000000002</c:v>
                </c:pt>
                <c:pt idx="21">
                  <c:v>0.23752000000000001</c:v>
                </c:pt>
                <c:pt idx="22">
                  <c:v>0.23468</c:v>
                </c:pt>
                <c:pt idx="23">
                  <c:v>0.23183999999999999</c:v>
                </c:pt>
                <c:pt idx="24">
                  <c:v>0.22900000000000001</c:v>
                </c:pt>
                <c:pt idx="25">
                  <c:v>0.22616</c:v>
                </c:pt>
                <c:pt idx="26">
                  <c:v>0.22331999999999999</c:v>
                </c:pt>
                <c:pt idx="27">
                  <c:v>0.22048000000000001</c:v>
                </c:pt>
                <c:pt idx="28">
                  <c:v>0.21764</c:v>
                </c:pt>
                <c:pt idx="29">
                  <c:v>0.21480000000000002</c:v>
                </c:pt>
                <c:pt idx="30">
                  <c:v>0.21196000000000001</c:v>
                </c:pt>
                <c:pt idx="31">
                  <c:v>0.20912</c:v>
                </c:pt>
                <c:pt idx="32">
                  <c:v>0.20627999999999999</c:v>
                </c:pt>
                <c:pt idx="33">
                  <c:v>0.20344000000000001</c:v>
                </c:pt>
                <c:pt idx="34">
                  <c:v>0.20060000000000003</c:v>
                </c:pt>
                <c:pt idx="35">
                  <c:v>0.19775999999999999</c:v>
                </c:pt>
                <c:pt idx="36">
                  <c:v>0.19492000000000001</c:v>
                </c:pt>
                <c:pt idx="37">
                  <c:v>0.19208</c:v>
                </c:pt>
                <c:pt idx="38">
                  <c:v>0.18924000000000002</c:v>
                </c:pt>
                <c:pt idx="39">
                  <c:v>0.18640000000000001</c:v>
                </c:pt>
                <c:pt idx="40">
                  <c:v>0.18356</c:v>
                </c:pt>
                <c:pt idx="41">
                  <c:v>0.18071999999999999</c:v>
                </c:pt>
                <c:pt idx="42">
                  <c:v>0.17787999999999998</c:v>
                </c:pt>
                <c:pt idx="43">
                  <c:v>0.17504000000000003</c:v>
                </c:pt>
                <c:pt idx="44">
                  <c:v>0.17219999999999999</c:v>
                </c:pt>
                <c:pt idx="45">
                  <c:v>0.16936000000000001</c:v>
                </c:pt>
                <c:pt idx="46">
                  <c:v>0.16652</c:v>
                </c:pt>
                <c:pt idx="47">
                  <c:v>0.16368000000000002</c:v>
                </c:pt>
                <c:pt idx="48">
                  <c:v>0.16084000000000001</c:v>
                </c:pt>
                <c:pt idx="49">
                  <c:v>0.158</c:v>
                </c:pt>
                <c:pt idx="50">
                  <c:v>0.15515999999999999</c:v>
                </c:pt>
                <c:pt idx="51">
                  <c:v>0.15231999999999998</c:v>
                </c:pt>
                <c:pt idx="52">
                  <c:v>0.14948000000000003</c:v>
                </c:pt>
                <c:pt idx="53">
                  <c:v>0.14664000000000002</c:v>
                </c:pt>
                <c:pt idx="54">
                  <c:v>0.14380000000000001</c:v>
                </c:pt>
                <c:pt idx="55">
                  <c:v>0.14096</c:v>
                </c:pt>
                <c:pt idx="56">
                  <c:v>0.13811999999999999</c:v>
                </c:pt>
                <c:pt idx="57">
                  <c:v>0.13528000000000001</c:v>
                </c:pt>
                <c:pt idx="58">
                  <c:v>0.13244</c:v>
                </c:pt>
                <c:pt idx="59">
                  <c:v>0.12960000000000002</c:v>
                </c:pt>
                <c:pt idx="60">
                  <c:v>0.12676000000000001</c:v>
                </c:pt>
                <c:pt idx="61">
                  <c:v>0.12392000000000002</c:v>
                </c:pt>
                <c:pt idx="62">
                  <c:v>0.12108000000000001</c:v>
                </c:pt>
                <c:pt idx="63">
                  <c:v>0.11824000000000001</c:v>
                </c:pt>
                <c:pt idx="64">
                  <c:v>0.1154</c:v>
                </c:pt>
                <c:pt idx="65">
                  <c:v>0.11256000000000001</c:v>
                </c:pt>
                <c:pt idx="66">
                  <c:v>0.10972</c:v>
                </c:pt>
                <c:pt idx="67">
                  <c:v>0.10687999999999999</c:v>
                </c:pt>
                <c:pt idx="68">
                  <c:v>0.10404000000000002</c:v>
                </c:pt>
                <c:pt idx="69">
                  <c:v>0.10120000000000001</c:v>
                </c:pt>
                <c:pt idx="70">
                  <c:v>9.8360000000000017E-2</c:v>
                </c:pt>
                <c:pt idx="71">
                  <c:v>9.5520000000000008E-2</c:v>
                </c:pt>
                <c:pt idx="72">
                  <c:v>9.2680000000000012E-2</c:v>
                </c:pt>
                <c:pt idx="73">
                  <c:v>8.9840000000000003E-2</c:v>
                </c:pt>
                <c:pt idx="74">
                  <c:v>8.6999999999999994E-2</c:v>
                </c:pt>
                <c:pt idx="75">
                  <c:v>8.4160000000000026E-2</c:v>
                </c:pt>
                <c:pt idx="76">
                  <c:v>8.1320000000000017E-2</c:v>
                </c:pt>
                <c:pt idx="77">
                  <c:v>7.8480000000000022E-2</c:v>
                </c:pt>
                <c:pt idx="78">
                  <c:v>7.5640000000000013E-2</c:v>
                </c:pt>
                <c:pt idx="79">
                  <c:v>7.2800000000000017E-2</c:v>
                </c:pt>
                <c:pt idx="80">
                  <c:v>6.9960000000000008E-2</c:v>
                </c:pt>
                <c:pt idx="81">
                  <c:v>6.7119999999999999E-2</c:v>
                </c:pt>
                <c:pt idx="82">
                  <c:v>6.4280000000000004E-2</c:v>
                </c:pt>
                <c:pt idx="83">
                  <c:v>6.1439999999999995E-2</c:v>
                </c:pt>
                <c:pt idx="84">
                  <c:v>5.860000000000002E-2</c:v>
                </c:pt>
                <c:pt idx="85">
                  <c:v>5.5760000000000018E-2</c:v>
                </c:pt>
                <c:pt idx="86">
                  <c:v>5.2920000000000016E-2</c:v>
                </c:pt>
                <c:pt idx="87">
                  <c:v>5.0080000000000013E-2</c:v>
                </c:pt>
                <c:pt idx="88">
                  <c:v>4.7240000000000011E-2</c:v>
                </c:pt>
                <c:pt idx="89">
                  <c:v>4.4400000000000009E-2</c:v>
                </c:pt>
              </c:numCache>
            </c:numRef>
          </c:yVal>
          <c:smooth val="0"/>
          <c:extLst>
            <c:ext xmlns:c16="http://schemas.microsoft.com/office/drawing/2014/chart" uri="{C3380CC4-5D6E-409C-BE32-E72D297353CC}">
              <c16:uniqueId val="{00000001-81FE-4F75-A852-B510480D6935}"/>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2081313809855841"/>
                  <c:y val="-0.6701933200461179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supplement_LWG!$E$92:$E$201</c:f>
              <c:numCache>
                <c:formatCode>0.000</c:formatCode>
                <c:ptCount val="110"/>
                <c:pt idx="0">
                  <c:v>0.12440000000000001</c:v>
                </c:pt>
                <c:pt idx="1">
                  <c:v>0.12156</c:v>
                </c:pt>
                <c:pt idx="2">
                  <c:v>0.11872000000000002</c:v>
                </c:pt>
                <c:pt idx="3">
                  <c:v>0.11588</c:v>
                </c:pt>
                <c:pt idx="4">
                  <c:v>0.11304000000000003</c:v>
                </c:pt>
                <c:pt idx="5">
                  <c:v>0.11019999999999999</c:v>
                </c:pt>
                <c:pt idx="6">
                  <c:v>0.10736000000000001</c:v>
                </c:pt>
                <c:pt idx="7">
                  <c:v>0.10452000000000004</c:v>
                </c:pt>
                <c:pt idx="8">
                  <c:v>0.10168000000000001</c:v>
                </c:pt>
                <c:pt idx="9">
                  <c:v>9.8840000000000039E-2</c:v>
                </c:pt>
                <c:pt idx="10">
                  <c:v>9.6000000000000002E-2</c:v>
                </c:pt>
                <c:pt idx="11">
                  <c:v>9.3160000000000021E-2</c:v>
                </c:pt>
                <c:pt idx="12">
                  <c:v>9.0319999999999998E-2</c:v>
                </c:pt>
                <c:pt idx="13">
                  <c:v>8.7480000000000016E-2</c:v>
                </c:pt>
                <c:pt idx="14">
                  <c:v>8.4639999999999993E-2</c:v>
                </c:pt>
                <c:pt idx="15">
                  <c:v>8.1800000000000012E-2</c:v>
                </c:pt>
                <c:pt idx="16">
                  <c:v>7.8960000000000044E-2</c:v>
                </c:pt>
                <c:pt idx="17">
                  <c:v>7.6120000000000007E-2</c:v>
                </c:pt>
                <c:pt idx="18">
                  <c:v>7.3280000000000026E-2</c:v>
                </c:pt>
                <c:pt idx="19">
                  <c:v>7.0440000000000003E-2</c:v>
                </c:pt>
                <c:pt idx="20">
                  <c:v>6.7600000000000021E-2</c:v>
                </c:pt>
                <c:pt idx="21">
                  <c:v>6.4759999999999998E-2</c:v>
                </c:pt>
                <c:pt idx="22">
                  <c:v>6.1920000000000017E-2</c:v>
                </c:pt>
                <c:pt idx="23">
                  <c:v>5.9080000000000042E-2</c:v>
                </c:pt>
                <c:pt idx="24">
                  <c:v>5.6240000000000012E-2</c:v>
                </c:pt>
                <c:pt idx="25">
                  <c:v>5.3400000000000031E-2</c:v>
                </c:pt>
                <c:pt idx="26">
                  <c:v>5.0560000000000008E-2</c:v>
                </c:pt>
                <c:pt idx="27">
                  <c:v>4.7720000000000026E-2</c:v>
                </c:pt>
                <c:pt idx="28">
                  <c:v>4.4879999999999996E-2</c:v>
                </c:pt>
                <c:pt idx="29">
                  <c:v>4.2040000000000022E-2</c:v>
                </c:pt>
                <c:pt idx="30">
                  <c:v>3.9200000000000047E-2</c:v>
                </c:pt>
                <c:pt idx="31">
                  <c:v>3.6360000000000017E-2</c:v>
                </c:pt>
                <c:pt idx="32">
                  <c:v>3.3520000000000043E-2</c:v>
                </c:pt>
                <c:pt idx="33">
                  <c:v>3.0680000000000006E-2</c:v>
                </c:pt>
                <c:pt idx="34">
                  <c:v>2.7840000000000031E-2</c:v>
                </c:pt>
                <c:pt idx="35">
                  <c:v>2.5000000000000001E-2</c:v>
                </c:pt>
                <c:pt idx="36">
                  <c:v>2.2160000000000027E-2</c:v>
                </c:pt>
                <c:pt idx="37">
                  <c:v>1.9319999999999997E-2</c:v>
                </c:pt>
                <c:pt idx="38">
                  <c:v>1.6480000000000022E-2</c:v>
                </c:pt>
                <c:pt idx="39">
                  <c:v>1.3640000000000041E-2</c:v>
                </c:pt>
                <c:pt idx="40">
                  <c:v>1.0800000000000018E-2</c:v>
                </c:pt>
                <c:pt idx="41">
                  <c:v>7.9600000000000365E-3</c:v>
                </c:pt>
                <c:pt idx="42">
                  <c:v>5.1199999999999996E-3</c:v>
                </c:pt>
                <c:pt idx="43">
                  <c:v>2.280000000000032E-3</c:v>
                </c:pt>
                <c:pt idx="44">
                  <c:v>-5.6000000000000494E-4</c:v>
                </c:pt>
                <c:pt idx="45">
                  <c:v>-3.3999999999999725E-3</c:v>
                </c:pt>
                <c:pt idx="46">
                  <c:v>-6.2400000000000094E-3</c:v>
                </c:pt>
                <c:pt idx="47">
                  <c:v>-9.079999999999977E-3</c:v>
                </c:pt>
                <c:pt idx="48">
                  <c:v>-1.1919999999999958E-2</c:v>
                </c:pt>
                <c:pt idx="49">
                  <c:v>-1.4759999999999995E-2</c:v>
                </c:pt>
                <c:pt idx="50">
                  <c:v>-1.7599999999999963E-2</c:v>
                </c:pt>
                <c:pt idx="51">
                  <c:v>-2.044E-2</c:v>
                </c:pt>
                <c:pt idx="52">
                  <c:v>-2.3279999999999967E-2</c:v>
                </c:pt>
                <c:pt idx="53">
                  <c:v>-2.6120000000000004E-2</c:v>
                </c:pt>
                <c:pt idx="54">
                  <c:v>-2.8959999999999972E-2</c:v>
                </c:pt>
                <c:pt idx="55">
                  <c:v>-3.1799999999999953E-2</c:v>
                </c:pt>
                <c:pt idx="56">
                  <c:v>-3.463999999999999E-2</c:v>
                </c:pt>
                <c:pt idx="57">
                  <c:v>-3.7479999999999958E-2</c:v>
                </c:pt>
                <c:pt idx="58">
                  <c:v>-4.0319999999999995E-2</c:v>
                </c:pt>
                <c:pt idx="59">
                  <c:v>-4.3159999999999962E-2</c:v>
                </c:pt>
                <c:pt idx="60">
                  <c:v>-4.5999999999999999E-2</c:v>
                </c:pt>
                <c:pt idx="61">
                  <c:v>-4.8839999999999981E-2</c:v>
                </c:pt>
                <c:pt idx="62">
                  <c:v>-5.1679999999999962E-2</c:v>
                </c:pt>
                <c:pt idx="63">
                  <c:v>-5.4519999999999971E-2</c:v>
                </c:pt>
                <c:pt idx="64">
                  <c:v>-5.7359999999999953E-2</c:v>
                </c:pt>
                <c:pt idx="65">
                  <c:v>-6.019999999999999E-2</c:v>
                </c:pt>
                <c:pt idx="66">
                  <c:v>-6.3039999999999971E-2</c:v>
                </c:pt>
                <c:pt idx="67">
                  <c:v>-6.587999999999998E-2</c:v>
                </c:pt>
                <c:pt idx="68">
                  <c:v>-6.8719999999999962E-2</c:v>
                </c:pt>
                <c:pt idx="69">
                  <c:v>-7.1559999999999999E-2</c:v>
                </c:pt>
                <c:pt idx="70">
                  <c:v>-7.439999999999998E-2</c:v>
                </c:pt>
                <c:pt idx="71">
                  <c:v>-7.7239999999999961E-2</c:v>
                </c:pt>
                <c:pt idx="72">
                  <c:v>-8.0079999999999971E-2</c:v>
                </c:pt>
                <c:pt idx="73">
                  <c:v>-8.2919999999999952E-2</c:v>
                </c:pt>
                <c:pt idx="74">
                  <c:v>-8.5759999999999989E-2</c:v>
                </c:pt>
                <c:pt idx="75">
                  <c:v>-8.859999999999997E-2</c:v>
                </c:pt>
                <c:pt idx="76">
                  <c:v>-9.1440000000000007E-2</c:v>
                </c:pt>
                <c:pt idx="77">
                  <c:v>-9.4279999999999961E-2</c:v>
                </c:pt>
                <c:pt idx="78">
                  <c:v>-9.7119999999999998E-2</c:v>
                </c:pt>
                <c:pt idx="79">
                  <c:v>-9.9959999999999979E-2</c:v>
                </c:pt>
                <c:pt idx="80">
                  <c:v>-0.10279999999999996</c:v>
                </c:pt>
                <c:pt idx="81">
                  <c:v>-0.10564</c:v>
                </c:pt>
                <c:pt idx="82">
                  <c:v>-0.10847999999999995</c:v>
                </c:pt>
                <c:pt idx="83">
                  <c:v>-0.11131999999999999</c:v>
                </c:pt>
                <c:pt idx="84">
                  <c:v>-0.11415999999999997</c:v>
                </c:pt>
                <c:pt idx="85">
                  <c:v>-0.11700000000000001</c:v>
                </c:pt>
                <c:pt idx="86">
                  <c:v>-0.11983999999999996</c:v>
                </c:pt>
                <c:pt idx="87">
                  <c:v>-0.12267999999999994</c:v>
                </c:pt>
                <c:pt idx="88">
                  <c:v>-0.12551999999999996</c:v>
                </c:pt>
                <c:pt idx="89">
                  <c:v>-0.12835999999999997</c:v>
                </c:pt>
                <c:pt idx="90">
                  <c:v>-0.13119999999999998</c:v>
                </c:pt>
                <c:pt idx="91">
                  <c:v>-0.13403999999999994</c:v>
                </c:pt>
                <c:pt idx="92">
                  <c:v>-0.13688</c:v>
                </c:pt>
                <c:pt idx="93">
                  <c:v>-0.13972000000000001</c:v>
                </c:pt>
                <c:pt idx="94">
                  <c:v>-0.14255999999999996</c:v>
                </c:pt>
                <c:pt idx="95">
                  <c:v>-0.14539999999999997</c:v>
                </c:pt>
                <c:pt idx="96">
                  <c:v>-0.14823999999999998</c:v>
                </c:pt>
                <c:pt idx="97">
                  <c:v>-0.15107999999999994</c:v>
                </c:pt>
                <c:pt idx="98">
                  <c:v>-0.15391999999999995</c:v>
                </c:pt>
                <c:pt idx="99">
                  <c:v>-0.15676000000000001</c:v>
                </c:pt>
                <c:pt idx="100">
                  <c:v>-0.15960000000000002</c:v>
                </c:pt>
                <c:pt idx="101">
                  <c:v>-0.16243999999999992</c:v>
                </c:pt>
                <c:pt idx="102">
                  <c:v>-0.16527999999999998</c:v>
                </c:pt>
                <c:pt idx="103">
                  <c:v>-0.16811999999999999</c:v>
                </c:pt>
                <c:pt idx="104">
                  <c:v>-0.17095999999999989</c:v>
                </c:pt>
                <c:pt idx="105">
                  <c:v>-0.17379999999999995</c:v>
                </c:pt>
                <c:pt idx="106">
                  <c:v>-0.17663999999999996</c:v>
                </c:pt>
                <c:pt idx="107">
                  <c:v>-0.17948000000000003</c:v>
                </c:pt>
                <c:pt idx="108">
                  <c:v>-0.18231999999999993</c:v>
                </c:pt>
                <c:pt idx="109">
                  <c:v>-0.18515999999999994</c:v>
                </c:pt>
              </c:numCache>
            </c:numRef>
          </c:yVal>
          <c:smooth val="0"/>
          <c:extLst>
            <c:ext xmlns:c16="http://schemas.microsoft.com/office/drawing/2014/chart" uri="{C3380CC4-5D6E-409C-BE32-E72D297353CC}">
              <c16:uniqueId val="{00000001-9A80-4AE4-A759-401A2DD488B9}"/>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195574905188688"/>
          <c:y val="0.1865607264472190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6676088275142714"/>
                  <c:y val="-0.598549965590283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supplement_LWG!$F$92:$F$201</c:f>
              <c:numCache>
                <c:formatCode>0.000</c:formatCode>
                <c:ptCount val="110"/>
                <c:pt idx="0">
                  <c:v>0.16439999999999999</c:v>
                </c:pt>
                <c:pt idx="1">
                  <c:v>0.16155999999999998</c:v>
                </c:pt>
                <c:pt idx="2">
                  <c:v>0.15872000000000003</c:v>
                </c:pt>
                <c:pt idx="3">
                  <c:v>0.15587999999999999</c:v>
                </c:pt>
                <c:pt idx="4">
                  <c:v>0.15304000000000001</c:v>
                </c:pt>
                <c:pt idx="5">
                  <c:v>0.15019999999999997</c:v>
                </c:pt>
                <c:pt idx="6">
                  <c:v>0.14736000000000002</c:v>
                </c:pt>
                <c:pt idx="7">
                  <c:v>0.14452000000000004</c:v>
                </c:pt>
                <c:pt idx="8">
                  <c:v>0.14168</c:v>
                </c:pt>
                <c:pt idx="9">
                  <c:v>0.13884000000000002</c:v>
                </c:pt>
                <c:pt idx="10">
                  <c:v>0.13600000000000001</c:v>
                </c:pt>
                <c:pt idx="11">
                  <c:v>0.13316000000000003</c:v>
                </c:pt>
                <c:pt idx="12">
                  <c:v>0.13031999999999999</c:v>
                </c:pt>
                <c:pt idx="13">
                  <c:v>0.12748000000000001</c:v>
                </c:pt>
                <c:pt idx="14">
                  <c:v>0.12463999999999999</c:v>
                </c:pt>
                <c:pt idx="15">
                  <c:v>0.12180000000000001</c:v>
                </c:pt>
                <c:pt idx="16">
                  <c:v>0.11896000000000004</c:v>
                </c:pt>
                <c:pt idx="17">
                  <c:v>0.11612</c:v>
                </c:pt>
                <c:pt idx="18">
                  <c:v>0.11328000000000002</c:v>
                </c:pt>
                <c:pt idx="19">
                  <c:v>0.11044</c:v>
                </c:pt>
                <c:pt idx="20">
                  <c:v>0.10760000000000002</c:v>
                </c:pt>
                <c:pt idx="21">
                  <c:v>0.10475999999999999</c:v>
                </c:pt>
                <c:pt idx="22">
                  <c:v>0.10192000000000001</c:v>
                </c:pt>
                <c:pt idx="23">
                  <c:v>9.9080000000000029E-2</c:v>
                </c:pt>
                <c:pt idx="24">
                  <c:v>9.6240000000000006E-2</c:v>
                </c:pt>
                <c:pt idx="25">
                  <c:v>9.3400000000000025E-2</c:v>
                </c:pt>
                <c:pt idx="26">
                  <c:v>9.0560000000000002E-2</c:v>
                </c:pt>
                <c:pt idx="27">
                  <c:v>8.772000000000002E-2</c:v>
                </c:pt>
                <c:pt idx="28">
                  <c:v>8.4879999999999983E-2</c:v>
                </c:pt>
                <c:pt idx="29">
                  <c:v>8.2040000000000016E-2</c:v>
                </c:pt>
                <c:pt idx="30">
                  <c:v>7.9200000000000048E-2</c:v>
                </c:pt>
                <c:pt idx="31">
                  <c:v>7.6360000000000011E-2</c:v>
                </c:pt>
                <c:pt idx="32">
                  <c:v>7.352000000000003E-2</c:v>
                </c:pt>
                <c:pt idx="33">
                  <c:v>7.0679999999999993E-2</c:v>
                </c:pt>
                <c:pt idx="34">
                  <c:v>6.7840000000000025E-2</c:v>
                </c:pt>
                <c:pt idx="35">
                  <c:v>6.5000000000000002E-2</c:v>
                </c:pt>
                <c:pt idx="36">
                  <c:v>6.2160000000000021E-2</c:v>
                </c:pt>
                <c:pt idx="37">
                  <c:v>5.9319999999999991E-2</c:v>
                </c:pt>
                <c:pt idx="38">
                  <c:v>5.6480000000000016E-2</c:v>
                </c:pt>
                <c:pt idx="39">
                  <c:v>5.3640000000000035E-2</c:v>
                </c:pt>
                <c:pt idx="40">
                  <c:v>5.0800000000000012E-2</c:v>
                </c:pt>
                <c:pt idx="41">
                  <c:v>4.796000000000003E-2</c:v>
                </c:pt>
                <c:pt idx="42">
                  <c:v>4.5119999999999993E-2</c:v>
                </c:pt>
                <c:pt idx="43">
                  <c:v>4.2280000000000026E-2</c:v>
                </c:pt>
                <c:pt idx="44">
                  <c:v>3.9439999999999989E-2</c:v>
                </c:pt>
                <c:pt idx="45">
                  <c:v>3.6600000000000021E-2</c:v>
                </c:pt>
                <c:pt idx="46">
                  <c:v>3.3759999999999984E-2</c:v>
                </c:pt>
                <c:pt idx="47">
                  <c:v>3.0920000000000017E-2</c:v>
                </c:pt>
                <c:pt idx="48">
                  <c:v>2.8080000000000035E-2</c:v>
                </c:pt>
                <c:pt idx="49">
                  <c:v>2.5239999999999999E-2</c:v>
                </c:pt>
                <c:pt idx="50">
                  <c:v>2.2400000000000031E-2</c:v>
                </c:pt>
                <c:pt idx="51">
                  <c:v>1.9559999999999994E-2</c:v>
                </c:pt>
                <c:pt idx="52">
                  <c:v>1.6720000000000027E-2</c:v>
                </c:pt>
                <c:pt idx="53">
                  <c:v>1.387999999999999E-2</c:v>
                </c:pt>
                <c:pt idx="54">
                  <c:v>1.1040000000000022E-2</c:v>
                </c:pt>
                <c:pt idx="55">
                  <c:v>8.2000000000000406E-3</c:v>
                </c:pt>
                <c:pt idx="56">
                  <c:v>5.3600000000000037E-3</c:v>
                </c:pt>
                <c:pt idx="57">
                  <c:v>2.5200000000000361E-3</c:v>
                </c:pt>
                <c:pt idx="58">
                  <c:v>-3.2000000000000084E-4</c:v>
                </c:pt>
                <c:pt idx="59">
                  <c:v>-3.1599999999999684E-3</c:v>
                </c:pt>
                <c:pt idx="60">
                  <c:v>-6.0000000000000053E-3</c:v>
                </c:pt>
                <c:pt idx="61">
                  <c:v>-8.8399999999999868E-3</c:v>
                </c:pt>
                <c:pt idx="62">
                  <c:v>-1.1679999999999968E-2</c:v>
                </c:pt>
                <c:pt idx="63">
                  <c:v>-1.4519999999999977E-2</c:v>
                </c:pt>
                <c:pt idx="64">
                  <c:v>-1.7359999999999959E-2</c:v>
                </c:pt>
                <c:pt idx="65">
                  <c:v>-2.0199999999999996E-2</c:v>
                </c:pt>
                <c:pt idx="66">
                  <c:v>-2.3039999999999977E-2</c:v>
                </c:pt>
                <c:pt idx="67">
                  <c:v>-2.5879999999999986E-2</c:v>
                </c:pt>
                <c:pt idx="68">
                  <c:v>-2.8719999999999968E-2</c:v>
                </c:pt>
                <c:pt idx="69">
                  <c:v>-3.1560000000000005E-2</c:v>
                </c:pt>
                <c:pt idx="70">
                  <c:v>-3.4399999999999986E-2</c:v>
                </c:pt>
                <c:pt idx="71">
                  <c:v>-3.7239999999999968E-2</c:v>
                </c:pt>
                <c:pt idx="72">
                  <c:v>-4.0079999999999977E-2</c:v>
                </c:pt>
                <c:pt idx="73">
                  <c:v>-4.2919999999999958E-2</c:v>
                </c:pt>
                <c:pt idx="74">
                  <c:v>-4.5759999999999995E-2</c:v>
                </c:pt>
                <c:pt idx="75">
                  <c:v>-4.8599999999999977E-2</c:v>
                </c:pt>
                <c:pt idx="76">
                  <c:v>-5.1440000000000013E-2</c:v>
                </c:pt>
                <c:pt idx="77">
                  <c:v>-5.4279999999999967E-2</c:v>
                </c:pt>
                <c:pt idx="78">
                  <c:v>-5.7120000000000004E-2</c:v>
                </c:pt>
                <c:pt idx="79">
                  <c:v>-5.9959999999999986E-2</c:v>
                </c:pt>
                <c:pt idx="80">
                  <c:v>-6.2799999999999967E-2</c:v>
                </c:pt>
                <c:pt idx="81">
                  <c:v>-6.5640000000000004E-2</c:v>
                </c:pt>
                <c:pt idx="82">
                  <c:v>-6.8479999999999958E-2</c:v>
                </c:pt>
                <c:pt idx="83">
                  <c:v>-7.1319999999999995E-2</c:v>
                </c:pt>
                <c:pt idx="84">
                  <c:v>-7.4159999999999976E-2</c:v>
                </c:pt>
                <c:pt idx="85">
                  <c:v>-7.7000000000000013E-2</c:v>
                </c:pt>
                <c:pt idx="86">
                  <c:v>-7.9839999999999967E-2</c:v>
                </c:pt>
                <c:pt idx="87">
                  <c:v>-8.2679999999999948E-2</c:v>
                </c:pt>
                <c:pt idx="88">
                  <c:v>-8.5519999999999985E-2</c:v>
                </c:pt>
                <c:pt idx="89">
                  <c:v>-8.8359999999999966E-2</c:v>
                </c:pt>
                <c:pt idx="90">
                  <c:v>-9.1200000000000003E-2</c:v>
                </c:pt>
                <c:pt idx="91">
                  <c:v>-9.4039999999999957E-2</c:v>
                </c:pt>
                <c:pt idx="92">
                  <c:v>-9.6879999999999994E-2</c:v>
                </c:pt>
                <c:pt idx="93">
                  <c:v>-9.9720000000000031E-2</c:v>
                </c:pt>
                <c:pt idx="94">
                  <c:v>-0.10255999999999996</c:v>
                </c:pt>
                <c:pt idx="95">
                  <c:v>-0.10539999999999999</c:v>
                </c:pt>
                <c:pt idx="96">
                  <c:v>-0.10824</c:v>
                </c:pt>
                <c:pt idx="97">
                  <c:v>-0.11107999999999993</c:v>
                </c:pt>
                <c:pt idx="98">
                  <c:v>-0.11391999999999997</c:v>
                </c:pt>
                <c:pt idx="99">
                  <c:v>-0.11676</c:v>
                </c:pt>
                <c:pt idx="100">
                  <c:v>-0.11960000000000004</c:v>
                </c:pt>
                <c:pt idx="101">
                  <c:v>-0.12243999999999994</c:v>
                </c:pt>
                <c:pt idx="102">
                  <c:v>-0.12527999999999997</c:v>
                </c:pt>
                <c:pt idx="103">
                  <c:v>-0.12812000000000001</c:v>
                </c:pt>
                <c:pt idx="104">
                  <c:v>-0.13095999999999991</c:v>
                </c:pt>
                <c:pt idx="105">
                  <c:v>-0.13379999999999997</c:v>
                </c:pt>
                <c:pt idx="106">
                  <c:v>-0.13663999999999998</c:v>
                </c:pt>
                <c:pt idx="107">
                  <c:v>-0.13948000000000005</c:v>
                </c:pt>
                <c:pt idx="108">
                  <c:v>-0.14231999999999995</c:v>
                </c:pt>
                <c:pt idx="109">
                  <c:v>-0.14515999999999996</c:v>
                </c:pt>
              </c:numCache>
            </c:numRef>
          </c:yVal>
          <c:smooth val="0"/>
          <c:extLst>
            <c:ext xmlns:c16="http://schemas.microsoft.com/office/drawing/2014/chart" uri="{C3380CC4-5D6E-409C-BE32-E72D297353CC}">
              <c16:uniqueId val="{00000001-6813-4FD3-BDF8-2339306C405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534046947564761"/>
          <c:y val="2.4937660317999408E-2"/>
          <c:w val="0.7195695763116341"/>
          <c:h val="0.7126218416795516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878718145475219"/>
                  <c:y val="-0.573033507020476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supplement_LWG!$S$92:$S$201</c:f>
              <c:numCache>
                <c:formatCode>0.000</c:formatCode>
                <c:ptCount val="110"/>
                <c:pt idx="0">
                  <c:v>11.684699999999998</c:v>
                </c:pt>
                <c:pt idx="1">
                  <c:v>11.684359999999998</c:v>
                </c:pt>
                <c:pt idx="2">
                  <c:v>11.680279999999998</c:v>
                </c:pt>
                <c:pt idx="3">
                  <c:v>11.672459999999997</c:v>
                </c:pt>
                <c:pt idx="4">
                  <c:v>11.660899999999998</c:v>
                </c:pt>
                <c:pt idx="5">
                  <c:v>11.645599999999998</c:v>
                </c:pt>
                <c:pt idx="6">
                  <c:v>11.626559999999998</c:v>
                </c:pt>
                <c:pt idx="7">
                  <c:v>11.603779999999997</c:v>
                </c:pt>
                <c:pt idx="8">
                  <c:v>11.577259999999997</c:v>
                </c:pt>
                <c:pt idx="9">
                  <c:v>11.546999999999997</c:v>
                </c:pt>
                <c:pt idx="10">
                  <c:v>11.512999999999996</c:v>
                </c:pt>
                <c:pt idx="11">
                  <c:v>11.475259999999997</c:v>
                </c:pt>
                <c:pt idx="12">
                  <c:v>11.433779999999997</c:v>
                </c:pt>
                <c:pt idx="13">
                  <c:v>11.388559999999996</c:v>
                </c:pt>
                <c:pt idx="14">
                  <c:v>11.339599999999997</c:v>
                </c:pt>
                <c:pt idx="15">
                  <c:v>11.286899999999997</c:v>
                </c:pt>
                <c:pt idx="16">
                  <c:v>11.230459999999997</c:v>
                </c:pt>
                <c:pt idx="17">
                  <c:v>11.170279999999996</c:v>
                </c:pt>
                <c:pt idx="18">
                  <c:v>11.106359999999997</c:v>
                </c:pt>
                <c:pt idx="19">
                  <c:v>11.038699999999997</c:v>
                </c:pt>
                <c:pt idx="20">
                  <c:v>10.967299999999996</c:v>
                </c:pt>
                <c:pt idx="21">
                  <c:v>10.892159999999997</c:v>
                </c:pt>
                <c:pt idx="22">
                  <c:v>10.813279999999997</c:v>
                </c:pt>
                <c:pt idx="23">
                  <c:v>10.730659999999997</c:v>
                </c:pt>
                <c:pt idx="24">
                  <c:v>10.644299999999998</c:v>
                </c:pt>
                <c:pt idx="25">
                  <c:v>10.554199999999998</c:v>
                </c:pt>
                <c:pt idx="26">
                  <c:v>10.460359999999998</c:v>
                </c:pt>
                <c:pt idx="27">
                  <c:v>10.362779999999997</c:v>
                </c:pt>
                <c:pt idx="28">
                  <c:v>10.261459999999998</c:v>
                </c:pt>
                <c:pt idx="29">
                  <c:v>10.156399999999998</c:v>
                </c:pt>
                <c:pt idx="30">
                  <c:v>10.047599999999997</c:v>
                </c:pt>
                <c:pt idx="31">
                  <c:v>9.9350599999999982</c:v>
                </c:pt>
                <c:pt idx="32">
                  <c:v>9.8187799999999985</c:v>
                </c:pt>
                <c:pt idx="33">
                  <c:v>9.6987599999999983</c:v>
                </c:pt>
                <c:pt idx="34">
                  <c:v>9.5749999999999975</c:v>
                </c:pt>
                <c:pt idx="35">
                  <c:v>9.447499999999998</c:v>
                </c:pt>
                <c:pt idx="36">
                  <c:v>9.316259999999998</c:v>
                </c:pt>
                <c:pt idx="37">
                  <c:v>9.1812799999999974</c:v>
                </c:pt>
                <c:pt idx="38">
                  <c:v>9.0425599999999982</c:v>
                </c:pt>
                <c:pt idx="39">
                  <c:v>8.9000999999999983</c:v>
                </c:pt>
                <c:pt idx="40">
                  <c:v>8.753899999999998</c:v>
                </c:pt>
                <c:pt idx="41">
                  <c:v>8.6039599999999972</c:v>
                </c:pt>
                <c:pt idx="42">
                  <c:v>8.4502799999999976</c:v>
                </c:pt>
                <c:pt idx="43">
                  <c:v>8.2928599999999975</c:v>
                </c:pt>
                <c:pt idx="44">
                  <c:v>8.1316999999999968</c:v>
                </c:pt>
                <c:pt idx="45">
                  <c:v>7.9667999999999966</c:v>
                </c:pt>
                <c:pt idx="46">
                  <c:v>7.7981599999999966</c:v>
                </c:pt>
                <c:pt idx="47">
                  <c:v>7.6257799999999971</c:v>
                </c:pt>
                <c:pt idx="48">
                  <c:v>7.4496599999999971</c:v>
                </c:pt>
                <c:pt idx="49">
                  <c:v>7.2697999999999974</c:v>
                </c:pt>
                <c:pt idx="50">
                  <c:v>7.0861999999999972</c:v>
                </c:pt>
                <c:pt idx="51">
                  <c:v>6.8988599999999973</c:v>
                </c:pt>
                <c:pt idx="52">
                  <c:v>6.707779999999997</c:v>
                </c:pt>
                <c:pt idx="53">
                  <c:v>6.512959999999997</c:v>
                </c:pt>
                <c:pt idx="54">
                  <c:v>6.3143999999999973</c:v>
                </c:pt>
                <c:pt idx="55">
                  <c:v>6.1120999999999972</c:v>
                </c:pt>
                <c:pt idx="56">
                  <c:v>5.9060599999999974</c:v>
                </c:pt>
                <c:pt idx="57">
                  <c:v>5.6962799999999971</c:v>
                </c:pt>
                <c:pt idx="58">
                  <c:v>5.4827599999999972</c:v>
                </c:pt>
                <c:pt idx="59">
                  <c:v>5.2654999999999976</c:v>
                </c:pt>
                <c:pt idx="60">
                  <c:v>5.0444999999999975</c:v>
                </c:pt>
                <c:pt idx="61">
                  <c:v>4.8197599999999978</c:v>
                </c:pt>
                <c:pt idx="62">
                  <c:v>4.5912799999999976</c:v>
                </c:pt>
                <c:pt idx="63">
                  <c:v>4.3590599999999977</c:v>
                </c:pt>
                <c:pt idx="64">
                  <c:v>4.1230999999999973</c:v>
                </c:pt>
                <c:pt idx="65">
                  <c:v>3.8833999999999973</c:v>
                </c:pt>
                <c:pt idx="66">
                  <c:v>3.6399599999999972</c:v>
                </c:pt>
                <c:pt idx="67">
                  <c:v>3.392779999999997</c:v>
                </c:pt>
                <c:pt idx="68">
                  <c:v>3.1418599999999968</c:v>
                </c:pt>
                <c:pt idx="69">
                  <c:v>2.8871999999999964</c:v>
                </c:pt>
                <c:pt idx="70">
                  <c:v>2.6287999999999965</c:v>
                </c:pt>
                <c:pt idx="71">
                  <c:v>2.3666599999999964</c:v>
                </c:pt>
                <c:pt idx="72">
                  <c:v>2.1007799999999963</c:v>
                </c:pt>
                <c:pt idx="73">
                  <c:v>1.8311599999999963</c:v>
                </c:pt>
                <c:pt idx="74">
                  <c:v>1.5577999999999963</c:v>
                </c:pt>
                <c:pt idx="75">
                  <c:v>1.2806999999999962</c:v>
                </c:pt>
                <c:pt idx="76">
                  <c:v>0.9998599999999962</c:v>
                </c:pt>
                <c:pt idx="77">
                  <c:v>0.71527999999999614</c:v>
                </c:pt>
                <c:pt idx="78">
                  <c:v>0.42695999999999606</c:v>
                </c:pt>
                <c:pt idx="79">
                  <c:v>0.13489999999999597</c:v>
                </c:pt>
                <c:pt idx="80">
                  <c:v>-0.1609000000000041</c:v>
                </c:pt>
                <c:pt idx="81">
                  <c:v>-0.46044000000000418</c:v>
                </c:pt>
                <c:pt idx="82">
                  <c:v>-0.76372000000000428</c:v>
                </c:pt>
                <c:pt idx="83">
                  <c:v>-1.0707400000000042</c:v>
                </c:pt>
                <c:pt idx="84">
                  <c:v>-1.3815000000000044</c:v>
                </c:pt>
                <c:pt idx="85">
                  <c:v>-1.6960000000000044</c:v>
                </c:pt>
                <c:pt idx="86">
                  <c:v>-2.0142400000000045</c:v>
                </c:pt>
                <c:pt idx="87">
                  <c:v>-2.3362200000000044</c:v>
                </c:pt>
                <c:pt idx="88">
                  <c:v>-2.6619400000000044</c:v>
                </c:pt>
                <c:pt idx="89">
                  <c:v>-2.9914000000000045</c:v>
                </c:pt>
                <c:pt idx="90">
                  <c:v>-3.3246000000000047</c:v>
                </c:pt>
                <c:pt idx="91">
                  <c:v>-3.6615400000000049</c:v>
                </c:pt>
                <c:pt idx="92">
                  <c:v>-4.0022200000000048</c:v>
                </c:pt>
                <c:pt idx="93">
                  <c:v>-4.3466400000000052</c:v>
                </c:pt>
                <c:pt idx="94">
                  <c:v>-4.6948000000000052</c:v>
                </c:pt>
                <c:pt idx="95">
                  <c:v>-5.0467000000000048</c:v>
                </c:pt>
                <c:pt idx="96">
                  <c:v>-5.402340000000005</c:v>
                </c:pt>
                <c:pt idx="97">
                  <c:v>-5.7617200000000048</c:v>
                </c:pt>
                <c:pt idx="98">
                  <c:v>-6.1248400000000052</c:v>
                </c:pt>
                <c:pt idx="99">
                  <c:v>-6.4917000000000051</c:v>
                </c:pt>
                <c:pt idx="100">
                  <c:v>-6.8623000000000047</c:v>
                </c:pt>
                <c:pt idx="101">
                  <c:v>-7.2366400000000048</c:v>
                </c:pt>
                <c:pt idx="102">
                  <c:v>-7.6147200000000046</c:v>
                </c:pt>
                <c:pt idx="103">
                  <c:v>-7.9965400000000049</c:v>
                </c:pt>
                <c:pt idx="104">
                  <c:v>-8.3821000000000048</c:v>
                </c:pt>
                <c:pt idx="105">
                  <c:v>-8.7714000000000052</c:v>
                </c:pt>
                <c:pt idx="106">
                  <c:v>-9.1644400000000061</c:v>
                </c:pt>
                <c:pt idx="107">
                  <c:v>-9.5612200000000058</c:v>
                </c:pt>
                <c:pt idx="108">
                  <c:v>-9.961740000000006</c:v>
                </c:pt>
                <c:pt idx="109">
                  <c:v>-10.366000000000007</c:v>
                </c:pt>
              </c:numCache>
            </c:numRef>
          </c:yVal>
          <c:smooth val="0"/>
          <c:extLst>
            <c:ext xmlns:c16="http://schemas.microsoft.com/office/drawing/2014/chart" uri="{C3380CC4-5D6E-409C-BE32-E72D297353CC}">
              <c16:uniqueId val="{00000001-05FF-42A0-B385-DB4CAE7C352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supplement_LWG!$AA$3:$AA$202</c:f>
              <c:numCache>
                <c:formatCode>0.000</c:formatCode>
                <c:ptCount val="200"/>
                <c:pt idx="0">
                  <c:v>0.29572000000000004</c:v>
                </c:pt>
                <c:pt idx="1">
                  <c:v>0.58716000000000002</c:v>
                </c:pt>
                <c:pt idx="2">
                  <c:v>0.87431999999999999</c:v>
                </c:pt>
                <c:pt idx="3">
                  <c:v>1.1572</c:v>
                </c:pt>
                <c:pt idx="4">
                  <c:v>1.4358</c:v>
                </c:pt>
                <c:pt idx="5">
                  <c:v>1.7101199999999999</c:v>
                </c:pt>
                <c:pt idx="6">
                  <c:v>1.9801599999999999</c:v>
                </c:pt>
                <c:pt idx="7">
                  <c:v>2.2459199999999999</c:v>
                </c:pt>
                <c:pt idx="8">
                  <c:v>2.5074000000000001</c:v>
                </c:pt>
                <c:pt idx="9">
                  <c:v>2.7646000000000002</c:v>
                </c:pt>
                <c:pt idx="10">
                  <c:v>3.0175200000000002</c:v>
                </c:pt>
                <c:pt idx="11">
                  <c:v>3.2661600000000002</c:v>
                </c:pt>
                <c:pt idx="12">
                  <c:v>3.5105200000000001</c:v>
                </c:pt>
                <c:pt idx="13">
                  <c:v>3.7505999999999999</c:v>
                </c:pt>
                <c:pt idx="14">
                  <c:v>3.9863999999999997</c:v>
                </c:pt>
                <c:pt idx="15">
                  <c:v>4.2179199999999994</c:v>
                </c:pt>
                <c:pt idx="16">
                  <c:v>4.4451599999999996</c:v>
                </c:pt>
                <c:pt idx="17">
                  <c:v>4.6681199999999992</c:v>
                </c:pt>
                <c:pt idx="18">
                  <c:v>4.8867999999999991</c:v>
                </c:pt>
                <c:pt idx="19">
                  <c:v>5.1011999999999995</c:v>
                </c:pt>
                <c:pt idx="20">
                  <c:v>5.3113199999999994</c:v>
                </c:pt>
                <c:pt idx="21">
                  <c:v>5.5171599999999996</c:v>
                </c:pt>
                <c:pt idx="22">
                  <c:v>5.7187199999999994</c:v>
                </c:pt>
                <c:pt idx="23">
                  <c:v>5.9159999999999995</c:v>
                </c:pt>
                <c:pt idx="24">
                  <c:v>6.1089999999999991</c:v>
                </c:pt>
                <c:pt idx="25">
                  <c:v>6.2977199999999991</c:v>
                </c:pt>
                <c:pt idx="26">
                  <c:v>6.4821599999999995</c:v>
                </c:pt>
                <c:pt idx="27">
                  <c:v>6.6623199999999994</c:v>
                </c:pt>
                <c:pt idx="28">
                  <c:v>6.8381999999999996</c:v>
                </c:pt>
                <c:pt idx="29">
                  <c:v>7.0097999999999994</c:v>
                </c:pt>
                <c:pt idx="30">
                  <c:v>7.1771199999999995</c:v>
                </c:pt>
                <c:pt idx="31">
                  <c:v>7.3401599999999991</c:v>
                </c:pt>
                <c:pt idx="32">
                  <c:v>7.4989199999999991</c:v>
                </c:pt>
                <c:pt idx="33">
                  <c:v>7.6533999999999995</c:v>
                </c:pt>
                <c:pt idx="34">
                  <c:v>7.8035999999999994</c:v>
                </c:pt>
                <c:pt idx="35">
                  <c:v>7.9495199999999997</c:v>
                </c:pt>
                <c:pt idx="36">
                  <c:v>8.0911600000000004</c:v>
                </c:pt>
                <c:pt idx="37">
                  <c:v>8.2285199999999996</c:v>
                </c:pt>
                <c:pt idx="38">
                  <c:v>8.3615999999999993</c:v>
                </c:pt>
                <c:pt idx="39">
                  <c:v>8.4903999999999993</c:v>
                </c:pt>
                <c:pt idx="40">
                  <c:v>8.6149199999999997</c:v>
                </c:pt>
                <c:pt idx="41">
                  <c:v>8.7351600000000005</c:v>
                </c:pt>
                <c:pt idx="42">
                  <c:v>8.8511199999999999</c:v>
                </c:pt>
                <c:pt idx="43">
                  <c:v>8.9627999999999997</c:v>
                </c:pt>
                <c:pt idx="44">
                  <c:v>9.0701999999999998</c:v>
                </c:pt>
                <c:pt idx="45">
                  <c:v>9.1733200000000004</c:v>
                </c:pt>
                <c:pt idx="46">
                  <c:v>9.2721599999999995</c:v>
                </c:pt>
                <c:pt idx="47">
                  <c:v>9.366719999999999</c:v>
                </c:pt>
                <c:pt idx="48">
                  <c:v>9.456999999999999</c:v>
                </c:pt>
                <c:pt idx="49">
                  <c:v>9.5429999999999993</c:v>
                </c:pt>
                <c:pt idx="50">
                  <c:v>9.6247199999999999</c:v>
                </c:pt>
                <c:pt idx="51">
                  <c:v>9.7021599999999992</c:v>
                </c:pt>
                <c:pt idx="52">
                  <c:v>9.7753199999999989</c:v>
                </c:pt>
                <c:pt idx="53">
                  <c:v>9.844199999999999</c:v>
                </c:pt>
                <c:pt idx="54">
                  <c:v>9.9087999999999994</c:v>
                </c:pt>
                <c:pt idx="55">
                  <c:v>9.9691200000000002</c:v>
                </c:pt>
                <c:pt idx="56">
                  <c:v>10.02516</c:v>
                </c:pt>
                <c:pt idx="57">
                  <c:v>10.076919999999999</c:v>
                </c:pt>
                <c:pt idx="58">
                  <c:v>10.1244</c:v>
                </c:pt>
                <c:pt idx="59">
                  <c:v>10.1676</c:v>
                </c:pt>
                <c:pt idx="60">
                  <c:v>10.206519999999999</c:v>
                </c:pt>
                <c:pt idx="61">
                  <c:v>10.241159999999999</c:v>
                </c:pt>
                <c:pt idx="62">
                  <c:v>10.271519999999999</c:v>
                </c:pt>
                <c:pt idx="63">
                  <c:v>10.297599999999999</c:v>
                </c:pt>
                <c:pt idx="64">
                  <c:v>10.3194</c:v>
                </c:pt>
                <c:pt idx="65">
                  <c:v>10.336919999999999</c:v>
                </c:pt>
                <c:pt idx="66">
                  <c:v>10.350159999999999</c:v>
                </c:pt>
                <c:pt idx="67">
                  <c:v>10.359119999999999</c:v>
                </c:pt>
                <c:pt idx="68">
                  <c:v>10.363799999999999</c:v>
                </c:pt>
                <c:pt idx="69">
                  <c:v>10.3642</c:v>
                </c:pt>
                <c:pt idx="70">
                  <c:v>10.36032</c:v>
                </c:pt>
                <c:pt idx="71">
                  <c:v>10.35216</c:v>
                </c:pt>
                <c:pt idx="72">
                  <c:v>10.33972</c:v>
                </c:pt>
                <c:pt idx="73">
                  <c:v>10.323</c:v>
                </c:pt>
                <c:pt idx="74">
                  <c:v>10.302</c:v>
                </c:pt>
                <c:pt idx="75">
                  <c:v>10.276719999999999</c:v>
                </c:pt>
                <c:pt idx="76">
                  <c:v>10.247159999999999</c:v>
                </c:pt>
                <c:pt idx="77">
                  <c:v>10.21332</c:v>
                </c:pt>
                <c:pt idx="78">
                  <c:v>10.1752</c:v>
                </c:pt>
                <c:pt idx="79">
                  <c:v>10.1328</c:v>
                </c:pt>
                <c:pt idx="80">
                  <c:v>10.086119999999999</c:v>
                </c:pt>
                <c:pt idx="81">
                  <c:v>10.035159999999999</c:v>
                </c:pt>
                <c:pt idx="82">
                  <c:v>9.9799199999999999</c:v>
                </c:pt>
                <c:pt idx="83">
                  <c:v>9.920399999999999</c:v>
                </c:pt>
                <c:pt idx="84">
                  <c:v>9.8565999999999985</c:v>
                </c:pt>
                <c:pt idx="85">
                  <c:v>9.7885199999999983</c:v>
                </c:pt>
                <c:pt idx="86">
                  <c:v>9.7161599999999986</c:v>
                </c:pt>
                <c:pt idx="87">
                  <c:v>9.6395199999999992</c:v>
                </c:pt>
                <c:pt idx="88">
                  <c:v>9.5585999999999984</c:v>
                </c:pt>
                <c:pt idx="89">
                  <c:v>9.473399999999998</c:v>
                </c:pt>
                <c:pt idx="90">
                  <c:v>9.4239199999999972</c:v>
                </c:pt>
                <c:pt idx="91">
                  <c:v>9.3701599999999967</c:v>
                </c:pt>
                <c:pt idx="92">
                  <c:v>9.3121199999999966</c:v>
                </c:pt>
                <c:pt idx="93">
                  <c:v>9.2497999999999969</c:v>
                </c:pt>
                <c:pt idx="94">
                  <c:v>9.1831999999999976</c:v>
                </c:pt>
                <c:pt idx="95">
                  <c:v>9.1123199999999969</c:v>
                </c:pt>
                <c:pt idx="96">
                  <c:v>9.0371599999999965</c:v>
                </c:pt>
                <c:pt idx="97">
                  <c:v>8.9577199999999966</c:v>
                </c:pt>
                <c:pt idx="98">
                  <c:v>8.873999999999997</c:v>
                </c:pt>
                <c:pt idx="99">
                  <c:v>8.7859999999999978</c:v>
                </c:pt>
                <c:pt idx="100">
                  <c:v>8.6937199999999972</c:v>
                </c:pt>
                <c:pt idx="101">
                  <c:v>8.597159999999997</c:v>
                </c:pt>
                <c:pt idx="102">
                  <c:v>8.4963199999999972</c:v>
                </c:pt>
                <c:pt idx="103">
                  <c:v>8.3911999999999978</c:v>
                </c:pt>
                <c:pt idx="104">
                  <c:v>8.2817999999999969</c:v>
                </c:pt>
                <c:pt idx="105">
                  <c:v>8.1681199999999965</c:v>
                </c:pt>
                <c:pt idx="106">
                  <c:v>8.0501599999999964</c:v>
                </c:pt>
                <c:pt idx="107">
                  <c:v>7.9279199999999967</c:v>
                </c:pt>
                <c:pt idx="108">
                  <c:v>7.8013999999999966</c:v>
                </c:pt>
                <c:pt idx="109">
                  <c:v>7.6705999999999968</c:v>
                </c:pt>
                <c:pt idx="110">
                  <c:v>7.5355199999999964</c:v>
                </c:pt>
                <c:pt idx="111">
                  <c:v>7.3961599999999965</c:v>
                </c:pt>
                <c:pt idx="112">
                  <c:v>7.2525199999999961</c:v>
                </c:pt>
                <c:pt idx="113">
                  <c:v>7.104599999999996</c:v>
                </c:pt>
                <c:pt idx="114">
                  <c:v>6.9523999999999964</c:v>
                </c:pt>
                <c:pt idx="115">
                  <c:v>6.7959199999999962</c:v>
                </c:pt>
                <c:pt idx="116">
                  <c:v>6.6351599999999964</c:v>
                </c:pt>
                <c:pt idx="117">
                  <c:v>6.4701199999999961</c:v>
                </c:pt>
                <c:pt idx="118">
                  <c:v>6.3007999999999962</c:v>
                </c:pt>
                <c:pt idx="119">
                  <c:v>6.1271999999999958</c:v>
                </c:pt>
                <c:pt idx="120">
                  <c:v>5.9493199999999957</c:v>
                </c:pt>
                <c:pt idx="121">
                  <c:v>5.7671599999999961</c:v>
                </c:pt>
                <c:pt idx="122">
                  <c:v>5.5807199999999959</c:v>
                </c:pt>
                <c:pt idx="123">
                  <c:v>5.3899999999999961</c:v>
                </c:pt>
                <c:pt idx="124">
                  <c:v>5.1949999999999958</c:v>
                </c:pt>
                <c:pt idx="125">
                  <c:v>4.9957199999999959</c:v>
                </c:pt>
                <c:pt idx="126">
                  <c:v>4.7921599999999955</c:v>
                </c:pt>
                <c:pt idx="127">
                  <c:v>4.5843199999999955</c:v>
                </c:pt>
                <c:pt idx="128">
                  <c:v>4.3721999999999959</c:v>
                </c:pt>
                <c:pt idx="129">
                  <c:v>4.1557999999999957</c:v>
                </c:pt>
                <c:pt idx="130">
                  <c:v>3.9351199999999955</c:v>
                </c:pt>
                <c:pt idx="131">
                  <c:v>3.7101599999999957</c:v>
                </c:pt>
                <c:pt idx="132">
                  <c:v>3.4809199999999958</c:v>
                </c:pt>
                <c:pt idx="133">
                  <c:v>3.2473999999999958</c:v>
                </c:pt>
                <c:pt idx="134">
                  <c:v>3.0095999999999958</c:v>
                </c:pt>
                <c:pt idx="135">
                  <c:v>2.7675199999999958</c:v>
                </c:pt>
                <c:pt idx="136">
                  <c:v>2.5211599999999956</c:v>
                </c:pt>
                <c:pt idx="137">
                  <c:v>2.2705199999999954</c:v>
                </c:pt>
                <c:pt idx="138">
                  <c:v>2.0155999999999952</c:v>
                </c:pt>
                <c:pt idx="139">
                  <c:v>1.7563999999999951</c:v>
                </c:pt>
                <c:pt idx="140">
                  <c:v>1.4929199999999949</c:v>
                </c:pt>
                <c:pt idx="141">
                  <c:v>1.2251599999999949</c:v>
                </c:pt>
                <c:pt idx="142">
                  <c:v>0.95311999999999486</c:v>
                </c:pt>
                <c:pt idx="143">
                  <c:v>0.67679999999999474</c:v>
                </c:pt>
                <c:pt idx="144">
                  <c:v>0.39619999999999472</c:v>
                </c:pt>
                <c:pt idx="145">
                  <c:v>0.1113199999999947</c:v>
                </c:pt>
                <c:pt idx="146">
                  <c:v>-0.17784000000000538</c:v>
                </c:pt>
                <c:pt idx="147">
                  <c:v>-0.47128000000000547</c:v>
                </c:pt>
                <c:pt idx="148">
                  <c:v>-0.76900000000000546</c:v>
                </c:pt>
                <c:pt idx="149">
                  <c:v>-1.0710000000000055</c:v>
                </c:pt>
                <c:pt idx="150">
                  <c:v>-1.3772800000000056</c:v>
                </c:pt>
                <c:pt idx="151">
                  <c:v>-1.6878400000000058</c:v>
                </c:pt>
                <c:pt idx="152">
                  <c:v>-2.002680000000006</c:v>
                </c:pt>
                <c:pt idx="153">
                  <c:v>-2.3218000000000059</c:v>
                </c:pt>
                <c:pt idx="154">
                  <c:v>-2.6452000000000062</c:v>
                </c:pt>
                <c:pt idx="155">
                  <c:v>-2.9728800000000062</c:v>
                </c:pt>
                <c:pt idx="156">
                  <c:v>-3.3048400000000062</c:v>
                </c:pt>
                <c:pt idx="157">
                  <c:v>-3.6410800000000063</c:v>
                </c:pt>
                <c:pt idx="158">
                  <c:v>-3.9816000000000065</c:v>
                </c:pt>
                <c:pt idx="159">
                  <c:v>-4.3264000000000067</c:v>
                </c:pt>
                <c:pt idx="160">
                  <c:v>-4.6754800000000065</c:v>
                </c:pt>
                <c:pt idx="161">
                  <c:v>-5.0288400000000069</c:v>
                </c:pt>
                <c:pt idx="162">
                  <c:v>-5.3864800000000068</c:v>
                </c:pt>
                <c:pt idx="163">
                  <c:v>-5.7484000000000073</c:v>
                </c:pt>
                <c:pt idx="164">
                  <c:v>-6.1146000000000074</c:v>
                </c:pt>
                <c:pt idx="165">
                  <c:v>-6.4850800000000071</c:v>
                </c:pt>
                <c:pt idx="166">
                  <c:v>-6.8598400000000073</c:v>
                </c:pt>
                <c:pt idx="167">
                  <c:v>-7.2388800000000071</c:v>
                </c:pt>
                <c:pt idx="168">
                  <c:v>-7.6222000000000074</c:v>
                </c:pt>
                <c:pt idx="169">
                  <c:v>-8.0098000000000074</c:v>
                </c:pt>
                <c:pt idx="170">
                  <c:v>-8.4016800000000078</c:v>
                </c:pt>
                <c:pt idx="171">
                  <c:v>-8.7978400000000079</c:v>
                </c:pt>
                <c:pt idx="172">
                  <c:v>-9.1982800000000076</c:v>
                </c:pt>
                <c:pt idx="173">
                  <c:v>-9.6030000000000069</c:v>
                </c:pt>
                <c:pt idx="174">
                  <c:v>-10.012000000000008</c:v>
                </c:pt>
                <c:pt idx="175">
                  <c:v>-10.425280000000008</c:v>
                </c:pt>
                <c:pt idx="176">
                  <c:v>-10.842840000000008</c:v>
                </c:pt>
                <c:pt idx="177">
                  <c:v>-11.264680000000007</c:v>
                </c:pt>
                <c:pt idx="178">
                  <c:v>-11.690800000000007</c:v>
                </c:pt>
                <c:pt idx="179">
                  <c:v>-12.121200000000007</c:v>
                </c:pt>
                <c:pt idx="180">
                  <c:v>-12.555880000000007</c:v>
                </c:pt>
                <c:pt idx="181">
                  <c:v>-12.994840000000007</c:v>
                </c:pt>
                <c:pt idx="182">
                  <c:v>-13.438080000000006</c:v>
                </c:pt>
                <c:pt idx="183">
                  <c:v>-13.885600000000007</c:v>
                </c:pt>
                <c:pt idx="184">
                  <c:v>-14.337400000000008</c:v>
                </c:pt>
                <c:pt idx="185">
                  <c:v>-14.793480000000008</c:v>
                </c:pt>
                <c:pt idx="186">
                  <c:v>-15.253840000000007</c:v>
                </c:pt>
                <c:pt idx="187">
                  <c:v>-15.718480000000007</c:v>
                </c:pt>
                <c:pt idx="188">
                  <c:v>-16.187400000000007</c:v>
                </c:pt>
                <c:pt idx="189">
                  <c:v>-16.660600000000006</c:v>
                </c:pt>
                <c:pt idx="190">
                  <c:v>-17.138080000000006</c:v>
                </c:pt>
                <c:pt idx="191">
                  <c:v>-17.619840000000007</c:v>
                </c:pt>
                <c:pt idx="192">
                  <c:v>-18.105880000000006</c:v>
                </c:pt>
                <c:pt idx="193">
                  <c:v>-18.596200000000007</c:v>
                </c:pt>
                <c:pt idx="194">
                  <c:v>-19.090800000000005</c:v>
                </c:pt>
                <c:pt idx="195">
                  <c:v>-19.589680000000005</c:v>
                </c:pt>
                <c:pt idx="196">
                  <c:v>-20.092840000000006</c:v>
                </c:pt>
                <c:pt idx="197">
                  <c:v>-20.600280000000005</c:v>
                </c:pt>
                <c:pt idx="198">
                  <c:v>-21.112000000000005</c:v>
                </c:pt>
                <c:pt idx="199">
                  <c:v>-21.628000000000007</c:v>
                </c:pt>
              </c:numCache>
            </c:numRef>
          </c:yVal>
          <c:smooth val="0"/>
          <c:extLst>
            <c:ext xmlns:c16="http://schemas.microsoft.com/office/drawing/2014/chart" uri="{C3380CC4-5D6E-409C-BE32-E72D297353CC}">
              <c16:uniqueId val="{00000001-D5F6-49A9-BBCE-D1DFB058464C}"/>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195574905188688"/>
          <c:y val="0.16839954597048809"/>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55052493438321"/>
                  <c:y val="-0.494509696704578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supplement_LWG!$A$3:$B$92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supplement_LWG!$AA$3:$AA$92</c:f>
              <c:numCache>
                <c:formatCode>0.000</c:formatCode>
                <c:ptCount val="90"/>
                <c:pt idx="0">
                  <c:v>0.29572000000000004</c:v>
                </c:pt>
                <c:pt idx="1">
                  <c:v>0.58716000000000002</c:v>
                </c:pt>
                <c:pt idx="2">
                  <c:v>0.87431999999999999</c:v>
                </c:pt>
                <c:pt idx="3">
                  <c:v>1.1572</c:v>
                </c:pt>
                <c:pt idx="4">
                  <c:v>1.4358</c:v>
                </c:pt>
                <c:pt idx="5">
                  <c:v>1.7101199999999999</c:v>
                </c:pt>
                <c:pt idx="6">
                  <c:v>1.9801599999999999</c:v>
                </c:pt>
                <c:pt idx="7">
                  <c:v>2.2459199999999999</c:v>
                </c:pt>
                <c:pt idx="8">
                  <c:v>2.5074000000000001</c:v>
                </c:pt>
                <c:pt idx="9">
                  <c:v>2.7646000000000002</c:v>
                </c:pt>
                <c:pt idx="10">
                  <c:v>3.0175200000000002</c:v>
                </c:pt>
                <c:pt idx="11">
                  <c:v>3.2661600000000002</c:v>
                </c:pt>
                <c:pt idx="12">
                  <c:v>3.5105200000000001</c:v>
                </c:pt>
                <c:pt idx="13">
                  <c:v>3.7505999999999999</c:v>
                </c:pt>
                <c:pt idx="14">
                  <c:v>3.9863999999999997</c:v>
                </c:pt>
                <c:pt idx="15">
                  <c:v>4.2179199999999994</c:v>
                </c:pt>
                <c:pt idx="16">
                  <c:v>4.4451599999999996</c:v>
                </c:pt>
                <c:pt idx="17">
                  <c:v>4.6681199999999992</c:v>
                </c:pt>
                <c:pt idx="18">
                  <c:v>4.8867999999999991</c:v>
                </c:pt>
                <c:pt idx="19">
                  <c:v>5.1011999999999995</c:v>
                </c:pt>
                <c:pt idx="20">
                  <c:v>5.3113199999999994</c:v>
                </c:pt>
                <c:pt idx="21">
                  <c:v>5.5171599999999996</c:v>
                </c:pt>
                <c:pt idx="22">
                  <c:v>5.7187199999999994</c:v>
                </c:pt>
                <c:pt idx="23">
                  <c:v>5.9159999999999995</c:v>
                </c:pt>
                <c:pt idx="24">
                  <c:v>6.1089999999999991</c:v>
                </c:pt>
                <c:pt idx="25">
                  <c:v>6.2977199999999991</c:v>
                </c:pt>
                <c:pt idx="26">
                  <c:v>6.4821599999999995</c:v>
                </c:pt>
                <c:pt idx="27">
                  <c:v>6.6623199999999994</c:v>
                </c:pt>
                <c:pt idx="28">
                  <c:v>6.8381999999999996</c:v>
                </c:pt>
                <c:pt idx="29">
                  <c:v>7.0097999999999994</c:v>
                </c:pt>
                <c:pt idx="30">
                  <c:v>7.1771199999999995</c:v>
                </c:pt>
                <c:pt idx="31">
                  <c:v>7.3401599999999991</c:v>
                </c:pt>
                <c:pt idx="32">
                  <c:v>7.4989199999999991</c:v>
                </c:pt>
                <c:pt idx="33">
                  <c:v>7.6533999999999995</c:v>
                </c:pt>
                <c:pt idx="34">
                  <c:v>7.8035999999999994</c:v>
                </c:pt>
                <c:pt idx="35">
                  <c:v>7.9495199999999997</c:v>
                </c:pt>
                <c:pt idx="36">
                  <c:v>8.0911600000000004</c:v>
                </c:pt>
                <c:pt idx="37">
                  <c:v>8.2285199999999996</c:v>
                </c:pt>
                <c:pt idx="38">
                  <c:v>8.3615999999999993</c:v>
                </c:pt>
                <c:pt idx="39">
                  <c:v>8.4903999999999993</c:v>
                </c:pt>
                <c:pt idx="40">
                  <c:v>8.6149199999999997</c:v>
                </c:pt>
                <c:pt idx="41">
                  <c:v>8.7351600000000005</c:v>
                </c:pt>
                <c:pt idx="42">
                  <c:v>8.8511199999999999</c:v>
                </c:pt>
                <c:pt idx="43">
                  <c:v>8.9627999999999997</c:v>
                </c:pt>
                <c:pt idx="44">
                  <c:v>9.0701999999999998</c:v>
                </c:pt>
                <c:pt idx="45">
                  <c:v>9.1733200000000004</c:v>
                </c:pt>
                <c:pt idx="46">
                  <c:v>9.2721599999999995</c:v>
                </c:pt>
                <c:pt idx="47">
                  <c:v>9.366719999999999</c:v>
                </c:pt>
                <c:pt idx="48">
                  <c:v>9.456999999999999</c:v>
                </c:pt>
                <c:pt idx="49">
                  <c:v>9.5429999999999993</c:v>
                </c:pt>
                <c:pt idx="50">
                  <c:v>9.6247199999999999</c:v>
                </c:pt>
                <c:pt idx="51">
                  <c:v>9.7021599999999992</c:v>
                </c:pt>
                <c:pt idx="52">
                  <c:v>9.7753199999999989</c:v>
                </c:pt>
                <c:pt idx="53">
                  <c:v>9.844199999999999</c:v>
                </c:pt>
                <c:pt idx="54">
                  <c:v>9.9087999999999994</c:v>
                </c:pt>
                <c:pt idx="55">
                  <c:v>9.9691200000000002</c:v>
                </c:pt>
                <c:pt idx="56">
                  <c:v>10.02516</c:v>
                </c:pt>
                <c:pt idx="57">
                  <c:v>10.076919999999999</c:v>
                </c:pt>
                <c:pt idx="58">
                  <c:v>10.1244</c:v>
                </c:pt>
                <c:pt idx="59">
                  <c:v>10.1676</c:v>
                </c:pt>
                <c:pt idx="60">
                  <c:v>10.206519999999999</c:v>
                </c:pt>
                <c:pt idx="61">
                  <c:v>10.241159999999999</c:v>
                </c:pt>
                <c:pt idx="62">
                  <c:v>10.271519999999999</c:v>
                </c:pt>
                <c:pt idx="63">
                  <c:v>10.297599999999999</c:v>
                </c:pt>
                <c:pt idx="64">
                  <c:v>10.3194</c:v>
                </c:pt>
                <c:pt idx="65">
                  <c:v>10.336919999999999</c:v>
                </c:pt>
                <c:pt idx="66">
                  <c:v>10.350159999999999</c:v>
                </c:pt>
                <c:pt idx="67">
                  <c:v>10.359119999999999</c:v>
                </c:pt>
                <c:pt idx="68">
                  <c:v>10.363799999999999</c:v>
                </c:pt>
                <c:pt idx="69">
                  <c:v>10.3642</c:v>
                </c:pt>
                <c:pt idx="70">
                  <c:v>10.36032</c:v>
                </c:pt>
                <c:pt idx="71">
                  <c:v>10.35216</c:v>
                </c:pt>
                <c:pt idx="72">
                  <c:v>10.33972</c:v>
                </c:pt>
                <c:pt idx="73">
                  <c:v>10.323</c:v>
                </c:pt>
                <c:pt idx="74">
                  <c:v>10.302</c:v>
                </c:pt>
                <c:pt idx="75">
                  <c:v>10.276719999999999</c:v>
                </c:pt>
                <c:pt idx="76">
                  <c:v>10.247159999999999</c:v>
                </c:pt>
                <c:pt idx="77">
                  <c:v>10.21332</c:v>
                </c:pt>
                <c:pt idx="78">
                  <c:v>10.1752</c:v>
                </c:pt>
                <c:pt idx="79">
                  <c:v>10.1328</c:v>
                </c:pt>
                <c:pt idx="80">
                  <c:v>10.086119999999999</c:v>
                </c:pt>
                <c:pt idx="81">
                  <c:v>10.035159999999999</c:v>
                </c:pt>
                <c:pt idx="82">
                  <c:v>9.9799199999999999</c:v>
                </c:pt>
                <c:pt idx="83">
                  <c:v>9.920399999999999</c:v>
                </c:pt>
                <c:pt idx="84">
                  <c:v>9.8565999999999985</c:v>
                </c:pt>
                <c:pt idx="85">
                  <c:v>9.7885199999999983</c:v>
                </c:pt>
                <c:pt idx="86">
                  <c:v>9.7161599999999986</c:v>
                </c:pt>
                <c:pt idx="87">
                  <c:v>9.6395199999999992</c:v>
                </c:pt>
                <c:pt idx="88">
                  <c:v>9.5585999999999984</c:v>
                </c:pt>
                <c:pt idx="89">
                  <c:v>9.473399999999998</c:v>
                </c:pt>
              </c:numCache>
            </c:numRef>
          </c:yVal>
          <c:smooth val="0"/>
          <c:extLst>
            <c:ext xmlns:c16="http://schemas.microsoft.com/office/drawing/2014/chart" uri="{C3380CC4-5D6E-409C-BE32-E72D297353CC}">
              <c16:uniqueId val="{00000001-C8F5-4F14-AEE8-844774DCB53E}"/>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619620981502584"/>
          <c:y val="0.1774801362088535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436876686789428"/>
                  <c:y val="-0.6726765397231134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supplement_LWG!$AA$92:$AA$202</c:f>
              <c:numCache>
                <c:formatCode>0.000</c:formatCode>
                <c:ptCount val="111"/>
                <c:pt idx="0">
                  <c:v>9.473399999999998</c:v>
                </c:pt>
                <c:pt idx="1">
                  <c:v>9.4239199999999972</c:v>
                </c:pt>
                <c:pt idx="2">
                  <c:v>9.3701599999999967</c:v>
                </c:pt>
                <c:pt idx="3">
                  <c:v>9.3121199999999966</c:v>
                </c:pt>
                <c:pt idx="4">
                  <c:v>9.2497999999999969</c:v>
                </c:pt>
                <c:pt idx="5">
                  <c:v>9.1831999999999976</c:v>
                </c:pt>
                <c:pt idx="6">
                  <c:v>9.1123199999999969</c:v>
                </c:pt>
                <c:pt idx="7">
                  <c:v>9.0371599999999965</c:v>
                </c:pt>
                <c:pt idx="8">
                  <c:v>8.9577199999999966</c:v>
                </c:pt>
                <c:pt idx="9">
                  <c:v>8.873999999999997</c:v>
                </c:pt>
                <c:pt idx="10">
                  <c:v>8.7859999999999978</c:v>
                </c:pt>
                <c:pt idx="11">
                  <c:v>8.6937199999999972</c:v>
                </c:pt>
                <c:pt idx="12">
                  <c:v>8.597159999999997</c:v>
                </c:pt>
                <c:pt idx="13">
                  <c:v>8.4963199999999972</c:v>
                </c:pt>
                <c:pt idx="14">
                  <c:v>8.3911999999999978</c:v>
                </c:pt>
                <c:pt idx="15">
                  <c:v>8.2817999999999969</c:v>
                </c:pt>
                <c:pt idx="16">
                  <c:v>8.1681199999999965</c:v>
                </c:pt>
                <c:pt idx="17">
                  <c:v>8.0501599999999964</c:v>
                </c:pt>
                <c:pt idx="18">
                  <c:v>7.9279199999999967</c:v>
                </c:pt>
                <c:pt idx="19">
                  <c:v>7.8013999999999966</c:v>
                </c:pt>
                <c:pt idx="20">
                  <c:v>7.6705999999999968</c:v>
                </c:pt>
                <c:pt idx="21">
                  <c:v>7.5355199999999964</c:v>
                </c:pt>
                <c:pt idx="22">
                  <c:v>7.3961599999999965</c:v>
                </c:pt>
                <c:pt idx="23">
                  <c:v>7.2525199999999961</c:v>
                </c:pt>
                <c:pt idx="24">
                  <c:v>7.104599999999996</c:v>
                </c:pt>
                <c:pt idx="25">
                  <c:v>6.9523999999999964</c:v>
                </c:pt>
                <c:pt idx="26">
                  <c:v>6.7959199999999962</c:v>
                </c:pt>
                <c:pt idx="27">
                  <c:v>6.6351599999999964</c:v>
                </c:pt>
                <c:pt idx="28">
                  <c:v>6.4701199999999961</c:v>
                </c:pt>
                <c:pt idx="29">
                  <c:v>6.3007999999999962</c:v>
                </c:pt>
                <c:pt idx="30">
                  <c:v>6.1271999999999958</c:v>
                </c:pt>
                <c:pt idx="31">
                  <c:v>5.9493199999999957</c:v>
                </c:pt>
                <c:pt idx="32">
                  <c:v>5.7671599999999961</c:v>
                </c:pt>
                <c:pt idx="33">
                  <c:v>5.5807199999999959</c:v>
                </c:pt>
                <c:pt idx="34">
                  <c:v>5.3899999999999961</c:v>
                </c:pt>
                <c:pt idx="35">
                  <c:v>5.1949999999999958</c:v>
                </c:pt>
                <c:pt idx="36">
                  <c:v>4.9957199999999959</c:v>
                </c:pt>
                <c:pt idx="37">
                  <c:v>4.7921599999999955</c:v>
                </c:pt>
                <c:pt idx="38">
                  <c:v>4.5843199999999955</c:v>
                </c:pt>
                <c:pt idx="39">
                  <c:v>4.3721999999999959</c:v>
                </c:pt>
                <c:pt idx="40">
                  <c:v>4.1557999999999957</c:v>
                </c:pt>
                <c:pt idx="41">
                  <c:v>3.9351199999999955</c:v>
                </c:pt>
                <c:pt idx="42">
                  <c:v>3.7101599999999957</c:v>
                </c:pt>
                <c:pt idx="43">
                  <c:v>3.4809199999999958</c:v>
                </c:pt>
                <c:pt idx="44">
                  <c:v>3.2473999999999958</c:v>
                </c:pt>
                <c:pt idx="45">
                  <c:v>3.0095999999999958</c:v>
                </c:pt>
                <c:pt idx="46">
                  <c:v>2.7675199999999958</c:v>
                </c:pt>
                <c:pt idx="47">
                  <c:v>2.5211599999999956</c:v>
                </c:pt>
                <c:pt idx="48">
                  <c:v>2.2705199999999954</c:v>
                </c:pt>
                <c:pt idx="49">
                  <c:v>2.0155999999999952</c:v>
                </c:pt>
                <c:pt idx="50">
                  <c:v>1.7563999999999951</c:v>
                </c:pt>
                <c:pt idx="51">
                  <c:v>1.4929199999999949</c:v>
                </c:pt>
                <c:pt idx="52">
                  <c:v>1.2251599999999949</c:v>
                </c:pt>
                <c:pt idx="53">
                  <c:v>0.95311999999999486</c:v>
                </c:pt>
                <c:pt idx="54">
                  <c:v>0.67679999999999474</c:v>
                </c:pt>
                <c:pt idx="55">
                  <c:v>0.39619999999999472</c:v>
                </c:pt>
                <c:pt idx="56">
                  <c:v>0.1113199999999947</c:v>
                </c:pt>
                <c:pt idx="57">
                  <c:v>-0.17784000000000538</c:v>
                </c:pt>
                <c:pt idx="58">
                  <c:v>-0.47128000000000547</c:v>
                </c:pt>
                <c:pt idx="59">
                  <c:v>-0.76900000000000546</c:v>
                </c:pt>
                <c:pt idx="60">
                  <c:v>-1.0710000000000055</c:v>
                </c:pt>
                <c:pt idx="61">
                  <c:v>-1.3772800000000056</c:v>
                </c:pt>
                <c:pt idx="62">
                  <c:v>-1.6878400000000058</c:v>
                </c:pt>
                <c:pt idx="63">
                  <c:v>-2.002680000000006</c:v>
                </c:pt>
                <c:pt idx="64">
                  <c:v>-2.3218000000000059</c:v>
                </c:pt>
                <c:pt idx="65">
                  <c:v>-2.6452000000000062</c:v>
                </c:pt>
                <c:pt idx="66">
                  <c:v>-2.9728800000000062</c:v>
                </c:pt>
                <c:pt idx="67">
                  <c:v>-3.3048400000000062</c:v>
                </c:pt>
                <c:pt idx="68">
                  <c:v>-3.6410800000000063</c:v>
                </c:pt>
                <c:pt idx="69">
                  <c:v>-3.9816000000000065</c:v>
                </c:pt>
                <c:pt idx="70">
                  <c:v>-4.3264000000000067</c:v>
                </c:pt>
                <c:pt idx="71">
                  <c:v>-4.6754800000000065</c:v>
                </c:pt>
                <c:pt idx="72">
                  <c:v>-5.0288400000000069</c:v>
                </c:pt>
                <c:pt idx="73">
                  <c:v>-5.3864800000000068</c:v>
                </c:pt>
                <c:pt idx="74">
                  <c:v>-5.7484000000000073</c:v>
                </c:pt>
                <c:pt idx="75">
                  <c:v>-6.1146000000000074</c:v>
                </c:pt>
                <c:pt idx="76">
                  <c:v>-6.4850800000000071</c:v>
                </c:pt>
                <c:pt idx="77">
                  <c:v>-6.8598400000000073</c:v>
                </c:pt>
                <c:pt idx="78">
                  <c:v>-7.2388800000000071</c:v>
                </c:pt>
                <c:pt idx="79">
                  <c:v>-7.6222000000000074</c:v>
                </c:pt>
                <c:pt idx="80">
                  <c:v>-8.0098000000000074</c:v>
                </c:pt>
                <c:pt idx="81">
                  <c:v>-8.4016800000000078</c:v>
                </c:pt>
                <c:pt idx="82">
                  <c:v>-8.7978400000000079</c:v>
                </c:pt>
                <c:pt idx="83">
                  <c:v>-9.1982800000000076</c:v>
                </c:pt>
                <c:pt idx="84">
                  <c:v>-9.6030000000000069</c:v>
                </c:pt>
                <c:pt idx="85">
                  <c:v>-10.012000000000008</c:v>
                </c:pt>
                <c:pt idx="86">
                  <c:v>-10.425280000000008</c:v>
                </c:pt>
                <c:pt idx="87">
                  <c:v>-10.842840000000008</c:v>
                </c:pt>
                <c:pt idx="88">
                  <c:v>-11.264680000000007</c:v>
                </c:pt>
                <c:pt idx="89">
                  <c:v>-11.690800000000007</c:v>
                </c:pt>
                <c:pt idx="90">
                  <c:v>-12.121200000000007</c:v>
                </c:pt>
                <c:pt idx="91">
                  <c:v>-12.555880000000007</c:v>
                </c:pt>
                <c:pt idx="92">
                  <c:v>-12.994840000000007</c:v>
                </c:pt>
                <c:pt idx="93">
                  <c:v>-13.438080000000006</c:v>
                </c:pt>
                <c:pt idx="94">
                  <c:v>-13.885600000000007</c:v>
                </c:pt>
                <c:pt idx="95">
                  <c:v>-14.337400000000008</c:v>
                </c:pt>
                <c:pt idx="96">
                  <c:v>-14.793480000000008</c:v>
                </c:pt>
                <c:pt idx="97">
                  <c:v>-15.253840000000007</c:v>
                </c:pt>
                <c:pt idx="98">
                  <c:v>-15.718480000000007</c:v>
                </c:pt>
                <c:pt idx="99">
                  <c:v>-16.187400000000007</c:v>
                </c:pt>
                <c:pt idx="100">
                  <c:v>-16.660600000000006</c:v>
                </c:pt>
                <c:pt idx="101">
                  <c:v>-17.138080000000006</c:v>
                </c:pt>
                <c:pt idx="102">
                  <c:v>-17.619840000000007</c:v>
                </c:pt>
                <c:pt idx="103">
                  <c:v>-18.105880000000006</c:v>
                </c:pt>
                <c:pt idx="104">
                  <c:v>-18.596200000000007</c:v>
                </c:pt>
                <c:pt idx="105">
                  <c:v>-19.090800000000005</c:v>
                </c:pt>
                <c:pt idx="106">
                  <c:v>-19.589680000000005</c:v>
                </c:pt>
                <c:pt idx="107">
                  <c:v>-20.092840000000006</c:v>
                </c:pt>
                <c:pt idx="108">
                  <c:v>-20.600280000000005</c:v>
                </c:pt>
                <c:pt idx="109">
                  <c:v>-21.112000000000005</c:v>
                </c:pt>
                <c:pt idx="110">
                  <c:v>-21.628000000000007</c:v>
                </c:pt>
              </c:numCache>
            </c:numRef>
          </c:yVal>
          <c:smooth val="0"/>
          <c:extLst>
            <c:ext xmlns:c16="http://schemas.microsoft.com/office/drawing/2014/chart" uri="{C3380CC4-5D6E-409C-BE32-E72D297353CC}">
              <c16:uniqueId val="{00000001-6910-4657-A076-39278AD8C72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08669580374099"/>
                  <c:y val="-0.6740547159187394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supplement_LWG!$AI$3:$AI$202</c:f>
              <c:numCache>
                <c:formatCode>0.000</c:formatCode>
                <c:ptCount val="200"/>
                <c:pt idx="0">
                  <c:v>0.29486000000000001</c:v>
                </c:pt>
                <c:pt idx="1">
                  <c:v>0.5845800000000001</c:v>
                </c:pt>
                <c:pt idx="2">
                  <c:v>0.86916000000000015</c:v>
                </c:pt>
                <c:pt idx="3">
                  <c:v>1.1486000000000001</c:v>
                </c:pt>
                <c:pt idx="4">
                  <c:v>1.4229000000000001</c:v>
                </c:pt>
                <c:pt idx="5">
                  <c:v>1.6920600000000001</c:v>
                </c:pt>
                <c:pt idx="6">
                  <c:v>1.95608</c:v>
                </c:pt>
                <c:pt idx="7">
                  <c:v>2.21496</c:v>
                </c:pt>
                <c:pt idx="8">
                  <c:v>2.4687000000000001</c:v>
                </c:pt>
                <c:pt idx="9">
                  <c:v>2.7173000000000003</c:v>
                </c:pt>
                <c:pt idx="10">
                  <c:v>2.9607600000000005</c:v>
                </c:pt>
                <c:pt idx="11">
                  <c:v>3.1990800000000004</c:v>
                </c:pt>
                <c:pt idx="12">
                  <c:v>3.4322600000000003</c:v>
                </c:pt>
                <c:pt idx="13">
                  <c:v>3.6603000000000003</c:v>
                </c:pt>
                <c:pt idx="14">
                  <c:v>3.8832000000000004</c:v>
                </c:pt>
                <c:pt idx="15">
                  <c:v>4.1009600000000006</c:v>
                </c:pt>
                <c:pt idx="16">
                  <c:v>4.3135800000000009</c:v>
                </c:pt>
                <c:pt idx="17">
                  <c:v>4.5210600000000012</c:v>
                </c:pt>
                <c:pt idx="18">
                  <c:v>4.7234000000000016</c:v>
                </c:pt>
                <c:pt idx="19">
                  <c:v>4.9206000000000012</c:v>
                </c:pt>
                <c:pt idx="20">
                  <c:v>5.1126600000000009</c:v>
                </c:pt>
                <c:pt idx="21">
                  <c:v>5.2995800000000006</c:v>
                </c:pt>
                <c:pt idx="22">
                  <c:v>5.4813600000000005</c:v>
                </c:pt>
                <c:pt idx="23">
                  <c:v>5.6580000000000004</c:v>
                </c:pt>
                <c:pt idx="24">
                  <c:v>5.8295000000000003</c:v>
                </c:pt>
                <c:pt idx="25">
                  <c:v>5.9958600000000004</c:v>
                </c:pt>
                <c:pt idx="26">
                  <c:v>6.1570800000000006</c:v>
                </c:pt>
                <c:pt idx="27">
                  <c:v>6.3131600000000008</c:v>
                </c:pt>
                <c:pt idx="28">
                  <c:v>6.4641000000000011</c:v>
                </c:pt>
                <c:pt idx="29">
                  <c:v>6.6099000000000014</c:v>
                </c:pt>
                <c:pt idx="30">
                  <c:v>6.7505600000000019</c:v>
                </c:pt>
                <c:pt idx="31">
                  <c:v>6.8860800000000015</c:v>
                </c:pt>
                <c:pt idx="32">
                  <c:v>7.0164600000000013</c:v>
                </c:pt>
                <c:pt idx="33">
                  <c:v>7.141700000000001</c:v>
                </c:pt>
                <c:pt idx="34">
                  <c:v>7.2618000000000009</c:v>
                </c:pt>
                <c:pt idx="35">
                  <c:v>7.3767600000000009</c:v>
                </c:pt>
                <c:pt idx="36">
                  <c:v>7.4865800000000009</c:v>
                </c:pt>
                <c:pt idx="37">
                  <c:v>7.591260000000001</c:v>
                </c:pt>
                <c:pt idx="38">
                  <c:v>7.6908000000000012</c:v>
                </c:pt>
                <c:pt idx="39">
                  <c:v>7.7852000000000015</c:v>
                </c:pt>
                <c:pt idx="40">
                  <c:v>7.8744600000000018</c:v>
                </c:pt>
                <c:pt idx="41">
                  <c:v>7.9585800000000022</c:v>
                </c:pt>
                <c:pt idx="42">
                  <c:v>8.0375600000000027</c:v>
                </c:pt>
                <c:pt idx="43">
                  <c:v>8.1114000000000033</c:v>
                </c:pt>
                <c:pt idx="44">
                  <c:v>8.180100000000003</c:v>
                </c:pt>
                <c:pt idx="45">
                  <c:v>8.2436600000000038</c:v>
                </c:pt>
                <c:pt idx="46">
                  <c:v>8.3020800000000037</c:v>
                </c:pt>
                <c:pt idx="47">
                  <c:v>8.3553600000000046</c:v>
                </c:pt>
                <c:pt idx="48">
                  <c:v>8.4035000000000046</c:v>
                </c:pt>
                <c:pt idx="49">
                  <c:v>8.4465000000000039</c:v>
                </c:pt>
                <c:pt idx="50">
                  <c:v>8.4843600000000041</c:v>
                </c:pt>
                <c:pt idx="51">
                  <c:v>8.5170800000000035</c:v>
                </c:pt>
                <c:pt idx="52">
                  <c:v>8.5446600000000039</c:v>
                </c:pt>
                <c:pt idx="53">
                  <c:v>8.5671000000000035</c:v>
                </c:pt>
                <c:pt idx="54">
                  <c:v>8.584400000000004</c:v>
                </c:pt>
                <c:pt idx="55">
                  <c:v>8.5965600000000038</c:v>
                </c:pt>
                <c:pt idx="56">
                  <c:v>8.6035800000000044</c:v>
                </c:pt>
                <c:pt idx="57">
                  <c:v>8.6054600000000043</c:v>
                </c:pt>
                <c:pt idx="58">
                  <c:v>8.6022000000000052</c:v>
                </c:pt>
                <c:pt idx="59">
                  <c:v>8.5938000000000052</c:v>
                </c:pt>
                <c:pt idx="60">
                  <c:v>8.5802600000000044</c:v>
                </c:pt>
                <c:pt idx="61">
                  <c:v>8.5615800000000046</c:v>
                </c:pt>
                <c:pt idx="62">
                  <c:v>8.537760000000004</c:v>
                </c:pt>
                <c:pt idx="63">
                  <c:v>8.5088000000000044</c:v>
                </c:pt>
                <c:pt idx="64">
                  <c:v>8.4747000000000039</c:v>
                </c:pt>
                <c:pt idx="65">
                  <c:v>8.4354600000000044</c:v>
                </c:pt>
                <c:pt idx="66">
                  <c:v>8.3910800000000041</c:v>
                </c:pt>
                <c:pt idx="67">
                  <c:v>8.3415600000000047</c:v>
                </c:pt>
                <c:pt idx="68">
                  <c:v>8.2869000000000046</c:v>
                </c:pt>
                <c:pt idx="69">
                  <c:v>8.2271000000000054</c:v>
                </c:pt>
                <c:pt idx="70">
                  <c:v>8.1621600000000054</c:v>
                </c:pt>
                <c:pt idx="71">
                  <c:v>8.0920800000000046</c:v>
                </c:pt>
                <c:pt idx="72">
                  <c:v>8.0168600000000048</c:v>
                </c:pt>
                <c:pt idx="73">
                  <c:v>7.936500000000005</c:v>
                </c:pt>
                <c:pt idx="74">
                  <c:v>7.8510000000000053</c:v>
                </c:pt>
                <c:pt idx="75">
                  <c:v>7.7603600000000057</c:v>
                </c:pt>
                <c:pt idx="76">
                  <c:v>7.6645800000000062</c:v>
                </c:pt>
                <c:pt idx="77">
                  <c:v>7.5636600000000058</c:v>
                </c:pt>
                <c:pt idx="78">
                  <c:v>7.4576000000000056</c:v>
                </c:pt>
                <c:pt idx="79">
                  <c:v>7.3464000000000054</c:v>
                </c:pt>
                <c:pt idx="80">
                  <c:v>7.2300600000000053</c:v>
                </c:pt>
                <c:pt idx="81">
                  <c:v>7.1085800000000052</c:v>
                </c:pt>
                <c:pt idx="82">
                  <c:v>6.9819600000000053</c:v>
                </c:pt>
                <c:pt idx="83">
                  <c:v>6.8502000000000054</c:v>
                </c:pt>
                <c:pt idx="84">
                  <c:v>6.7133000000000056</c:v>
                </c:pt>
                <c:pt idx="85">
                  <c:v>6.5712600000000059</c:v>
                </c:pt>
                <c:pt idx="86">
                  <c:v>6.4240800000000062</c:v>
                </c:pt>
                <c:pt idx="87">
                  <c:v>6.2717600000000067</c:v>
                </c:pt>
                <c:pt idx="88">
                  <c:v>6.1143000000000063</c:v>
                </c:pt>
                <c:pt idx="89">
                  <c:v>5.951700000000006</c:v>
                </c:pt>
                <c:pt idx="90">
                  <c:v>5.8239600000000058</c:v>
                </c:pt>
                <c:pt idx="91">
                  <c:v>5.6910800000000057</c:v>
                </c:pt>
                <c:pt idx="92">
                  <c:v>5.5530600000000057</c:v>
                </c:pt>
                <c:pt idx="93">
                  <c:v>5.4099000000000057</c:v>
                </c:pt>
                <c:pt idx="94">
                  <c:v>5.2616000000000058</c:v>
                </c:pt>
                <c:pt idx="95">
                  <c:v>5.108160000000006</c:v>
                </c:pt>
                <c:pt idx="96">
                  <c:v>4.9495800000000063</c:v>
                </c:pt>
                <c:pt idx="97">
                  <c:v>4.7858600000000067</c:v>
                </c:pt>
                <c:pt idx="98">
                  <c:v>4.6170000000000071</c:v>
                </c:pt>
                <c:pt idx="99">
                  <c:v>4.4430000000000067</c:v>
                </c:pt>
                <c:pt idx="100">
                  <c:v>4.2638600000000064</c:v>
                </c:pt>
                <c:pt idx="101">
                  <c:v>4.0795800000000062</c:v>
                </c:pt>
                <c:pt idx="102">
                  <c:v>3.8901600000000061</c:v>
                </c:pt>
                <c:pt idx="103">
                  <c:v>3.695600000000006</c:v>
                </c:pt>
                <c:pt idx="104">
                  <c:v>3.495900000000006</c:v>
                </c:pt>
                <c:pt idx="105">
                  <c:v>3.2910600000000061</c:v>
                </c:pt>
                <c:pt idx="106">
                  <c:v>3.0810800000000063</c:v>
                </c:pt>
                <c:pt idx="107">
                  <c:v>2.8659600000000061</c:v>
                </c:pt>
                <c:pt idx="108">
                  <c:v>2.6457000000000059</c:v>
                </c:pt>
                <c:pt idx="109">
                  <c:v>2.4203000000000059</c:v>
                </c:pt>
                <c:pt idx="110">
                  <c:v>2.1897600000000059</c:v>
                </c:pt>
                <c:pt idx="111">
                  <c:v>1.954080000000006</c:v>
                </c:pt>
                <c:pt idx="112">
                  <c:v>1.713260000000006</c:v>
                </c:pt>
                <c:pt idx="113">
                  <c:v>1.467300000000006</c:v>
                </c:pt>
                <c:pt idx="114">
                  <c:v>1.2162000000000062</c:v>
                </c:pt>
                <c:pt idx="115">
                  <c:v>0.95996000000000614</c:v>
                </c:pt>
                <c:pt idx="116">
                  <c:v>0.6985800000000062</c:v>
                </c:pt>
                <c:pt idx="117">
                  <c:v>0.43206000000000622</c:v>
                </c:pt>
                <c:pt idx="118">
                  <c:v>0.1604000000000062</c:v>
                </c:pt>
                <c:pt idx="119">
                  <c:v>-0.11639999999999379</c:v>
                </c:pt>
                <c:pt idx="120">
                  <c:v>-0.39833999999999375</c:v>
                </c:pt>
                <c:pt idx="121">
                  <c:v>-0.6854199999999937</c:v>
                </c:pt>
                <c:pt idx="122">
                  <c:v>-0.97763999999999363</c:v>
                </c:pt>
                <c:pt idx="123">
                  <c:v>-1.2749999999999937</c:v>
                </c:pt>
                <c:pt idx="124">
                  <c:v>-1.5774999999999937</c:v>
                </c:pt>
                <c:pt idx="125">
                  <c:v>-1.8851399999999936</c:v>
                </c:pt>
                <c:pt idx="126">
                  <c:v>-2.1979199999999937</c:v>
                </c:pt>
                <c:pt idx="127">
                  <c:v>-2.5158399999999936</c:v>
                </c:pt>
                <c:pt idx="128">
                  <c:v>-2.8388999999999935</c:v>
                </c:pt>
                <c:pt idx="129">
                  <c:v>-3.1670999999999934</c:v>
                </c:pt>
                <c:pt idx="130">
                  <c:v>-3.5004399999999931</c:v>
                </c:pt>
                <c:pt idx="131">
                  <c:v>-3.8389199999999932</c:v>
                </c:pt>
                <c:pt idx="132">
                  <c:v>-4.1825399999999933</c:v>
                </c:pt>
                <c:pt idx="133">
                  <c:v>-4.5312999999999937</c:v>
                </c:pt>
                <c:pt idx="134">
                  <c:v>-4.885199999999994</c:v>
                </c:pt>
                <c:pt idx="135">
                  <c:v>-5.2442399999999942</c:v>
                </c:pt>
                <c:pt idx="136">
                  <c:v>-5.6084199999999944</c:v>
                </c:pt>
                <c:pt idx="137">
                  <c:v>-5.9777399999999945</c:v>
                </c:pt>
                <c:pt idx="138">
                  <c:v>-6.3521999999999945</c:v>
                </c:pt>
                <c:pt idx="139">
                  <c:v>-6.7317999999999945</c:v>
                </c:pt>
                <c:pt idx="140">
                  <c:v>-7.1165399999999943</c:v>
                </c:pt>
                <c:pt idx="141">
                  <c:v>-7.5064199999999941</c:v>
                </c:pt>
                <c:pt idx="142">
                  <c:v>-7.9014399999999938</c:v>
                </c:pt>
                <c:pt idx="143">
                  <c:v>-8.3015999999999934</c:v>
                </c:pt>
                <c:pt idx="144">
                  <c:v>-8.7068999999999939</c:v>
                </c:pt>
                <c:pt idx="145">
                  <c:v>-9.1173399999999933</c:v>
                </c:pt>
                <c:pt idx="146">
                  <c:v>-9.5329199999999936</c:v>
                </c:pt>
                <c:pt idx="147">
                  <c:v>-9.9536399999999929</c:v>
                </c:pt>
                <c:pt idx="148">
                  <c:v>-10.379499999999993</c:v>
                </c:pt>
                <c:pt idx="149">
                  <c:v>-10.810499999999992</c:v>
                </c:pt>
                <c:pt idx="150">
                  <c:v>-11.246639999999992</c:v>
                </c:pt>
                <c:pt idx="151">
                  <c:v>-11.687919999999993</c:v>
                </c:pt>
                <c:pt idx="152">
                  <c:v>-12.134339999999993</c:v>
                </c:pt>
                <c:pt idx="153">
                  <c:v>-12.585899999999993</c:v>
                </c:pt>
                <c:pt idx="154">
                  <c:v>-13.042599999999993</c:v>
                </c:pt>
                <c:pt idx="155">
                  <c:v>-13.504439999999994</c:v>
                </c:pt>
                <c:pt idx="156">
                  <c:v>-13.971419999999993</c:v>
                </c:pt>
                <c:pt idx="157">
                  <c:v>-14.443539999999993</c:v>
                </c:pt>
                <c:pt idx="158">
                  <c:v>-14.920799999999993</c:v>
                </c:pt>
                <c:pt idx="159">
                  <c:v>-15.403199999999993</c:v>
                </c:pt>
                <c:pt idx="160">
                  <c:v>-15.890739999999992</c:v>
                </c:pt>
                <c:pt idx="161">
                  <c:v>-16.38341999999999</c:v>
                </c:pt>
                <c:pt idx="162">
                  <c:v>-16.881239999999991</c:v>
                </c:pt>
                <c:pt idx="163">
                  <c:v>-17.384199999999993</c:v>
                </c:pt>
                <c:pt idx="164">
                  <c:v>-17.892299999999992</c:v>
                </c:pt>
                <c:pt idx="165">
                  <c:v>-18.405539999999991</c:v>
                </c:pt>
                <c:pt idx="166">
                  <c:v>-18.923919999999992</c:v>
                </c:pt>
                <c:pt idx="167">
                  <c:v>-19.447439999999993</c:v>
                </c:pt>
                <c:pt idx="168">
                  <c:v>-19.976099999999992</c:v>
                </c:pt>
                <c:pt idx="169">
                  <c:v>-20.509899999999991</c:v>
                </c:pt>
                <c:pt idx="170">
                  <c:v>-21.048839999999991</c:v>
                </c:pt>
                <c:pt idx="171">
                  <c:v>-21.592919999999992</c:v>
                </c:pt>
                <c:pt idx="172">
                  <c:v>-22.142139999999991</c:v>
                </c:pt>
                <c:pt idx="173">
                  <c:v>-22.69649999999999</c:v>
                </c:pt>
                <c:pt idx="174">
                  <c:v>-23.25599999999999</c:v>
                </c:pt>
                <c:pt idx="175">
                  <c:v>-23.82063999999999</c:v>
                </c:pt>
                <c:pt idx="176">
                  <c:v>-24.390419999999992</c:v>
                </c:pt>
                <c:pt idx="177">
                  <c:v>-24.965339999999991</c:v>
                </c:pt>
                <c:pt idx="178">
                  <c:v>-25.54539999999999</c:v>
                </c:pt>
                <c:pt idx="179">
                  <c:v>-26.130599999999991</c:v>
                </c:pt>
                <c:pt idx="180">
                  <c:v>-26.720939999999992</c:v>
                </c:pt>
                <c:pt idx="181">
                  <c:v>-27.31641999999999</c:v>
                </c:pt>
                <c:pt idx="182">
                  <c:v>-27.917039999999989</c:v>
                </c:pt>
                <c:pt idx="183">
                  <c:v>-28.522799999999989</c:v>
                </c:pt>
                <c:pt idx="184">
                  <c:v>-29.13369999999999</c:v>
                </c:pt>
                <c:pt idx="185">
                  <c:v>-29.749739999999989</c:v>
                </c:pt>
                <c:pt idx="186">
                  <c:v>-30.370919999999987</c:v>
                </c:pt>
                <c:pt idx="187">
                  <c:v>-30.997239999999987</c:v>
                </c:pt>
                <c:pt idx="188">
                  <c:v>-31.628699999999988</c:v>
                </c:pt>
                <c:pt idx="189">
                  <c:v>-32.265299999999989</c:v>
                </c:pt>
                <c:pt idx="190">
                  <c:v>-32.907039999999988</c:v>
                </c:pt>
                <c:pt idx="191">
                  <c:v>-33.553919999999991</c:v>
                </c:pt>
                <c:pt idx="192">
                  <c:v>-34.205939999999991</c:v>
                </c:pt>
                <c:pt idx="193">
                  <c:v>-34.863099999999989</c:v>
                </c:pt>
                <c:pt idx="194">
                  <c:v>-35.525399999999991</c:v>
                </c:pt>
                <c:pt idx="195">
                  <c:v>-36.19283999999999</c:v>
                </c:pt>
                <c:pt idx="196">
                  <c:v>-36.865419999999986</c:v>
                </c:pt>
                <c:pt idx="197">
                  <c:v>-37.543139999999987</c:v>
                </c:pt>
                <c:pt idx="198">
                  <c:v>-38.225999999999985</c:v>
                </c:pt>
                <c:pt idx="199">
                  <c:v>-38.913999999999987</c:v>
                </c:pt>
              </c:numCache>
            </c:numRef>
          </c:yVal>
          <c:smooth val="0"/>
          <c:extLst>
            <c:ext xmlns:c16="http://schemas.microsoft.com/office/drawing/2014/chart" uri="{C3380CC4-5D6E-409C-BE32-E72D297353CC}">
              <c16:uniqueId val="{00000001-138D-4EEA-85C3-B63646ACBD6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55052493438321"/>
                  <c:y val="-0.494509696704578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supplement_LWG!$A$3:$B$92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supplement_LWG!$AI$3:$AI$92</c:f>
              <c:numCache>
                <c:formatCode>0.000</c:formatCode>
                <c:ptCount val="90"/>
                <c:pt idx="0">
                  <c:v>0.29486000000000001</c:v>
                </c:pt>
                <c:pt idx="1">
                  <c:v>0.5845800000000001</c:v>
                </c:pt>
                <c:pt idx="2">
                  <c:v>0.86916000000000015</c:v>
                </c:pt>
                <c:pt idx="3">
                  <c:v>1.1486000000000001</c:v>
                </c:pt>
                <c:pt idx="4">
                  <c:v>1.4229000000000001</c:v>
                </c:pt>
                <c:pt idx="5">
                  <c:v>1.6920600000000001</c:v>
                </c:pt>
                <c:pt idx="6">
                  <c:v>1.95608</c:v>
                </c:pt>
                <c:pt idx="7">
                  <c:v>2.21496</c:v>
                </c:pt>
                <c:pt idx="8">
                  <c:v>2.4687000000000001</c:v>
                </c:pt>
                <c:pt idx="9">
                  <c:v>2.7173000000000003</c:v>
                </c:pt>
                <c:pt idx="10">
                  <c:v>2.9607600000000005</c:v>
                </c:pt>
                <c:pt idx="11">
                  <c:v>3.1990800000000004</c:v>
                </c:pt>
                <c:pt idx="12">
                  <c:v>3.4322600000000003</c:v>
                </c:pt>
                <c:pt idx="13">
                  <c:v>3.6603000000000003</c:v>
                </c:pt>
                <c:pt idx="14">
                  <c:v>3.8832000000000004</c:v>
                </c:pt>
                <c:pt idx="15">
                  <c:v>4.1009600000000006</c:v>
                </c:pt>
                <c:pt idx="16">
                  <c:v>4.3135800000000009</c:v>
                </c:pt>
                <c:pt idx="17">
                  <c:v>4.5210600000000012</c:v>
                </c:pt>
                <c:pt idx="18">
                  <c:v>4.7234000000000016</c:v>
                </c:pt>
                <c:pt idx="19">
                  <c:v>4.9206000000000012</c:v>
                </c:pt>
                <c:pt idx="20">
                  <c:v>5.1126600000000009</c:v>
                </c:pt>
                <c:pt idx="21">
                  <c:v>5.2995800000000006</c:v>
                </c:pt>
                <c:pt idx="22">
                  <c:v>5.4813600000000005</c:v>
                </c:pt>
                <c:pt idx="23">
                  <c:v>5.6580000000000004</c:v>
                </c:pt>
                <c:pt idx="24">
                  <c:v>5.8295000000000003</c:v>
                </c:pt>
                <c:pt idx="25">
                  <c:v>5.9958600000000004</c:v>
                </c:pt>
                <c:pt idx="26">
                  <c:v>6.1570800000000006</c:v>
                </c:pt>
                <c:pt idx="27">
                  <c:v>6.3131600000000008</c:v>
                </c:pt>
                <c:pt idx="28">
                  <c:v>6.4641000000000011</c:v>
                </c:pt>
                <c:pt idx="29">
                  <c:v>6.6099000000000014</c:v>
                </c:pt>
                <c:pt idx="30">
                  <c:v>6.7505600000000019</c:v>
                </c:pt>
                <c:pt idx="31">
                  <c:v>6.8860800000000015</c:v>
                </c:pt>
                <c:pt idx="32">
                  <c:v>7.0164600000000013</c:v>
                </c:pt>
                <c:pt idx="33">
                  <c:v>7.141700000000001</c:v>
                </c:pt>
                <c:pt idx="34">
                  <c:v>7.2618000000000009</c:v>
                </c:pt>
                <c:pt idx="35">
                  <c:v>7.3767600000000009</c:v>
                </c:pt>
                <c:pt idx="36">
                  <c:v>7.4865800000000009</c:v>
                </c:pt>
                <c:pt idx="37">
                  <c:v>7.591260000000001</c:v>
                </c:pt>
                <c:pt idx="38">
                  <c:v>7.6908000000000012</c:v>
                </c:pt>
                <c:pt idx="39">
                  <c:v>7.7852000000000015</c:v>
                </c:pt>
                <c:pt idx="40">
                  <c:v>7.8744600000000018</c:v>
                </c:pt>
                <c:pt idx="41">
                  <c:v>7.9585800000000022</c:v>
                </c:pt>
                <c:pt idx="42">
                  <c:v>8.0375600000000027</c:v>
                </c:pt>
                <c:pt idx="43">
                  <c:v>8.1114000000000033</c:v>
                </c:pt>
                <c:pt idx="44">
                  <c:v>8.180100000000003</c:v>
                </c:pt>
                <c:pt idx="45">
                  <c:v>8.2436600000000038</c:v>
                </c:pt>
                <c:pt idx="46">
                  <c:v>8.3020800000000037</c:v>
                </c:pt>
                <c:pt idx="47">
                  <c:v>8.3553600000000046</c:v>
                </c:pt>
                <c:pt idx="48">
                  <c:v>8.4035000000000046</c:v>
                </c:pt>
                <c:pt idx="49">
                  <c:v>8.4465000000000039</c:v>
                </c:pt>
                <c:pt idx="50">
                  <c:v>8.4843600000000041</c:v>
                </c:pt>
                <c:pt idx="51">
                  <c:v>8.5170800000000035</c:v>
                </c:pt>
                <c:pt idx="52">
                  <c:v>8.5446600000000039</c:v>
                </c:pt>
                <c:pt idx="53">
                  <c:v>8.5671000000000035</c:v>
                </c:pt>
                <c:pt idx="54">
                  <c:v>8.584400000000004</c:v>
                </c:pt>
                <c:pt idx="55">
                  <c:v>8.5965600000000038</c:v>
                </c:pt>
                <c:pt idx="56">
                  <c:v>8.6035800000000044</c:v>
                </c:pt>
                <c:pt idx="57">
                  <c:v>8.6054600000000043</c:v>
                </c:pt>
                <c:pt idx="58">
                  <c:v>8.6022000000000052</c:v>
                </c:pt>
                <c:pt idx="59">
                  <c:v>8.5938000000000052</c:v>
                </c:pt>
                <c:pt idx="60">
                  <c:v>8.5802600000000044</c:v>
                </c:pt>
                <c:pt idx="61">
                  <c:v>8.5615800000000046</c:v>
                </c:pt>
                <c:pt idx="62">
                  <c:v>8.537760000000004</c:v>
                </c:pt>
                <c:pt idx="63">
                  <c:v>8.5088000000000044</c:v>
                </c:pt>
                <c:pt idx="64">
                  <c:v>8.4747000000000039</c:v>
                </c:pt>
                <c:pt idx="65">
                  <c:v>8.4354600000000044</c:v>
                </c:pt>
                <c:pt idx="66">
                  <c:v>8.3910800000000041</c:v>
                </c:pt>
                <c:pt idx="67">
                  <c:v>8.3415600000000047</c:v>
                </c:pt>
                <c:pt idx="68">
                  <c:v>8.2869000000000046</c:v>
                </c:pt>
                <c:pt idx="69">
                  <c:v>8.2271000000000054</c:v>
                </c:pt>
                <c:pt idx="70">
                  <c:v>8.1621600000000054</c:v>
                </c:pt>
                <c:pt idx="71">
                  <c:v>8.0920800000000046</c:v>
                </c:pt>
                <c:pt idx="72">
                  <c:v>8.0168600000000048</c:v>
                </c:pt>
                <c:pt idx="73">
                  <c:v>7.936500000000005</c:v>
                </c:pt>
                <c:pt idx="74">
                  <c:v>7.8510000000000053</c:v>
                </c:pt>
                <c:pt idx="75">
                  <c:v>7.7603600000000057</c:v>
                </c:pt>
                <c:pt idx="76">
                  <c:v>7.6645800000000062</c:v>
                </c:pt>
                <c:pt idx="77">
                  <c:v>7.5636600000000058</c:v>
                </c:pt>
                <c:pt idx="78">
                  <c:v>7.4576000000000056</c:v>
                </c:pt>
                <c:pt idx="79">
                  <c:v>7.3464000000000054</c:v>
                </c:pt>
                <c:pt idx="80">
                  <c:v>7.2300600000000053</c:v>
                </c:pt>
                <c:pt idx="81">
                  <c:v>7.1085800000000052</c:v>
                </c:pt>
                <c:pt idx="82">
                  <c:v>6.9819600000000053</c:v>
                </c:pt>
                <c:pt idx="83">
                  <c:v>6.8502000000000054</c:v>
                </c:pt>
                <c:pt idx="84">
                  <c:v>6.7133000000000056</c:v>
                </c:pt>
                <c:pt idx="85">
                  <c:v>6.5712600000000059</c:v>
                </c:pt>
                <c:pt idx="86">
                  <c:v>6.4240800000000062</c:v>
                </c:pt>
                <c:pt idx="87">
                  <c:v>6.2717600000000067</c:v>
                </c:pt>
                <c:pt idx="88">
                  <c:v>6.1143000000000063</c:v>
                </c:pt>
                <c:pt idx="89">
                  <c:v>5.951700000000006</c:v>
                </c:pt>
              </c:numCache>
            </c:numRef>
          </c:yVal>
          <c:smooth val="0"/>
          <c:extLst>
            <c:ext xmlns:c16="http://schemas.microsoft.com/office/drawing/2014/chart" uri="{C3380CC4-5D6E-409C-BE32-E72D297353CC}">
              <c16:uniqueId val="{00000001-3F72-44A9-8D91-F3464BA462F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300"/>
            <c:dispRSqr val="1"/>
            <c:dispEq val="1"/>
            <c:trendlineLbl>
              <c:layout>
                <c:manualLayout>
                  <c:x val="7.9277491888317106E-2"/>
                  <c:y val="-0.7024303780209292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y = -3.7395x + 300</a:t>
                    </a:r>
                    <a:br>
                      <a:rPr lang="en-US" baseline="0"/>
                    </a:b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pivot_CS!$J$16:$J$37</c:f>
              <c:numCache>
                <c:formatCode>0</c:formatCode>
                <c:ptCount val="22"/>
                <c:pt idx="0">
                  <c:v>13.86</c:v>
                </c:pt>
                <c:pt idx="1">
                  <c:v>27.72</c:v>
                </c:pt>
                <c:pt idx="2">
                  <c:v>28.6</c:v>
                </c:pt>
                <c:pt idx="3">
                  <c:v>32.400000000000006</c:v>
                </c:pt>
                <c:pt idx="4">
                  <c:v>34.020000000000003</c:v>
                </c:pt>
                <c:pt idx="5">
                  <c:v>34.580000000000005</c:v>
                </c:pt>
                <c:pt idx="6">
                  <c:v>41.58</c:v>
                </c:pt>
                <c:pt idx="7">
                  <c:v>51.03</c:v>
                </c:pt>
                <c:pt idx="8">
                  <c:v>51.870000000000005</c:v>
                </c:pt>
                <c:pt idx="9">
                  <c:v>53.46</c:v>
                </c:pt>
                <c:pt idx="10">
                  <c:v>55.44</c:v>
                </c:pt>
                <c:pt idx="11">
                  <c:v>59.400000000000006</c:v>
                </c:pt>
                <c:pt idx="12">
                  <c:v>60.480000000000004</c:v>
                </c:pt>
                <c:pt idx="13">
                  <c:v>68.040000000000006</c:v>
                </c:pt>
                <c:pt idx="14">
                  <c:v>69.160000000000011</c:v>
                </c:pt>
                <c:pt idx="15">
                  <c:v>69.3</c:v>
                </c:pt>
                <c:pt idx="16">
                  <c:v>83.16</c:v>
                </c:pt>
                <c:pt idx="17">
                  <c:v>97.02</c:v>
                </c:pt>
                <c:pt idx="18">
                  <c:v>102.06</c:v>
                </c:pt>
                <c:pt idx="19">
                  <c:v>103.74000000000001</c:v>
                </c:pt>
                <c:pt idx="20">
                  <c:v>106.92</c:v>
                </c:pt>
                <c:pt idx="21">
                  <c:v>110.88</c:v>
                </c:pt>
              </c:numCache>
            </c:numRef>
          </c:xVal>
          <c:yVal>
            <c:numRef>
              <c:f>pivot_CS!$K$16:$K$37</c:f>
              <c:numCache>
                <c:formatCode>0</c:formatCode>
                <c:ptCount val="22"/>
                <c:pt idx="0">
                  <c:v>625.85034013605423</c:v>
                </c:pt>
                <c:pt idx="1">
                  <c:v>331.13553113553121</c:v>
                </c:pt>
                <c:pt idx="2">
                  <c:v>-38.461538461538467</c:v>
                </c:pt>
                <c:pt idx="3">
                  <c:v>190.74074074074073</c:v>
                </c:pt>
                <c:pt idx="4">
                  <c:v>241.07142857142856</c:v>
                </c:pt>
                <c:pt idx="5">
                  <c:v>278.57142857142856</c:v>
                </c:pt>
                <c:pt idx="6">
                  <c:v>73.469387755102048</c:v>
                </c:pt>
                <c:pt idx="7">
                  <c:v>-142.85714285714283</c:v>
                </c:pt>
                <c:pt idx="8">
                  <c:v>35.714285714285708</c:v>
                </c:pt>
                <c:pt idx="9">
                  <c:v>357.14285714285717</c:v>
                </c:pt>
                <c:pt idx="10">
                  <c:v>368.25396825396837</c:v>
                </c:pt>
                <c:pt idx="11">
                  <c:v>250</c:v>
                </c:pt>
                <c:pt idx="12">
                  <c:v>85.470085470085465</c:v>
                </c:pt>
                <c:pt idx="13">
                  <c:v>139.28571428571422</c:v>
                </c:pt>
                <c:pt idx="14">
                  <c:v>50.000000000000028</c:v>
                </c:pt>
                <c:pt idx="15">
                  <c:v>109.52380952380946</c:v>
                </c:pt>
                <c:pt idx="16">
                  <c:v>-178.02197802197804</c:v>
                </c:pt>
                <c:pt idx="17">
                  <c:v>-137.41496598639429</c:v>
                </c:pt>
                <c:pt idx="18">
                  <c:v>-185.71428571428567</c:v>
                </c:pt>
                <c:pt idx="19">
                  <c:v>-166.66666666666666</c:v>
                </c:pt>
                <c:pt idx="20">
                  <c:v>-7.4074074074075105</c:v>
                </c:pt>
                <c:pt idx="21">
                  <c:v>-213.60544217687064</c:v>
                </c:pt>
              </c:numCache>
            </c:numRef>
          </c:yVal>
          <c:smooth val="0"/>
          <c:extLst>
            <c:ext xmlns:c16="http://schemas.microsoft.com/office/drawing/2014/chart" uri="{C3380CC4-5D6E-409C-BE32-E72D297353CC}">
              <c16:uniqueId val="{00000001-C5A7-4F41-B1FE-13340C485B54}"/>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max val="9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97034048023496"/>
                  <c:y val="-0.7386363026982580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supplement_LWG!$AI$92:$AI$202</c:f>
              <c:numCache>
                <c:formatCode>0.000</c:formatCode>
                <c:ptCount val="111"/>
                <c:pt idx="0">
                  <c:v>5.951700000000006</c:v>
                </c:pt>
                <c:pt idx="1">
                  <c:v>5.8239600000000058</c:v>
                </c:pt>
                <c:pt idx="2">
                  <c:v>5.6910800000000057</c:v>
                </c:pt>
                <c:pt idx="3">
                  <c:v>5.5530600000000057</c:v>
                </c:pt>
                <c:pt idx="4">
                  <c:v>5.4099000000000057</c:v>
                </c:pt>
                <c:pt idx="5">
                  <c:v>5.2616000000000058</c:v>
                </c:pt>
                <c:pt idx="6">
                  <c:v>5.108160000000006</c:v>
                </c:pt>
                <c:pt idx="7">
                  <c:v>4.9495800000000063</c:v>
                </c:pt>
                <c:pt idx="8">
                  <c:v>4.7858600000000067</c:v>
                </c:pt>
                <c:pt idx="9">
                  <c:v>4.6170000000000071</c:v>
                </c:pt>
                <c:pt idx="10">
                  <c:v>4.4430000000000067</c:v>
                </c:pt>
                <c:pt idx="11">
                  <c:v>4.2638600000000064</c:v>
                </c:pt>
                <c:pt idx="12">
                  <c:v>4.0795800000000062</c:v>
                </c:pt>
                <c:pt idx="13">
                  <c:v>3.8901600000000061</c:v>
                </c:pt>
                <c:pt idx="14">
                  <c:v>3.695600000000006</c:v>
                </c:pt>
                <c:pt idx="15">
                  <c:v>3.495900000000006</c:v>
                </c:pt>
                <c:pt idx="16">
                  <c:v>3.2910600000000061</c:v>
                </c:pt>
                <c:pt idx="17">
                  <c:v>3.0810800000000063</c:v>
                </c:pt>
                <c:pt idx="18">
                  <c:v>2.8659600000000061</c:v>
                </c:pt>
                <c:pt idx="19">
                  <c:v>2.6457000000000059</c:v>
                </c:pt>
                <c:pt idx="20">
                  <c:v>2.4203000000000059</c:v>
                </c:pt>
                <c:pt idx="21">
                  <c:v>2.1897600000000059</c:v>
                </c:pt>
                <c:pt idx="22">
                  <c:v>1.954080000000006</c:v>
                </c:pt>
                <c:pt idx="23">
                  <c:v>1.713260000000006</c:v>
                </c:pt>
                <c:pt idx="24">
                  <c:v>1.467300000000006</c:v>
                </c:pt>
                <c:pt idx="25">
                  <c:v>1.2162000000000062</c:v>
                </c:pt>
                <c:pt idx="26">
                  <c:v>0.95996000000000614</c:v>
                </c:pt>
                <c:pt idx="27">
                  <c:v>0.6985800000000062</c:v>
                </c:pt>
                <c:pt idx="28">
                  <c:v>0.43206000000000622</c:v>
                </c:pt>
                <c:pt idx="29">
                  <c:v>0.1604000000000062</c:v>
                </c:pt>
                <c:pt idx="30">
                  <c:v>-0.11639999999999379</c:v>
                </c:pt>
                <c:pt idx="31">
                  <c:v>-0.39833999999999375</c:v>
                </c:pt>
                <c:pt idx="32">
                  <c:v>-0.6854199999999937</c:v>
                </c:pt>
                <c:pt idx="33">
                  <c:v>-0.97763999999999363</c:v>
                </c:pt>
                <c:pt idx="34">
                  <c:v>-1.2749999999999937</c:v>
                </c:pt>
                <c:pt idx="35">
                  <c:v>-1.5774999999999937</c:v>
                </c:pt>
                <c:pt idx="36">
                  <c:v>-1.8851399999999936</c:v>
                </c:pt>
                <c:pt idx="37">
                  <c:v>-2.1979199999999937</c:v>
                </c:pt>
                <c:pt idx="38">
                  <c:v>-2.5158399999999936</c:v>
                </c:pt>
                <c:pt idx="39">
                  <c:v>-2.8388999999999935</c:v>
                </c:pt>
                <c:pt idx="40">
                  <c:v>-3.1670999999999934</c:v>
                </c:pt>
                <c:pt idx="41">
                  <c:v>-3.5004399999999931</c:v>
                </c:pt>
                <c:pt idx="42">
                  <c:v>-3.8389199999999932</c:v>
                </c:pt>
                <c:pt idx="43">
                  <c:v>-4.1825399999999933</c:v>
                </c:pt>
                <c:pt idx="44">
                  <c:v>-4.5312999999999937</c:v>
                </c:pt>
                <c:pt idx="45">
                  <c:v>-4.885199999999994</c:v>
                </c:pt>
                <c:pt idx="46">
                  <c:v>-5.2442399999999942</c:v>
                </c:pt>
                <c:pt idx="47">
                  <c:v>-5.6084199999999944</c:v>
                </c:pt>
                <c:pt idx="48">
                  <c:v>-5.9777399999999945</c:v>
                </c:pt>
                <c:pt idx="49">
                  <c:v>-6.3521999999999945</c:v>
                </c:pt>
                <c:pt idx="50">
                  <c:v>-6.7317999999999945</c:v>
                </c:pt>
                <c:pt idx="51">
                  <c:v>-7.1165399999999943</c:v>
                </c:pt>
                <c:pt idx="52">
                  <c:v>-7.5064199999999941</c:v>
                </c:pt>
                <c:pt idx="53">
                  <c:v>-7.9014399999999938</c:v>
                </c:pt>
                <c:pt idx="54">
                  <c:v>-8.3015999999999934</c:v>
                </c:pt>
                <c:pt idx="55">
                  <c:v>-8.7068999999999939</c:v>
                </c:pt>
                <c:pt idx="56">
                  <c:v>-9.1173399999999933</c:v>
                </c:pt>
                <c:pt idx="57">
                  <c:v>-9.5329199999999936</c:v>
                </c:pt>
                <c:pt idx="58">
                  <c:v>-9.9536399999999929</c:v>
                </c:pt>
                <c:pt idx="59">
                  <c:v>-10.379499999999993</c:v>
                </c:pt>
                <c:pt idx="60">
                  <c:v>-10.810499999999992</c:v>
                </c:pt>
                <c:pt idx="61">
                  <c:v>-11.246639999999992</c:v>
                </c:pt>
                <c:pt idx="62">
                  <c:v>-11.687919999999993</c:v>
                </c:pt>
                <c:pt idx="63">
                  <c:v>-12.134339999999993</c:v>
                </c:pt>
                <c:pt idx="64">
                  <c:v>-12.585899999999993</c:v>
                </c:pt>
                <c:pt idx="65">
                  <c:v>-13.042599999999993</c:v>
                </c:pt>
                <c:pt idx="66">
                  <c:v>-13.504439999999994</c:v>
                </c:pt>
                <c:pt idx="67">
                  <c:v>-13.971419999999993</c:v>
                </c:pt>
                <c:pt idx="68">
                  <c:v>-14.443539999999993</c:v>
                </c:pt>
                <c:pt idx="69">
                  <c:v>-14.920799999999993</c:v>
                </c:pt>
                <c:pt idx="70">
                  <c:v>-15.403199999999993</c:v>
                </c:pt>
                <c:pt idx="71">
                  <c:v>-15.890739999999992</c:v>
                </c:pt>
                <c:pt idx="72">
                  <c:v>-16.38341999999999</c:v>
                </c:pt>
                <c:pt idx="73">
                  <c:v>-16.881239999999991</c:v>
                </c:pt>
                <c:pt idx="74">
                  <c:v>-17.384199999999993</c:v>
                </c:pt>
                <c:pt idx="75">
                  <c:v>-17.892299999999992</c:v>
                </c:pt>
                <c:pt idx="76">
                  <c:v>-18.405539999999991</c:v>
                </c:pt>
                <c:pt idx="77">
                  <c:v>-18.923919999999992</c:v>
                </c:pt>
                <c:pt idx="78">
                  <c:v>-19.447439999999993</c:v>
                </c:pt>
                <c:pt idx="79">
                  <c:v>-19.976099999999992</c:v>
                </c:pt>
                <c:pt idx="80">
                  <c:v>-20.509899999999991</c:v>
                </c:pt>
                <c:pt idx="81">
                  <c:v>-21.048839999999991</c:v>
                </c:pt>
                <c:pt idx="82">
                  <c:v>-21.592919999999992</c:v>
                </c:pt>
                <c:pt idx="83">
                  <c:v>-22.142139999999991</c:v>
                </c:pt>
                <c:pt idx="84">
                  <c:v>-22.69649999999999</c:v>
                </c:pt>
                <c:pt idx="85">
                  <c:v>-23.25599999999999</c:v>
                </c:pt>
                <c:pt idx="86">
                  <c:v>-23.82063999999999</c:v>
                </c:pt>
                <c:pt idx="87">
                  <c:v>-24.390419999999992</c:v>
                </c:pt>
                <c:pt idx="88">
                  <c:v>-24.965339999999991</c:v>
                </c:pt>
                <c:pt idx="89">
                  <c:v>-25.54539999999999</c:v>
                </c:pt>
                <c:pt idx="90">
                  <c:v>-26.130599999999991</c:v>
                </c:pt>
                <c:pt idx="91">
                  <c:v>-26.720939999999992</c:v>
                </c:pt>
                <c:pt idx="92">
                  <c:v>-27.31641999999999</c:v>
                </c:pt>
                <c:pt idx="93">
                  <c:v>-27.917039999999989</c:v>
                </c:pt>
                <c:pt idx="94">
                  <c:v>-28.522799999999989</c:v>
                </c:pt>
                <c:pt idx="95">
                  <c:v>-29.13369999999999</c:v>
                </c:pt>
                <c:pt idx="96">
                  <c:v>-29.749739999999989</c:v>
                </c:pt>
                <c:pt idx="97">
                  <c:v>-30.370919999999987</c:v>
                </c:pt>
                <c:pt idx="98">
                  <c:v>-30.997239999999987</c:v>
                </c:pt>
                <c:pt idx="99">
                  <c:v>-31.628699999999988</c:v>
                </c:pt>
                <c:pt idx="100">
                  <c:v>-32.265299999999989</c:v>
                </c:pt>
                <c:pt idx="101">
                  <c:v>-32.907039999999988</c:v>
                </c:pt>
                <c:pt idx="102">
                  <c:v>-33.553919999999991</c:v>
                </c:pt>
                <c:pt idx="103">
                  <c:v>-34.205939999999991</c:v>
                </c:pt>
                <c:pt idx="104">
                  <c:v>-34.863099999999989</c:v>
                </c:pt>
                <c:pt idx="105">
                  <c:v>-35.525399999999991</c:v>
                </c:pt>
                <c:pt idx="106">
                  <c:v>-36.19283999999999</c:v>
                </c:pt>
                <c:pt idx="107">
                  <c:v>-36.865419999999986</c:v>
                </c:pt>
                <c:pt idx="108">
                  <c:v>-37.543139999999987</c:v>
                </c:pt>
                <c:pt idx="109">
                  <c:v>-38.225999999999985</c:v>
                </c:pt>
                <c:pt idx="110">
                  <c:v>-38.913999999999987</c:v>
                </c:pt>
              </c:numCache>
            </c:numRef>
          </c:yVal>
          <c:smooth val="0"/>
          <c:extLst>
            <c:ext xmlns:c16="http://schemas.microsoft.com/office/drawing/2014/chart" uri="{C3380CC4-5D6E-409C-BE32-E72D297353CC}">
              <c16:uniqueId val="{00000001-960B-47EE-BF3D-814E7EDE9EA5}"/>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619620981502584"/>
          <c:y val="0.1774801362088535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8774147831952973"/>
                  <c:y val="-0.6571119075495812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supplement_LWG!$T$92:$T$202</c:f>
              <c:numCache>
                <c:formatCode>0.000</c:formatCode>
                <c:ptCount val="111"/>
                <c:pt idx="0">
                  <c:v>11.684699999999998</c:v>
                </c:pt>
                <c:pt idx="1">
                  <c:v>11.724359999999997</c:v>
                </c:pt>
                <c:pt idx="2">
                  <c:v>11.760279999999998</c:v>
                </c:pt>
                <c:pt idx="3">
                  <c:v>11.792459999999998</c:v>
                </c:pt>
                <c:pt idx="4">
                  <c:v>11.820899999999998</c:v>
                </c:pt>
                <c:pt idx="5">
                  <c:v>11.845599999999997</c:v>
                </c:pt>
                <c:pt idx="6">
                  <c:v>11.866559999999998</c:v>
                </c:pt>
                <c:pt idx="7">
                  <c:v>11.883779999999998</c:v>
                </c:pt>
                <c:pt idx="8">
                  <c:v>11.897259999999998</c:v>
                </c:pt>
                <c:pt idx="9">
                  <c:v>11.906999999999998</c:v>
                </c:pt>
                <c:pt idx="10">
                  <c:v>11.912999999999998</c:v>
                </c:pt>
                <c:pt idx="11">
                  <c:v>11.915259999999998</c:v>
                </c:pt>
                <c:pt idx="12">
                  <c:v>11.913779999999997</c:v>
                </c:pt>
                <c:pt idx="13">
                  <c:v>11.908559999999998</c:v>
                </c:pt>
                <c:pt idx="14">
                  <c:v>11.899599999999998</c:v>
                </c:pt>
                <c:pt idx="15">
                  <c:v>11.886899999999997</c:v>
                </c:pt>
                <c:pt idx="16">
                  <c:v>11.870459999999998</c:v>
                </c:pt>
                <c:pt idx="17">
                  <c:v>11.850279999999998</c:v>
                </c:pt>
                <c:pt idx="18">
                  <c:v>11.826359999999998</c:v>
                </c:pt>
                <c:pt idx="19">
                  <c:v>11.798699999999997</c:v>
                </c:pt>
                <c:pt idx="20">
                  <c:v>11.767299999999997</c:v>
                </c:pt>
                <c:pt idx="21">
                  <c:v>11.732159999999997</c:v>
                </c:pt>
                <c:pt idx="22">
                  <c:v>11.693279999999996</c:v>
                </c:pt>
                <c:pt idx="23">
                  <c:v>11.650659999999997</c:v>
                </c:pt>
                <c:pt idx="24">
                  <c:v>11.604299999999997</c:v>
                </c:pt>
                <c:pt idx="25">
                  <c:v>11.554199999999996</c:v>
                </c:pt>
                <c:pt idx="26">
                  <c:v>11.500359999999997</c:v>
                </c:pt>
                <c:pt idx="27">
                  <c:v>11.442779999999997</c:v>
                </c:pt>
                <c:pt idx="28">
                  <c:v>11.381459999999997</c:v>
                </c:pt>
                <c:pt idx="29">
                  <c:v>11.316399999999996</c:v>
                </c:pt>
                <c:pt idx="30">
                  <c:v>11.247599999999997</c:v>
                </c:pt>
                <c:pt idx="31">
                  <c:v>11.175059999999997</c:v>
                </c:pt>
                <c:pt idx="32">
                  <c:v>11.098779999999996</c:v>
                </c:pt>
                <c:pt idx="33">
                  <c:v>11.018759999999997</c:v>
                </c:pt>
                <c:pt idx="34">
                  <c:v>10.934999999999997</c:v>
                </c:pt>
                <c:pt idx="35">
                  <c:v>10.847499999999997</c:v>
                </c:pt>
                <c:pt idx="36">
                  <c:v>10.756259999999996</c:v>
                </c:pt>
                <c:pt idx="37">
                  <c:v>10.661279999999996</c:v>
                </c:pt>
                <c:pt idx="38">
                  <c:v>10.562559999999996</c:v>
                </c:pt>
                <c:pt idx="39">
                  <c:v>10.460099999999995</c:v>
                </c:pt>
                <c:pt idx="40">
                  <c:v>10.353899999999996</c:v>
                </c:pt>
                <c:pt idx="41">
                  <c:v>10.243959999999996</c:v>
                </c:pt>
                <c:pt idx="42">
                  <c:v>10.130279999999996</c:v>
                </c:pt>
                <c:pt idx="43">
                  <c:v>10.012859999999996</c:v>
                </c:pt>
                <c:pt idx="44">
                  <c:v>9.8916999999999966</c:v>
                </c:pt>
                <c:pt idx="45">
                  <c:v>9.7667999999999964</c:v>
                </c:pt>
                <c:pt idx="46">
                  <c:v>9.6381599999999956</c:v>
                </c:pt>
                <c:pt idx="47">
                  <c:v>9.5057799999999961</c:v>
                </c:pt>
                <c:pt idx="48">
                  <c:v>9.3696599999999961</c:v>
                </c:pt>
                <c:pt idx="49">
                  <c:v>9.2297999999999956</c:v>
                </c:pt>
                <c:pt idx="50">
                  <c:v>9.0861999999999963</c:v>
                </c:pt>
                <c:pt idx="51">
                  <c:v>8.9388599999999965</c:v>
                </c:pt>
                <c:pt idx="52">
                  <c:v>8.7877799999999961</c:v>
                </c:pt>
                <c:pt idx="53">
                  <c:v>8.6329599999999953</c:v>
                </c:pt>
                <c:pt idx="54">
                  <c:v>8.4743999999999957</c:v>
                </c:pt>
                <c:pt idx="55">
                  <c:v>8.3120999999999956</c:v>
                </c:pt>
                <c:pt idx="56">
                  <c:v>8.146059999999995</c:v>
                </c:pt>
                <c:pt idx="57">
                  <c:v>7.9762799999999947</c:v>
                </c:pt>
                <c:pt idx="58">
                  <c:v>7.8027599999999948</c:v>
                </c:pt>
                <c:pt idx="59">
                  <c:v>7.6254999999999953</c:v>
                </c:pt>
                <c:pt idx="60">
                  <c:v>7.4444999999999952</c:v>
                </c:pt>
                <c:pt idx="61">
                  <c:v>7.2597599999999956</c:v>
                </c:pt>
                <c:pt idx="62">
                  <c:v>7.0712799999999953</c:v>
                </c:pt>
                <c:pt idx="63">
                  <c:v>6.8790599999999955</c:v>
                </c:pt>
                <c:pt idx="64">
                  <c:v>6.6830999999999952</c:v>
                </c:pt>
                <c:pt idx="65">
                  <c:v>6.4833999999999952</c:v>
                </c:pt>
                <c:pt idx="66">
                  <c:v>6.2799599999999955</c:v>
                </c:pt>
                <c:pt idx="67">
                  <c:v>6.0727799999999954</c:v>
                </c:pt>
                <c:pt idx="68">
                  <c:v>5.8618599999999956</c:v>
                </c:pt>
                <c:pt idx="69">
                  <c:v>5.6471999999999953</c:v>
                </c:pt>
                <c:pt idx="70">
                  <c:v>5.4287999999999954</c:v>
                </c:pt>
                <c:pt idx="71">
                  <c:v>5.2066599999999958</c:v>
                </c:pt>
                <c:pt idx="72">
                  <c:v>4.9807799999999958</c:v>
                </c:pt>
                <c:pt idx="73">
                  <c:v>4.7511599999999961</c:v>
                </c:pt>
                <c:pt idx="74">
                  <c:v>4.5177999999999958</c:v>
                </c:pt>
                <c:pt idx="75">
                  <c:v>4.280699999999996</c:v>
                </c:pt>
                <c:pt idx="76">
                  <c:v>4.0398599999999956</c:v>
                </c:pt>
                <c:pt idx="77">
                  <c:v>3.7952799999999955</c:v>
                </c:pt>
                <c:pt idx="78">
                  <c:v>3.5469599999999954</c:v>
                </c:pt>
                <c:pt idx="79">
                  <c:v>3.2948999999999953</c:v>
                </c:pt>
                <c:pt idx="80">
                  <c:v>3.039099999999995</c:v>
                </c:pt>
                <c:pt idx="81">
                  <c:v>2.7795599999999951</c:v>
                </c:pt>
                <c:pt idx="82">
                  <c:v>2.5162799999999952</c:v>
                </c:pt>
                <c:pt idx="83">
                  <c:v>2.2492599999999952</c:v>
                </c:pt>
                <c:pt idx="84">
                  <c:v>1.978499999999995</c:v>
                </c:pt>
                <c:pt idx="85">
                  <c:v>1.7039999999999951</c:v>
                </c:pt>
                <c:pt idx="86">
                  <c:v>1.425759999999995</c:v>
                </c:pt>
                <c:pt idx="87">
                  <c:v>1.1437799999999951</c:v>
                </c:pt>
                <c:pt idx="88">
                  <c:v>0.85805999999999516</c:v>
                </c:pt>
                <c:pt idx="89">
                  <c:v>0.56859999999999511</c:v>
                </c:pt>
                <c:pt idx="90">
                  <c:v>0.27539999999999509</c:v>
                </c:pt>
                <c:pt idx="91">
                  <c:v>-2.1540000000004944E-2</c:v>
                </c:pt>
                <c:pt idx="92">
                  <c:v>-0.322220000000005</c:v>
                </c:pt>
                <c:pt idx="93">
                  <c:v>-0.62664000000000508</c:v>
                </c:pt>
                <c:pt idx="94">
                  <c:v>-0.93480000000000518</c:v>
                </c:pt>
                <c:pt idx="95">
                  <c:v>-1.2467000000000052</c:v>
                </c:pt>
                <c:pt idx="96">
                  <c:v>-1.5623400000000052</c:v>
                </c:pt>
                <c:pt idx="97">
                  <c:v>-1.8817200000000052</c:v>
                </c:pt>
                <c:pt idx="98">
                  <c:v>-2.2048400000000052</c:v>
                </c:pt>
                <c:pt idx="99">
                  <c:v>-2.5317000000000052</c:v>
                </c:pt>
                <c:pt idx="100">
                  <c:v>-2.8623000000000052</c:v>
                </c:pt>
                <c:pt idx="101">
                  <c:v>-3.1966400000000053</c:v>
                </c:pt>
                <c:pt idx="102">
                  <c:v>-3.5347200000000054</c:v>
                </c:pt>
                <c:pt idx="103">
                  <c:v>-3.8765400000000056</c:v>
                </c:pt>
                <c:pt idx="104">
                  <c:v>-4.2221000000000055</c:v>
                </c:pt>
                <c:pt idx="105">
                  <c:v>-4.5714000000000059</c:v>
                </c:pt>
                <c:pt idx="106">
                  <c:v>-4.9244400000000059</c:v>
                </c:pt>
                <c:pt idx="107">
                  <c:v>-5.2812200000000065</c:v>
                </c:pt>
                <c:pt idx="108">
                  <c:v>-5.6417400000000066</c:v>
                </c:pt>
                <c:pt idx="109">
                  <c:v>-6.0060000000000064</c:v>
                </c:pt>
                <c:pt idx="110">
                  <c:v>-6.3740000000000068</c:v>
                </c:pt>
              </c:numCache>
            </c:numRef>
          </c:yVal>
          <c:smooth val="0"/>
          <c:extLst>
            <c:ext xmlns:c16="http://schemas.microsoft.com/office/drawing/2014/chart" uri="{C3380CC4-5D6E-409C-BE32-E72D297353CC}">
              <c16:uniqueId val="{00000001-57C8-45B0-B78F-6254443BFB9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479373933549882"/>
                  <c:y val="-0.751970827710100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supplement_LWG!$AB$92:$AB$202</c:f>
              <c:numCache>
                <c:formatCode>0.000</c:formatCode>
                <c:ptCount val="111"/>
                <c:pt idx="0">
                  <c:v>9.473399999999998</c:v>
                </c:pt>
                <c:pt idx="1">
                  <c:v>9.4639199999999981</c:v>
                </c:pt>
                <c:pt idx="2">
                  <c:v>9.4501599999999986</c:v>
                </c:pt>
                <c:pt idx="3">
                  <c:v>9.4321199999999994</c:v>
                </c:pt>
                <c:pt idx="4">
                  <c:v>9.4097999999999988</c:v>
                </c:pt>
                <c:pt idx="5">
                  <c:v>9.3831999999999987</c:v>
                </c:pt>
                <c:pt idx="6">
                  <c:v>9.3523199999999989</c:v>
                </c:pt>
                <c:pt idx="7">
                  <c:v>9.3171599999999994</c:v>
                </c:pt>
                <c:pt idx="8">
                  <c:v>9.2777199999999986</c:v>
                </c:pt>
                <c:pt idx="9">
                  <c:v>9.2339999999999982</c:v>
                </c:pt>
                <c:pt idx="10">
                  <c:v>9.1859999999999982</c:v>
                </c:pt>
                <c:pt idx="11">
                  <c:v>9.1337199999999985</c:v>
                </c:pt>
                <c:pt idx="12">
                  <c:v>9.0771599999999992</c:v>
                </c:pt>
                <c:pt idx="13">
                  <c:v>9.0163199999999986</c:v>
                </c:pt>
                <c:pt idx="14">
                  <c:v>8.9511999999999983</c:v>
                </c:pt>
                <c:pt idx="15">
                  <c:v>8.8817999999999984</c:v>
                </c:pt>
                <c:pt idx="16">
                  <c:v>8.8081199999999988</c:v>
                </c:pt>
                <c:pt idx="17">
                  <c:v>8.7301599999999979</c:v>
                </c:pt>
                <c:pt idx="18">
                  <c:v>8.6479199999999974</c:v>
                </c:pt>
                <c:pt idx="19">
                  <c:v>8.5613999999999972</c:v>
                </c:pt>
                <c:pt idx="20">
                  <c:v>8.4705999999999975</c:v>
                </c:pt>
                <c:pt idx="21">
                  <c:v>8.3755199999999981</c:v>
                </c:pt>
                <c:pt idx="22">
                  <c:v>8.2761599999999973</c:v>
                </c:pt>
                <c:pt idx="23">
                  <c:v>8.1725199999999969</c:v>
                </c:pt>
                <c:pt idx="24">
                  <c:v>8.0645999999999969</c:v>
                </c:pt>
                <c:pt idx="25">
                  <c:v>7.9523999999999972</c:v>
                </c:pt>
                <c:pt idx="26">
                  <c:v>7.8359199999999971</c:v>
                </c:pt>
                <c:pt idx="27">
                  <c:v>7.7151599999999974</c:v>
                </c:pt>
                <c:pt idx="28">
                  <c:v>7.5901199999999971</c:v>
                </c:pt>
                <c:pt idx="29">
                  <c:v>7.4607999999999972</c:v>
                </c:pt>
                <c:pt idx="30">
                  <c:v>7.3271999999999968</c:v>
                </c:pt>
                <c:pt idx="31">
                  <c:v>7.1893199999999968</c:v>
                </c:pt>
                <c:pt idx="32">
                  <c:v>7.0471599999999963</c:v>
                </c:pt>
                <c:pt idx="33">
                  <c:v>6.9007199999999962</c:v>
                </c:pt>
                <c:pt idx="34">
                  <c:v>6.7499999999999964</c:v>
                </c:pt>
                <c:pt idx="35">
                  <c:v>6.5949999999999962</c:v>
                </c:pt>
                <c:pt idx="36">
                  <c:v>6.4357199999999963</c:v>
                </c:pt>
                <c:pt idx="37">
                  <c:v>6.272159999999996</c:v>
                </c:pt>
                <c:pt idx="38">
                  <c:v>6.104319999999996</c:v>
                </c:pt>
                <c:pt idx="39">
                  <c:v>5.9321999999999964</c:v>
                </c:pt>
                <c:pt idx="40">
                  <c:v>5.7557999999999963</c:v>
                </c:pt>
                <c:pt idx="41">
                  <c:v>5.5751199999999965</c:v>
                </c:pt>
                <c:pt idx="42">
                  <c:v>5.3901599999999963</c:v>
                </c:pt>
                <c:pt idx="43">
                  <c:v>5.2009199999999964</c:v>
                </c:pt>
                <c:pt idx="44">
                  <c:v>5.0073999999999961</c:v>
                </c:pt>
                <c:pt idx="45">
                  <c:v>4.8095999999999961</c:v>
                </c:pt>
                <c:pt idx="46">
                  <c:v>4.6075199999999956</c:v>
                </c:pt>
                <c:pt idx="47">
                  <c:v>4.4011599999999955</c:v>
                </c:pt>
                <c:pt idx="48">
                  <c:v>4.1905199999999958</c:v>
                </c:pt>
                <c:pt idx="49">
                  <c:v>3.9755999999999956</c:v>
                </c:pt>
                <c:pt idx="50">
                  <c:v>3.7563999999999957</c:v>
                </c:pt>
                <c:pt idx="51">
                  <c:v>3.5329199999999958</c:v>
                </c:pt>
                <c:pt idx="52">
                  <c:v>3.3051599999999959</c:v>
                </c:pt>
                <c:pt idx="53">
                  <c:v>3.0731199999999959</c:v>
                </c:pt>
                <c:pt idx="54">
                  <c:v>2.8367999999999958</c:v>
                </c:pt>
                <c:pt idx="55">
                  <c:v>2.5961999999999956</c:v>
                </c:pt>
                <c:pt idx="56">
                  <c:v>2.3513199999999959</c:v>
                </c:pt>
                <c:pt idx="57">
                  <c:v>2.102159999999996</c:v>
                </c:pt>
                <c:pt idx="58">
                  <c:v>1.8487199999999959</c:v>
                </c:pt>
                <c:pt idx="59">
                  <c:v>1.590999999999996</c:v>
                </c:pt>
                <c:pt idx="60">
                  <c:v>1.328999999999996</c:v>
                </c:pt>
                <c:pt idx="61">
                  <c:v>1.0627199999999959</c:v>
                </c:pt>
                <c:pt idx="62">
                  <c:v>0.79215999999999587</c:v>
                </c:pt>
                <c:pt idx="63">
                  <c:v>0.51731999999999578</c:v>
                </c:pt>
                <c:pt idx="64">
                  <c:v>0.2381999999999958</c:v>
                </c:pt>
                <c:pt idx="65">
                  <c:v>-4.5200000000004292E-2</c:v>
                </c:pt>
                <c:pt idx="66">
                  <c:v>-0.33288000000000434</c:v>
                </c:pt>
                <c:pt idx="67">
                  <c:v>-0.62484000000000428</c:v>
                </c:pt>
                <c:pt idx="68">
                  <c:v>-0.92108000000000434</c:v>
                </c:pt>
                <c:pt idx="69">
                  <c:v>-1.2216000000000045</c:v>
                </c:pt>
                <c:pt idx="70">
                  <c:v>-1.5264000000000046</c:v>
                </c:pt>
                <c:pt idx="71">
                  <c:v>-1.8354800000000047</c:v>
                </c:pt>
                <c:pt idx="72">
                  <c:v>-2.1488400000000047</c:v>
                </c:pt>
                <c:pt idx="73">
                  <c:v>-2.4664800000000047</c:v>
                </c:pt>
                <c:pt idx="74">
                  <c:v>-2.7884000000000047</c:v>
                </c:pt>
                <c:pt idx="75">
                  <c:v>-3.1146000000000047</c:v>
                </c:pt>
                <c:pt idx="76">
                  <c:v>-3.4450800000000048</c:v>
                </c:pt>
                <c:pt idx="77">
                  <c:v>-3.779840000000005</c:v>
                </c:pt>
                <c:pt idx="78">
                  <c:v>-4.1188800000000052</c:v>
                </c:pt>
                <c:pt idx="79">
                  <c:v>-4.4622000000000055</c:v>
                </c:pt>
                <c:pt idx="80">
                  <c:v>-4.8098000000000054</c:v>
                </c:pt>
                <c:pt idx="81">
                  <c:v>-5.1616800000000058</c:v>
                </c:pt>
                <c:pt idx="82">
                  <c:v>-5.5178400000000059</c:v>
                </c:pt>
                <c:pt idx="83">
                  <c:v>-5.8782800000000055</c:v>
                </c:pt>
                <c:pt idx="84">
                  <c:v>-6.2430000000000057</c:v>
                </c:pt>
                <c:pt idx="85">
                  <c:v>-6.6120000000000054</c:v>
                </c:pt>
                <c:pt idx="86">
                  <c:v>-6.9852800000000057</c:v>
                </c:pt>
                <c:pt idx="87">
                  <c:v>-7.3628400000000056</c:v>
                </c:pt>
                <c:pt idx="88">
                  <c:v>-7.744680000000006</c:v>
                </c:pt>
                <c:pt idx="89">
                  <c:v>-8.130800000000006</c:v>
                </c:pt>
                <c:pt idx="90">
                  <c:v>-8.5212000000000057</c:v>
                </c:pt>
                <c:pt idx="91">
                  <c:v>-8.9158800000000049</c:v>
                </c:pt>
                <c:pt idx="92">
                  <c:v>-9.3148400000000056</c:v>
                </c:pt>
                <c:pt idx="93">
                  <c:v>-9.7180800000000058</c:v>
                </c:pt>
                <c:pt idx="94">
                  <c:v>-10.125600000000006</c:v>
                </c:pt>
                <c:pt idx="95">
                  <c:v>-10.537400000000005</c:v>
                </c:pt>
                <c:pt idx="96">
                  <c:v>-10.953480000000006</c:v>
                </c:pt>
                <c:pt idx="97">
                  <c:v>-11.373840000000007</c:v>
                </c:pt>
                <c:pt idx="98">
                  <c:v>-11.798480000000007</c:v>
                </c:pt>
                <c:pt idx="99">
                  <c:v>-12.227400000000006</c:v>
                </c:pt>
                <c:pt idx="100">
                  <c:v>-12.660600000000006</c:v>
                </c:pt>
                <c:pt idx="101">
                  <c:v>-13.098080000000007</c:v>
                </c:pt>
                <c:pt idx="102">
                  <c:v>-13.539840000000007</c:v>
                </c:pt>
                <c:pt idx="103">
                  <c:v>-13.985880000000007</c:v>
                </c:pt>
                <c:pt idx="104">
                  <c:v>-14.436200000000007</c:v>
                </c:pt>
                <c:pt idx="105">
                  <c:v>-14.890800000000006</c:v>
                </c:pt>
                <c:pt idx="106">
                  <c:v>-15.349680000000006</c:v>
                </c:pt>
                <c:pt idx="107">
                  <c:v>-15.812840000000007</c:v>
                </c:pt>
                <c:pt idx="108">
                  <c:v>-16.280280000000008</c:v>
                </c:pt>
                <c:pt idx="109">
                  <c:v>-16.75200000000001</c:v>
                </c:pt>
                <c:pt idx="110">
                  <c:v>-17.228000000000009</c:v>
                </c:pt>
              </c:numCache>
            </c:numRef>
          </c:yVal>
          <c:smooth val="0"/>
          <c:extLst>
            <c:ext xmlns:c16="http://schemas.microsoft.com/office/drawing/2014/chart" uri="{C3380CC4-5D6E-409C-BE32-E72D297353CC}">
              <c16:uniqueId val="{00000001-BEC9-4671-A946-9BE2102A6EFD}"/>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8327466086177674"/>
                  <c:y val="-0.7438426269361051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supplement_LWG!$AJ$92:$AJ$202</c:f>
              <c:numCache>
                <c:formatCode>0.000</c:formatCode>
                <c:ptCount val="111"/>
                <c:pt idx="0">
                  <c:v>5.951700000000006</c:v>
                </c:pt>
                <c:pt idx="1">
                  <c:v>5.8639600000000058</c:v>
                </c:pt>
                <c:pt idx="2">
                  <c:v>5.7710800000000058</c:v>
                </c:pt>
                <c:pt idx="3">
                  <c:v>5.6730600000000058</c:v>
                </c:pt>
                <c:pt idx="4">
                  <c:v>5.5699000000000058</c:v>
                </c:pt>
                <c:pt idx="5">
                  <c:v>5.461600000000006</c:v>
                </c:pt>
                <c:pt idx="6">
                  <c:v>5.3481600000000062</c:v>
                </c:pt>
                <c:pt idx="7">
                  <c:v>5.2295800000000066</c:v>
                </c:pt>
                <c:pt idx="8">
                  <c:v>5.1058600000000069</c:v>
                </c:pt>
                <c:pt idx="9">
                  <c:v>4.9770000000000074</c:v>
                </c:pt>
                <c:pt idx="10">
                  <c:v>4.8430000000000071</c:v>
                </c:pt>
                <c:pt idx="11">
                  <c:v>4.7038600000000068</c:v>
                </c:pt>
                <c:pt idx="12">
                  <c:v>4.5595800000000066</c:v>
                </c:pt>
                <c:pt idx="13">
                  <c:v>4.4101600000000065</c:v>
                </c:pt>
                <c:pt idx="14">
                  <c:v>4.2556000000000065</c:v>
                </c:pt>
                <c:pt idx="15">
                  <c:v>4.0959000000000065</c:v>
                </c:pt>
                <c:pt idx="16">
                  <c:v>3.9310600000000067</c:v>
                </c:pt>
                <c:pt idx="17">
                  <c:v>3.7610800000000069</c:v>
                </c:pt>
                <c:pt idx="18">
                  <c:v>3.5859600000000067</c:v>
                </c:pt>
                <c:pt idx="19">
                  <c:v>3.4057000000000066</c:v>
                </c:pt>
                <c:pt idx="20">
                  <c:v>3.2203000000000066</c:v>
                </c:pt>
                <c:pt idx="21">
                  <c:v>3.0297600000000067</c:v>
                </c:pt>
                <c:pt idx="22">
                  <c:v>2.8340800000000068</c:v>
                </c:pt>
                <c:pt idx="23">
                  <c:v>2.633260000000007</c:v>
                </c:pt>
                <c:pt idx="24">
                  <c:v>2.4273000000000069</c:v>
                </c:pt>
                <c:pt idx="25">
                  <c:v>2.2162000000000068</c:v>
                </c:pt>
                <c:pt idx="26">
                  <c:v>1.9999600000000068</c:v>
                </c:pt>
                <c:pt idx="27">
                  <c:v>1.7785800000000069</c:v>
                </c:pt>
                <c:pt idx="28">
                  <c:v>1.5520600000000071</c:v>
                </c:pt>
                <c:pt idx="29">
                  <c:v>1.3204000000000071</c:v>
                </c:pt>
                <c:pt idx="30">
                  <c:v>1.0836000000000072</c:v>
                </c:pt>
                <c:pt idx="31">
                  <c:v>0.84166000000000729</c:v>
                </c:pt>
                <c:pt idx="32">
                  <c:v>0.59458000000000744</c:v>
                </c:pt>
                <c:pt idx="33">
                  <c:v>0.34236000000000755</c:v>
                </c:pt>
                <c:pt idx="34">
                  <c:v>8.500000000000757E-2</c:v>
                </c:pt>
                <c:pt idx="35">
                  <c:v>-0.17749999999999244</c:v>
                </c:pt>
                <c:pt idx="36">
                  <c:v>-0.44513999999999243</c:v>
                </c:pt>
                <c:pt idx="37">
                  <c:v>-0.71791999999999234</c:v>
                </c:pt>
                <c:pt idx="38">
                  <c:v>-0.99583999999999229</c:v>
                </c:pt>
                <c:pt idx="39">
                  <c:v>-1.2788999999999922</c:v>
                </c:pt>
                <c:pt idx="40">
                  <c:v>-1.5670999999999919</c:v>
                </c:pt>
                <c:pt idx="41">
                  <c:v>-1.8604399999999919</c:v>
                </c:pt>
                <c:pt idx="42">
                  <c:v>-2.1589199999999917</c:v>
                </c:pt>
                <c:pt idx="43">
                  <c:v>-2.4625399999999917</c:v>
                </c:pt>
                <c:pt idx="44">
                  <c:v>-2.7712999999999917</c:v>
                </c:pt>
                <c:pt idx="45">
                  <c:v>-3.0851999999999915</c:v>
                </c:pt>
                <c:pt idx="46">
                  <c:v>-3.4042399999999913</c:v>
                </c:pt>
                <c:pt idx="47">
                  <c:v>-3.728419999999991</c:v>
                </c:pt>
                <c:pt idx="48">
                  <c:v>-4.057739999999991</c:v>
                </c:pt>
                <c:pt idx="49">
                  <c:v>-4.392199999999991</c:v>
                </c:pt>
                <c:pt idx="50">
                  <c:v>-4.7317999999999909</c:v>
                </c:pt>
                <c:pt idx="51">
                  <c:v>-5.0765399999999907</c:v>
                </c:pt>
                <c:pt idx="52">
                  <c:v>-5.4264199999999905</c:v>
                </c:pt>
                <c:pt idx="53">
                  <c:v>-5.7814399999999901</c:v>
                </c:pt>
                <c:pt idx="54">
                  <c:v>-6.1415999999999897</c:v>
                </c:pt>
                <c:pt idx="55">
                  <c:v>-6.5068999999999892</c:v>
                </c:pt>
                <c:pt idx="56">
                  <c:v>-6.8773399999999896</c:v>
                </c:pt>
                <c:pt idx="57">
                  <c:v>-7.2529199999999898</c:v>
                </c:pt>
                <c:pt idx="58">
                  <c:v>-7.63363999999999</c:v>
                </c:pt>
                <c:pt idx="59">
                  <c:v>-8.0194999999999901</c:v>
                </c:pt>
                <c:pt idx="60">
                  <c:v>-8.4104999999999901</c:v>
                </c:pt>
                <c:pt idx="61">
                  <c:v>-8.8066399999999909</c:v>
                </c:pt>
                <c:pt idx="62">
                  <c:v>-9.2079199999999908</c:v>
                </c:pt>
                <c:pt idx="63">
                  <c:v>-9.6143399999999914</c:v>
                </c:pt>
                <c:pt idx="64">
                  <c:v>-10.025899999999991</c:v>
                </c:pt>
                <c:pt idx="65">
                  <c:v>-10.442599999999992</c:v>
                </c:pt>
                <c:pt idx="66">
                  <c:v>-10.864439999999991</c:v>
                </c:pt>
                <c:pt idx="67">
                  <c:v>-11.291419999999992</c:v>
                </c:pt>
                <c:pt idx="68">
                  <c:v>-11.723539999999991</c:v>
                </c:pt>
                <c:pt idx="69">
                  <c:v>-12.160799999999991</c:v>
                </c:pt>
                <c:pt idx="70">
                  <c:v>-12.60319999999999</c:v>
                </c:pt>
                <c:pt idx="71">
                  <c:v>-13.05073999999999</c:v>
                </c:pt>
                <c:pt idx="72">
                  <c:v>-13.50341999999999</c:v>
                </c:pt>
                <c:pt idx="73">
                  <c:v>-13.961239999999989</c:v>
                </c:pt>
                <c:pt idx="74">
                  <c:v>-14.42419999999999</c:v>
                </c:pt>
                <c:pt idx="75">
                  <c:v>-14.89229999999999</c:v>
                </c:pt>
                <c:pt idx="76">
                  <c:v>-15.36553999999999</c:v>
                </c:pt>
                <c:pt idx="77">
                  <c:v>-15.84391999999999</c:v>
                </c:pt>
                <c:pt idx="78">
                  <c:v>-16.327439999999989</c:v>
                </c:pt>
                <c:pt idx="79">
                  <c:v>-16.816099999999988</c:v>
                </c:pt>
                <c:pt idx="80">
                  <c:v>-17.309899999999988</c:v>
                </c:pt>
                <c:pt idx="81">
                  <c:v>-17.808839999999989</c:v>
                </c:pt>
                <c:pt idx="82">
                  <c:v>-18.312919999999988</c:v>
                </c:pt>
                <c:pt idx="83">
                  <c:v>-18.822139999999987</c:v>
                </c:pt>
                <c:pt idx="84">
                  <c:v>-19.336499999999987</c:v>
                </c:pt>
                <c:pt idx="85">
                  <c:v>-19.855999999999987</c:v>
                </c:pt>
                <c:pt idx="86">
                  <c:v>-20.380639999999989</c:v>
                </c:pt>
                <c:pt idx="87">
                  <c:v>-20.910419999999988</c:v>
                </c:pt>
                <c:pt idx="88">
                  <c:v>-21.445339999999987</c:v>
                </c:pt>
                <c:pt idx="89">
                  <c:v>-21.985399999999988</c:v>
                </c:pt>
                <c:pt idx="90">
                  <c:v>-22.530599999999989</c:v>
                </c:pt>
                <c:pt idx="91">
                  <c:v>-23.080939999999988</c:v>
                </c:pt>
                <c:pt idx="92">
                  <c:v>-23.636419999999987</c:v>
                </c:pt>
                <c:pt idx="93">
                  <c:v>-24.197039999999987</c:v>
                </c:pt>
                <c:pt idx="94">
                  <c:v>-24.762799999999988</c:v>
                </c:pt>
                <c:pt idx="95">
                  <c:v>-25.333699999999986</c:v>
                </c:pt>
                <c:pt idx="96">
                  <c:v>-25.909739999999985</c:v>
                </c:pt>
                <c:pt idx="97">
                  <c:v>-26.490919999999985</c:v>
                </c:pt>
                <c:pt idx="98">
                  <c:v>-27.077239999999986</c:v>
                </c:pt>
                <c:pt idx="99">
                  <c:v>-27.668699999999987</c:v>
                </c:pt>
                <c:pt idx="100">
                  <c:v>-28.265299999999986</c:v>
                </c:pt>
                <c:pt idx="101">
                  <c:v>-28.867039999999985</c:v>
                </c:pt>
                <c:pt idx="102">
                  <c:v>-29.473919999999985</c:v>
                </c:pt>
                <c:pt idx="103">
                  <c:v>-30.085939999999987</c:v>
                </c:pt>
                <c:pt idx="104">
                  <c:v>-30.703099999999985</c:v>
                </c:pt>
                <c:pt idx="105">
                  <c:v>-31.325399999999984</c:v>
                </c:pt>
                <c:pt idx="106">
                  <c:v>-31.952839999999984</c:v>
                </c:pt>
                <c:pt idx="107">
                  <c:v>-32.585419999999985</c:v>
                </c:pt>
                <c:pt idx="108">
                  <c:v>-33.223139999999987</c:v>
                </c:pt>
                <c:pt idx="109">
                  <c:v>-33.865999999999985</c:v>
                </c:pt>
                <c:pt idx="110">
                  <c:v>-34.513999999999989</c:v>
                </c:pt>
              </c:numCache>
            </c:numRef>
          </c:yVal>
          <c:smooth val="0"/>
          <c:extLst>
            <c:ext xmlns:c16="http://schemas.microsoft.com/office/drawing/2014/chart" uri="{C3380CC4-5D6E-409C-BE32-E72D297353CC}">
              <c16:uniqueId val="{00000001-E3C9-46F4-8333-4B53B5D5F23F}"/>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11368854271186"/>
                  <c:y val="-0.7191205412603787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supplement_LWG!$U$92:$U$202</c:f>
              <c:numCache>
                <c:formatCode>0.000</c:formatCode>
                <c:ptCount val="111"/>
                <c:pt idx="0">
                  <c:v>11.684699999999998</c:v>
                </c:pt>
                <c:pt idx="1">
                  <c:v>11.764359999999998</c:v>
                </c:pt>
                <c:pt idx="2">
                  <c:v>11.840279999999998</c:v>
                </c:pt>
                <c:pt idx="3">
                  <c:v>11.912459999999998</c:v>
                </c:pt>
                <c:pt idx="4">
                  <c:v>11.980899999999998</c:v>
                </c:pt>
                <c:pt idx="5">
                  <c:v>12.045599999999999</c:v>
                </c:pt>
                <c:pt idx="6">
                  <c:v>12.106559999999998</c:v>
                </c:pt>
                <c:pt idx="7">
                  <c:v>12.163779999999997</c:v>
                </c:pt>
                <c:pt idx="8">
                  <c:v>12.217259999999998</c:v>
                </c:pt>
                <c:pt idx="9">
                  <c:v>12.266999999999998</c:v>
                </c:pt>
                <c:pt idx="10">
                  <c:v>12.312999999999997</c:v>
                </c:pt>
                <c:pt idx="11">
                  <c:v>12.355259999999998</c:v>
                </c:pt>
                <c:pt idx="12">
                  <c:v>12.393779999999998</c:v>
                </c:pt>
                <c:pt idx="13">
                  <c:v>12.428559999999997</c:v>
                </c:pt>
                <c:pt idx="14">
                  <c:v>12.459599999999998</c:v>
                </c:pt>
                <c:pt idx="15">
                  <c:v>12.486899999999999</c:v>
                </c:pt>
                <c:pt idx="16">
                  <c:v>12.510459999999998</c:v>
                </c:pt>
                <c:pt idx="17">
                  <c:v>12.530279999999998</c:v>
                </c:pt>
                <c:pt idx="18">
                  <c:v>12.546359999999998</c:v>
                </c:pt>
                <c:pt idx="19">
                  <c:v>12.558699999999998</c:v>
                </c:pt>
                <c:pt idx="20">
                  <c:v>12.567299999999998</c:v>
                </c:pt>
                <c:pt idx="21">
                  <c:v>12.572159999999998</c:v>
                </c:pt>
                <c:pt idx="22">
                  <c:v>12.573279999999999</c:v>
                </c:pt>
                <c:pt idx="23">
                  <c:v>12.570659999999998</c:v>
                </c:pt>
                <c:pt idx="24">
                  <c:v>12.564299999999998</c:v>
                </c:pt>
                <c:pt idx="25">
                  <c:v>12.554199999999998</c:v>
                </c:pt>
                <c:pt idx="26">
                  <c:v>12.540359999999998</c:v>
                </c:pt>
                <c:pt idx="27">
                  <c:v>12.522779999999997</c:v>
                </c:pt>
                <c:pt idx="28">
                  <c:v>12.501459999999998</c:v>
                </c:pt>
                <c:pt idx="29">
                  <c:v>12.476399999999998</c:v>
                </c:pt>
                <c:pt idx="30">
                  <c:v>12.447599999999998</c:v>
                </c:pt>
                <c:pt idx="31">
                  <c:v>12.415059999999997</c:v>
                </c:pt>
                <c:pt idx="32">
                  <c:v>12.378779999999997</c:v>
                </c:pt>
                <c:pt idx="33">
                  <c:v>12.338759999999997</c:v>
                </c:pt>
                <c:pt idx="34">
                  <c:v>12.294999999999996</c:v>
                </c:pt>
                <c:pt idx="35">
                  <c:v>12.247499999999997</c:v>
                </c:pt>
                <c:pt idx="36">
                  <c:v>12.196259999999997</c:v>
                </c:pt>
                <c:pt idx="37">
                  <c:v>12.141279999999997</c:v>
                </c:pt>
                <c:pt idx="38">
                  <c:v>12.082559999999997</c:v>
                </c:pt>
                <c:pt idx="39">
                  <c:v>12.020099999999998</c:v>
                </c:pt>
                <c:pt idx="40">
                  <c:v>11.953899999999997</c:v>
                </c:pt>
                <c:pt idx="41">
                  <c:v>11.883959999999997</c:v>
                </c:pt>
                <c:pt idx="42">
                  <c:v>11.810279999999997</c:v>
                </c:pt>
                <c:pt idx="43">
                  <c:v>11.732859999999997</c:v>
                </c:pt>
                <c:pt idx="44">
                  <c:v>11.651699999999996</c:v>
                </c:pt>
                <c:pt idx="45">
                  <c:v>11.566799999999997</c:v>
                </c:pt>
                <c:pt idx="46">
                  <c:v>11.478159999999997</c:v>
                </c:pt>
                <c:pt idx="47">
                  <c:v>11.385779999999997</c:v>
                </c:pt>
                <c:pt idx="48">
                  <c:v>11.289659999999996</c:v>
                </c:pt>
                <c:pt idx="49">
                  <c:v>11.189799999999996</c:v>
                </c:pt>
                <c:pt idx="50">
                  <c:v>11.086199999999996</c:v>
                </c:pt>
                <c:pt idx="51">
                  <c:v>10.978859999999996</c:v>
                </c:pt>
                <c:pt idx="52">
                  <c:v>10.867779999999996</c:v>
                </c:pt>
                <c:pt idx="53">
                  <c:v>10.752959999999996</c:v>
                </c:pt>
                <c:pt idx="54">
                  <c:v>10.634399999999996</c:v>
                </c:pt>
                <c:pt idx="55">
                  <c:v>10.512099999999997</c:v>
                </c:pt>
                <c:pt idx="56">
                  <c:v>10.386059999999997</c:v>
                </c:pt>
                <c:pt idx="57">
                  <c:v>10.256279999999997</c:v>
                </c:pt>
                <c:pt idx="58">
                  <c:v>10.122759999999996</c:v>
                </c:pt>
                <c:pt idx="59">
                  <c:v>9.9854999999999965</c:v>
                </c:pt>
                <c:pt idx="60">
                  <c:v>9.8444999999999965</c:v>
                </c:pt>
                <c:pt idx="61">
                  <c:v>9.6997599999999959</c:v>
                </c:pt>
                <c:pt idx="62">
                  <c:v>9.5512799999999967</c:v>
                </c:pt>
                <c:pt idx="63">
                  <c:v>9.3990599999999969</c:v>
                </c:pt>
                <c:pt idx="64">
                  <c:v>9.2430999999999965</c:v>
                </c:pt>
                <c:pt idx="65">
                  <c:v>9.0833999999999957</c:v>
                </c:pt>
                <c:pt idx="66">
                  <c:v>8.9199599999999961</c:v>
                </c:pt>
                <c:pt idx="67">
                  <c:v>8.752779999999996</c:v>
                </c:pt>
                <c:pt idx="68">
                  <c:v>8.5818599999999954</c:v>
                </c:pt>
                <c:pt idx="69">
                  <c:v>8.407199999999996</c:v>
                </c:pt>
                <c:pt idx="70">
                  <c:v>8.2287999999999961</c:v>
                </c:pt>
                <c:pt idx="71">
                  <c:v>8.0466599999999957</c:v>
                </c:pt>
                <c:pt idx="72">
                  <c:v>7.8607799999999957</c:v>
                </c:pt>
                <c:pt idx="73">
                  <c:v>7.671159999999996</c:v>
                </c:pt>
                <c:pt idx="74">
                  <c:v>7.4777999999999958</c:v>
                </c:pt>
                <c:pt idx="75">
                  <c:v>7.280699999999996</c:v>
                </c:pt>
                <c:pt idx="76">
                  <c:v>7.0798599999999956</c:v>
                </c:pt>
                <c:pt idx="77">
                  <c:v>6.8752799999999956</c:v>
                </c:pt>
                <c:pt idx="78">
                  <c:v>6.666959999999996</c:v>
                </c:pt>
                <c:pt idx="79">
                  <c:v>6.4548999999999959</c:v>
                </c:pt>
                <c:pt idx="80">
                  <c:v>6.2390999999999961</c:v>
                </c:pt>
                <c:pt idx="81">
                  <c:v>6.0195599999999958</c:v>
                </c:pt>
                <c:pt idx="82">
                  <c:v>5.7962799999999959</c:v>
                </c:pt>
                <c:pt idx="83">
                  <c:v>5.5692599999999963</c:v>
                </c:pt>
                <c:pt idx="84">
                  <c:v>5.3384999999999962</c:v>
                </c:pt>
                <c:pt idx="85">
                  <c:v>5.1039999999999965</c:v>
                </c:pt>
                <c:pt idx="86">
                  <c:v>4.8657599999999963</c:v>
                </c:pt>
                <c:pt idx="87">
                  <c:v>4.6237799999999964</c:v>
                </c:pt>
                <c:pt idx="88">
                  <c:v>4.3780599999999961</c:v>
                </c:pt>
                <c:pt idx="89">
                  <c:v>4.1285999999999961</c:v>
                </c:pt>
                <c:pt idx="90">
                  <c:v>3.875399999999996</c:v>
                </c:pt>
                <c:pt idx="91">
                  <c:v>3.6184599999999958</c:v>
                </c:pt>
                <c:pt idx="92">
                  <c:v>3.3577799999999955</c:v>
                </c:pt>
                <c:pt idx="93">
                  <c:v>3.0933599999999952</c:v>
                </c:pt>
                <c:pt idx="94">
                  <c:v>2.8251999999999953</c:v>
                </c:pt>
                <c:pt idx="95">
                  <c:v>2.5532999999999952</c:v>
                </c:pt>
                <c:pt idx="96">
                  <c:v>2.2776599999999951</c:v>
                </c:pt>
                <c:pt idx="97">
                  <c:v>1.9982799999999952</c:v>
                </c:pt>
                <c:pt idx="98">
                  <c:v>1.7151599999999951</c:v>
                </c:pt>
                <c:pt idx="99">
                  <c:v>1.4282999999999952</c:v>
                </c:pt>
                <c:pt idx="100">
                  <c:v>1.1376999999999953</c:v>
                </c:pt>
                <c:pt idx="101">
                  <c:v>0.84335999999999522</c:v>
                </c:pt>
                <c:pt idx="102">
                  <c:v>0.5452799999999951</c:v>
                </c:pt>
                <c:pt idx="103">
                  <c:v>0.24345999999999507</c:v>
                </c:pt>
                <c:pt idx="104">
                  <c:v>-6.2100000000004985E-2</c:v>
                </c:pt>
                <c:pt idx="105">
                  <c:v>-0.37140000000000506</c:v>
                </c:pt>
                <c:pt idx="106">
                  <c:v>-0.68444000000000516</c:v>
                </c:pt>
                <c:pt idx="107">
                  <c:v>-1.0012200000000053</c:v>
                </c:pt>
                <c:pt idx="108">
                  <c:v>-1.3217400000000055</c:v>
                </c:pt>
                <c:pt idx="109">
                  <c:v>-1.6460000000000055</c:v>
                </c:pt>
                <c:pt idx="110">
                  <c:v>-1.9740000000000055</c:v>
                </c:pt>
              </c:numCache>
            </c:numRef>
          </c:yVal>
          <c:smooth val="0"/>
          <c:extLst>
            <c:ext xmlns:c16="http://schemas.microsoft.com/office/drawing/2014/chart" uri="{C3380CC4-5D6E-409C-BE32-E72D297353CC}">
              <c16:uniqueId val="{00000001-4024-4EE9-83FB-C70500DFCBB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064687108495887"/>
                  <c:y val="-0.7153550066277283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supplement_LWG!$AC$92:$AC$202</c:f>
              <c:numCache>
                <c:formatCode>0.000</c:formatCode>
                <c:ptCount val="111"/>
                <c:pt idx="0">
                  <c:v>9.473399999999998</c:v>
                </c:pt>
                <c:pt idx="1">
                  <c:v>9.5039199999999973</c:v>
                </c:pt>
                <c:pt idx="2">
                  <c:v>9.5301599999999969</c:v>
                </c:pt>
                <c:pt idx="3">
                  <c:v>9.5521199999999968</c:v>
                </c:pt>
                <c:pt idx="4">
                  <c:v>9.5697999999999972</c:v>
                </c:pt>
                <c:pt idx="5">
                  <c:v>9.5831999999999979</c:v>
                </c:pt>
                <c:pt idx="6">
                  <c:v>9.5923199999999973</c:v>
                </c:pt>
                <c:pt idx="7">
                  <c:v>9.597159999999997</c:v>
                </c:pt>
                <c:pt idx="8">
                  <c:v>9.5977199999999971</c:v>
                </c:pt>
                <c:pt idx="9">
                  <c:v>9.5939999999999976</c:v>
                </c:pt>
                <c:pt idx="10">
                  <c:v>9.5859999999999985</c:v>
                </c:pt>
                <c:pt idx="11">
                  <c:v>9.573719999999998</c:v>
                </c:pt>
                <c:pt idx="12">
                  <c:v>9.5571599999999979</c:v>
                </c:pt>
                <c:pt idx="13">
                  <c:v>9.5363199999999981</c:v>
                </c:pt>
                <c:pt idx="14">
                  <c:v>9.5111999999999988</c:v>
                </c:pt>
                <c:pt idx="15">
                  <c:v>9.481799999999998</c:v>
                </c:pt>
                <c:pt idx="16">
                  <c:v>9.4481199999999976</c:v>
                </c:pt>
                <c:pt idx="17">
                  <c:v>9.4101599999999976</c:v>
                </c:pt>
                <c:pt idx="18">
                  <c:v>9.367919999999998</c:v>
                </c:pt>
                <c:pt idx="19">
                  <c:v>9.3213999999999988</c:v>
                </c:pt>
                <c:pt idx="20">
                  <c:v>9.2705999999999982</c:v>
                </c:pt>
                <c:pt idx="21">
                  <c:v>9.2155199999999979</c:v>
                </c:pt>
                <c:pt idx="22">
                  <c:v>9.1561599999999981</c:v>
                </c:pt>
                <c:pt idx="23">
                  <c:v>9.0925199999999986</c:v>
                </c:pt>
                <c:pt idx="24">
                  <c:v>9.0245999999999977</c:v>
                </c:pt>
                <c:pt idx="25">
                  <c:v>8.9523999999999972</c:v>
                </c:pt>
                <c:pt idx="26">
                  <c:v>8.8759199999999971</c:v>
                </c:pt>
                <c:pt idx="27">
                  <c:v>8.7951599999999974</c:v>
                </c:pt>
                <c:pt idx="28">
                  <c:v>8.7101199999999981</c:v>
                </c:pt>
                <c:pt idx="29">
                  <c:v>8.6207999999999974</c:v>
                </c:pt>
                <c:pt idx="30">
                  <c:v>8.527199999999997</c:v>
                </c:pt>
                <c:pt idx="31">
                  <c:v>8.429319999999997</c:v>
                </c:pt>
                <c:pt idx="32">
                  <c:v>8.3271599999999975</c:v>
                </c:pt>
                <c:pt idx="33">
                  <c:v>8.2207199999999983</c:v>
                </c:pt>
                <c:pt idx="34">
                  <c:v>8.1099999999999977</c:v>
                </c:pt>
                <c:pt idx="35">
                  <c:v>7.9949999999999974</c:v>
                </c:pt>
                <c:pt idx="36">
                  <c:v>7.8757199999999976</c:v>
                </c:pt>
                <c:pt idx="37">
                  <c:v>7.7521599999999973</c:v>
                </c:pt>
                <c:pt idx="38">
                  <c:v>7.6243199999999973</c:v>
                </c:pt>
                <c:pt idx="39">
                  <c:v>7.4921999999999969</c:v>
                </c:pt>
                <c:pt idx="40">
                  <c:v>7.3557999999999968</c:v>
                </c:pt>
                <c:pt idx="41">
                  <c:v>7.2151199999999971</c:v>
                </c:pt>
                <c:pt idx="42">
                  <c:v>7.0701599999999969</c:v>
                </c:pt>
                <c:pt idx="43">
                  <c:v>6.9209199999999971</c:v>
                </c:pt>
                <c:pt idx="44">
                  <c:v>6.7673999999999968</c:v>
                </c:pt>
                <c:pt idx="45">
                  <c:v>6.6095999999999968</c:v>
                </c:pt>
                <c:pt idx="46">
                  <c:v>6.4475199999999964</c:v>
                </c:pt>
                <c:pt idx="47">
                  <c:v>6.2811599999999963</c:v>
                </c:pt>
                <c:pt idx="48">
                  <c:v>6.1105199999999966</c:v>
                </c:pt>
                <c:pt idx="49">
                  <c:v>5.9355999999999964</c:v>
                </c:pt>
                <c:pt idx="50">
                  <c:v>5.7563999999999966</c:v>
                </c:pt>
                <c:pt idx="51">
                  <c:v>5.5729199999999963</c:v>
                </c:pt>
                <c:pt idx="52">
                  <c:v>5.3851599999999964</c:v>
                </c:pt>
                <c:pt idx="53">
                  <c:v>5.193119999999996</c:v>
                </c:pt>
                <c:pt idx="54">
                  <c:v>4.9967999999999959</c:v>
                </c:pt>
                <c:pt idx="55">
                  <c:v>4.7961999999999962</c:v>
                </c:pt>
                <c:pt idx="56">
                  <c:v>4.5913199999999961</c:v>
                </c:pt>
                <c:pt idx="57">
                  <c:v>4.3821599999999963</c:v>
                </c:pt>
                <c:pt idx="58">
                  <c:v>4.168719999999996</c:v>
                </c:pt>
                <c:pt idx="59">
                  <c:v>3.9509999999999961</c:v>
                </c:pt>
                <c:pt idx="60">
                  <c:v>3.7289999999999961</c:v>
                </c:pt>
                <c:pt idx="61">
                  <c:v>3.5027199999999961</c:v>
                </c:pt>
                <c:pt idx="62">
                  <c:v>3.272159999999996</c:v>
                </c:pt>
                <c:pt idx="63">
                  <c:v>3.0373199999999958</c:v>
                </c:pt>
                <c:pt idx="64">
                  <c:v>2.798199999999996</c:v>
                </c:pt>
                <c:pt idx="65">
                  <c:v>2.5547999999999957</c:v>
                </c:pt>
                <c:pt idx="66">
                  <c:v>2.3071199999999958</c:v>
                </c:pt>
                <c:pt idx="67">
                  <c:v>2.0551599999999959</c:v>
                </c:pt>
                <c:pt idx="68">
                  <c:v>1.7989199999999959</c:v>
                </c:pt>
                <c:pt idx="69">
                  <c:v>1.5383999999999958</c:v>
                </c:pt>
                <c:pt idx="70">
                  <c:v>1.2735999999999956</c:v>
                </c:pt>
                <c:pt idx="71">
                  <c:v>1.0045199999999956</c:v>
                </c:pt>
                <c:pt idx="72">
                  <c:v>0.73115999999999559</c:v>
                </c:pt>
                <c:pt idx="73">
                  <c:v>0.45351999999999559</c:v>
                </c:pt>
                <c:pt idx="74">
                  <c:v>0.17159999999999553</c:v>
                </c:pt>
                <c:pt idx="75">
                  <c:v>-0.11460000000000453</c:v>
                </c:pt>
                <c:pt idx="76">
                  <c:v>-0.40508000000000455</c:v>
                </c:pt>
                <c:pt idx="77">
                  <c:v>-0.69984000000000457</c:v>
                </c:pt>
                <c:pt idx="78">
                  <c:v>-0.99888000000000465</c:v>
                </c:pt>
                <c:pt idx="79">
                  <c:v>-1.3022000000000047</c:v>
                </c:pt>
                <c:pt idx="80">
                  <c:v>-1.6098000000000048</c:v>
                </c:pt>
                <c:pt idx="81">
                  <c:v>-1.9216800000000047</c:v>
                </c:pt>
                <c:pt idx="82">
                  <c:v>-2.2378400000000047</c:v>
                </c:pt>
                <c:pt idx="83">
                  <c:v>-2.5582800000000048</c:v>
                </c:pt>
                <c:pt idx="84">
                  <c:v>-2.8830000000000049</c:v>
                </c:pt>
                <c:pt idx="85">
                  <c:v>-3.2120000000000051</c:v>
                </c:pt>
                <c:pt idx="86">
                  <c:v>-3.5452800000000053</c:v>
                </c:pt>
                <c:pt idx="87">
                  <c:v>-3.8828400000000052</c:v>
                </c:pt>
                <c:pt idx="88">
                  <c:v>-4.2246800000000055</c:v>
                </c:pt>
                <c:pt idx="89">
                  <c:v>-4.5708000000000055</c:v>
                </c:pt>
                <c:pt idx="90">
                  <c:v>-4.921200000000006</c:v>
                </c:pt>
                <c:pt idx="91">
                  <c:v>-5.2758800000000061</c:v>
                </c:pt>
                <c:pt idx="92">
                  <c:v>-5.6348400000000058</c:v>
                </c:pt>
                <c:pt idx="93">
                  <c:v>-5.9980800000000061</c:v>
                </c:pt>
                <c:pt idx="94">
                  <c:v>-6.3656000000000059</c:v>
                </c:pt>
                <c:pt idx="95">
                  <c:v>-6.7374000000000063</c:v>
                </c:pt>
                <c:pt idx="96">
                  <c:v>-7.1134800000000062</c:v>
                </c:pt>
                <c:pt idx="97">
                  <c:v>-7.4938400000000058</c:v>
                </c:pt>
                <c:pt idx="98">
                  <c:v>-7.8784800000000059</c:v>
                </c:pt>
                <c:pt idx="99">
                  <c:v>-8.2674000000000056</c:v>
                </c:pt>
                <c:pt idx="100">
                  <c:v>-8.6606000000000058</c:v>
                </c:pt>
                <c:pt idx="101">
                  <c:v>-9.0580800000000057</c:v>
                </c:pt>
                <c:pt idx="102">
                  <c:v>-9.4598400000000051</c:v>
                </c:pt>
                <c:pt idx="103">
                  <c:v>-9.865880000000006</c:v>
                </c:pt>
                <c:pt idx="104">
                  <c:v>-10.276200000000006</c:v>
                </c:pt>
                <c:pt idx="105">
                  <c:v>-10.690800000000007</c:v>
                </c:pt>
                <c:pt idx="106">
                  <c:v>-11.109680000000006</c:v>
                </c:pt>
                <c:pt idx="107">
                  <c:v>-11.532840000000006</c:v>
                </c:pt>
                <c:pt idx="108">
                  <c:v>-11.960280000000006</c:v>
                </c:pt>
                <c:pt idx="109">
                  <c:v>-12.392000000000007</c:v>
                </c:pt>
                <c:pt idx="110">
                  <c:v>-12.828000000000007</c:v>
                </c:pt>
              </c:numCache>
            </c:numRef>
          </c:yVal>
          <c:smooth val="0"/>
          <c:extLst>
            <c:ext xmlns:c16="http://schemas.microsoft.com/office/drawing/2014/chart" uri="{C3380CC4-5D6E-409C-BE32-E72D297353CC}">
              <c16:uniqueId val="{00000001-3386-491C-83FE-157DC99EBB86}"/>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35266407033894"/>
                  <c:y val="-0.7446566625255838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supplement_LWG!$AK$92:$AK$202</c:f>
              <c:numCache>
                <c:formatCode>0.000</c:formatCode>
                <c:ptCount val="111"/>
                <c:pt idx="0">
                  <c:v>5.951700000000006</c:v>
                </c:pt>
                <c:pt idx="1">
                  <c:v>5.9039600000000059</c:v>
                </c:pt>
                <c:pt idx="2">
                  <c:v>5.8510800000000058</c:v>
                </c:pt>
                <c:pt idx="3">
                  <c:v>5.7930600000000059</c:v>
                </c:pt>
                <c:pt idx="4">
                  <c:v>5.729900000000006</c:v>
                </c:pt>
                <c:pt idx="5">
                  <c:v>5.6616000000000062</c:v>
                </c:pt>
                <c:pt idx="6">
                  <c:v>5.5881600000000065</c:v>
                </c:pt>
                <c:pt idx="7">
                  <c:v>5.5095800000000068</c:v>
                </c:pt>
                <c:pt idx="8">
                  <c:v>5.4258600000000072</c:v>
                </c:pt>
                <c:pt idx="9">
                  <c:v>5.3370000000000068</c:v>
                </c:pt>
                <c:pt idx="10">
                  <c:v>5.2430000000000065</c:v>
                </c:pt>
                <c:pt idx="11">
                  <c:v>5.1438600000000063</c:v>
                </c:pt>
                <c:pt idx="12">
                  <c:v>5.0395800000000062</c:v>
                </c:pt>
                <c:pt idx="13">
                  <c:v>4.9301600000000061</c:v>
                </c:pt>
                <c:pt idx="14">
                  <c:v>4.8156000000000061</c:v>
                </c:pt>
                <c:pt idx="15">
                  <c:v>4.6959000000000062</c:v>
                </c:pt>
                <c:pt idx="16">
                  <c:v>4.5710600000000063</c:v>
                </c:pt>
                <c:pt idx="17">
                  <c:v>4.4410800000000066</c:v>
                </c:pt>
                <c:pt idx="18">
                  <c:v>4.3059600000000069</c:v>
                </c:pt>
                <c:pt idx="19">
                  <c:v>4.1657000000000073</c:v>
                </c:pt>
                <c:pt idx="20">
                  <c:v>4.0203000000000078</c:v>
                </c:pt>
                <c:pt idx="21">
                  <c:v>3.8697600000000079</c:v>
                </c:pt>
                <c:pt idx="22">
                  <c:v>3.714080000000008</c:v>
                </c:pt>
                <c:pt idx="23">
                  <c:v>3.5532600000000079</c:v>
                </c:pt>
                <c:pt idx="24">
                  <c:v>3.3873000000000077</c:v>
                </c:pt>
                <c:pt idx="25">
                  <c:v>3.2162000000000077</c:v>
                </c:pt>
                <c:pt idx="26">
                  <c:v>3.0399600000000078</c:v>
                </c:pt>
                <c:pt idx="27">
                  <c:v>2.8585800000000079</c:v>
                </c:pt>
                <c:pt idx="28">
                  <c:v>2.6720600000000081</c:v>
                </c:pt>
                <c:pt idx="29">
                  <c:v>2.4804000000000079</c:v>
                </c:pt>
                <c:pt idx="30">
                  <c:v>2.2836000000000078</c:v>
                </c:pt>
                <c:pt idx="31">
                  <c:v>2.0816600000000078</c:v>
                </c:pt>
                <c:pt idx="32">
                  <c:v>1.8745800000000079</c:v>
                </c:pt>
                <c:pt idx="33">
                  <c:v>1.6623600000000081</c:v>
                </c:pt>
                <c:pt idx="34">
                  <c:v>1.4450000000000081</c:v>
                </c:pt>
                <c:pt idx="35">
                  <c:v>1.2225000000000081</c:v>
                </c:pt>
                <c:pt idx="36">
                  <c:v>0.99486000000000807</c:v>
                </c:pt>
                <c:pt idx="37">
                  <c:v>0.76208000000000808</c:v>
                </c:pt>
                <c:pt idx="38">
                  <c:v>0.52416000000000817</c:v>
                </c:pt>
                <c:pt idx="39">
                  <c:v>0.28110000000000823</c:v>
                </c:pt>
                <c:pt idx="40">
                  <c:v>3.2900000000008311E-2</c:v>
                </c:pt>
                <c:pt idx="41">
                  <c:v>-0.22043999999999159</c:v>
                </c:pt>
                <c:pt idx="42">
                  <c:v>-0.47891999999999152</c:v>
                </c:pt>
                <c:pt idx="43">
                  <c:v>-0.74253999999999154</c:v>
                </c:pt>
                <c:pt idx="44">
                  <c:v>-1.0112999999999914</c:v>
                </c:pt>
                <c:pt idx="45">
                  <c:v>-1.2851999999999915</c:v>
                </c:pt>
                <c:pt idx="46">
                  <c:v>-1.5642399999999914</c:v>
                </c:pt>
                <c:pt idx="47">
                  <c:v>-1.8484199999999913</c:v>
                </c:pt>
                <c:pt idx="48">
                  <c:v>-2.1377399999999911</c:v>
                </c:pt>
                <c:pt idx="49">
                  <c:v>-2.432199999999991</c:v>
                </c:pt>
                <c:pt idx="50">
                  <c:v>-2.7317999999999909</c:v>
                </c:pt>
                <c:pt idx="51">
                  <c:v>-3.0365399999999907</c:v>
                </c:pt>
                <c:pt idx="52">
                  <c:v>-3.3464199999999908</c:v>
                </c:pt>
                <c:pt idx="53">
                  <c:v>-3.6614399999999909</c:v>
                </c:pt>
                <c:pt idx="54">
                  <c:v>-3.9815999999999909</c:v>
                </c:pt>
                <c:pt idx="55">
                  <c:v>-4.3068999999999908</c:v>
                </c:pt>
                <c:pt idx="56">
                  <c:v>-4.6373399999999911</c:v>
                </c:pt>
                <c:pt idx="57">
                  <c:v>-4.9729199999999913</c:v>
                </c:pt>
                <c:pt idx="58">
                  <c:v>-5.3136399999999915</c:v>
                </c:pt>
                <c:pt idx="59">
                  <c:v>-5.6594999999999915</c:v>
                </c:pt>
                <c:pt idx="60">
                  <c:v>-6.0104999999999915</c:v>
                </c:pt>
                <c:pt idx="61">
                  <c:v>-6.3666399999999914</c:v>
                </c:pt>
                <c:pt idx="62">
                  <c:v>-6.7279199999999912</c:v>
                </c:pt>
                <c:pt idx="63">
                  <c:v>-7.094339999999991</c:v>
                </c:pt>
                <c:pt idx="64">
                  <c:v>-7.4658999999999907</c:v>
                </c:pt>
                <c:pt idx="65">
                  <c:v>-7.8425999999999902</c:v>
                </c:pt>
                <c:pt idx="66">
                  <c:v>-8.2244399999999906</c:v>
                </c:pt>
                <c:pt idx="67">
                  <c:v>-8.6114199999999901</c:v>
                </c:pt>
                <c:pt idx="68">
                  <c:v>-9.0035399999999903</c:v>
                </c:pt>
                <c:pt idx="69">
                  <c:v>-9.4007999999999896</c:v>
                </c:pt>
                <c:pt idx="70">
                  <c:v>-9.8031999999999897</c:v>
                </c:pt>
                <c:pt idx="71">
                  <c:v>-10.210739999999991</c:v>
                </c:pt>
                <c:pt idx="72">
                  <c:v>-10.623419999999991</c:v>
                </c:pt>
                <c:pt idx="73">
                  <c:v>-11.041239999999991</c:v>
                </c:pt>
                <c:pt idx="74">
                  <c:v>-11.464199999999991</c:v>
                </c:pt>
                <c:pt idx="75">
                  <c:v>-11.892299999999992</c:v>
                </c:pt>
                <c:pt idx="76">
                  <c:v>-12.325539999999991</c:v>
                </c:pt>
                <c:pt idx="77">
                  <c:v>-12.763919999999992</c:v>
                </c:pt>
                <c:pt idx="78">
                  <c:v>-13.207439999999991</c:v>
                </c:pt>
                <c:pt idx="79">
                  <c:v>-13.656099999999991</c:v>
                </c:pt>
                <c:pt idx="80">
                  <c:v>-14.109899999999991</c:v>
                </c:pt>
                <c:pt idx="81">
                  <c:v>-14.568839999999991</c:v>
                </c:pt>
                <c:pt idx="82">
                  <c:v>-15.03291999999999</c:v>
                </c:pt>
                <c:pt idx="83">
                  <c:v>-15.50213999999999</c:v>
                </c:pt>
                <c:pt idx="84">
                  <c:v>-15.976499999999991</c:v>
                </c:pt>
                <c:pt idx="85">
                  <c:v>-16.455999999999992</c:v>
                </c:pt>
                <c:pt idx="86">
                  <c:v>-16.940639999999991</c:v>
                </c:pt>
                <c:pt idx="87">
                  <c:v>-17.430419999999991</c:v>
                </c:pt>
                <c:pt idx="88">
                  <c:v>-17.925339999999991</c:v>
                </c:pt>
                <c:pt idx="89">
                  <c:v>-18.425399999999993</c:v>
                </c:pt>
                <c:pt idx="90">
                  <c:v>-18.930599999999991</c:v>
                </c:pt>
                <c:pt idx="91">
                  <c:v>-19.440939999999991</c:v>
                </c:pt>
                <c:pt idx="92">
                  <c:v>-19.956419999999991</c:v>
                </c:pt>
                <c:pt idx="93">
                  <c:v>-20.477039999999992</c:v>
                </c:pt>
                <c:pt idx="94">
                  <c:v>-21.002799999999993</c:v>
                </c:pt>
                <c:pt idx="95">
                  <c:v>-21.533699999999993</c:v>
                </c:pt>
                <c:pt idx="96">
                  <c:v>-22.069739999999992</c:v>
                </c:pt>
                <c:pt idx="97">
                  <c:v>-22.610919999999993</c:v>
                </c:pt>
                <c:pt idx="98">
                  <c:v>-23.157239999999994</c:v>
                </c:pt>
                <c:pt idx="99">
                  <c:v>-23.708699999999993</c:v>
                </c:pt>
                <c:pt idx="100">
                  <c:v>-24.265299999999993</c:v>
                </c:pt>
                <c:pt idx="101">
                  <c:v>-24.827039999999993</c:v>
                </c:pt>
                <c:pt idx="102">
                  <c:v>-25.393919999999994</c:v>
                </c:pt>
                <c:pt idx="103">
                  <c:v>-25.965939999999993</c:v>
                </c:pt>
                <c:pt idx="104">
                  <c:v>-26.543099999999992</c:v>
                </c:pt>
                <c:pt idx="105">
                  <c:v>-27.125399999999992</c:v>
                </c:pt>
                <c:pt idx="106">
                  <c:v>-27.712839999999993</c:v>
                </c:pt>
                <c:pt idx="107">
                  <c:v>-28.305419999999991</c:v>
                </c:pt>
                <c:pt idx="108">
                  <c:v>-28.90313999999999</c:v>
                </c:pt>
                <c:pt idx="109">
                  <c:v>-29.50599999999999</c:v>
                </c:pt>
                <c:pt idx="110">
                  <c:v>-30.11399999999999</c:v>
                </c:pt>
              </c:numCache>
            </c:numRef>
          </c:yVal>
          <c:smooth val="0"/>
          <c:extLst>
            <c:ext xmlns:c16="http://schemas.microsoft.com/office/drawing/2014/chart" uri="{C3380CC4-5D6E-409C-BE32-E72D297353CC}">
              <c16:uniqueId val="{00000001-5671-43BE-AF72-8C03FC1CE7F3}"/>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supplement_LWG!$S$3:$S$202</c:f>
              <c:numCache>
                <c:formatCode>0.000</c:formatCode>
                <c:ptCount val="200"/>
                <c:pt idx="0">
                  <c:v>0.29625999999999997</c:v>
                </c:pt>
                <c:pt idx="1">
                  <c:v>0.58877999999999997</c:v>
                </c:pt>
                <c:pt idx="2">
                  <c:v>0.8775599999999999</c:v>
                </c:pt>
                <c:pt idx="3">
                  <c:v>1.1625999999999999</c:v>
                </c:pt>
                <c:pt idx="4">
                  <c:v>1.4438999999999997</c:v>
                </c:pt>
                <c:pt idx="5">
                  <c:v>1.7214599999999998</c:v>
                </c:pt>
                <c:pt idx="6">
                  <c:v>1.9952799999999997</c:v>
                </c:pt>
                <c:pt idx="7">
                  <c:v>2.2653599999999998</c:v>
                </c:pt>
                <c:pt idx="8">
                  <c:v>2.5316999999999998</c:v>
                </c:pt>
                <c:pt idx="9">
                  <c:v>2.7942999999999998</c:v>
                </c:pt>
                <c:pt idx="10">
                  <c:v>3.0531599999999997</c:v>
                </c:pt>
                <c:pt idx="11">
                  <c:v>3.3082799999999999</c:v>
                </c:pt>
                <c:pt idx="12">
                  <c:v>3.55966</c:v>
                </c:pt>
                <c:pt idx="13">
                  <c:v>3.8073000000000001</c:v>
                </c:pt>
                <c:pt idx="14">
                  <c:v>4.0511999999999997</c:v>
                </c:pt>
                <c:pt idx="15">
                  <c:v>4.2913600000000001</c:v>
                </c:pt>
                <c:pt idx="16">
                  <c:v>4.5277799999999999</c:v>
                </c:pt>
                <c:pt idx="17">
                  <c:v>4.7604600000000001</c:v>
                </c:pt>
                <c:pt idx="18">
                  <c:v>4.9893999999999998</c:v>
                </c:pt>
                <c:pt idx="19">
                  <c:v>5.2145999999999999</c:v>
                </c:pt>
                <c:pt idx="20">
                  <c:v>5.4360599999999994</c:v>
                </c:pt>
                <c:pt idx="21">
                  <c:v>5.6537799999999994</c:v>
                </c:pt>
                <c:pt idx="22">
                  <c:v>5.8677599999999996</c:v>
                </c:pt>
                <c:pt idx="23">
                  <c:v>6.0779999999999994</c:v>
                </c:pt>
                <c:pt idx="24">
                  <c:v>6.2844999999999995</c:v>
                </c:pt>
                <c:pt idx="25">
                  <c:v>6.4872599999999991</c:v>
                </c:pt>
                <c:pt idx="26">
                  <c:v>6.6862799999999991</c:v>
                </c:pt>
                <c:pt idx="27">
                  <c:v>6.8815599999999995</c:v>
                </c:pt>
                <c:pt idx="28">
                  <c:v>7.0730999999999993</c:v>
                </c:pt>
                <c:pt idx="29">
                  <c:v>7.2608999999999995</c:v>
                </c:pt>
                <c:pt idx="30">
                  <c:v>7.4449599999999991</c:v>
                </c:pt>
                <c:pt idx="31">
                  <c:v>7.6252799999999992</c:v>
                </c:pt>
                <c:pt idx="32">
                  <c:v>7.8018599999999996</c:v>
                </c:pt>
                <c:pt idx="33">
                  <c:v>7.9746999999999995</c:v>
                </c:pt>
                <c:pt idx="34">
                  <c:v>8.1437999999999988</c:v>
                </c:pt>
                <c:pt idx="35">
                  <c:v>8.3091599999999985</c:v>
                </c:pt>
                <c:pt idx="36">
                  <c:v>8.4707799999999978</c:v>
                </c:pt>
                <c:pt idx="37">
                  <c:v>8.6286599999999982</c:v>
                </c:pt>
                <c:pt idx="38">
                  <c:v>8.7827999999999982</c:v>
                </c:pt>
                <c:pt idx="39">
                  <c:v>8.9331999999999976</c:v>
                </c:pt>
                <c:pt idx="40">
                  <c:v>9.0798599999999983</c:v>
                </c:pt>
                <c:pt idx="41">
                  <c:v>9.2227799999999984</c:v>
                </c:pt>
                <c:pt idx="42">
                  <c:v>9.3619599999999981</c:v>
                </c:pt>
                <c:pt idx="43">
                  <c:v>9.497399999999999</c:v>
                </c:pt>
                <c:pt idx="44">
                  <c:v>9.6290999999999993</c:v>
                </c:pt>
                <c:pt idx="45">
                  <c:v>9.7570599999999992</c:v>
                </c:pt>
                <c:pt idx="46">
                  <c:v>9.8812799999999985</c:v>
                </c:pt>
                <c:pt idx="47">
                  <c:v>10.001759999999999</c:v>
                </c:pt>
                <c:pt idx="48">
                  <c:v>10.118499999999999</c:v>
                </c:pt>
                <c:pt idx="49">
                  <c:v>10.231499999999999</c:v>
                </c:pt>
                <c:pt idx="50">
                  <c:v>10.34076</c:v>
                </c:pt>
                <c:pt idx="51">
                  <c:v>10.44628</c:v>
                </c:pt>
                <c:pt idx="52">
                  <c:v>10.54806</c:v>
                </c:pt>
                <c:pt idx="53">
                  <c:v>10.646099999999999</c:v>
                </c:pt>
                <c:pt idx="54">
                  <c:v>10.740399999999999</c:v>
                </c:pt>
                <c:pt idx="55">
                  <c:v>10.830959999999999</c:v>
                </c:pt>
                <c:pt idx="56">
                  <c:v>10.917779999999999</c:v>
                </c:pt>
                <c:pt idx="57">
                  <c:v>11.000859999999999</c:v>
                </c:pt>
                <c:pt idx="58">
                  <c:v>11.0802</c:v>
                </c:pt>
                <c:pt idx="59">
                  <c:v>11.155799999999999</c:v>
                </c:pt>
                <c:pt idx="60">
                  <c:v>11.227659999999998</c:v>
                </c:pt>
                <c:pt idx="61">
                  <c:v>11.295779999999999</c:v>
                </c:pt>
                <c:pt idx="62">
                  <c:v>11.360159999999999</c:v>
                </c:pt>
                <c:pt idx="63">
                  <c:v>11.420799999999998</c:v>
                </c:pt>
                <c:pt idx="64">
                  <c:v>11.477699999999999</c:v>
                </c:pt>
                <c:pt idx="65">
                  <c:v>11.530859999999999</c:v>
                </c:pt>
                <c:pt idx="66">
                  <c:v>11.580279999999998</c:v>
                </c:pt>
                <c:pt idx="67">
                  <c:v>11.625959999999999</c:v>
                </c:pt>
                <c:pt idx="68">
                  <c:v>11.667899999999999</c:v>
                </c:pt>
                <c:pt idx="69">
                  <c:v>11.706099999999999</c:v>
                </c:pt>
                <c:pt idx="70">
                  <c:v>11.740559999999999</c:v>
                </c:pt>
                <c:pt idx="71">
                  <c:v>11.771279999999999</c:v>
                </c:pt>
                <c:pt idx="72">
                  <c:v>11.798259999999999</c:v>
                </c:pt>
                <c:pt idx="73">
                  <c:v>11.821499999999999</c:v>
                </c:pt>
                <c:pt idx="74">
                  <c:v>11.840999999999999</c:v>
                </c:pt>
                <c:pt idx="75">
                  <c:v>11.85676</c:v>
                </c:pt>
                <c:pt idx="76">
                  <c:v>11.868779999999999</c:v>
                </c:pt>
                <c:pt idx="77">
                  <c:v>11.877059999999998</c:v>
                </c:pt>
                <c:pt idx="78">
                  <c:v>11.881599999999999</c:v>
                </c:pt>
                <c:pt idx="79">
                  <c:v>11.882399999999999</c:v>
                </c:pt>
                <c:pt idx="80">
                  <c:v>11.879459999999998</c:v>
                </c:pt>
                <c:pt idx="81">
                  <c:v>11.872779999999999</c:v>
                </c:pt>
                <c:pt idx="82">
                  <c:v>11.862359999999999</c:v>
                </c:pt>
                <c:pt idx="83">
                  <c:v>11.848199999999999</c:v>
                </c:pt>
                <c:pt idx="84">
                  <c:v>11.830299999999998</c:v>
                </c:pt>
                <c:pt idx="85">
                  <c:v>11.808659999999998</c:v>
                </c:pt>
                <c:pt idx="86">
                  <c:v>11.783279999999998</c:v>
                </c:pt>
                <c:pt idx="87">
                  <c:v>11.754159999999997</c:v>
                </c:pt>
                <c:pt idx="88">
                  <c:v>11.721299999999998</c:v>
                </c:pt>
                <c:pt idx="89">
                  <c:v>11.684699999999998</c:v>
                </c:pt>
                <c:pt idx="90">
                  <c:v>11.684359999999998</c:v>
                </c:pt>
                <c:pt idx="91">
                  <c:v>11.680279999999998</c:v>
                </c:pt>
                <c:pt idx="92">
                  <c:v>11.672459999999997</c:v>
                </c:pt>
                <c:pt idx="93">
                  <c:v>11.660899999999998</c:v>
                </c:pt>
                <c:pt idx="94">
                  <c:v>11.645599999999998</c:v>
                </c:pt>
                <c:pt idx="95">
                  <c:v>11.626559999999998</c:v>
                </c:pt>
                <c:pt idx="96">
                  <c:v>11.603779999999997</c:v>
                </c:pt>
                <c:pt idx="97">
                  <c:v>11.577259999999997</c:v>
                </c:pt>
                <c:pt idx="98">
                  <c:v>11.546999999999997</c:v>
                </c:pt>
                <c:pt idx="99">
                  <c:v>11.512999999999996</c:v>
                </c:pt>
                <c:pt idx="100">
                  <c:v>11.475259999999997</c:v>
                </c:pt>
                <c:pt idx="101">
                  <c:v>11.433779999999997</c:v>
                </c:pt>
                <c:pt idx="102">
                  <c:v>11.388559999999996</c:v>
                </c:pt>
                <c:pt idx="103">
                  <c:v>11.339599999999997</c:v>
                </c:pt>
                <c:pt idx="104">
                  <c:v>11.286899999999997</c:v>
                </c:pt>
                <c:pt idx="105">
                  <c:v>11.230459999999997</c:v>
                </c:pt>
                <c:pt idx="106">
                  <c:v>11.170279999999996</c:v>
                </c:pt>
                <c:pt idx="107">
                  <c:v>11.106359999999997</c:v>
                </c:pt>
                <c:pt idx="108">
                  <c:v>11.038699999999997</c:v>
                </c:pt>
                <c:pt idx="109">
                  <c:v>10.967299999999996</c:v>
                </c:pt>
                <c:pt idx="110">
                  <c:v>10.892159999999997</c:v>
                </c:pt>
                <c:pt idx="111">
                  <c:v>10.813279999999997</c:v>
                </c:pt>
                <c:pt idx="112">
                  <c:v>10.730659999999997</c:v>
                </c:pt>
                <c:pt idx="113">
                  <c:v>10.644299999999998</c:v>
                </c:pt>
                <c:pt idx="114">
                  <c:v>10.554199999999998</c:v>
                </c:pt>
                <c:pt idx="115">
                  <c:v>10.460359999999998</c:v>
                </c:pt>
                <c:pt idx="116">
                  <c:v>10.362779999999997</c:v>
                </c:pt>
                <c:pt idx="117">
                  <c:v>10.261459999999998</c:v>
                </c:pt>
                <c:pt idx="118">
                  <c:v>10.156399999999998</c:v>
                </c:pt>
                <c:pt idx="119">
                  <c:v>10.047599999999997</c:v>
                </c:pt>
                <c:pt idx="120">
                  <c:v>9.9350599999999982</c:v>
                </c:pt>
                <c:pt idx="121">
                  <c:v>9.8187799999999985</c:v>
                </c:pt>
                <c:pt idx="122">
                  <c:v>9.6987599999999983</c:v>
                </c:pt>
                <c:pt idx="123">
                  <c:v>9.5749999999999975</c:v>
                </c:pt>
                <c:pt idx="124">
                  <c:v>9.447499999999998</c:v>
                </c:pt>
                <c:pt idx="125">
                  <c:v>9.316259999999998</c:v>
                </c:pt>
                <c:pt idx="126">
                  <c:v>9.1812799999999974</c:v>
                </c:pt>
                <c:pt idx="127">
                  <c:v>9.0425599999999982</c:v>
                </c:pt>
                <c:pt idx="128">
                  <c:v>8.9000999999999983</c:v>
                </c:pt>
                <c:pt idx="129">
                  <c:v>8.753899999999998</c:v>
                </c:pt>
                <c:pt idx="130">
                  <c:v>8.6039599999999972</c:v>
                </c:pt>
                <c:pt idx="131">
                  <c:v>8.4502799999999976</c:v>
                </c:pt>
                <c:pt idx="132">
                  <c:v>8.2928599999999975</c:v>
                </c:pt>
                <c:pt idx="133">
                  <c:v>8.1316999999999968</c:v>
                </c:pt>
                <c:pt idx="134">
                  <c:v>7.9667999999999966</c:v>
                </c:pt>
                <c:pt idx="135">
                  <c:v>7.7981599999999966</c:v>
                </c:pt>
                <c:pt idx="136">
                  <c:v>7.6257799999999971</c:v>
                </c:pt>
                <c:pt idx="137">
                  <c:v>7.4496599999999971</c:v>
                </c:pt>
                <c:pt idx="138">
                  <c:v>7.2697999999999974</c:v>
                </c:pt>
                <c:pt idx="139">
                  <c:v>7.0861999999999972</c:v>
                </c:pt>
                <c:pt idx="140">
                  <c:v>6.8988599999999973</c:v>
                </c:pt>
                <c:pt idx="141">
                  <c:v>6.707779999999997</c:v>
                </c:pt>
                <c:pt idx="142">
                  <c:v>6.512959999999997</c:v>
                </c:pt>
                <c:pt idx="143">
                  <c:v>6.3143999999999973</c:v>
                </c:pt>
                <c:pt idx="144">
                  <c:v>6.1120999999999972</c:v>
                </c:pt>
                <c:pt idx="145">
                  <c:v>5.9060599999999974</c:v>
                </c:pt>
                <c:pt idx="146">
                  <c:v>5.6962799999999971</c:v>
                </c:pt>
                <c:pt idx="147">
                  <c:v>5.4827599999999972</c:v>
                </c:pt>
                <c:pt idx="148">
                  <c:v>5.2654999999999976</c:v>
                </c:pt>
                <c:pt idx="149">
                  <c:v>5.0444999999999975</c:v>
                </c:pt>
                <c:pt idx="150">
                  <c:v>4.8197599999999978</c:v>
                </c:pt>
                <c:pt idx="151">
                  <c:v>4.5912799999999976</c:v>
                </c:pt>
                <c:pt idx="152">
                  <c:v>4.3590599999999977</c:v>
                </c:pt>
                <c:pt idx="153">
                  <c:v>4.1230999999999973</c:v>
                </c:pt>
                <c:pt idx="154">
                  <c:v>3.8833999999999973</c:v>
                </c:pt>
                <c:pt idx="155">
                  <c:v>3.6399599999999972</c:v>
                </c:pt>
                <c:pt idx="156">
                  <c:v>3.392779999999997</c:v>
                </c:pt>
                <c:pt idx="157">
                  <c:v>3.1418599999999968</c:v>
                </c:pt>
                <c:pt idx="158">
                  <c:v>2.8871999999999964</c:v>
                </c:pt>
                <c:pt idx="159">
                  <c:v>2.6287999999999965</c:v>
                </c:pt>
                <c:pt idx="160">
                  <c:v>2.3666599999999964</c:v>
                </c:pt>
                <c:pt idx="161">
                  <c:v>2.1007799999999963</c:v>
                </c:pt>
                <c:pt idx="162">
                  <c:v>1.8311599999999963</c:v>
                </c:pt>
                <c:pt idx="163">
                  <c:v>1.5577999999999963</c:v>
                </c:pt>
                <c:pt idx="164">
                  <c:v>1.2806999999999962</c:v>
                </c:pt>
                <c:pt idx="165">
                  <c:v>0.9998599999999962</c:v>
                </c:pt>
                <c:pt idx="166">
                  <c:v>0.71527999999999614</c:v>
                </c:pt>
                <c:pt idx="167">
                  <c:v>0.42695999999999606</c:v>
                </c:pt>
                <c:pt idx="168">
                  <c:v>0.13489999999999597</c:v>
                </c:pt>
                <c:pt idx="169">
                  <c:v>-0.1609000000000041</c:v>
                </c:pt>
                <c:pt idx="170">
                  <c:v>-0.46044000000000418</c:v>
                </c:pt>
                <c:pt idx="171">
                  <c:v>-0.76372000000000428</c:v>
                </c:pt>
                <c:pt idx="172">
                  <c:v>-1.0707400000000042</c:v>
                </c:pt>
                <c:pt idx="173">
                  <c:v>-1.3815000000000044</c:v>
                </c:pt>
                <c:pt idx="174">
                  <c:v>-1.6960000000000044</c:v>
                </c:pt>
                <c:pt idx="175">
                  <c:v>-2.0142400000000045</c:v>
                </c:pt>
                <c:pt idx="176">
                  <c:v>-2.3362200000000044</c:v>
                </c:pt>
                <c:pt idx="177">
                  <c:v>-2.6619400000000044</c:v>
                </c:pt>
                <c:pt idx="178">
                  <c:v>-2.9914000000000045</c:v>
                </c:pt>
                <c:pt idx="179">
                  <c:v>-3.3246000000000047</c:v>
                </c:pt>
                <c:pt idx="180">
                  <c:v>-3.6615400000000049</c:v>
                </c:pt>
                <c:pt idx="181">
                  <c:v>-4.0022200000000048</c:v>
                </c:pt>
                <c:pt idx="182">
                  <c:v>-4.3466400000000052</c:v>
                </c:pt>
                <c:pt idx="183">
                  <c:v>-4.6948000000000052</c:v>
                </c:pt>
                <c:pt idx="184">
                  <c:v>-5.0467000000000048</c:v>
                </c:pt>
                <c:pt idx="185">
                  <c:v>-5.402340000000005</c:v>
                </c:pt>
                <c:pt idx="186">
                  <c:v>-5.7617200000000048</c:v>
                </c:pt>
                <c:pt idx="187">
                  <c:v>-6.1248400000000052</c:v>
                </c:pt>
                <c:pt idx="188">
                  <c:v>-6.4917000000000051</c:v>
                </c:pt>
                <c:pt idx="189">
                  <c:v>-6.8623000000000047</c:v>
                </c:pt>
                <c:pt idx="190">
                  <c:v>-7.2366400000000048</c:v>
                </c:pt>
                <c:pt idx="191">
                  <c:v>-7.6147200000000046</c:v>
                </c:pt>
                <c:pt idx="192">
                  <c:v>-7.9965400000000049</c:v>
                </c:pt>
                <c:pt idx="193">
                  <c:v>-8.3821000000000048</c:v>
                </c:pt>
                <c:pt idx="194">
                  <c:v>-8.7714000000000052</c:v>
                </c:pt>
                <c:pt idx="195">
                  <c:v>-9.1644400000000061</c:v>
                </c:pt>
                <c:pt idx="196">
                  <c:v>-9.5612200000000058</c:v>
                </c:pt>
                <c:pt idx="197">
                  <c:v>-9.961740000000006</c:v>
                </c:pt>
                <c:pt idx="198">
                  <c:v>-10.366000000000007</c:v>
                </c:pt>
                <c:pt idx="199">
                  <c:v>-10.774000000000006</c:v>
                </c:pt>
              </c:numCache>
            </c:numRef>
          </c:yVal>
          <c:smooth val="0"/>
          <c:extLst>
            <c:ext xmlns:c16="http://schemas.microsoft.com/office/drawing/2014/chart" uri="{C3380CC4-5D6E-409C-BE32-E72D297353CC}">
              <c16:uniqueId val="{00000001-8CC1-403C-8DD0-A3588E896196}"/>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3813917444765378"/>
                  <c:y val="-0.222678237864988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supplement_LWG!$A$3:$B$92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supplement_LWG!$S$3:$S$92</c:f>
              <c:numCache>
                <c:formatCode>0.000</c:formatCode>
                <c:ptCount val="90"/>
                <c:pt idx="0">
                  <c:v>0.29625999999999997</c:v>
                </c:pt>
                <c:pt idx="1">
                  <c:v>0.58877999999999997</c:v>
                </c:pt>
                <c:pt idx="2">
                  <c:v>0.8775599999999999</c:v>
                </c:pt>
                <c:pt idx="3">
                  <c:v>1.1625999999999999</c:v>
                </c:pt>
                <c:pt idx="4">
                  <c:v>1.4438999999999997</c:v>
                </c:pt>
                <c:pt idx="5">
                  <c:v>1.7214599999999998</c:v>
                </c:pt>
                <c:pt idx="6">
                  <c:v>1.9952799999999997</c:v>
                </c:pt>
                <c:pt idx="7">
                  <c:v>2.2653599999999998</c:v>
                </c:pt>
                <c:pt idx="8">
                  <c:v>2.5316999999999998</c:v>
                </c:pt>
                <c:pt idx="9">
                  <c:v>2.7942999999999998</c:v>
                </c:pt>
                <c:pt idx="10">
                  <c:v>3.0531599999999997</c:v>
                </c:pt>
                <c:pt idx="11">
                  <c:v>3.3082799999999999</c:v>
                </c:pt>
                <c:pt idx="12">
                  <c:v>3.55966</c:v>
                </c:pt>
                <c:pt idx="13">
                  <c:v>3.8073000000000001</c:v>
                </c:pt>
                <c:pt idx="14">
                  <c:v>4.0511999999999997</c:v>
                </c:pt>
                <c:pt idx="15">
                  <c:v>4.2913600000000001</c:v>
                </c:pt>
                <c:pt idx="16">
                  <c:v>4.5277799999999999</c:v>
                </c:pt>
                <c:pt idx="17">
                  <c:v>4.7604600000000001</c:v>
                </c:pt>
                <c:pt idx="18">
                  <c:v>4.9893999999999998</c:v>
                </c:pt>
                <c:pt idx="19">
                  <c:v>5.2145999999999999</c:v>
                </c:pt>
                <c:pt idx="20">
                  <c:v>5.4360599999999994</c:v>
                </c:pt>
                <c:pt idx="21">
                  <c:v>5.6537799999999994</c:v>
                </c:pt>
                <c:pt idx="22">
                  <c:v>5.8677599999999996</c:v>
                </c:pt>
                <c:pt idx="23">
                  <c:v>6.0779999999999994</c:v>
                </c:pt>
                <c:pt idx="24">
                  <c:v>6.2844999999999995</c:v>
                </c:pt>
                <c:pt idx="25">
                  <c:v>6.4872599999999991</c:v>
                </c:pt>
                <c:pt idx="26">
                  <c:v>6.6862799999999991</c:v>
                </c:pt>
                <c:pt idx="27">
                  <c:v>6.8815599999999995</c:v>
                </c:pt>
                <c:pt idx="28">
                  <c:v>7.0730999999999993</c:v>
                </c:pt>
                <c:pt idx="29">
                  <c:v>7.2608999999999995</c:v>
                </c:pt>
                <c:pt idx="30">
                  <c:v>7.4449599999999991</c:v>
                </c:pt>
                <c:pt idx="31">
                  <c:v>7.6252799999999992</c:v>
                </c:pt>
                <c:pt idx="32">
                  <c:v>7.8018599999999996</c:v>
                </c:pt>
                <c:pt idx="33">
                  <c:v>7.9746999999999995</c:v>
                </c:pt>
                <c:pt idx="34">
                  <c:v>8.1437999999999988</c:v>
                </c:pt>
                <c:pt idx="35">
                  <c:v>8.3091599999999985</c:v>
                </c:pt>
                <c:pt idx="36">
                  <c:v>8.4707799999999978</c:v>
                </c:pt>
                <c:pt idx="37">
                  <c:v>8.6286599999999982</c:v>
                </c:pt>
                <c:pt idx="38">
                  <c:v>8.7827999999999982</c:v>
                </c:pt>
                <c:pt idx="39">
                  <c:v>8.9331999999999976</c:v>
                </c:pt>
                <c:pt idx="40">
                  <c:v>9.0798599999999983</c:v>
                </c:pt>
                <c:pt idx="41">
                  <c:v>9.2227799999999984</c:v>
                </c:pt>
                <c:pt idx="42">
                  <c:v>9.3619599999999981</c:v>
                </c:pt>
                <c:pt idx="43">
                  <c:v>9.497399999999999</c:v>
                </c:pt>
                <c:pt idx="44">
                  <c:v>9.6290999999999993</c:v>
                </c:pt>
                <c:pt idx="45">
                  <c:v>9.7570599999999992</c:v>
                </c:pt>
                <c:pt idx="46">
                  <c:v>9.8812799999999985</c:v>
                </c:pt>
                <c:pt idx="47">
                  <c:v>10.001759999999999</c:v>
                </c:pt>
                <c:pt idx="48">
                  <c:v>10.118499999999999</c:v>
                </c:pt>
                <c:pt idx="49">
                  <c:v>10.231499999999999</c:v>
                </c:pt>
                <c:pt idx="50">
                  <c:v>10.34076</c:v>
                </c:pt>
                <c:pt idx="51">
                  <c:v>10.44628</c:v>
                </c:pt>
                <c:pt idx="52">
                  <c:v>10.54806</c:v>
                </c:pt>
                <c:pt idx="53">
                  <c:v>10.646099999999999</c:v>
                </c:pt>
                <c:pt idx="54">
                  <c:v>10.740399999999999</c:v>
                </c:pt>
                <c:pt idx="55">
                  <c:v>10.830959999999999</c:v>
                </c:pt>
                <c:pt idx="56">
                  <c:v>10.917779999999999</c:v>
                </c:pt>
                <c:pt idx="57">
                  <c:v>11.000859999999999</c:v>
                </c:pt>
                <c:pt idx="58">
                  <c:v>11.0802</c:v>
                </c:pt>
                <c:pt idx="59">
                  <c:v>11.155799999999999</c:v>
                </c:pt>
                <c:pt idx="60">
                  <c:v>11.227659999999998</c:v>
                </c:pt>
                <c:pt idx="61">
                  <c:v>11.295779999999999</c:v>
                </c:pt>
                <c:pt idx="62">
                  <c:v>11.360159999999999</c:v>
                </c:pt>
                <c:pt idx="63">
                  <c:v>11.420799999999998</c:v>
                </c:pt>
                <c:pt idx="64">
                  <c:v>11.477699999999999</c:v>
                </c:pt>
                <c:pt idx="65">
                  <c:v>11.530859999999999</c:v>
                </c:pt>
                <c:pt idx="66">
                  <c:v>11.580279999999998</c:v>
                </c:pt>
                <c:pt idx="67">
                  <c:v>11.625959999999999</c:v>
                </c:pt>
                <c:pt idx="68">
                  <c:v>11.667899999999999</c:v>
                </c:pt>
                <c:pt idx="69">
                  <c:v>11.706099999999999</c:v>
                </c:pt>
                <c:pt idx="70">
                  <c:v>11.740559999999999</c:v>
                </c:pt>
                <c:pt idx="71">
                  <c:v>11.771279999999999</c:v>
                </c:pt>
                <c:pt idx="72">
                  <c:v>11.798259999999999</c:v>
                </c:pt>
                <c:pt idx="73">
                  <c:v>11.821499999999999</c:v>
                </c:pt>
                <c:pt idx="74">
                  <c:v>11.840999999999999</c:v>
                </c:pt>
                <c:pt idx="75">
                  <c:v>11.85676</c:v>
                </c:pt>
                <c:pt idx="76">
                  <c:v>11.868779999999999</c:v>
                </c:pt>
                <c:pt idx="77">
                  <c:v>11.877059999999998</c:v>
                </c:pt>
                <c:pt idx="78">
                  <c:v>11.881599999999999</c:v>
                </c:pt>
                <c:pt idx="79">
                  <c:v>11.882399999999999</c:v>
                </c:pt>
                <c:pt idx="80">
                  <c:v>11.879459999999998</c:v>
                </c:pt>
                <c:pt idx="81">
                  <c:v>11.872779999999999</c:v>
                </c:pt>
                <c:pt idx="82">
                  <c:v>11.862359999999999</c:v>
                </c:pt>
                <c:pt idx="83">
                  <c:v>11.848199999999999</c:v>
                </c:pt>
                <c:pt idx="84">
                  <c:v>11.830299999999998</c:v>
                </c:pt>
                <c:pt idx="85">
                  <c:v>11.808659999999998</c:v>
                </c:pt>
                <c:pt idx="86">
                  <c:v>11.783279999999998</c:v>
                </c:pt>
                <c:pt idx="87">
                  <c:v>11.754159999999997</c:v>
                </c:pt>
                <c:pt idx="88">
                  <c:v>11.721299999999998</c:v>
                </c:pt>
                <c:pt idx="89">
                  <c:v>11.684699999999998</c:v>
                </c:pt>
              </c:numCache>
            </c:numRef>
          </c:yVal>
          <c:smooth val="0"/>
          <c:extLst>
            <c:ext xmlns:c16="http://schemas.microsoft.com/office/drawing/2014/chart" uri="{C3380CC4-5D6E-409C-BE32-E72D297353CC}">
              <c16:uniqueId val="{00000001-D6D7-4735-A5B9-9BB5D012238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S_100_45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supplement_LWG!$A$47:$A$202</c:f>
              <c:numCache>
                <c:formatCode>General</c:formatCode>
                <c:ptCount val="156"/>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pt idx="21">
                  <c:v>66</c:v>
                </c:pt>
                <c:pt idx="22">
                  <c:v>67</c:v>
                </c:pt>
                <c:pt idx="23">
                  <c:v>68</c:v>
                </c:pt>
                <c:pt idx="24">
                  <c:v>69</c:v>
                </c:pt>
                <c:pt idx="25">
                  <c:v>70</c:v>
                </c:pt>
                <c:pt idx="26">
                  <c:v>71</c:v>
                </c:pt>
                <c:pt idx="27">
                  <c:v>72</c:v>
                </c:pt>
                <c:pt idx="28">
                  <c:v>73</c:v>
                </c:pt>
                <c:pt idx="29">
                  <c:v>74</c:v>
                </c:pt>
                <c:pt idx="30">
                  <c:v>75</c:v>
                </c:pt>
                <c:pt idx="31">
                  <c:v>76</c:v>
                </c:pt>
                <c:pt idx="32">
                  <c:v>77</c:v>
                </c:pt>
                <c:pt idx="33">
                  <c:v>78</c:v>
                </c:pt>
                <c:pt idx="34">
                  <c:v>79</c:v>
                </c:pt>
                <c:pt idx="35">
                  <c:v>80</c:v>
                </c:pt>
                <c:pt idx="36">
                  <c:v>81</c:v>
                </c:pt>
                <c:pt idx="37">
                  <c:v>82</c:v>
                </c:pt>
                <c:pt idx="38">
                  <c:v>83</c:v>
                </c:pt>
                <c:pt idx="39">
                  <c:v>84</c:v>
                </c:pt>
                <c:pt idx="40">
                  <c:v>85</c:v>
                </c:pt>
                <c:pt idx="41">
                  <c:v>86</c:v>
                </c:pt>
                <c:pt idx="42">
                  <c:v>87</c:v>
                </c:pt>
                <c:pt idx="43">
                  <c:v>88</c:v>
                </c:pt>
                <c:pt idx="44">
                  <c:v>89</c:v>
                </c:pt>
                <c:pt idx="45">
                  <c:v>90</c:v>
                </c:pt>
                <c:pt idx="46">
                  <c:v>91</c:v>
                </c:pt>
                <c:pt idx="47">
                  <c:v>92</c:v>
                </c:pt>
                <c:pt idx="48">
                  <c:v>93</c:v>
                </c:pt>
                <c:pt idx="49">
                  <c:v>94</c:v>
                </c:pt>
                <c:pt idx="50">
                  <c:v>95</c:v>
                </c:pt>
                <c:pt idx="51">
                  <c:v>96</c:v>
                </c:pt>
                <c:pt idx="52">
                  <c:v>97</c:v>
                </c:pt>
                <c:pt idx="53">
                  <c:v>98</c:v>
                </c:pt>
                <c:pt idx="54">
                  <c:v>99</c:v>
                </c:pt>
                <c:pt idx="55">
                  <c:v>100</c:v>
                </c:pt>
                <c:pt idx="56">
                  <c:v>101</c:v>
                </c:pt>
                <c:pt idx="57">
                  <c:v>102</c:v>
                </c:pt>
                <c:pt idx="58">
                  <c:v>103</c:v>
                </c:pt>
                <c:pt idx="59">
                  <c:v>104</c:v>
                </c:pt>
                <c:pt idx="60">
                  <c:v>105</c:v>
                </c:pt>
                <c:pt idx="61">
                  <c:v>106</c:v>
                </c:pt>
                <c:pt idx="62">
                  <c:v>107</c:v>
                </c:pt>
                <c:pt idx="63">
                  <c:v>108</c:v>
                </c:pt>
                <c:pt idx="64">
                  <c:v>109</c:v>
                </c:pt>
                <c:pt idx="65">
                  <c:v>110</c:v>
                </c:pt>
                <c:pt idx="66">
                  <c:v>111</c:v>
                </c:pt>
                <c:pt idx="67">
                  <c:v>112</c:v>
                </c:pt>
                <c:pt idx="68">
                  <c:v>113</c:v>
                </c:pt>
                <c:pt idx="69">
                  <c:v>114</c:v>
                </c:pt>
                <c:pt idx="70">
                  <c:v>115</c:v>
                </c:pt>
                <c:pt idx="71">
                  <c:v>116</c:v>
                </c:pt>
                <c:pt idx="72">
                  <c:v>117</c:v>
                </c:pt>
                <c:pt idx="73">
                  <c:v>118</c:v>
                </c:pt>
                <c:pt idx="74">
                  <c:v>119</c:v>
                </c:pt>
                <c:pt idx="75">
                  <c:v>120</c:v>
                </c:pt>
                <c:pt idx="76">
                  <c:v>121</c:v>
                </c:pt>
                <c:pt idx="77">
                  <c:v>122</c:v>
                </c:pt>
                <c:pt idx="78">
                  <c:v>123</c:v>
                </c:pt>
                <c:pt idx="79">
                  <c:v>124</c:v>
                </c:pt>
                <c:pt idx="80">
                  <c:v>125</c:v>
                </c:pt>
                <c:pt idx="81">
                  <c:v>126</c:v>
                </c:pt>
                <c:pt idx="82">
                  <c:v>127</c:v>
                </c:pt>
                <c:pt idx="83">
                  <c:v>128</c:v>
                </c:pt>
                <c:pt idx="84">
                  <c:v>129</c:v>
                </c:pt>
                <c:pt idx="85">
                  <c:v>130</c:v>
                </c:pt>
                <c:pt idx="86">
                  <c:v>131</c:v>
                </c:pt>
                <c:pt idx="87">
                  <c:v>132</c:v>
                </c:pt>
                <c:pt idx="88">
                  <c:v>133</c:v>
                </c:pt>
                <c:pt idx="89">
                  <c:v>134</c:v>
                </c:pt>
                <c:pt idx="90">
                  <c:v>135</c:v>
                </c:pt>
                <c:pt idx="91">
                  <c:v>136</c:v>
                </c:pt>
                <c:pt idx="92">
                  <c:v>137</c:v>
                </c:pt>
                <c:pt idx="93">
                  <c:v>138</c:v>
                </c:pt>
                <c:pt idx="94">
                  <c:v>139</c:v>
                </c:pt>
                <c:pt idx="95">
                  <c:v>140</c:v>
                </c:pt>
                <c:pt idx="96">
                  <c:v>141</c:v>
                </c:pt>
                <c:pt idx="97">
                  <c:v>142</c:v>
                </c:pt>
                <c:pt idx="98">
                  <c:v>143</c:v>
                </c:pt>
                <c:pt idx="99">
                  <c:v>144</c:v>
                </c:pt>
                <c:pt idx="100">
                  <c:v>145</c:v>
                </c:pt>
                <c:pt idx="101">
                  <c:v>146</c:v>
                </c:pt>
                <c:pt idx="102">
                  <c:v>147</c:v>
                </c:pt>
                <c:pt idx="103">
                  <c:v>148</c:v>
                </c:pt>
                <c:pt idx="104">
                  <c:v>149</c:v>
                </c:pt>
                <c:pt idx="105">
                  <c:v>150</c:v>
                </c:pt>
                <c:pt idx="106">
                  <c:v>151</c:v>
                </c:pt>
                <c:pt idx="107">
                  <c:v>152</c:v>
                </c:pt>
                <c:pt idx="108">
                  <c:v>153</c:v>
                </c:pt>
                <c:pt idx="109">
                  <c:v>154</c:v>
                </c:pt>
                <c:pt idx="110">
                  <c:v>155</c:v>
                </c:pt>
                <c:pt idx="111">
                  <c:v>156</c:v>
                </c:pt>
                <c:pt idx="112">
                  <c:v>157</c:v>
                </c:pt>
                <c:pt idx="113">
                  <c:v>158</c:v>
                </c:pt>
                <c:pt idx="114">
                  <c:v>159</c:v>
                </c:pt>
                <c:pt idx="115">
                  <c:v>160</c:v>
                </c:pt>
                <c:pt idx="116">
                  <c:v>161</c:v>
                </c:pt>
                <c:pt idx="117">
                  <c:v>162</c:v>
                </c:pt>
                <c:pt idx="118">
                  <c:v>163</c:v>
                </c:pt>
                <c:pt idx="119">
                  <c:v>164</c:v>
                </c:pt>
                <c:pt idx="120">
                  <c:v>165</c:v>
                </c:pt>
                <c:pt idx="121">
                  <c:v>166</c:v>
                </c:pt>
                <c:pt idx="122">
                  <c:v>167</c:v>
                </c:pt>
                <c:pt idx="123">
                  <c:v>168</c:v>
                </c:pt>
                <c:pt idx="124">
                  <c:v>169</c:v>
                </c:pt>
                <c:pt idx="125">
                  <c:v>170</c:v>
                </c:pt>
                <c:pt idx="126">
                  <c:v>171</c:v>
                </c:pt>
                <c:pt idx="127">
                  <c:v>172</c:v>
                </c:pt>
                <c:pt idx="128">
                  <c:v>173</c:v>
                </c:pt>
                <c:pt idx="129">
                  <c:v>174</c:v>
                </c:pt>
                <c:pt idx="130">
                  <c:v>175</c:v>
                </c:pt>
                <c:pt idx="131">
                  <c:v>176</c:v>
                </c:pt>
                <c:pt idx="132">
                  <c:v>177</c:v>
                </c:pt>
                <c:pt idx="133">
                  <c:v>178</c:v>
                </c:pt>
                <c:pt idx="134">
                  <c:v>179</c:v>
                </c:pt>
                <c:pt idx="135">
                  <c:v>180</c:v>
                </c:pt>
                <c:pt idx="136">
                  <c:v>181</c:v>
                </c:pt>
                <c:pt idx="137">
                  <c:v>182</c:v>
                </c:pt>
                <c:pt idx="138">
                  <c:v>183</c:v>
                </c:pt>
                <c:pt idx="139">
                  <c:v>184</c:v>
                </c:pt>
                <c:pt idx="140">
                  <c:v>185</c:v>
                </c:pt>
                <c:pt idx="141">
                  <c:v>186</c:v>
                </c:pt>
                <c:pt idx="142">
                  <c:v>187</c:v>
                </c:pt>
                <c:pt idx="143">
                  <c:v>188</c:v>
                </c:pt>
                <c:pt idx="144">
                  <c:v>189</c:v>
                </c:pt>
                <c:pt idx="145">
                  <c:v>190</c:v>
                </c:pt>
                <c:pt idx="146">
                  <c:v>191</c:v>
                </c:pt>
                <c:pt idx="147">
                  <c:v>192</c:v>
                </c:pt>
                <c:pt idx="148">
                  <c:v>193</c:v>
                </c:pt>
                <c:pt idx="149">
                  <c:v>194</c:v>
                </c:pt>
                <c:pt idx="150">
                  <c:v>195</c:v>
                </c:pt>
                <c:pt idx="151">
                  <c:v>196</c:v>
                </c:pt>
                <c:pt idx="152">
                  <c:v>197</c:v>
                </c:pt>
                <c:pt idx="153">
                  <c:v>198</c:v>
                </c:pt>
                <c:pt idx="154">
                  <c:v>199</c:v>
                </c:pt>
                <c:pt idx="155">
                  <c:v>200</c:v>
                </c:pt>
              </c:numCache>
            </c:numRef>
          </c:xVal>
          <c:yVal>
            <c:numRef>
              <c:f>supplement_LWG!$I$47:$I$202</c:f>
              <c:numCache>
                <c:formatCode>0.000</c:formatCode>
                <c:ptCount val="156"/>
                <c:pt idx="0">
                  <c:v>10.600600000000002</c:v>
                </c:pt>
                <c:pt idx="1">
                  <c:v>10.809960000000002</c:v>
                </c:pt>
                <c:pt idx="2">
                  <c:v>11.016480000000001</c:v>
                </c:pt>
                <c:pt idx="3">
                  <c:v>11.220160000000002</c:v>
                </c:pt>
                <c:pt idx="4">
                  <c:v>11.421000000000001</c:v>
                </c:pt>
                <c:pt idx="5">
                  <c:v>11.619000000000002</c:v>
                </c:pt>
                <c:pt idx="6">
                  <c:v>11.814160000000001</c:v>
                </c:pt>
                <c:pt idx="7">
                  <c:v>12.006480000000002</c:v>
                </c:pt>
                <c:pt idx="8">
                  <c:v>12.195960000000001</c:v>
                </c:pt>
                <c:pt idx="9">
                  <c:v>12.382600000000002</c:v>
                </c:pt>
                <c:pt idx="10">
                  <c:v>12.566400000000002</c:v>
                </c:pt>
                <c:pt idx="11">
                  <c:v>12.747360000000002</c:v>
                </c:pt>
                <c:pt idx="12">
                  <c:v>12.925480000000002</c:v>
                </c:pt>
                <c:pt idx="13">
                  <c:v>13.100760000000003</c:v>
                </c:pt>
                <c:pt idx="14">
                  <c:v>13.273200000000003</c:v>
                </c:pt>
                <c:pt idx="15">
                  <c:v>13.442800000000004</c:v>
                </c:pt>
                <c:pt idx="16">
                  <c:v>13.609560000000004</c:v>
                </c:pt>
                <c:pt idx="17">
                  <c:v>13.773480000000003</c:v>
                </c:pt>
                <c:pt idx="18">
                  <c:v>13.934560000000003</c:v>
                </c:pt>
                <c:pt idx="19">
                  <c:v>14.092800000000002</c:v>
                </c:pt>
                <c:pt idx="20">
                  <c:v>14.248200000000002</c:v>
                </c:pt>
                <c:pt idx="21">
                  <c:v>14.400760000000002</c:v>
                </c:pt>
                <c:pt idx="22">
                  <c:v>14.550480000000002</c:v>
                </c:pt>
                <c:pt idx="23">
                  <c:v>14.697360000000002</c:v>
                </c:pt>
                <c:pt idx="24">
                  <c:v>14.841400000000002</c:v>
                </c:pt>
                <c:pt idx="25">
                  <c:v>14.982600000000001</c:v>
                </c:pt>
                <c:pt idx="26">
                  <c:v>15.120960000000002</c:v>
                </c:pt>
                <c:pt idx="27">
                  <c:v>15.256480000000002</c:v>
                </c:pt>
                <c:pt idx="28">
                  <c:v>15.389160000000002</c:v>
                </c:pt>
                <c:pt idx="29">
                  <c:v>15.519000000000002</c:v>
                </c:pt>
                <c:pt idx="30">
                  <c:v>15.646000000000003</c:v>
                </c:pt>
                <c:pt idx="31">
                  <c:v>15.770160000000002</c:v>
                </c:pt>
                <c:pt idx="32">
                  <c:v>15.891480000000003</c:v>
                </c:pt>
                <c:pt idx="33">
                  <c:v>16.009960000000003</c:v>
                </c:pt>
                <c:pt idx="34">
                  <c:v>16.125600000000002</c:v>
                </c:pt>
                <c:pt idx="35">
                  <c:v>16.238400000000002</c:v>
                </c:pt>
                <c:pt idx="36">
                  <c:v>16.348360000000003</c:v>
                </c:pt>
                <c:pt idx="37">
                  <c:v>16.455480000000001</c:v>
                </c:pt>
                <c:pt idx="38">
                  <c:v>16.559760000000001</c:v>
                </c:pt>
                <c:pt idx="39">
                  <c:v>16.661200000000001</c:v>
                </c:pt>
                <c:pt idx="40">
                  <c:v>16.759800000000002</c:v>
                </c:pt>
                <c:pt idx="41">
                  <c:v>16.855560000000001</c:v>
                </c:pt>
                <c:pt idx="42">
                  <c:v>16.94848</c:v>
                </c:pt>
                <c:pt idx="43">
                  <c:v>17.03856</c:v>
                </c:pt>
                <c:pt idx="44">
                  <c:v>17.125800000000002</c:v>
                </c:pt>
                <c:pt idx="45">
                  <c:v>17.2102</c:v>
                </c:pt>
                <c:pt idx="46">
                  <c:v>17.29176</c:v>
                </c:pt>
                <c:pt idx="47">
                  <c:v>17.370480000000001</c:v>
                </c:pt>
                <c:pt idx="48">
                  <c:v>17.446360000000002</c:v>
                </c:pt>
                <c:pt idx="49">
                  <c:v>17.519400000000001</c:v>
                </c:pt>
                <c:pt idx="50">
                  <c:v>17.589600000000001</c:v>
                </c:pt>
                <c:pt idx="51">
                  <c:v>17.656960000000002</c:v>
                </c:pt>
                <c:pt idx="52">
                  <c:v>17.721480000000003</c:v>
                </c:pt>
                <c:pt idx="53">
                  <c:v>17.783160000000002</c:v>
                </c:pt>
                <c:pt idx="54">
                  <c:v>17.842000000000002</c:v>
                </c:pt>
                <c:pt idx="55">
                  <c:v>17.898000000000003</c:v>
                </c:pt>
                <c:pt idx="56">
                  <c:v>17.951160000000002</c:v>
                </c:pt>
                <c:pt idx="57">
                  <c:v>18.001480000000001</c:v>
                </c:pt>
                <c:pt idx="58">
                  <c:v>18.048960000000001</c:v>
                </c:pt>
                <c:pt idx="59">
                  <c:v>18.093600000000002</c:v>
                </c:pt>
                <c:pt idx="60">
                  <c:v>18.135400000000001</c:v>
                </c:pt>
                <c:pt idx="61">
                  <c:v>18.17436</c:v>
                </c:pt>
                <c:pt idx="62">
                  <c:v>18.21048</c:v>
                </c:pt>
                <c:pt idx="63">
                  <c:v>18.243760000000002</c:v>
                </c:pt>
                <c:pt idx="64">
                  <c:v>18.2742</c:v>
                </c:pt>
                <c:pt idx="65">
                  <c:v>18.3018</c:v>
                </c:pt>
                <c:pt idx="66">
                  <c:v>18.326560000000001</c:v>
                </c:pt>
                <c:pt idx="67">
                  <c:v>18.348480000000002</c:v>
                </c:pt>
                <c:pt idx="68">
                  <c:v>18.367560000000001</c:v>
                </c:pt>
                <c:pt idx="69">
                  <c:v>18.383800000000001</c:v>
                </c:pt>
                <c:pt idx="70">
                  <c:v>18.397200000000002</c:v>
                </c:pt>
                <c:pt idx="71">
                  <c:v>18.407760000000003</c:v>
                </c:pt>
                <c:pt idx="72">
                  <c:v>18.415480000000002</c:v>
                </c:pt>
                <c:pt idx="73">
                  <c:v>18.420360000000002</c:v>
                </c:pt>
                <c:pt idx="74">
                  <c:v>18.422400000000003</c:v>
                </c:pt>
                <c:pt idx="75">
                  <c:v>18.421600000000002</c:v>
                </c:pt>
                <c:pt idx="76">
                  <c:v>18.417960000000001</c:v>
                </c:pt>
                <c:pt idx="77">
                  <c:v>18.411480000000001</c:v>
                </c:pt>
                <c:pt idx="78">
                  <c:v>18.402160000000002</c:v>
                </c:pt>
                <c:pt idx="79">
                  <c:v>18.39</c:v>
                </c:pt>
                <c:pt idx="80">
                  <c:v>18.375</c:v>
                </c:pt>
                <c:pt idx="81">
                  <c:v>18.35716</c:v>
                </c:pt>
                <c:pt idx="82">
                  <c:v>18.336480000000002</c:v>
                </c:pt>
                <c:pt idx="83">
                  <c:v>18.31296</c:v>
                </c:pt>
                <c:pt idx="84">
                  <c:v>18.2866</c:v>
                </c:pt>
                <c:pt idx="85">
                  <c:v>18.257400000000001</c:v>
                </c:pt>
                <c:pt idx="86">
                  <c:v>18.225360000000002</c:v>
                </c:pt>
                <c:pt idx="87">
                  <c:v>18.190480000000001</c:v>
                </c:pt>
                <c:pt idx="88">
                  <c:v>18.152760000000001</c:v>
                </c:pt>
                <c:pt idx="89">
                  <c:v>18.112200000000001</c:v>
                </c:pt>
                <c:pt idx="90">
                  <c:v>18.068800000000003</c:v>
                </c:pt>
                <c:pt idx="91">
                  <c:v>18.022560000000002</c:v>
                </c:pt>
                <c:pt idx="92">
                  <c:v>17.973480000000002</c:v>
                </c:pt>
                <c:pt idx="93">
                  <c:v>17.921560000000003</c:v>
                </c:pt>
                <c:pt idx="94">
                  <c:v>17.866800000000001</c:v>
                </c:pt>
                <c:pt idx="95">
                  <c:v>17.809200000000001</c:v>
                </c:pt>
                <c:pt idx="96">
                  <c:v>17.748760000000001</c:v>
                </c:pt>
                <c:pt idx="97">
                  <c:v>17.685480000000002</c:v>
                </c:pt>
                <c:pt idx="98">
                  <c:v>17.61936</c:v>
                </c:pt>
                <c:pt idx="99">
                  <c:v>17.5504</c:v>
                </c:pt>
                <c:pt idx="100">
                  <c:v>17.4786</c:v>
                </c:pt>
                <c:pt idx="101">
                  <c:v>17.403960000000001</c:v>
                </c:pt>
                <c:pt idx="102">
                  <c:v>17.32648</c:v>
                </c:pt>
                <c:pt idx="103">
                  <c:v>17.24616</c:v>
                </c:pt>
                <c:pt idx="104">
                  <c:v>17.163</c:v>
                </c:pt>
                <c:pt idx="105">
                  <c:v>17.077000000000002</c:v>
                </c:pt>
                <c:pt idx="106">
                  <c:v>16.988160000000001</c:v>
                </c:pt>
                <c:pt idx="107">
                  <c:v>16.89648</c:v>
                </c:pt>
                <c:pt idx="108">
                  <c:v>16.801960000000001</c:v>
                </c:pt>
                <c:pt idx="109">
                  <c:v>16.704600000000003</c:v>
                </c:pt>
                <c:pt idx="110">
                  <c:v>16.604400000000002</c:v>
                </c:pt>
                <c:pt idx="111">
                  <c:v>16.501360000000002</c:v>
                </c:pt>
                <c:pt idx="112">
                  <c:v>16.395480000000003</c:v>
                </c:pt>
                <c:pt idx="113">
                  <c:v>16.286760000000001</c:v>
                </c:pt>
                <c:pt idx="114">
                  <c:v>16.1752</c:v>
                </c:pt>
                <c:pt idx="115">
                  <c:v>16.0608</c:v>
                </c:pt>
                <c:pt idx="116">
                  <c:v>15.94356</c:v>
                </c:pt>
                <c:pt idx="117">
                  <c:v>15.82348</c:v>
                </c:pt>
                <c:pt idx="118">
                  <c:v>15.700559999999999</c:v>
                </c:pt>
                <c:pt idx="119">
                  <c:v>15.5748</c:v>
                </c:pt>
                <c:pt idx="120">
                  <c:v>15.446199999999999</c:v>
                </c:pt>
                <c:pt idx="121">
                  <c:v>15.31476</c:v>
                </c:pt>
                <c:pt idx="122">
                  <c:v>15.180479999999999</c:v>
                </c:pt>
                <c:pt idx="123">
                  <c:v>15.04336</c:v>
                </c:pt>
                <c:pt idx="124">
                  <c:v>14.9034</c:v>
                </c:pt>
                <c:pt idx="125">
                  <c:v>14.7606</c:v>
                </c:pt>
                <c:pt idx="126">
                  <c:v>14.61496</c:v>
                </c:pt>
                <c:pt idx="127">
                  <c:v>14.466480000000001</c:v>
                </c:pt>
                <c:pt idx="128">
                  <c:v>14.315160000000001</c:v>
                </c:pt>
                <c:pt idx="129">
                  <c:v>14.161000000000001</c:v>
                </c:pt>
                <c:pt idx="130">
                  <c:v>14.004000000000001</c:v>
                </c:pt>
                <c:pt idx="131">
                  <c:v>13.844160000000002</c:v>
                </c:pt>
                <c:pt idx="132">
                  <c:v>13.681480000000002</c:v>
                </c:pt>
                <c:pt idx="133">
                  <c:v>13.515960000000002</c:v>
                </c:pt>
                <c:pt idx="134">
                  <c:v>13.347600000000002</c:v>
                </c:pt>
                <c:pt idx="135">
                  <c:v>13.176400000000001</c:v>
                </c:pt>
                <c:pt idx="136">
                  <c:v>13.002360000000001</c:v>
                </c:pt>
                <c:pt idx="137">
                  <c:v>12.825480000000001</c:v>
                </c:pt>
                <c:pt idx="138">
                  <c:v>12.645760000000001</c:v>
                </c:pt>
                <c:pt idx="139">
                  <c:v>12.463200000000001</c:v>
                </c:pt>
                <c:pt idx="140">
                  <c:v>12.277800000000001</c:v>
                </c:pt>
                <c:pt idx="141">
                  <c:v>12.089560000000001</c:v>
                </c:pt>
                <c:pt idx="142">
                  <c:v>11.898480000000001</c:v>
                </c:pt>
                <c:pt idx="143">
                  <c:v>11.704560000000001</c:v>
                </c:pt>
                <c:pt idx="144">
                  <c:v>11.507800000000001</c:v>
                </c:pt>
                <c:pt idx="145">
                  <c:v>11.308200000000001</c:v>
                </c:pt>
                <c:pt idx="146">
                  <c:v>11.105760000000002</c:v>
                </c:pt>
                <c:pt idx="147">
                  <c:v>10.900480000000002</c:v>
                </c:pt>
                <c:pt idx="148">
                  <c:v>10.692360000000003</c:v>
                </c:pt>
                <c:pt idx="149">
                  <c:v>10.481400000000002</c:v>
                </c:pt>
                <c:pt idx="150">
                  <c:v>10.267600000000003</c:v>
                </c:pt>
                <c:pt idx="151">
                  <c:v>10.050960000000003</c:v>
                </c:pt>
                <c:pt idx="152">
                  <c:v>9.8314800000000027</c:v>
                </c:pt>
                <c:pt idx="153">
                  <c:v>9.6091600000000028</c:v>
                </c:pt>
                <c:pt idx="154">
                  <c:v>9.3840000000000021</c:v>
                </c:pt>
                <c:pt idx="155">
                  <c:v>9.1560000000000024</c:v>
                </c:pt>
              </c:numCache>
            </c:numRef>
          </c:yVal>
          <c:smooth val="0"/>
          <c:extLst>
            <c:ext xmlns:c16="http://schemas.microsoft.com/office/drawing/2014/chart" uri="{C3380CC4-5D6E-409C-BE32-E72D297353CC}">
              <c16:uniqueId val="{00000000-B219-49E5-AA7A-A53A7AE58B02}"/>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300"/>
            <c:dispRSqr val="1"/>
            <c:dispEq val="1"/>
            <c:trendlineLbl>
              <c:layout>
                <c:manualLayout>
                  <c:x val="0.12406416070782672"/>
                  <c:y val="-0.70003359580052493"/>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y = -4.2793x + 300</a:t>
                    </a:r>
                    <a:br>
                      <a:rPr lang="en-US" baseline="0"/>
                    </a:b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pivot_CS!$J$40:$J$61</c:f>
              <c:numCache>
                <c:formatCode>0</c:formatCode>
                <c:ptCount val="22"/>
                <c:pt idx="0">
                  <c:v>13.86</c:v>
                </c:pt>
                <c:pt idx="1">
                  <c:v>27.72</c:v>
                </c:pt>
                <c:pt idx="2">
                  <c:v>28.6</c:v>
                </c:pt>
                <c:pt idx="3">
                  <c:v>32.400000000000006</c:v>
                </c:pt>
                <c:pt idx="4">
                  <c:v>34.020000000000003</c:v>
                </c:pt>
                <c:pt idx="5">
                  <c:v>34.580000000000005</c:v>
                </c:pt>
                <c:pt idx="6">
                  <c:v>41.58</c:v>
                </c:pt>
                <c:pt idx="7">
                  <c:v>44.24</c:v>
                </c:pt>
                <c:pt idx="8">
                  <c:v>51.03</c:v>
                </c:pt>
                <c:pt idx="9">
                  <c:v>51.870000000000005</c:v>
                </c:pt>
                <c:pt idx="10">
                  <c:v>53.46</c:v>
                </c:pt>
                <c:pt idx="11">
                  <c:v>55.44</c:v>
                </c:pt>
                <c:pt idx="12">
                  <c:v>59.400000000000006</c:v>
                </c:pt>
                <c:pt idx="13">
                  <c:v>60.480000000000004</c:v>
                </c:pt>
                <c:pt idx="14">
                  <c:v>68.040000000000006</c:v>
                </c:pt>
                <c:pt idx="15">
                  <c:v>69.160000000000011</c:v>
                </c:pt>
                <c:pt idx="16">
                  <c:v>69.3</c:v>
                </c:pt>
                <c:pt idx="17">
                  <c:v>83.16</c:v>
                </c:pt>
                <c:pt idx="18">
                  <c:v>88.48</c:v>
                </c:pt>
                <c:pt idx="19">
                  <c:v>97.02</c:v>
                </c:pt>
                <c:pt idx="20">
                  <c:v>102.06</c:v>
                </c:pt>
                <c:pt idx="21">
                  <c:v>103.74000000000001</c:v>
                </c:pt>
              </c:numCache>
            </c:numRef>
          </c:xVal>
          <c:yVal>
            <c:numRef>
              <c:f>pivot_CS!$K$40:$K$61</c:f>
              <c:numCache>
                <c:formatCode>0</c:formatCode>
                <c:ptCount val="22"/>
                <c:pt idx="0">
                  <c:v>560.71428571428555</c:v>
                </c:pt>
                <c:pt idx="1">
                  <c:v>309.89010989011001</c:v>
                </c:pt>
                <c:pt idx="2">
                  <c:v>343.50132625994701</c:v>
                </c:pt>
                <c:pt idx="3">
                  <c:v>144.44444444444446</c:v>
                </c:pt>
                <c:pt idx="4">
                  <c:v>173.80952380952385</c:v>
                </c:pt>
                <c:pt idx="5">
                  <c:v>132.41758241758234</c:v>
                </c:pt>
                <c:pt idx="6">
                  <c:v>-46.428571428571587</c:v>
                </c:pt>
                <c:pt idx="7">
                  <c:v>-22.727272727272734</c:v>
                </c:pt>
                <c:pt idx="8">
                  <c:v>-166.66666666666666</c:v>
                </c:pt>
                <c:pt idx="9">
                  <c:v>32.967032967032978</c:v>
                </c:pt>
                <c:pt idx="10">
                  <c:v>775</c:v>
                </c:pt>
                <c:pt idx="11">
                  <c:v>485.71428571428635</c:v>
                </c:pt>
                <c:pt idx="12">
                  <c:v>-94.827586206896541</c:v>
                </c:pt>
                <c:pt idx="13">
                  <c:v>54.487179487179496</c:v>
                </c:pt>
                <c:pt idx="14">
                  <c:v>29.523809523809401</c:v>
                </c:pt>
                <c:pt idx="15">
                  <c:v>29.670329670329693</c:v>
                </c:pt>
                <c:pt idx="16">
                  <c:v>-168.74999999999974</c:v>
                </c:pt>
                <c:pt idx="17">
                  <c:v>-147.25274725274764</c:v>
                </c:pt>
                <c:pt idx="18">
                  <c:v>-214.28571428571431</c:v>
                </c:pt>
                <c:pt idx="19">
                  <c:v>-153.57142857142833</c:v>
                </c:pt>
                <c:pt idx="20">
                  <c:v>-145.71428571428564</c:v>
                </c:pt>
                <c:pt idx="21">
                  <c:v>-190.10989010989013</c:v>
                </c:pt>
              </c:numCache>
            </c:numRef>
          </c:yVal>
          <c:smooth val="0"/>
          <c:extLst>
            <c:ext xmlns:c16="http://schemas.microsoft.com/office/drawing/2014/chart" uri="{C3380CC4-5D6E-409C-BE32-E72D297353CC}">
              <c16:uniqueId val="{00000001-5724-4E0A-AE23-18DD33D5BE78}"/>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min val="-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568716625939001"/>
          <c:y val="0.18656072644721908"/>
          <c:w val="0.71304846592451809"/>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4124468277672186"/>
                  <c:y val="-0.406291347520265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supplement_LWG!$A$22:$A$202</c:f>
              <c:numCache>
                <c:formatCode>General</c:formatCode>
                <c:ptCount val="18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pt idx="79">
                  <c:v>99</c:v>
                </c:pt>
                <c:pt idx="80">
                  <c:v>100</c:v>
                </c:pt>
                <c:pt idx="81">
                  <c:v>101</c:v>
                </c:pt>
                <c:pt idx="82">
                  <c:v>102</c:v>
                </c:pt>
                <c:pt idx="83">
                  <c:v>103</c:v>
                </c:pt>
                <c:pt idx="84">
                  <c:v>104</c:v>
                </c:pt>
                <c:pt idx="85">
                  <c:v>105</c:v>
                </c:pt>
                <c:pt idx="86">
                  <c:v>106</c:v>
                </c:pt>
                <c:pt idx="87">
                  <c:v>107</c:v>
                </c:pt>
                <c:pt idx="88">
                  <c:v>108</c:v>
                </c:pt>
                <c:pt idx="89">
                  <c:v>109</c:v>
                </c:pt>
                <c:pt idx="90">
                  <c:v>110</c:v>
                </c:pt>
                <c:pt idx="91">
                  <c:v>111</c:v>
                </c:pt>
                <c:pt idx="92">
                  <c:v>112</c:v>
                </c:pt>
                <c:pt idx="93">
                  <c:v>113</c:v>
                </c:pt>
                <c:pt idx="94">
                  <c:v>114</c:v>
                </c:pt>
                <c:pt idx="95">
                  <c:v>115</c:v>
                </c:pt>
                <c:pt idx="96">
                  <c:v>116</c:v>
                </c:pt>
                <c:pt idx="97">
                  <c:v>117</c:v>
                </c:pt>
                <c:pt idx="98">
                  <c:v>118</c:v>
                </c:pt>
                <c:pt idx="99">
                  <c:v>119</c:v>
                </c:pt>
                <c:pt idx="100">
                  <c:v>120</c:v>
                </c:pt>
                <c:pt idx="101">
                  <c:v>121</c:v>
                </c:pt>
                <c:pt idx="102">
                  <c:v>122</c:v>
                </c:pt>
                <c:pt idx="103">
                  <c:v>123</c:v>
                </c:pt>
                <c:pt idx="104">
                  <c:v>124</c:v>
                </c:pt>
                <c:pt idx="105">
                  <c:v>125</c:v>
                </c:pt>
                <c:pt idx="106">
                  <c:v>126</c:v>
                </c:pt>
                <c:pt idx="107">
                  <c:v>127</c:v>
                </c:pt>
                <c:pt idx="108">
                  <c:v>128</c:v>
                </c:pt>
                <c:pt idx="109">
                  <c:v>129</c:v>
                </c:pt>
                <c:pt idx="110">
                  <c:v>130</c:v>
                </c:pt>
                <c:pt idx="111">
                  <c:v>131</c:v>
                </c:pt>
                <c:pt idx="112">
                  <c:v>132</c:v>
                </c:pt>
                <c:pt idx="113">
                  <c:v>133</c:v>
                </c:pt>
                <c:pt idx="114">
                  <c:v>134</c:v>
                </c:pt>
                <c:pt idx="115">
                  <c:v>135</c:v>
                </c:pt>
                <c:pt idx="116">
                  <c:v>136</c:v>
                </c:pt>
                <c:pt idx="117">
                  <c:v>137</c:v>
                </c:pt>
                <c:pt idx="118">
                  <c:v>138</c:v>
                </c:pt>
                <c:pt idx="119">
                  <c:v>139</c:v>
                </c:pt>
                <c:pt idx="120">
                  <c:v>140</c:v>
                </c:pt>
                <c:pt idx="121">
                  <c:v>141</c:v>
                </c:pt>
                <c:pt idx="122">
                  <c:v>142</c:v>
                </c:pt>
                <c:pt idx="123">
                  <c:v>143</c:v>
                </c:pt>
                <c:pt idx="124">
                  <c:v>144</c:v>
                </c:pt>
                <c:pt idx="125">
                  <c:v>145</c:v>
                </c:pt>
                <c:pt idx="126">
                  <c:v>146</c:v>
                </c:pt>
                <c:pt idx="127">
                  <c:v>147</c:v>
                </c:pt>
                <c:pt idx="128">
                  <c:v>148</c:v>
                </c:pt>
                <c:pt idx="129">
                  <c:v>149</c:v>
                </c:pt>
                <c:pt idx="130">
                  <c:v>150</c:v>
                </c:pt>
                <c:pt idx="131">
                  <c:v>151</c:v>
                </c:pt>
                <c:pt idx="132">
                  <c:v>152</c:v>
                </c:pt>
                <c:pt idx="133">
                  <c:v>153</c:v>
                </c:pt>
                <c:pt idx="134">
                  <c:v>154</c:v>
                </c:pt>
                <c:pt idx="135">
                  <c:v>155</c:v>
                </c:pt>
                <c:pt idx="136">
                  <c:v>156</c:v>
                </c:pt>
                <c:pt idx="137">
                  <c:v>157</c:v>
                </c:pt>
                <c:pt idx="138">
                  <c:v>158</c:v>
                </c:pt>
                <c:pt idx="139">
                  <c:v>159</c:v>
                </c:pt>
                <c:pt idx="140">
                  <c:v>160</c:v>
                </c:pt>
                <c:pt idx="141">
                  <c:v>161</c:v>
                </c:pt>
                <c:pt idx="142">
                  <c:v>162</c:v>
                </c:pt>
                <c:pt idx="143">
                  <c:v>163</c:v>
                </c:pt>
                <c:pt idx="144">
                  <c:v>164</c:v>
                </c:pt>
                <c:pt idx="145">
                  <c:v>165</c:v>
                </c:pt>
                <c:pt idx="146">
                  <c:v>166</c:v>
                </c:pt>
                <c:pt idx="147">
                  <c:v>167</c:v>
                </c:pt>
                <c:pt idx="148">
                  <c:v>168</c:v>
                </c:pt>
                <c:pt idx="149">
                  <c:v>169</c:v>
                </c:pt>
                <c:pt idx="150">
                  <c:v>170</c:v>
                </c:pt>
                <c:pt idx="151">
                  <c:v>171</c:v>
                </c:pt>
                <c:pt idx="152">
                  <c:v>172</c:v>
                </c:pt>
                <c:pt idx="153">
                  <c:v>173</c:v>
                </c:pt>
                <c:pt idx="154">
                  <c:v>174</c:v>
                </c:pt>
                <c:pt idx="155">
                  <c:v>175</c:v>
                </c:pt>
                <c:pt idx="156">
                  <c:v>176</c:v>
                </c:pt>
                <c:pt idx="157">
                  <c:v>177</c:v>
                </c:pt>
                <c:pt idx="158">
                  <c:v>178</c:v>
                </c:pt>
                <c:pt idx="159">
                  <c:v>179</c:v>
                </c:pt>
                <c:pt idx="160">
                  <c:v>180</c:v>
                </c:pt>
                <c:pt idx="161">
                  <c:v>181</c:v>
                </c:pt>
                <c:pt idx="162">
                  <c:v>182</c:v>
                </c:pt>
                <c:pt idx="163">
                  <c:v>183</c:v>
                </c:pt>
                <c:pt idx="164">
                  <c:v>184</c:v>
                </c:pt>
                <c:pt idx="165">
                  <c:v>185</c:v>
                </c:pt>
                <c:pt idx="166">
                  <c:v>186</c:v>
                </c:pt>
                <c:pt idx="167">
                  <c:v>187</c:v>
                </c:pt>
                <c:pt idx="168">
                  <c:v>188</c:v>
                </c:pt>
                <c:pt idx="169">
                  <c:v>189</c:v>
                </c:pt>
                <c:pt idx="170">
                  <c:v>190</c:v>
                </c:pt>
                <c:pt idx="171">
                  <c:v>191</c:v>
                </c:pt>
                <c:pt idx="172">
                  <c:v>192</c:v>
                </c:pt>
                <c:pt idx="173">
                  <c:v>193</c:v>
                </c:pt>
                <c:pt idx="174">
                  <c:v>194</c:v>
                </c:pt>
                <c:pt idx="175">
                  <c:v>195</c:v>
                </c:pt>
                <c:pt idx="176">
                  <c:v>196</c:v>
                </c:pt>
                <c:pt idx="177">
                  <c:v>197</c:v>
                </c:pt>
                <c:pt idx="178">
                  <c:v>198</c:v>
                </c:pt>
                <c:pt idx="179">
                  <c:v>199</c:v>
                </c:pt>
                <c:pt idx="180">
                  <c:v>200</c:v>
                </c:pt>
              </c:numCache>
            </c:numRef>
          </c:xVal>
          <c:yVal>
            <c:numRef>
              <c:f>supplement_LWG!$J$22:$J$202</c:f>
              <c:numCache>
                <c:formatCode>0.000</c:formatCode>
                <c:ptCount val="181"/>
                <c:pt idx="0">
                  <c:v>5.4435999999999991</c:v>
                </c:pt>
                <c:pt idx="1">
                  <c:v>5.723959999999999</c:v>
                </c:pt>
                <c:pt idx="2">
                  <c:v>6.001479999999999</c:v>
                </c:pt>
                <c:pt idx="3">
                  <c:v>6.2761599999999991</c:v>
                </c:pt>
                <c:pt idx="4">
                  <c:v>6.5479999999999992</c:v>
                </c:pt>
                <c:pt idx="5">
                  <c:v>6.8169999999999993</c:v>
                </c:pt>
                <c:pt idx="6">
                  <c:v>7.0831599999999995</c:v>
                </c:pt>
                <c:pt idx="7">
                  <c:v>7.3464799999999997</c:v>
                </c:pt>
                <c:pt idx="8">
                  <c:v>7.6069599999999999</c:v>
                </c:pt>
                <c:pt idx="9">
                  <c:v>7.8646000000000003</c:v>
                </c:pt>
                <c:pt idx="10">
                  <c:v>8.1194000000000006</c:v>
                </c:pt>
                <c:pt idx="11">
                  <c:v>8.371360000000001</c:v>
                </c:pt>
                <c:pt idx="12">
                  <c:v>8.6204800000000006</c:v>
                </c:pt>
                <c:pt idx="13">
                  <c:v>8.8667600000000011</c:v>
                </c:pt>
                <c:pt idx="14">
                  <c:v>9.1102000000000007</c:v>
                </c:pt>
                <c:pt idx="15">
                  <c:v>9.3508000000000013</c:v>
                </c:pt>
                <c:pt idx="16">
                  <c:v>9.5885600000000011</c:v>
                </c:pt>
                <c:pt idx="17">
                  <c:v>9.8234800000000018</c:v>
                </c:pt>
                <c:pt idx="18">
                  <c:v>10.055560000000002</c:v>
                </c:pt>
                <c:pt idx="19">
                  <c:v>10.284800000000002</c:v>
                </c:pt>
                <c:pt idx="20">
                  <c:v>10.511200000000002</c:v>
                </c:pt>
                <c:pt idx="21">
                  <c:v>10.734760000000003</c:v>
                </c:pt>
                <c:pt idx="22">
                  <c:v>10.955480000000003</c:v>
                </c:pt>
                <c:pt idx="23">
                  <c:v>11.173360000000002</c:v>
                </c:pt>
                <c:pt idx="24">
                  <c:v>11.388400000000003</c:v>
                </c:pt>
                <c:pt idx="25">
                  <c:v>11.600600000000002</c:v>
                </c:pt>
                <c:pt idx="26">
                  <c:v>11.809960000000002</c:v>
                </c:pt>
                <c:pt idx="27">
                  <c:v>12.016480000000001</c:v>
                </c:pt>
                <c:pt idx="28">
                  <c:v>12.220160000000002</c:v>
                </c:pt>
                <c:pt idx="29">
                  <c:v>12.421000000000001</c:v>
                </c:pt>
                <c:pt idx="30">
                  <c:v>12.619000000000002</c:v>
                </c:pt>
                <c:pt idx="31">
                  <c:v>12.814160000000001</c:v>
                </c:pt>
                <c:pt idx="32">
                  <c:v>13.006480000000002</c:v>
                </c:pt>
                <c:pt idx="33">
                  <c:v>13.195960000000001</c:v>
                </c:pt>
                <c:pt idx="34">
                  <c:v>13.382600000000002</c:v>
                </c:pt>
                <c:pt idx="35">
                  <c:v>13.566400000000002</c:v>
                </c:pt>
                <c:pt idx="36">
                  <c:v>13.747360000000002</c:v>
                </c:pt>
                <c:pt idx="37">
                  <c:v>13.925480000000002</c:v>
                </c:pt>
                <c:pt idx="38">
                  <c:v>14.100760000000003</c:v>
                </c:pt>
                <c:pt idx="39">
                  <c:v>14.273200000000003</c:v>
                </c:pt>
                <c:pt idx="40">
                  <c:v>14.442800000000004</c:v>
                </c:pt>
                <c:pt idx="41">
                  <c:v>14.609560000000004</c:v>
                </c:pt>
                <c:pt idx="42">
                  <c:v>14.773480000000003</c:v>
                </c:pt>
                <c:pt idx="43">
                  <c:v>14.934560000000003</c:v>
                </c:pt>
                <c:pt idx="44">
                  <c:v>15.092800000000002</c:v>
                </c:pt>
                <c:pt idx="45">
                  <c:v>15.248200000000002</c:v>
                </c:pt>
                <c:pt idx="46">
                  <c:v>15.400760000000002</c:v>
                </c:pt>
                <c:pt idx="47">
                  <c:v>15.550480000000002</c:v>
                </c:pt>
                <c:pt idx="48">
                  <c:v>15.697360000000002</c:v>
                </c:pt>
                <c:pt idx="49">
                  <c:v>15.841400000000002</c:v>
                </c:pt>
                <c:pt idx="50">
                  <c:v>15.982600000000001</c:v>
                </c:pt>
                <c:pt idx="51">
                  <c:v>16.12096</c:v>
                </c:pt>
                <c:pt idx="52">
                  <c:v>16.25648</c:v>
                </c:pt>
                <c:pt idx="53">
                  <c:v>16.38916</c:v>
                </c:pt>
                <c:pt idx="54">
                  <c:v>16.519000000000002</c:v>
                </c:pt>
                <c:pt idx="55">
                  <c:v>16.646000000000001</c:v>
                </c:pt>
                <c:pt idx="56">
                  <c:v>16.770160000000001</c:v>
                </c:pt>
                <c:pt idx="57">
                  <c:v>16.891480000000001</c:v>
                </c:pt>
                <c:pt idx="58">
                  <c:v>17.009960000000003</c:v>
                </c:pt>
                <c:pt idx="59">
                  <c:v>17.125600000000002</c:v>
                </c:pt>
                <c:pt idx="60">
                  <c:v>17.238400000000002</c:v>
                </c:pt>
                <c:pt idx="61">
                  <c:v>17.348360000000003</c:v>
                </c:pt>
                <c:pt idx="62">
                  <c:v>17.455480000000001</c:v>
                </c:pt>
                <c:pt idx="63">
                  <c:v>17.559760000000001</c:v>
                </c:pt>
                <c:pt idx="64">
                  <c:v>17.661200000000001</c:v>
                </c:pt>
                <c:pt idx="65">
                  <c:v>17.759800000000002</c:v>
                </c:pt>
                <c:pt idx="66">
                  <c:v>17.855560000000001</c:v>
                </c:pt>
                <c:pt idx="67">
                  <c:v>17.94848</c:v>
                </c:pt>
                <c:pt idx="68">
                  <c:v>18.03856</c:v>
                </c:pt>
                <c:pt idx="69">
                  <c:v>18.125800000000002</c:v>
                </c:pt>
                <c:pt idx="70">
                  <c:v>18.2102</c:v>
                </c:pt>
                <c:pt idx="71">
                  <c:v>18.29176</c:v>
                </c:pt>
                <c:pt idx="72">
                  <c:v>18.370480000000001</c:v>
                </c:pt>
                <c:pt idx="73">
                  <c:v>18.446360000000002</c:v>
                </c:pt>
                <c:pt idx="74">
                  <c:v>18.519400000000001</c:v>
                </c:pt>
                <c:pt idx="75">
                  <c:v>18.589600000000001</c:v>
                </c:pt>
                <c:pt idx="76">
                  <c:v>18.656960000000002</c:v>
                </c:pt>
                <c:pt idx="77">
                  <c:v>18.721480000000003</c:v>
                </c:pt>
                <c:pt idx="78">
                  <c:v>18.783160000000002</c:v>
                </c:pt>
                <c:pt idx="79">
                  <c:v>18.842000000000002</c:v>
                </c:pt>
                <c:pt idx="80">
                  <c:v>18.898000000000003</c:v>
                </c:pt>
                <c:pt idx="81">
                  <c:v>18.951160000000002</c:v>
                </c:pt>
                <c:pt idx="82">
                  <c:v>19.001480000000001</c:v>
                </c:pt>
                <c:pt idx="83">
                  <c:v>19.048960000000001</c:v>
                </c:pt>
                <c:pt idx="84">
                  <c:v>19.093600000000002</c:v>
                </c:pt>
                <c:pt idx="85">
                  <c:v>19.135400000000001</c:v>
                </c:pt>
                <c:pt idx="86">
                  <c:v>19.17436</c:v>
                </c:pt>
                <c:pt idx="87">
                  <c:v>19.21048</c:v>
                </c:pt>
                <c:pt idx="88">
                  <c:v>19.243760000000002</c:v>
                </c:pt>
                <c:pt idx="89">
                  <c:v>19.2742</c:v>
                </c:pt>
                <c:pt idx="90">
                  <c:v>19.3018</c:v>
                </c:pt>
                <c:pt idx="91">
                  <c:v>19.326560000000001</c:v>
                </c:pt>
                <c:pt idx="92">
                  <c:v>19.348480000000002</c:v>
                </c:pt>
                <c:pt idx="93">
                  <c:v>19.367560000000001</c:v>
                </c:pt>
                <c:pt idx="94">
                  <c:v>19.383800000000001</c:v>
                </c:pt>
                <c:pt idx="95">
                  <c:v>19.397200000000002</c:v>
                </c:pt>
                <c:pt idx="96">
                  <c:v>19.407760000000003</c:v>
                </c:pt>
                <c:pt idx="97">
                  <c:v>19.415480000000002</c:v>
                </c:pt>
                <c:pt idx="98">
                  <c:v>19.420360000000002</c:v>
                </c:pt>
                <c:pt idx="99">
                  <c:v>19.422400000000003</c:v>
                </c:pt>
                <c:pt idx="100">
                  <c:v>19.421600000000002</c:v>
                </c:pt>
                <c:pt idx="101">
                  <c:v>19.417960000000001</c:v>
                </c:pt>
                <c:pt idx="102">
                  <c:v>19.411480000000001</c:v>
                </c:pt>
                <c:pt idx="103">
                  <c:v>19.402160000000002</c:v>
                </c:pt>
                <c:pt idx="104">
                  <c:v>19.39</c:v>
                </c:pt>
                <c:pt idx="105">
                  <c:v>19.375</c:v>
                </c:pt>
                <c:pt idx="106">
                  <c:v>19.35716</c:v>
                </c:pt>
                <c:pt idx="107">
                  <c:v>19.336480000000002</c:v>
                </c:pt>
                <c:pt idx="108">
                  <c:v>19.31296</c:v>
                </c:pt>
                <c:pt idx="109">
                  <c:v>19.2866</c:v>
                </c:pt>
                <c:pt idx="110">
                  <c:v>19.257400000000001</c:v>
                </c:pt>
                <c:pt idx="111">
                  <c:v>19.225360000000002</c:v>
                </c:pt>
                <c:pt idx="112">
                  <c:v>19.190480000000001</c:v>
                </c:pt>
                <c:pt idx="113">
                  <c:v>19.152760000000001</c:v>
                </c:pt>
                <c:pt idx="114">
                  <c:v>19.112200000000001</c:v>
                </c:pt>
                <c:pt idx="115">
                  <c:v>19.068800000000003</c:v>
                </c:pt>
                <c:pt idx="116">
                  <c:v>19.022560000000002</c:v>
                </c:pt>
                <c:pt idx="117">
                  <c:v>18.973480000000002</c:v>
                </c:pt>
                <c:pt idx="118">
                  <c:v>18.921560000000003</c:v>
                </c:pt>
                <c:pt idx="119">
                  <c:v>18.866800000000001</c:v>
                </c:pt>
                <c:pt idx="120">
                  <c:v>18.809200000000001</c:v>
                </c:pt>
                <c:pt idx="121">
                  <c:v>18.748760000000001</c:v>
                </c:pt>
                <c:pt idx="122">
                  <c:v>18.685480000000002</c:v>
                </c:pt>
                <c:pt idx="123">
                  <c:v>18.61936</c:v>
                </c:pt>
                <c:pt idx="124">
                  <c:v>18.5504</c:v>
                </c:pt>
                <c:pt idx="125">
                  <c:v>18.4786</c:v>
                </c:pt>
                <c:pt idx="126">
                  <c:v>18.403960000000001</c:v>
                </c:pt>
                <c:pt idx="127">
                  <c:v>18.32648</c:v>
                </c:pt>
                <c:pt idx="128">
                  <c:v>18.24616</c:v>
                </c:pt>
                <c:pt idx="129">
                  <c:v>18.163</c:v>
                </c:pt>
                <c:pt idx="130">
                  <c:v>18.077000000000002</c:v>
                </c:pt>
                <c:pt idx="131">
                  <c:v>17.988160000000001</c:v>
                </c:pt>
                <c:pt idx="132">
                  <c:v>17.89648</c:v>
                </c:pt>
                <c:pt idx="133">
                  <c:v>17.801960000000001</c:v>
                </c:pt>
                <c:pt idx="134">
                  <c:v>17.704600000000003</c:v>
                </c:pt>
                <c:pt idx="135">
                  <c:v>17.604400000000002</c:v>
                </c:pt>
                <c:pt idx="136">
                  <c:v>17.501360000000002</c:v>
                </c:pt>
                <c:pt idx="137">
                  <c:v>17.395480000000003</c:v>
                </c:pt>
                <c:pt idx="138">
                  <c:v>17.286760000000001</c:v>
                </c:pt>
                <c:pt idx="139">
                  <c:v>17.1752</c:v>
                </c:pt>
                <c:pt idx="140">
                  <c:v>17.0608</c:v>
                </c:pt>
                <c:pt idx="141">
                  <c:v>16.943560000000002</c:v>
                </c:pt>
                <c:pt idx="142">
                  <c:v>16.82348</c:v>
                </c:pt>
                <c:pt idx="143">
                  <c:v>16.700559999999999</c:v>
                </c:pt>
                <c:pt idx="144">
                  <c:v>16.5748</c:v>
                </c:pt>
                <c:pt idx="145">
                  <c:v>16.446200000000001</c:v>
                </c:pt>
                <c:pt idx="146">
                  <c:v>16.31476</c:v>
                </c:pt>
                <c:pt idx="147">
                  <c:v>16.180479999999999</c:v>
                </c:pt>
                <c:pt idx="148">
                  <c:v>16.04336</c:v>
                </c:pt>
                <c:pt idx="149">
                  <c:v>15.9034</c:v>
                </c:pt>
                <c:pt idx="150">
                  <c:v>15.7606</c:v>
                </c:pt>
                <c:pt idx="151">
                  <c:v>15.61496</c:v>
                </c:pt>
                <c:pt idx="152">
                  <c:v>15.466480000000001</c:v>
                </c:pt>
                <c:pt idx="153">
                  <c:v>15.315160000000001</c:v>
                </c:pt>
                <c:pt idx="154">
                  <c:v>15.161000000000001</c:v>
                </c:pt>
                <c:pt idx="155">
                  <c:v>15.004000000000001</c:v>
                </c:pt>
                <c:pt idx="156">
                  <c:v>14.844160000000002</c:v>
                </c:pt>
                <c:pt idx="157">
                  <c:v>14.681480000000002</c:v>
                </c:pt>
                <c:pt idx="158">
                  <c:v>14.515960000000002</c:v>
                </c:pt>
                <c:pt idx="159">
                  <c:v>14.347600000000002</c:v>
                </c:pt>
                <c:pt idx="160">
                  <c:v>14.176400000000001</c:v>
                </c:pt>
                <c:pt idx="161">
                  <c:v>14.002360000000001</c:v>
                </c:pt>
                <c:pt idx="162">
                  <c:v>13.825480000000001</c:v>
                </c:pt>
                <c:pt idx="163">
                  <c:v>13.645760000000001</c:v>
                </c:pt>
                <c:pt idx="164">
                  <c:v>13.463200000000001</c:v>
                </c:pt>
                <c:pt idx="165">
                  <c:v>13.277800000000001</c:v>
                </c:pt>
                <c:pt idx="166">
                  <c:v>13.089560000000001</c:v>
                </c:pt>
                <c:pt idx="167">
                  <c:v>12.898480000000001</c:v>
                </c:pt>
                <c:pt idx="168">
                  <c:v>12.704560000000001</c:v>
                </c:pt>
                <c:pt idx="169">
                  <c:v>12.507800000000001</c:v>
                </c:pt>
                <c:pt idx="170">
                  <c:v>12.308200000000001</c:v>
                </c:pt>
                <c:pt idx="171">
                  <c:v>12.105760000000002</c:v>
                </c:pt>
                <c:pt idx="172">
                  <c:v>11.900480000000002</c:v>
                </c:pt>
                <c:pt idx="173">
                  <c:v>11.692360000000003</c:v>
                </c:pt>
                <c:pt idx="174">
                  <c:v>11.481400000000002</c:v>
                </c:pt>
                <c:pt idx="175">
                  <c:v>11.267600000000003</c:v>
                </c:pt>
                <c:pt idx="176">
                  <c:v>11.050960000000003</c:v>
                </c:pt>
                <c:pt idx="177">
                  <c:v>10.831480000000003</c:v>
                </c:pt>
                <c:pt idx="178">
                  <c:v>10.609160000000003</c:v>
                </c:pt>
                <c:pt idx="179">
                  <c:v>10.384000000000002</c:v>
                </c:pt>
                <c:pt idx="180">
                  <c:v>10.156000000000002</c:v>
                </c:pt>
              </c:numCache>
            </c:numRef>
          </c:yVal>
          <c:smooth val="0"/>
          <c:extLst>
            <c:ext xmlns:c16="http://schemas.microsoft.com/office/drawing/2014/chart" uri="{C3380CC4-5D6E-409C-BE32-E72D297353CC}">
              <c16:uniqueId val="{00000001-2415-46E7-AD83-B7D17A10E8C6}"/>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7285387817902073"/>
                  <c:y val="-0.405291767586940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supplement_LWG!$A$12:$A$202</c:f>
              <c:numCache>
                <c:formatCode>General</c:formatCode>
                <c:ptCount val="1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pt idx="91">
                  <c:v>101</c:v>
                </c:pt>
                <c:pt idx="92">
                  <c:v>102</c:v>
                </c:pt>
                <c:pt idx="93">
                  <c:v>103</c:v>
                </c:pt>
                <c:pt idx="94">
                  <c:v>104</c:v>
                </c:pt>
                <c:pt idx="95">
                  <c:v>105</c:v>
                </c:pt>
                <c:pt idx="96">
                  <c:v>106</c:v>
                </c:pt>
                <c:pt idx="97">
                  <c:v>107</c:v>
                </c:pt>
                <c:pt idx="98">
                  <c:v>108</c:v>
                </c:pt>
                <c:pt idx="99">
                  <c:v>109</c:v>
                </c:pt>
                <c:pt idx="100">
                  <c:v>110</c:v>
                </c:pt>
                <c:pt idx="101">
                  <c:v>111</c:v>
                </c:pt>
                <c:pt idx="102">
                  <c:v>112</c:v>
                </c:pt>
                <c:pt idx="103">
                  <c:v>113</c:v>
                </c:pt>
                <c:pt idx="104">
                  <c:v>114</c:v>
                </c:pt>
                <c:pt idx="105">
                  <c:v>115</c:v>
                </c:pt>
                <c:pt idx="106">
                  <c:v>116</c:v>
                </c:pt>
                <c:pt idx="107">
                  <c:v>117</c:v>
                </c:pt>
                <c:pt idx="108">
                  <c:v>118</c:v>
                </c:pt>
                <c:pt idx="109">
                  <c:v>119</c:v>
                </c:pt>
                <c:pt idx="110">
                  <c:v>120</c:v>
                </c:pt>
                <c:pt idx="111">
                  <c:v>121</c:v>
                </c:pt>
                <c:pt idx="112">
                  <c:v>122</c:v>
                </c:pt>
                <c:pt idx="113">
                  <c:v>123</c:v>
                </c:pt>
                <c:pt idx="114">
                  <c:v>124</c:v>
                </c:pt>
                <c:pt idx="115">
                  <c:v>125</c:v>
                </c:pt>
                <c:pt idx="116">
                  <c:v>126</c:v>
                </c:pt>
                <c:pt idx="117">
                  <c:v>127</c:v>
                </c:pt>
                <c:pt idx="118">
                  <c:v>128</c:v>
                </c:pt>
                <c:pt idx="119">
                  <c:v>129</c:v>
                </c:pt>
                <c:pt idx="120">
                  <c:v>130</c:v>
                </c:pt>
                <c:pt idx="121">
                  <c:v>131</c:v>
                </c:pt>
                <c:pt idx="122">
                  <c:v>132</c:v>
                </c:pt>
                <c:pt idx="123">
                  <c:v>133</c:v>
                </c:pt>
                <c:pt idx="124">
                  <c:v>134</c:v>
                </c:pt>
                <c:pt idx="125">
                  <c:v>135</c:v>
                </c:pt>
                <c:pt idx="126">
                  <c:v>136</c:v>
                </c:pt>
                <c:pt idx="127">
                  <c:v>137</c:v>
                </c:pt>
                <c:pt idx="128">
                  <c:v>138</c:v>
                </c:pt>
                <c:pt idx="129">
                  <c:v>139</c:v>
                </c:pt>
                <c:pt idx="130">
                  <c:v>140</c:v>
                </c:pt>
                <c:pt idx="131">
                  <c:v>141</c:v>
                </c:pt>
                <c:pt idx="132">
                  <c:v>142</c:v>
                </c:pt>
                <c:pt idx="133">
                  <c:v>143</c:v>
                </c:pt>
                <c:pt idx="134">
                  <c:v>144</c:v>
                </c:pt>
                <c:pt idx="135">
                  <c:v>145</c:v>
                </c:pt>
                <c:pt idx="136">
                  <c:v>146</c:v>
                </c:pt>
                <c:pt idx="137">
                  <c:v>147</c:v>
                </c:pt>
                <c:pt idx="138">
                  <c:v>148</c:v>
                </c:pt>
                <c:pt idx="139">
                  <c:v>149</c:v>
                </c:pt>
                <c:pt idx="140">
                  <c:v>150</c:v>
                </c:pt>
                <c:pt idx="141">
                  <c:v>151</c:v>
                </c:pt>
                <c:pt idx="142">
                  <c:v>152</c:v>
                </c:pt>
                <c:pt idx="143">
                  <c:v>153</c:v>
                </c:pt>
                <c:pt idx="144">
                  <c:v>154</c:v>
                </c:pt>
                <c:pt idx="145">
                  <c:v>155</c:v>
                </c:pt>
                <c:pt idx="146">
                  <c:v>156</c:v>
                </c:pt>
                <c:pt idx="147">
                  <c:v>157</c:v>
                </c:pt>
                <c:pt idx="148">
                  <c:v>158</c:v>
                </c:pt>
                <c:pt idx="149">
                  <c:v>159</c:v>
                </c:pt>
                <c:pt idx="150">
                  <c:v>160</c:v>
                </c:pt>
                <c:pt idx="151">
                  <c:v>161</c:v>
                </c:pt>
                <c:pt idx="152">
                  <c:v>162</c:v>
                </c:pt>
                <c:pt idx="153">
                  <c:v>163</c:v>
                </c:pt>
                <c:pt idx="154">
                  <c:v>164</c:v>
                </c:pt>
                <c:pt idx="155">
                  <c:v>165</c:v>
                </c:pt>
                <c:pt idx="156">
                  <c:v>166</c:v>
                </c:pt>
                <c:pt idx="157">
                  <c:v>167</c:v>
                </c:pt>
                <c:pt idx="158">
                  <c:v>168</c:v>
                </c:pt>
                <c:pt idx="159">
                  <c:v>169</c:v>
                </c:pt>
                <c:pt idx="160">
                  <c:v>170</c:v>
                </c:pt>
                <c:pt idx="161">
                  <c:v>171</c:v>
                </c:pt>
                <c:pt idx="162">
                  <c:v>172</c:v>
                </c:pt>
                <c:pt idx="163">
                  <c:v>173</c:v>
                </c:pt>
                <c:pt idx="164">
                  <c:v>174</c:v>
                </c:pt>
                <c:pt idx="165">
                  <c:v>175</c:v>
                </c:pt>
                <c:pt idx="166">
                  <c:v>176</c:v>
                </c:pt>
                <c:pt idx="167">
                  <c:v>177</c:v>
                </c:pt>
                <c:pt idx="168">
                  <c:v>178</c:v>
                </c:pt>
                <c:pt idx="169">
                  <c:v>179</c:v>
                </c:pt>
                <c:pt idx="170">
                  <c:v>180</c:v>
                </c:pt>
                <c:pt idx="171">
                  <c:v>181</c:v>
                </c:pt>
                <c:pt idx="172">
                  <c:v>182</c:v>
                </c:pt>
                <c:pt idx="173">
                  <c:v>183</c:v>
                </c:pt>
                <c:pt idx="174">
                  <c:v>184</c:v>
                </c:pt>
                <c:pt idx="175">
                  <c:v>185</c:v>
                </c:pt>
                <c:pt idx="176">
                  <c:v>186</c:v>
                </c:pt>
                <c:pt idx="177">
                  <c:v>187</c:v>
                </c:pt>
                <c:pt idx="178">
                  <c:v>188</c:v>
                </c:pt>
                <c:pt idx="179">
                  <c:v>189</c:v>
                </c:pt>
                <c:pt idx="180">
                  <c:v>190</c:v>
                </c:pt>
                <c:pt idx="181">
                  <c:v>191</c:v>
                </c:pt>
                <c:pt idx="182">
                  <c:v>192</c:v>
                </c:pt>
                <c:pt idx="183">
                  <c:v>193</c:v>
                </c:pt>
                <c:pt idx="184">
                  <c:v>194</c:v>
                </c:pt>
                <c:pt idx="185">
                  <c:v>195</c:v>
                </c:pt>
                <c:pt idx="186">
                  <c:v>196</c:v>
                </c:pt>
                <c:pt idx="187">
                  <c:v>197</c:v>
                </c:pt>
                <c:pt idx="188">
                  <c:v>198</c:v>
                </c:pt>
                <c:pt idx="189">
                  <c:v>199</c:v>
                </c:pt>
                <c:pt idx="190">
                  <c:v>200</c:v>
                </c:pt>
              </c:numCache>
            </c:numRef>
          </c:xVal>
          <c:yVal>
            <c:numRef>
              <c:f>supplement_LWG!$K$12:$K$202</c:f>
              <c:numCache>
                <c:formatCode>0.000</c:formatCode>
                <c:ptCount val="191"/>
                <c:pt idx="0">
                  <c:v>2.8838000000000004</c:v>
                </c:pt>
                <c:pt idx="1">
                  <c:v>3.1925600000000003</c:v>
                </c:pt>
                <c:pt idx="2">
                  <c:v>3.4984800000000003</c:v>
                </c:pt>
                <c:pt idx="3">
                  <c:v>3.8015600000000003</c:v>
                </c:pt>
                <c:pt idx="4">
                  <c:v>4.1017999999999999</c:v>
                </c:pt>
                <c:pt idx="5">
                  <c:v>4.3991999999999996</c:v>
                </c:pt>
                <c:pt idx="6">
                  <c:v>4.6937599999999993</c:v>
                </c:pt>
                <c:pt idx="7">
                  <c:v>4.985479999999999</c:v>
                </c:pt>
                <c:pt idx="8">
                  <c:v>5.2743599999999988</c:v>
                </c:pt>
                <c:pt idx="9">
                  <c:v>5.5603999999999987</c:v>
                </c:pt>
                <c:pt idx="10">
                  <c:v>5.8435999999999986</c:v>
                </c:pt>
                <c:pt idx="11">
                  <c:v>6.1239599999999985</c:v>
                </c:pt>
                <c:pt idx="12">
                  <c:v>6.4014799999999985</c:v>
                </c:pt>
                <c:pt idx="13">
                  <c:v>6.6761599999999985</c:v>
                </c:pt>
                <c:pt idx="14">
                  <c:v>6.9479999999999986</c:v>
                </c:pt>
                <c:pt idx="15">
                  <c:v>7.2169999999999987</c:v>
                </c:pt>
                <c:pt idx="16">
                  <c:v>7.4831599999999989</c:v>
                </c:pt>
                <c:pt idx="17">
                  <c:v>7.7464799999999991</c:v>
                </c:pt>
                <c:pt idx="18">
                  <c:v>8.0069599999999994</c:v>
                </c:pt>
                <c:pt idx="19">
                  <c:v>8.2645999999999997</c:v>
                </c:pt>
                <c:pt idx="20">
                  <c:v>8.5193999999999992</c:v>
                </c:pt>
                <c:pt idx="21">
                  <c:v>8.7713599999999996</c:v>
                </c:pt>
                <c:pt idx="22">
                  <c:v>9.0204799999999992</c:v>
                </c:pt>
                <c:pt idx="23">
                  <c:v>9.2667599999999997</c:v>
                </c:pt>
                <c:pt idx="24">
                  <c:v>9.5101999999999993</c:v>
                </c:pt>
                <c:pt idx="25">
                  <c:v>9.7507999999999999</c:v>
                </c:pt>
                <c:pt idx="26">
                  <c:v>9.9885599999999997</c:v>
                </c:pt>
                <c:pt idx="27">
                  <c:v>10.22348</c:v>
                </c:pt>
                <c:pt idx="28">
                  <c:v>10.45556</c:v>
                </c:pt>
                <c:pt idx="29">
                  <c:v>10.684800000000001</c:v>
                </c:pt>
                <c:pt idx="30">
                  <c:v>10.911200000000001</c:v>
                </c:pt>
                <c:pt idx="31">
                  <c:v>11.134760000000002</c:v>
                </c:pt>
                <c:pt idx="32">
                  <c:v>11.355480000000002</c:v>
                </c:pt>
                <c:pt idx="33">
                  <c:v>11.573360000000001</c:v>
                </c:pt>
                <c:pt idx="34">
                  <c:v>11.788400000000001</c:v>
                </c:pt>
                <c:pt idx="35">
                  <c:v>12.0006</c:v>
                </c:pt>
                <c:pt idx="36">
                  <c:v>12.209960000000001</c:v>
                </c:pt>
                <c:pt idx="37">
                  <c:v>12.41648</c:v>
                </c:pt>
                <c:pt idx="38">
                  <c:v>12.62016</c:v>
                </c:pt>
                <c:pt idx="39">
                  <c:v>12.821</c:v>
                </c:pt>
                <c:pt idx="40">
                  <c:v>13.019</c:v>
                </c:pt>
                <c:pt idx="41">
                  <c:v>13.21416</c:v>
                </c:pt>
                <c:pt idx="42">
                  <c:v>13.40648</c:v>
                </c:pt>
                <c:pt idx="43">
                  <c:v>13.59596</c:v>
                </c:pt>
                <c:pt idx="44">
                  <c:v>13.7826</c:v>
                </c:pt>
                <c:pt idx="45">
                  <c:v>13.9664</c:v>
                </c:pt>
                <c:pt idx="46">
                  <c:v>14.147360000000001</c:v>
                </c:pt>
                <c:pt idx="47">
                  <c:v>14.325480000000001</c:v>
                </c:pt>
                <c:pt idx="48">
                  <c:v>14.500760000000001</c:v>
                </c:pt>
                <c:pt idx="49">
                  <c:v>14.673200000000001</c:v>
                </c:pt>
                <c:pt idx="50">
                  <c:v>14.842800000000002</c:v>
                </c:pt>
                <c:pt idx="51">
                  <c:v>15.009560000000002</c:v>
                </c:pt>
                <c:pt idx="52">
                  <c:v>15.173480000000001</c:v>
                </c:pt>
                <c:pt idx="53">
                  <c:v>15.334560000000002</c:v>
                </c:pt>
                <c:pt idx="54">
                  <c:v>15.492800000000001</c:v>
                </c:pt>
                <c:pt idx="55">
                  <c:v>15.648200000000001</c:v>
                </c:pt>
                <c:pt idx="56">
                  <c:v>15.80076</c:v>
                </c:pt>
                <c:pt idx="57">
                  <c:v>15.950480000000001</c:v>
                </c:pt>
                <c:pt idx="58">
                  <c:v>16.097360000000002</c:v>
                </c:pt>
                <c:pt idx="59">
                  <c:v>16.241400000000002</c:v>
                </c:pt>
                <c:pt idx="60">
                  <c:v>16.382600000000004</c:v>
                </c:pt>
                <c:pt idx="61">
                  <c:v>16.520960000000002</c:v>
                </c:pt>
                <c:pt idx="62">
                  <c:v>16.656480000000002</c:v>
                </c:pt>
                <c:pt idx="63">
                  <c:v>16.789160000000003</c:v>
                </c:pt>
                <c:pt idx="64">
                  <c:v>16.919000000000004</c:v>
                </c:pt>
                <c:pt idx="65">
                  <c:v>17.046000000000003</c:v>
                </c:pt>
                <c:pt idx="66">
                  <c:v>17.170160000000003</c:v>
                </c:pt>
                <c:pt idx="67">
                  <c:v>17.291480000000004</c:v>
                </c:pt>
                <c:pt idx="68">
                  <c:v>17.409960000000005</c:v>
                </c:pt>
                <c:pt idx="69">
                  <c:v>17.525600000000004</c:v>
                </c:pt>
                <c:pt idx="70">
                  <c:v>17.638400000000004</c:v>
                </c:pt>
                <c:pt idx="71">
                  <c:v>17.748360000000005</c:v>
                </c:pt>
                <c:pt idx="72">
                  <c:v>17.855480000000004</c:v>
                </c:pt>
                <c:pt idx="73">
                  <c:v>17.959760000000003</c:v>
                </c:pt>
                <c:pt idx="74">
                  <c:v>18.061200000000003</c:v>
                </c:pt>
                <c:pt idx="75">
                  <c:v>18.159800000000004</c:v>
                </c:pt>
                <c:pt idx="76">
                  <c:v>18.255560000000003</c:v>
                </c:pt>
                <c:pt idx="77">
                  <c:v>18.348480000000002</c:v>
                </c:pt>
                <c:pt idx="78">
                  <c:v>18.438560000000003</c:v>
                </c:pt>
                <c:pt idx="79">
                  <c:v>18.525800000000004</c:v>
                </c:pt>
                <c:pt idx="80">
                  <c:v>18.610200000000003</c:v>
                </c:pt>
                <c:pt idx="81">
                  <c:v>18.691760000000002</c:v>
                </c:pt>
                <c:pt idx="82">
                  <c:v>18.770480000000003</c:v>
                </c:pt>
                <c:pt idx="83">
                  <c:v>18.846360000000004</c:v>
                </c:pt>
                <c:pt idx="84">
                  <c:v>18.919400000000003</c:v>
                </c:pt>
                <c:pt idx="85">
                  <c:v>18.989600000000003</c:v>
                </c:pt>
                <c:pt idx="86">
                  <c:v>19.056960000000004</c:v>
                </c:pt>
                <c:pt idx="87">
                  <c:v>19.121480000000005</c:v>
                </c:pt>
                <c:pt idx="88">
                  <c:v>19.183160000000004</c:v>
                </c:pt>
                <c:pt idx="89">
                  <c:v>19.242000000000004</c:v>
                </c:pt>
                <c:pt idx="90">
                  <c:v>19.298000000000005</c:v>
                </c:pt>
                <c:pt idx="91">
                  <c:v>19.351160000000004</c:v>
                </c:pt>
                <c:pt idx="92">
                  <c:v>19.401480000000003</c:v>
                </c:pt>
                <c:pt idx="93">
                  <c:v>19.448960000000003</c:v>
                </c:pt>
                <c:pt idx="94">
                  <c:v>19.493600000000004</c:v>
                </c:pt>
                <c:pt idx="95">
                  <c:v>19.535400000000003</c:v>
                </c:pt>
                <c:pt idx="96">
                  <c:v>19.574360000000002</c:v>
                </c:pt>
                <c:pt idx="97">
                  <c:v>19.610480000000003</c:v>
                </c:pt>
                <c:pt idx="98">
                  <c:v>19.643760000000004</c:v>
                </c:pt>
                <c:pt idx="99">
                  <c:v>19.674200000000003</c:v>
                </c:pt>
                <c:pt idx="100">
                  <c:v>19.701800000000002</c:v>
                </c:pt>
                <c:pt idx="101">
                  <c:v>19.726560000000003</c:v>
                </c:pt>
                <c:pt idx="102">
                  <c:v>19.748480000000004</c:v>
                </c:pt>
                <c:pt idx="103">
                  <c:v>19.767560000000003</c:v>
                </c:pt>
                <c:pt idx="104">
                  <c:v>19.783800000000003</c:v>
                </c:pt>
                <c:pt idx="105">
                  <c:v>19.797200000000004</c:v>
                </c:pt>
                <c:pt idx="106">
                  <c:v>19.807760000000005</c:v>
                </c:pt>
                <c:pt idx="107">
                  <c:v>19.815480000000004</c:v>
                </c:pt>
                <c:pt idx="108">
                  <c:v>19.820360000000004</c:v>
                </c:pt>
                <c:pt idx="109">
                  <c:v>19.822400000000005</c:v>
                </c:pt>
                <c:pt idx="110">
                  <c:v>19.821600000000004</c:v>
                </c:pt>
                <c:pt idx="111">
                  <c:v>19.817960000000003</c:v>
                </c:pt>
                <c:pt idx="112">
                  <c:v>19.811480000000003</c:v>
                </c:pt>
                <c:pt idx="113">
                  <c:v>19.802160000000004</c:v>
                </c:pt>
                <c:pt idx="114">
                  <c:v>19.790000000000003</c:v>
                </c:pt>
                <c:pt idx="115">
                  <c:v>19.775000000000002</c:v>
                </c:pt>
                <c:pt idx="116">
                  <c:v>19.757160000000002</c:v>
                </c:pt>
                <c:pt idx="117">
                  <c:v>19.736480000000004</c:v>
                </c:pt>
                <c:pt idx="118">
                  <c:v>19.712960000000002</c:v>
                </c:pt>
                <c:pt idx="119">
                  <c:v>19.686600000000002</c:v>
                </c:pt>
                <c:pt idx="120">
                  <c:v>19.657400000000003</c:v>
                </c:pt>
                <c:pt idx="121">
                  <c:v>19.625360000000004</c:v>
                </c:pt>
                <c:pt idx="122">
                  <c:v>19.590480000000003</c:v>
                </c:pt>
                <c:pt idx="123">
                  <c:v>19.552760000000003</c:v>
                </c:pt>
                <c:pt idx="124">
                  <c:v>19.512200000000004</c:v>
                </c:pt>
                <c:pt idx="125">
                  <c:v>19.468800000000005</c:v>
                </c:pt>
                <c:pt idx="126">
                  <c:v>19.422560000000004</c:v>
                </c:pt>
                <c:pt idx="127">
                  <c:v>19.373480000000004</c:v>
                </c:pt>
                <c:pt idx="128">
                  <c:v>19.321560000000005</c:v>
                </c:pt>
                <c:pt idx="129">
                  <c:v>19.266800000000003</c:v>
                </c:pt>
                <c:pt idx="130">
                  <c:v>19.209200000000003</c:v>
                </c:pt>
                <c:pt idx="131">
                  <c:v>19.148760000000003</c:v>
                </c:pt>
                <c:pt idx="132">
                  <c:v>19.085480000000004</c:v>
                </c:pt>
                <c:pt idx="133">
                  <c:v>19.019360000000002</c:v>
                </c:pt>
                <c:pt idx="134">
                  <c:v>18.950400000000002</c:v>
                </c:pt>
                <c:pt idx="135">
                  <c:v>18.878600000000002</c:v>
                </c:pt>
                <c:pt idx="136">
                  <c:v>18.803960000000004</c:v>
                </c:pt>
                <c:pt idx="137">
                  <c:v>18.726480000000002</c:v>
                </c:pt>
                <c:pt idx="138">
                  <c:v>18.646160000000002</c:v>
                </c:pt>
                <c:pt idx="139">
                  <c:v>18.563000000000002</c:v>
                </c:pt>
                <c:pt idx="140">
                  <c:v>18.477000000000004</c:v>
                </c:pt>
                <c:pt idx="141">
                  <c:v>18.388160000000003</c:v>
                </c:pt>
                <c:pt idx="142">
                  <c:v>18.296480000000003</c:v>
                </c:pt>
                <c:pt idx="143">
                  <c:v>18.201960000000003</c:v>
                </c:pt>
                <c:pt idx="144">
                  <c:v>18.104600000000005</c:v>
                </c:pt>
                <c:pt idx="145">
                  <c:v>18.004400000000004</c:v>
                </c:pt>
                <c:pt idx="146">
                  <c:v>17.901360000000004</c:v>
                </c:pt>
                <c:pt idx="147">
                  <c:v>17.795480000000005</c:v>
                </c:pt>
                <c:pt idx="148">
                  <c:v>17.686760000000003</c:v>
                </c:pt>
                <c:pt idx="149">
                  <c:v>17.575200000000002</c:v>
                </c:pt>
                <c:pt idx="150">
                  <c:v>17.460800000000003</c:v>
                </c:pt>
                <c:pt idx="151">
                  <c:v>17.343560000000004</c:v>
                </c:pt>
                <c:pt idx="152">
                  <c:v>17.223480000000002</c:v>
                </c:pt>
                <c:pt idx="153">
                  <c:v>17.100560000000002</c:v>
                </c:pt>
                <c:pt idx="154">
                  <c:v>16.974800000000002</c:v>
                </c:pt>
                <c:pt idx="155">
                  <c:v>16.846200000000003</c:v>
                </c:pt>
                <c:pt idx="156">
                  <c:v>16.714760000000002</c:v>
                </c:pt>
                <c:pt idx="157">
                  <c:v>16.580480000000001</c:v>
                </c:pt>
                <c:pt idx="158">
                  <c:v>16.443360000000002</c:v>
                </c:pt>
                <c:pt idx="159">
                  <c:v>16.303400000000003</c:v>
                </c:pt>
                <c:pt idx="160">
                  <c:v>16.160600000000002</c:v>
                </c:pt>
                <c:pt idx="161">
                  <c:v>16.014960000000002</c:v>
                </c:pt>
                <c:pt idx="162">
                  <c:v>15.866480000000003</c:v>
                </c:pt>
                <c:pt idx="163">
                  <c:v>15.715160000000003</c:v>
                </c:pt>
                <c:pt idx="164">
                  <c:v>15.561000000000003</c:v>
                </c:pt>
                <c:pt idx="165">
                  <c:v>15.404000000000003</c:v>
                </c:pt>
                <c:pt idx="166">
                  <c:v>15.244160000000004</c:v>
                </c:pt>
                <c:pt idx="167">
                  <c:v>15.081480000000004</c:v>
                </c:pt>
                <c:pt idx="168">
                  <c:v>14.915960000000004</c:v>
                </c:pt>
                <c:pt idx="169">
                  <c:v>14.747600000000004</c:v>
                </c:pt>
                <c:pt idx="170">
                  <c:v>14.576400000000003</c:v>
                </c:pt>
                <c:pt idx="171">
                  <c:v>14.402360000000003</c:v>
                </c:pt>
                <c:pt idx="172">
                  <c:v>14.225480000000003</c:v>
                </c:pt>
                <c:pt idx="173">
                  <c:v>14.045760000000003</c:v>
                </c:pt>
                <c:pt idx="174">
                  <c:v>13.863200000000003</c:v>
                </c:pt>
                <c:pt idx="175">
                  <c:v>13.677800000000003</c:v>
                </c:pt>
                <c:pt idx="176">
                  <c:v>13.489560000000003</c:v>
                </c:pt>
                <c:pt idx="177">
                  <c:v>13.298480000000003</c:v>
                </c:pt>
                <c:pt idx="178">
                  <c:v>13.104560000000003</c:v>
                </c:pt>
                <c:pt idx="179">
                  <c:v>12.907800000000003</c:v>
                </c:pt>
                <c:pt idx="180">
                  <c:v>12.708200000000003</c:v>
                </c:pt>
                <c:pt idx="181">
                  <c:v>12.505760000000004</c:v>
                </c:pt>
                <c:pt idx="182">
                  <c:v>12.300480000000004</c:v>
                </c:pt>
                <c:pt idx="183">
                  <c:v>12.092360000000005</c:v>
                </c:pt>
                <c:pt idx="184">
                  <c:v>11.881400000000005</c:v>
                </c:pt>
                <c:pt idx="185">
                  <c:v>11.667600000000006</c:v>
                </c:pt>
                <c:pt idx="186">
                  <c:v>11.450960000000006</c:v>
                </c:pt>
                <c:pt idx="187">
                  <c:v>11.231480000000005</c:v>
                </c:pt>
                <c:pt idx="188">
                  <c:v>11.009160000000005</c:v>
                </c:pt>
                <c:pt idx="189">
                  <c:v>10.784000000000004</c:v>
                </c:pt>
                <c:pt idx="190">
                  <c:v>10.556000000000004</c:v>
                </c:pt>
              </c:numCache>
            </c:numRef>
          </c:yVal>
          <c:smooth val="0"/>
          <c:extLst>
            <c:ext xmlns:c16="http://schemas.microsoft.com/office/drawing/2014/chart" uri="{C3380CC4-5D6E-409C-BE32-E72D297353CC}">
              <c16:uniqueId val="{00000001-693B-4639-B341-8E44A4F52AAD}"/>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supplement_LWG!$BZ$9</c:f>
              <c:strCache>
                <c:ptCount val="1"/>
                <c:pt idx="0">
                  <c:v>100 g/hd/day</c:v>
                </c:pt>
              </c:strCache>
            </c:strRef>
          </c:tx>
          <c:spPr>
            <a:ln w="25400" cap="flat" cmpd="sng" algn="ctr">
              <a:noFill/>
              <a:prstDash val="sysDot"/>
              <a:round/>
            </a:ln>
            <a:effectLst/>
          </c:spPr>
          <c:marker>
            <c:symbol val="circle"/>
            <c:size val="5"/>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trendline>
            <c:spPr>
              <a:ln w="9525" cap="rnd">
                <a:solidFill>
                  <a:schemeClr val="accent1"/>
                </a:solidFill>
              </a:ln>
              <a:effectLst/>
            </c:spPr>
            <c:trendlineType val="linear"/>
            <c:dispRSqr val="0"/>
            <c:dispEq val="1"/>
            <c:trendlineLbl>
              <c:layout>
                <c:manualLayout>
                  <c:x val="0.12099475065616808"/>
                  <c:y val="-9.449948964712746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supplement_LWG!$BY$11:$BY$14</c:f>
              <c:numCache>
                <c:formatCode>General</c:formatCode>
                <c:ptCount val="4"/>
                <c:pt idx="0">
                  <c:v>90</c:v>
                </c:pt>
                <c:pt idx="1">
                  <c:v>45</c:v>
                </c:pt>
                <c:pt idx="2">
                  <c:v>20</c:v>
                </c:pt>
                <c:pt idx="3">
                  <c:v>10</c:v>
                </c:pt>
              </c:numCache>
            </c:numRef>
          </c:xVal>
          <c:yVal>
            <c:numRef>
              <c:f>supplement_LWG!$BZ$11:$BZ$14</c:f>
              <c:numCache>
                <c:formatCode>General</c:formatCode>
                <c:ptCount val="4"/>
                <c:pt idx="0">
                  <c:v>-3.56</c:v>
                </c:pt>
                <c:pt idx="1">
                  <c:v>-1.76</c:v>
                </c:pt>
                <c:pt idx="2">
                  <c:v>-0.76</c:v>
                </c:pt>
                <c:pt idx="3">
                  <c:v>-0.36</c:v>
                </c:pt>
              </c:numCache>
            </c:numRef>
          </c:yVal>
          <c:smooth val="0"/>
          <c:extLst>
            <c:ext xmlns:c16="http://schemas.microsoft.com/office/drawing/2014/chart" uri="{C3380CC4-5D6E-409C-BE32-E72D297353CC}">
              <c16:uniqueId val="{00000001-8E2C-4A43-B03B-0EDB00E1A1E3}"/>
            </c:ext>
          </c:extLst>
        </c:ser>
        <c:ser>
          <c:idx val="1"/>
          <c:order val="1"/>
          <c:tx>
            <c:strRef>
              <c:f>supplement_LWG!$CA$9</c:f>
              <c:strCache>
                <c:ptCount val="1"/>
                <c:pt idx="0">
                  <c:v>200 g/hd/day</c:v>
                </c:pt>
              </c:strCache>
            </c:strRef>
          </c:tx>
          <c:spPr>
            <a:ln w="25400" cap="flat" cmpd="sng" algn="ctr">
              <a:noFill/>
              <a:prstDash val="sysDot"/>
              <a:round/>
            </a:ln>
            <a:effectLst/>
          </c:spPr>
          <c:marker>
            <c:symbol val="circle"/>
            <c:size val="5"/>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trendline>
            <c:spPr>
              <a:ln w="9525" cap="rnd">
                <a:solidFill>
                  <a:schemeClr val="accent2"/>
                </a:solidFill>
              </a:ln>
              <a:effectLst/>
            </c:spPr>
            <c:trendlineType val="linear"/>
            <c:dispRSqr val="0"/>
            <c:dispEq val="1"/>
            <c:trendlineLbl>
              <c:layout>
                <c:manualLayout>
                  <c:x val="0.13210586176727909"/>
                  <c:y val="7.49241761446485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supplement_LWG!$BY$11:$BY$14</c:f>
              <c:numCache>
                <c:formatCode>General</c:formatCode>
                <c:ptCount val="4"/>
                <c:pt idx="0">
                  <c:v>90</c:v>
                </c:pt>
                <c:pt idx="1">
                  <c:v>45</c:v>
                </c:pt>
                <c:pt idx="2">
                  <c:v>20</c:v>
                </c:pt>
                <c:pt idx="3">
                  <c:v>10</c:v>
                </c:pt>
              </c:numCache>
            </c:numRef>
          </c:xVal>
          <c:yVal>
            <c:numRef>
              <c:f>supplement_LWG!$CA$11:$CA$14</c:f>
              <c:numCache>
                <c:formatCode>General</c:formatCode>
                <c:ptCount val="4"/>
                <c:pt idx="0">
                  <c:v>-7.12</c:v>
                </c:pt>
                <c:pt idx="1">
                  <c:v>-3.52</c:v>
                </c:pt>
                <c:pt idx="2">
                  <c:v>-1.52</c:v>
                </c:pt>
                <c:pt idx="3">
                  <c:v>-0.72</c:v>
                </c:pt>
              </c:numCache>
            </c:numRef>
          </c:yVal>
          <c:smooth val="0"/>
          <c:extLst>
            <c:ext xmlns:c16="http://schemas.microsoft.com/office/drawing/2014/chart" uri="{C3380CC4-5D6E-409C-BE32-E72D297353CC}">
              <c16:uniqueId val="{00000003-8E2C-4A43-B03B-0EDB00E1A1E3}"/>
            </c:ext>
          </c:extLst>
        </c:ser>
        <c:ser>
          <c:idx val="2"/>
          <c:order val="2"/>
          <c:tx>
            <c:strRef>
              <c:f>supplement_LWG!$CB$9</c:f>
              <c:strCache>
                <c:ptCount val="1"/>
                <c:pt idx="0">
                  <c:v>300 g/hd/day</c:v>
                </c:pt>
              </c:strCache>
            </c:strRef>
          </c:tx>
          <c:spPr>
            <a:ln w="25400" cap="flat" cmpd="sng" algn="ctr">
              <a:noFill/>
              <a:prstDash val="sysDot"/>
              <a:round/>
            </a:ln>
            <a:effectLst/>
          </c:spPr>
          <c:marker>
            <c:symbol val="circle"/>
            <c:size val="5"/>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marker>
          <c:trendline>
            <c:spPr>
              <a:ln w="9525" cap="rnd">
                <a:solidFill>
                  <a:schemeClr val="accent3"/>
                </a:solidFill>
              </a:ln>
              <a:effectLst/>
            </c:spPr>
            <c:trendlineType val="linear"/>
            <c:dispRSqr val="0"/>
            <c:dispEq val="1"/>
            <c:trendlineLbl>
              <c:layout>
                <c:manualLayout>
                  <c:x val="0.13210586176727909"/>
                  <c:y val="7.305191017789443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supplement_LWG!$BY$11:$BY$14</c:f>
              <c:numCache>
                <c:formatCode>General</c:formatCode>
                <c:ptCount val="4"/>
                <c:pt idx="0">
                  <c:v>90</c:v>
                </c:pt>
                <c:pt idx="1">
                  <c:v>45</c:v>
                </c:pt>
                <c:pt idx="2">
                  <c:v>20</c:v>
                </c:pt>
                <c:pt idx="3">
                  <c:v>10</c:v>
                </c:pt>
              </c:numCache>
            </c:numRef>
          </c:xVal>
          <c:yVal>
            <c:numRef>
              <c:f>supplement_LWG!$CB$11:$CB$14</c:f>
              <c:numCache>
                <c:formatCode>General</c:formatCode>
                <c:ptCount val="4"/>
                <c:pt idx="0">
                  <c:v>-10.68</c:v>
                </c:pt>
                <c:pt idx="1">
                  <c:v>-5.28</c:v>
                </c:pt>
                <c:pt idx="2">
                  <c:v>-2.2800000000000002</c:v>
                </c:pt>
                <c:pt idx="3">
                  <c:v>-1.08</c:v>
                </c:pt>
              </c:numCache>
            </c:numRef>
          </c:yVal>
          <c:smooth val="0"/>
          <c:extLst>
            <c:ext xmlns:c16="http://schemas.microsoft.com/office/drawing/2014/chart" uri="{C3380CC4-5D6E-409C-BE32-E72D297353CC}">
              <c16:uniqueId val="{00000005-8E2C-4A43-B03B-0EDB00E1A1E3}"/>
            </c:ext>
          </c:extLst>
        </c:ser>
        <c:dLbls>
          <c:showLegendKey val="0"/>
          <c:showVal val="0"/>
          <c:showCatName val="0"/>
          <c:showSerName val="0"/>
          <c:showPercent val="0"/>
          <c:showBubbleSize val="0"/>
        </c:dLbls>
        <c:axId val="678526720"/>
        <c:axId val="678527048"/>
      </c:scatterChart>
      <c:valAx>
        <c:axId val="67852672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AU"/>
                  <a:t>sheep grazing days</a:t>
                </a:r>
              </a:p>
            </c:rich>
          </c:tx>
          <c:overlay val="0"/>
          <c:spPr>
            <a:noFill/>
            <a:ln>
              <a:noFill/>
            </a:ln>
            <a:effectLst/>
          </c:spPr>
        </c:title>
        <c:numFmt formatCode="General"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678527048"/>
        <c:crosses val="autoZero"/>
        <c:crossBetween val="midCat"/>
      </c:valAx>
      <c:valAx>
        <c:axId val="67852704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AU"/>
                  <a:t>constant</a:t>
                </a:r>
                <a:r>
                  <a:rPr lang="en-AU" baseline="0"/>
                  <a:t> value </a:t>
                </a:r>
              </a:p>
              <a:p>
                <a:pPr>
                  <a:defRPr sz="900" b="0" i="0" u="none" strike="noStrike" kern="1200" baseline="0">
                    <a:solidFill>
                      <a:schemeClr val="dk1">
                        <a:lumMod val="65000"/>
                        <a:lumOff val="35000"/>
                      </a:schemeClr>
                    </a:solidFill>
                    <a:latin typeface="+mn-lt"/>
                    <a:ea typeface="+mn-ea"/>
                    <a:cs typeface="+mn-cs"/>
                  </a:defRPr>
                </a:pPr>
                <a:r>
                  <a:rPr lang="en-AU" baseline="0"/>
                  <a:t>(c)</a:t>
                </a:r>
                <a:endParaRPr lang="en-AU"/>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en-US"/>
          </a:p>
        </c:txPr>
        <c:crossAx val="67852672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456647480362519"/>
                  <c:y val="0.452805168186009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supplement_LWG!$BY$25:$BY$28</c:f>
              <c:numCache>
                <c:formatCode>General</c:formatCode>
                <c:ptCount val="4"/>
                <c:pt idx="0">
                  <c:v>0</c:v>
                </c:pt>
                <c:pt idx="1">
                  <c:v>100</c:v>
                </c:pt>
                <c:pt idx="2">
                  <c:v>200</c:v>
                </c:pt>
                <c:pt idx="3">
                  <c:v>300</c:v>
                </c:pt>
              </c:numCache>
            </c:numRef>
          </c:xVal>
          <c:yVal>
            <c:numRef>
              <c:f>supplement_LWG!$BZ$25:$BZ$28</c:f>
              <c:numCache>
                <c:formatCode>0.000</c:formatCode>
                <c:ptCount val="4"/>
                <c:pt idx="0">
                  <c:v>-0.19983999999999996</c:v>
                </c:pt>
                <c:pt idx="1">
                  <c:v>-0.15983999999999995</c:v>
                </c:pt>
                <c:pt idx="2">
                  <c:v>-0.11983999999999996</c:v>
                </c:pt>
                <c:pt idx="3">
                  <c:v>-7.9839999999999967E-2</c:v>
                </c:pt>
              </c:numCache>
            </c:numRef>
          </c:yVal>
          <c:smooth val="0"/>
          <c:extLst>
            <c:ext xmlns:c16="http://schemas.microsoft.com/office/drawing/2014/chart" uri="{C3380CC4-5D6E-409C-BE32-E72D297353CC}">
              <c16:uniqueId val="{00000001-24F3-44D7-8091-D3FFDD2DF191}"/>
            </c:ext>
          </c:extLst>
        </c:ser>
        <c:dLbls>
          <c:showLegendKey val="0"/>
          <c:showVal val="0"/>
          <c:showCatName val="0"/>
          <c:showSerName val="0"/>
          <c:showPercent val="0"/>
          <c:showBubbleSize val="0"/>
        </c:dLbls>
        <c:axId val="739846960"/>
        <c:axId val="739842696"/>
      </c:scatterChart>
      <c:valAx>
        <c:axId val="7398469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Supplementary feed</a:t>
                </a:r>
              </a:p>
            </c:rich>
          </c:tx>
          <c:layout>
            <c:manualLayout>
              <c:xMode val="edge"/>
              <c:yMode val="edge"/>
              <c:x val="0.4453789697216895"/>
              <c:y val="0.914866397733610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842696"/>
        <c:crosses val="autoZero"/>
        <c:crossBetween val="midCat"/>
      </c:valAx>
      <c:valAx>
        <c:axId val="739842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min</a:t>
                </a:r>
                <a:r>
                  <a:rPr lang="en-AU" baseline="0"/>
                  <a:t> LWG (kg)</a:t>
                </a:r>
                <a:endParaRPr lang="en-AU"/>
              </a:p>
            </c:rich>
          </c:tx>
          <c:layout>
            <c:manualLayout>
              <c:xMode val="edge"/>
              <c:yMode val="edge"/>
              <c:x val="1.3992538341207717E-2"/>
              <c:y val="0.390670551034078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8469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cumulative_LWG!$H$3:$H$202</c:f>
              <c:numCache>
                <c:formatCode>0.000</c:formatCode>
                <c:ptCount val="200"/>
                <c:pt idx="0">
                  <c:v>0.29716000000000004</c:v>
                </c:pt>
                <c:pt idx="1">
                  <c:v>0.59148000000000001</c:v>
                </c:pt>
                <c:pt idx="2">
                  <c:v>0.88295999999999997</c:v>
                </c:pt>
                <c:pt idx="3">
                  <c:v>1.1716</c:v>
                </c:pt>
                <c:pt idx="4">
                  <c:v>1.4574</c:v>
                </c:pt>
                <c:pt idx="5">
                  <c:v>1.7403599999999999</c:v>
                </c:pt>
                <c:pt idx="6">
                  <c:v>2.0204800000000001</c:v>
                </c:pt>
                <c:pt idx="7">
                  <c:v>2.2977600000000002</c:v>
                </c:pt>
                <c:pt idx="8">
                  <c:v>2.5722000000000005</c:v>
                </c:pt>
                <c:pt idx="9">
                  <c:v>2.8438000000000003</c:v>
                </c:pt>
                <c:pt idx="10">
                  <c:v>3.1125600000000002</c:v>
                </c:pt>
                <c:pt idx="11">
                  <c:v>3.3784800000000001</c:v>
                </c:pt>
                <c:pt idx="12">
                  <c:v>3.6415600000000001</c:v>
                </c:pt>
                <c:pt idx="13">
                  <c:v>3.9018000000000002</c:v>
                </c:pt>
                <c:pt idx="14">
                  <c:v>4.1592000000000002</c:v>
                </c:pt>
                <c:pt idx="15">
                  <c:v>4.4137599999999999</c:v>
                </c:pt>
                <c:pt idx="16">
                  <c:v>4.6654799999999996</c:v>
                </c:pt>
                <c:pt idx="17">
                  <c:v>4.9143599999999994</c:v>
                </c:pt>
                <c:pt idx="18">
                  <c:v>5.1603999999999992</c:v>
                </c:pt>
                <c:pt idx="19">
                  <c:v>5.4035999999999991</c:v>
                </c:pt>
                <c:pt idx="20">
                  <c:v>5.643959999999999</c:v>
                </c:pt>
                <c:pt idx="21">
                  <c:v>5.8814799999999989</c:v>
                </c:pt>
                <c:pt idx="22">
                  <c:v>6.1161599999999989</c:v>
                </c:pt>
                <c:pt idx="23">
                  <c:v>6.347999999999999</c:v>
                </c:pt>
                <c:pt idx="24">
                  <c:v>6.5769999999999991</c:v>
                </c:pt>
                <c:pt idx="25">
                  <c:v>6.8031599999999992</c:v>
                </c:pt>
                <c:pt idx="26">
                  <c:v>7.0264799999999994</c:v>
                </c:pt>
                <c:pt idx="27">
                  <c:v>7.2469599999999996</c:v>
                </c:pt>
                <c:pt idx="28">
                  <c:v>7.4645999999999999</c:v>
                </c:pt>
                <c:pt idx="29">
                  <c:v>7.6794000000000002</c:v>
                </c:pt>
                <c:pt idx="30">
                  <c:v>7.8913600000000006</c:v>
                </c:pt>
                <c:pt idx="31">
                  <c:v>8.100480000000001</c:v>
                </c:pt>
                <c:pt idx="32">
                  <c:v>8.3067600000000006</c:v>
                </c:pt>
                <c:pt idx="33">
                  <c:v>8.5102000000000011</c:v>
                </c:pt>
                <c:pt idx="34">
                  <c:v>8.7108000000000008</c:v>
                </c:pt>
                <c:pt idx="35">
                  <c:v>8.9085600000000014</c:v>
                </c:pt>
                <c:pt idx="36">
                  <c:v>9.1034800000000011</c:v>
                </c:pt>
                <c:pt idx="37">
                  <c:v>9.2955600000000018</c:v>
                </c:pt>
                <c:pt idx="38">
                  <c:v>9.4848000000000017</c:v>
                </c:pt>
                <c:pt idx="39">
                  <c:v>9.6712000000000025</c:v>
                </c:pt>
                <c:pt idx="40">
                  <c:v>9.8547600000000024</c:v>
                </c:pt>
                <c:pt idx="41">
                  <c:v>10.035480000000003</c:v>
                </c:pt>
                <c:pt idx="42">
                  <c:v>10.213360000000003</c:v>
                </c:pt>
                <c:pt idx="43">
                  <c:v>10.388400000000003</c:v>
                </c:pt>
                <c:pt idx="44">
                  <c:v>10.560600000000003</c:v>
                </c:pt>
                <c:pt idx="45">
                  <c:v>10.729960000000002</c:v>
                </c:pt>
                <c:pt idx="46">
                  <c:v>10.896480000000002</c:v>
                </c:pt>
                <c:pt idx="47">
                  <c:v>11.060160000000002</c:v>
                </c:pt>
                <c:pt idx="48">
                  <c:v>11.221000000000002</c:v>
                </c:pt>
                <c:pt idx="49">
                  <c:v>11.379000000000001</c:v>
                </c:pt>
                <c:pt idx="50">
                  <c:v>11.534160000000002</c:v>
                </c:pt>
                <c:pt idx="51">
                  <c:v>11.686480000000001</c:v>
                </c:pt>
                <c:pt idx="52">
                  <c:v>11.835960000000002</c:v>
                </c:pt>
                <c:pt idx="53">
                  <c:v>11.982600000000001</c:v>
                </c:pt>
                <c:pt idx="54">
                  <c:v>12.126400000000002</c:v>
                </c:pt>
                <c:pt idx="55">
                  <c:v>12.267360000000002</c:v>
                </c:pt>
                <c:pt idx="56">
                  <c:v>12.405480000000003</c:v>
                </c:pt>
                <c:pt idx="57">
                  <c:v>12.540760000000002</c:v>
                </c:pt>
                <c:pt idx="58">
                  <c:v>12.673200000000003</c:v>
                </c:pt>
                <c:pt idx="59">
                  <c:v>12.802800000000003</c:v>
                </c:pt>
                <c:pt idx="60">
                  <c:v>12.929560000000004</c:v>
                </c:pt>
                <c:pt idx="61">
                  <c:v>13.053480000000004</c:v>
                </c:pt>
                <c:pt idx="62">
                  <c:v>13.174560000000003</c:v>
                </c:pt>
                <c:pt idx="63">
                  <c:v>13.292800000000003</c:v>
                </c:pt>
                <c:pt idx="64">
                  <c:v>13.408200000000003</c:v>
                </c:pt>
                <c:pt idx="65">
                  <c:v>13.520760000000003</c:v>
                </c:pt>
                <c:pt idx="66">
                  <c:v>13.630480000000002</c:v>
                </c:pt>
                <c:pt idx="67">
                  <c:v>13.737360000000002</c:v>
                </c:pt>
                <c:pt idx="68">
                  <c:v>13.841400000000002</c:v>
                </c:pt>
                <c:pt idx="69">
                  <c:v>13.942600000000002</c:v>
                </c:pt>
                <c:pt idx="70">
                  <c:v>14.040960000000002</c:v>
                </c:pt>
                <c:pt idx="71">
                  <c:v>14.136480000000002</c:v>
                </c:pt>
                <c:pt idx="72">
                  <c:v>14.229160000000002</c:v>
                </c:pt>
                <c:pt idx="73">
                  <c:v>14.319000000000003</c:v>
                </c:pt>
                <c:pt idx="74">
                  <c:v>14.406000000000002</c:v>
                </c:pt>
                <c:pt idx="75">
                  <c:v>14.490160000000003</c:v>
                </c:pt>
                <c:pt idx="76">
                  <c:v>14.571480000000003</c:v>
                </c:pt>
                <c:pt idx="77">
                  <c:v>14.649960000000004</c:v>
                </c:pt>
                <c:pt idx="78">
                  <c:v>14.725600000000004</c:v>
                </c:pt>
                <c:pt idx="79">
                  <c:v>14.798400000000004</c:v>
                </c:pt>
                <c:pt idx="80">
                  <c:v>14.868360000000004</c:v>
                </c:pt>
                <c:pt idx="81">
                  <c:v>14.935480000000004</c:v>
                </c:pt>
                <c:pt idx="82">
                  <c:v>14.999760000000004</c:v>
                </c:pt>
                <c:pt idx="83">
                  <c:v>15.061200000000003</c:v>
                </c:pt>
                <c:pt idx="84">
                  <c:v>15.119800000000003</c:v>
                </c:pt>
                <c:pt idx="85">
                  <c:v>15.175560000000003</c:v>
                </c:pt>
                <c:pt idx="86">
                  <c:v>15.228480000000003</c:v>
                </c:pt>
                <c:pt idx="87">
                  <c:v>15.278560000000002</c:v>
                </c:pt>
                <c:pt idx="88">
                  <c:v>15.325800000000003</c:v>
                </c:pt>
                <c:pt idx="89">
                  <c:v>15.410200000000003</c:v>
                </c:pt>
                <c:pt idx="90">
                  <c:v>15.491760000000003</c:v>
                </c:pt>
                <c:pt idx="91">
                  <c:v>15.570480000000003</c:v>
                </c:pt>
                <c:pt idx="92">
                  <c:v>15.646360000000003</c:v>
                </c:pt>
                <c:pt idx="93">
                  <c:v>15.719400000000004</c:v>
                </c:pt>
                <c:pt idx="94">
                  <c:v>15.789600000000004</c:v>
                </c:pt>
                <c:pt idx="95">
                  <c:v>15.856960000000004</c:v>
                </c:pt>
                <c:pt idx="96">
                  <c:v>15.921480000000004</c:v>
                </c:pt>
                <c:pt idx="97">
                  <c:v>15.983160000000005</c:v>
                </c:pt>
                <c:pt idx="98">
                  <c:v>16.042000000000005</c:v>
                </c:pt>
                <c:pt idx="99">
                  <c:v>16.098000000000006</c:v>
                </c:pt>
                <c:pt idx="100">
                  <c:v>16.151160000000004</c:v>
                </c:pt>
                <c:pt idx="101">
                  <c:v>16.201480000000004</c:v>
                </c:pt>
                <c:pt idx="102">
                  <c:v>16.248960000000004</c:v>
                </c:pt>
                <c:pt idx="103">
                  <c:v>16.293600000000005</c:v>
                </c:pt>
                <c:pt idx="104">
                  <c:v>16.335400000000003</c:v>
                </c:pt>
                <c:pt idx="105">
                  <c:v>16.374360000000003</c:v>
                </c:pt>
                <c:pt idx="106">
                  <c:v>16.410480000000003</c:v>
                </c:pt>
                <c:pt idx="107">
                  <c:v>16.443760000000005</c:v>
                </c:pt>
                <c:pt idx="108">
                  <c:v>16.474200000000003</c:v>
                </c:pt>
                <c:pt idx="109">
                  <c:v>16.501800000000003</c:v>
                </c:pt>
                <c:pt idx="110">
                  <c:v>16.526560000000003</c:v>
                </c:pt>
                <c:pt idx="111">
                  <c:v>16.548480000000005</c:v>
                </c:pt>
                <c:pt idx="112">
                  <c:v>16.567560000000004</c:v>
                </c:pt>
                <c:pt idx="113">
                  <c:v>16.583800000000004</c:v>
                </c:pt>
                <c:pt idx="114">
                  <c:v>16.597200000000004</c:v>
                </c:pt>
                <c:pt idx="115">
                  <c:v>16.607760000000006</c:v>
                </c:pt>
                <c:pt idx="116">
                  <c:v>16.615480000000005</c:v>
                </c:pt>
                <c:pt idx="117">
                  <c:v>16.620360000000005</c:v>
                </c:pt>
                <c:pt idx="118">
                  <c:v>16.622400000000006</c:v>
                </c:pt>
                <c:pt idx="119">
                  <c:v>16.621600000000004</c:v>
                </c:pt>
                <c:pt idx="120">
                  <c:v>16.617960000000004</c:v>
                </c:pt>
                <c:pt idx="121">
                  <c:v>16.611480000000004</c:v>
                </c:pt>
                <c:pt idx="122">
                  <c:v>16.602160000000005</c:v>
                </c:pt>
                <c:pt idx="123">
                  <c:v>16.590000000000003</c:v>
                </c:pt>
                <c:pt idx="124">
                  <c:v>16.575000000000003</c:v>
                </c:pt>
                <c:pt idx="125">
                  <c:v>16.557160000000003</c:v>
                </c:pt>
                <c:pt idx="126">
                  <c:v>16.536480000000005</c:v>
                </c:pt>
                <c:pt idx="127">
                  <c:v>16.512960000000003</c:v>
                </c:pt>
                <c:pt idx="128">
                  <c:v>16.486600000000003</c:v>
                </c:pt>
                <c:pt idx="129">
                  <c:v>16.457400000000003</c:v>
                </c:pt>
                <c:pt idx="130">
                  <c:v>16.425360000000005</c:v>
                </c:pt>
                <c:pt idx="131">
                  <c:v>16.390480000000004</c:v>
                </c:pt>
                <c:pt idx="132">
                  <c:v>16.352760000000004</c:v>
                </c:pt>
                <c:pt idx="133">
                  <c:v>16.312200000000004</c:v>
                </c:pt>
                <c:pt idx="134">
                  <c:v>16.268800000000006</c:v>
                </c:pt>
                <c:pt idx="135">
                  <c:v>16.222560000000005</c:v>
                </c:pt>
                <c:pt idx="136">
                  <c:v>16.173480000000005</c:v>
                </c:pt>
                <c:pt idx="137">
                  <c:v>16.121560000000006</c:v>
                </c:pt>
                <c:pt idx="138">
                  <c:v>16.066800000000004</c:v>
                </c:pt>
                <c:pt idx="139">
                  <c:v>16.009200000000003</c:v>
                </c:pt>
                <c:pt idx="140">
                  <c:v>15.948760000000004</c:v>
                </c:pt>
                <c:pt idx="141">
                  <c:v>15.885480000000003</c:v>
                </c:pt>
                <c:pt idx="142">
                  <c:v>15.819360000000003</c:v>
                </c:pt>
                <c:pt idx="143">
                  <c:v>15.750400000000003</c:v>
                </c:pt>
                <c:pt idx="144">
                  <c:v>15.678600000000003</c:v>
                </c:pt>
                <c:pt idx="145">
                  <c:v>15.603960000000002</c:v>
                </c:pt>
                <c:pt idx="146">
                  <c:v>15.526480000000003</c:v>
                </c:pt>
                <c:pt idx="147">
                  <c:v>15.446160000000003</c:v>
                </c:pt>
                <c:pt idx="148">
                  <c:v>15.363000000000003</c:v>
                </c:pt>
                <c:pt idx="149">
                  <c:v>15.277000000000003</c:v>
                </c:pt>
                <c:pt idx="150">
                  <c:v>15.188160000000003</c:v>
                </c:pt>
                <c:pt idx="151">
                  <c:v>15.096480000000003</c:v>
                </c:pt>
                <c:pt idx="152">
                  <c:v>15.001960000000004</c:v>
                </c:pt>
                <c:pt idx="153">
                  <c:v>14.904600000000004</c:v>
                </c:pt>
                <c:pt idx="154">
                  <c:v>14.804400000000005</c:v>
                </c:pt>
                <c:pt idx="155">
                  <c:v>14.701360000000005</c:v>
                </c:pt>
                <c:pt idx="156">
                  <c:v>14.595480000000006</c:v>
                </c:pt>
                <c:pt idx="157">
                  <c:v>14.486760000000006</c:v>
                </c:pt>
                <c:pt idx="158">
                  <c:v>14.375200000000005</c:v>
                </c:pt>
                <c:pt idx="159">
                  <c:v>14.260800000000005</c:v>
                </c:pt>
                <c:pt idx="160">
                  <c:v>14.143560000000004</c:v>
                </c:pt>
                <c:pt idx="161">
                  <c:v>14.023480000000005</c:v>
                </c:pt>
                <c:pt idx="162">
                  <c:v>13.900560000000004</c:v>
                </c:pt>
                <c:pt idx="163">
                  <c:v>13.774800000000004</c:v>
                </c:pt>
                <c:pt idx="164">
                  <c:v>13.646200000000004</c:v>
                </c:pt>
                <c:pt idx="165">
                  <c:v>13.514760000000004</c:v>
                </c:pt>
                <c:pt idx="166">
                  <c:v>13.380480000000004</c:v>
                </c:pt>
                <c:pt idx="167">
                  <c:v>13.243360000000004</c:v>
                </c:pt>
                <c:pt idx="168">
                  <c:v>13.103400000000004</c:v>
                </c:pt>
                <c:pt idx="169">
                  <c:v>12.960600000000005</c:v>
                </c:pt>
                <c:pt idx="170">
                  <c:v>12.814960000000005</c:v>
                </c:pt>
                <c:pt idx="171">
                  <c:v>12.666480000000005</c:v>
                </c:pt>
                <c:pt idx="172">
                  <c:v>12.515160000000005</c:v>
                </c:pt>
                <c:pt idx="173">
                  <c:v>12.361000000000006</c:v>
                </c:pt>
                <c:pt idx="174">
                  <c:v>12.204000000000006</c:v>
                </c:pt>
                <c:pt idx="175">
                  <c:v>12.044160000000007</c:v>
                </c:pt>
                <c:pt idx="176">
                  <c:v>11.881480000000007</c:v>
                </c:pt>
                <c:pt idx="177">
                  <c:v>11.715960000000006</c:v>
                </c:pt>
                <c:pt idx="178">
                  <c:v>11.547600000000006</c:v>
                </c:pt>
                <c:pt idx="179">
                  <c:v>11.376400000000006</c:v>
                </c:pt>
                <c:pt idx="180">
                  <c:v>11.202360000000006</c:v>
                </c:pt>
                <c:pt idx="181">
                  <c:v>11.025480000000005</c:v>
                </c:pt>
                <c:pt idx="182">
                  <c:v>10.845760000000006</c:v>
                </c:pt>
                <c:pt idx="183">
                  <c:v>10.663200000000005</c:v>
                </c:pt>
                <c:pt idx="184">
                  <c:v>10.477800000000006</c:v>
                </c:pt>
                <c:pt idx="185">
                  <c:v>10.289560000000005</c:v>
                </c:pt>
                <c:pt idx="186">
                  <c:v>10.098480000000006</c:v>
                </c:pt>
                <c:pt idx="187">
                  <c:v>9.9045600000000054</c:v>
                </c:pt>
                <c:pt idx="188">
                  <c:v>9.707800000000006</c:v>
                </c:pt>
                <c:pt idx="189">
                  <c:v>9.5082000000000058</c:v>
                </c:pt>
                <c:pt idx="190">
                  <c:v>9.3057600000000065</c:v>
                </c:pt>
                <c:pt idx="191">
                  <c:v>9.1004800000000063</c:v>
                </c:pt>
                <c:pt idx="192">
                  <c:v>8.8923600000000071</c:v>
                </c:pt>
                <c:pt idx="193">
                  <c:v>8.6814000000000071</c:v>
                </c:pt>
                <c:pt idx="194">
                  <c:v>8.467600000000008</c:v>
                </c:pt>
                <c:pt idx="195">
                  <c:v>8.2509600000000081</c:v>
                </c:pt>
                <c:pt idx="196">
                  <c:v>8.0314800000000073</c:v>
                </c:pt>
                <c:pt idx="197">
                  <c:v>7.8091600000000074</c:v>
                </c:pt>
                <c:pt idx="198">
                  <c:v>7.5840000000000076</c:v>
                </c:pt>
                <c:pt idx="199">
                  <c:v>7.3560000000000079</c:v>
                </c:pt>
              </c:numCache>
            </c:numRef>
          </c:yVal>
          <c:smooth val="0"/>
          <c:extLst>
            <c:ext xmlns:c16="http://schemas.microsoft.com/office/drawing/2014/chart" uri="{C3380CC4-5D6E-409C-BE32-E72D297353CC}">
              <c16:uniqueId val="{00000001-2E58-4891-9207-2E73630CA96D}"/>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S_100_90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445090089896081"/>
                  <c:y val="-0.4694271899326999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cumulative_LWG!$H$92:$H$201</c:f>
              <c:numCache>
                <c:formatCode>0.000</c:formatCode>
                <c:ptCount val="110"/>
                <c:pt idx="0">
                  <c:v>15.410200000000003</c:v>
                </c:pt>
                <c:pt idx="1">
                  <c:v>15.491760000000003</c:v>
                </c:pt>
                <c:pt idx="2">
                  <c:v>15.570480000000003</c:v>
                </c:pt>
                <c:pt idx="3">
                  <c:v>15.646360000000003</c:v>
                </c:pt>
                <c:pt idx="4">
                  <c:v>15.719400000000004</c:v>
                </c:pt>
                <c:pt idx="5">
                  <c:v>15.789600000000004</c:v>
                </c:pt>
                <c:pt idx="6">
                  <c:v>15.856960000000004</c:v>
                </c:pt>
                <c:pt idx="7">
                  <c:v>15.921480000000004</c:v>
                </c:pt>
                <c:pt idx="8">
                  <c:v>15.983160000000005</c:v>
                </c:pt>
                <c:pt idx="9">
                  <c:v>16.042000000000005</c:v>
                </c:pt>
                <c:pt idx="10">
                  <c:v>16.098000000000006</c:v>
                </c:pt>
                <c:pt idx="11">
                  <c:v>16.151160000000004</c:v>
                </c:pt>
                <c:pt idx="12">
                  <c:v>16.201480000000004</c:v>
                </c:pt>
                <c:pt idx="13">
                  <c:v>16.248960000000004</c:v>
                </c:pt>
                <c:pt idx="14">
                  <c:v>16.293600000000005</c:v>
                </c:pt>
                <c:pt idx="15">
                  <c:v>16.335400000000003</c:v>
                </c:pt>
                <c:pt idx="16">
                  <c:v>16.374360000000003</c:v>
                </c:pt>
                <c:pt idx="17">
                  <c:v>16.410480000000003</c:v>
                </c:pt>
                <c:pt idx="18">
                  <c:v>16.443760000000005</c:v>
                </c:pt>
                <c:pt idx="19">
                  <c:v>16.474200000000003</c:v>
                </c:pt>
                <c:pt idx="20">
                  <c:v>16.501800000000003</c:v>
                </c:pt>
                <c:pt idx="21">
                  <c:v>16.526560000000003</c:v>
                </c:pt>
                <c:pt idx="22">
                  <c:v>16.548480000000005</c:v>
                </c:pt>
                <c:pt idx="23">
                  <c:v>16.567560000000004</c:v>
                </c:pt>
                <c:pt idx="24">
                  <c:v>16.583800000000004</c:v>
                </c:pt>
                <c:pt idx="25">
                  <c:v>16.597200000000004</c:v>
                </c:pt>
                <c:pt idx="26">
                  <c:v>16.607760000000006</c:v>
                </c:pt>
                <c:pt idx="27">
                  <c:v>16.615480000000005</c:v>
                </c:pt>
                <c:pt idx="28">
                  <c:v>16.620360000000005</c:v>
                </c:pt>
                <c:pt idx="29">
                  <c:v>16.622400000000006</c:v>
                </c:pt>
                <c:pt idx="30">
                  <c:v>16.621600000000004</c:v>
                </c:pt>
                <c:pt idx="31">
                  <c:v>16.617960000000004</c:v>
                </c:pt>
                <c:pt idx="32">
                  <c:v>16.611480000000004</c:v>
                </c:pt>
                <c:pt idx="33">
                  <c:v>16.602160000000005</c:v>
                </c:pt>
                <c:pt idx="34">
                  <c:v>16.590000000000003</c:v>
                </c:pt>
                <c:pt idx="35">
                  <c:v>16.575000000000003</c:v>
                </c:pt>
                <c:pt idx="36">
                  <c:v>16.557160000000003</c:v>
                </c:pt>
                <c:pt idx="37">
                  <c:v>16.536480000000005</c:v>
                </c:pt>
                <c:pt idx="38">
                  <c:v>16.512960000000003</c:v>
                </c:pt>
                <c:pt idx="39">
                  <c:v>16.486600000000003</c:v>
                </c:pt>
                <c:pt idx="40">
                  <c:v>16.457400000000003</c:v>
                </c:pt>
                <c:pt idx="41">
                  <c:v>16.425360000000005</c:v>
                </c:pt>
                <c:pt idx="42">
                  <c:v>16.390480000000004</c:v>
                </c:pt>
                <c:pt idx="43">
                  <c:v>16.352760000000004</c:v>
                </c:pt>
                <c:pt idx="44">
                  <c:v>16.312200000000004</c:v>
                </c:pt>
                <c:pt idx="45">
                  <c:v>16.268800000000006</c:v>
                </c:pt>
                <c:pt idx="46">
                  <c:v>16.222560000000005</c:v>
                </c:pt>
                <c:pt idx="47">
                  <c:v>16.173480000000005</c:v>
                </c:pt>
                <c:pt idx="48">
                  <c:v>16.121560000000006</c:v>
                </c:pt>
                <c:pt idx="49">
                  <c:v>16.066800000000004</c:v>
                </c:pt>
                <c:pt idx="50">
                  <c:v>16.009200000000003</c:v>
                </c:pt>
                <c:pt idx="51">
                  <c:v>15.948760000000004</c:v>
                </c:pt>
                <c:pt idx="52">
                  <c:v>15.885480000000003</c:v>
                </c:pt>
                <c:pt idx="53">
                  <c:v>15.819360000000003</c:v>
                </c:pt>
                <c:pt idx="54">
                  <c:v>15.750400000000003</c:v>
                </c:pt>
                <c:pt idx="55">
                  <c:v>15.678600000000003</c:v>
                </c:pt>
                <c:pt idx="56">
                  <c:v>15.603960000000002</c:v>
                </c:pt>
                <c:pt idx="57">
                  <c:v>15.526480000000003</c:v>
                </c:pt>
                <c:pt idx="58">
                  <c:v>15.446160000000003</c:v>
                </c:pt>
                <c:pt idx="59">
                  <c:v>15.363000000000003</c:v>
                </c:pt>
                <c:pt idx="60">
                  <c:v>15.277000000000003</c:v>
                </c:pt>
                <c:pt idx="61">
                  <c:v>15.188160000000003</c:v>
                </c:pt>
                <c:pt idx="62">
                  <c:v>15.096480000000003</c:v>
                </c:pt>
                <c:pt idx="63">
                  <c:v>15.001960000000004</c:v>
                </c:pt>
                <c:pt idx="64">
                  <c:v>14.904600000000004</c:v>
                </c:pt>
                <c:pt idx="65">
                  <c:v>14.804400000000005</c:v>
                </c:pt>
                <c:pt idx="66">
                  <c:v>14.701360000000005</c:v>
                </c:pt>
                <c:pt idx="67">
                  <c:v>14.595480000000006</c:v>
                </c:pt>
                <c:pt idx="68">
                  <c:v>14.486760000000006</c:v>
                </c:pt>
                <c:pt idx="69">
                  <c:v>14.375200000000005</c:v>
                </c:pt>
                <c:pt idx="70">
                  <c:v>14.260800000000005</c:v>
                </c:pt>
                <c:pt idx="71">
                  <c:v>14.143560000000004</c:v>
                </c:pt>
                <c:pt idx="72">
                  <c:v>14.023480000000005</c:v>
                </c:pt>
                <c:pt idx="73">
                  <c:v>13.900560000000004</c:v>
                </c:pt>
                <c:pt idx="74">
                  <c:v>13.774800000000004</c:v>
                </c:pt>
                <c:pt idx="75">
                  <c:v>13.646200000000004</c:v>
                </c:pt>
                <c:pt idx="76">
                  <c:v>13.514760000000004</c:v>
                </c:pt>
                <c:pt idx="77">
                  <c:v>13.380480000000004</c:v>
                </c:pt>
                <c:pt idx="78">
                  <c:v>13.243360000000004</c:v>
                </c:pt>
                <c:pt idx="79">
                  <c:v>13.103400000000004</c:v>
                </c:pt>
                <c:pt idx="80">
                  <c:v>12.960600000000005</c:v>
                </c:pt>
                <c:pt idx="81">
                  <c:v>12.814960000000005</c:v>
                </c:pt>
                <c:pt idx="82">
                  <c:v>12.666480000000005</c:v>
                </c:pt>
                <c:pt idx="83">
                  <c:v>12.515160000000005</c:v>
                </c:pt>
                <c:pt idx="84">
                  <c:v>12.361000000000006</c:v>
                </c:pt>
                <c:pt idx="85">
                  <c:v>12.204000000000006</c:v>
                </c:pt>
                <c:pt idx="86">
                  <c:v>12.044160000000007</c:v>
                </c:pt>
                <c:pt idx="87">
                  <c:v>11.881480000000007</c:v>
                </c:pt>
                <c:pt idx="88">
                  <c:v>11.715960000000006</c:v>
                </c:pt>
                <c:pt idx="89">
                  <c:v>11.547600000000006</c:v>
                </c:pt>
                <c:pt idx="90">
                  <c:v>11.376400000000006</c:v>
                </c:pt>
                <c:pt idx="91">
                  <c:v>11.202360000000006</c:v>
                </c:pt>
                <c:pt idx="92">
                  <c:v>11.025480000000005</c:v>
                </c:pt>
                <c:pt idx="93">
                  <c:v>10.845760000000006</c:v>
                </c:pt>
                <c:pt idx="94">
                  <c:v>10.663200000000005</c:v>
                </c:pt>
                <c:pt idx="95">
                  <c:v>10.477800000000006</c:v>
                </c:pt>
                <c:pt idx="96">
                  <c:v>10.289560000000005</c:v>
                </c:pt>
                <c:pt idx="97">
                  <c:v>10.098480000000006</c:v>
                </c:pt>
                <c:pt idx="98">
                  <c:v>9.9045600000000054</c:v>
                </c:pt>
                <c:pt idx="99">
                  <c:v>9.707800000000006</c:v>
                </c:pt>
                <c:pt idx="100">
                  <c:v>9.5082000000000058</c:v>
                </c:pt>
                <c:pt idx="101">
                  <c:v>9.3057600000000065</c:v>
                </c:pt>
                <c:pt idx="102">
                  <c:v>9.1004800000000063</c:v>
                </c:pt>
                <c:pt idx="103">
                  <c:v>8.8923600000000071</c:v>
                </c:pt>
                <c:pt idx="104">
                  <c:v>8.6814000000000071</c:v>
                </c:pt>
                <c:pt idx="105">
                  <c:v>8.467600000000008</c:v>
                </c:pt>
                <c:pt idx="106">
                  <c:v>8.2509600000000081</c:v>
                </c:pt>
                <c:pt idx="107">
                  <c:v>8.0314800000000073</c:v>
                </c:pt>
                <c:pt idx="108">
                  <c:v>7.8091600000000074</c:v>
                </c:pt>
                <c:pt idx="109">
                  <c:v>7.5840000000000076</c:v>
                </c:pt>
              </c:numCache>
            </c:numRef>
          </c:yVal>
          <c:smooth val="0"/>
          <c:extLst>
            <c:ext xmlns:c16="http://schemas.microsoft.com/office/drawing/2014/chart" uri="{C3380CC4-5D6E-409C-BE32-E72D297353CC}">
              <c16:uniqueId val="{00000001-C304-475C-B76D-036712E79E62}"/>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55052493438321"/>
                  <c:y val="-0.494509696704578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cumulative_LWG!$A$3:$B$92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cumulative_LWG!$H$3:$H$92</c:f>
              <c:numCache>
                <c:formatCode>0.000</c:formatCode>
                <c:ptCount val="90"/>
                <c:pt idx="0">
                  <c:v>0.29716000000000004</c:v>
                </c:pt>
                <c:pt idx="1">
                  <c:v>0.59148000000000001</c:v>
                </c:pt>
                <c:pt idx="2">
                  <c:v>0.88295999999999997</c:v>
                </c:pt>
                <c:pt idx="3">
                  <c:v>1.1716</c:v>
                </c:pt>
                <c:pt idx="4">
                  <c:v>1.4574</c:v>
                </c:pt>
                <c:pt idx="5">
                  <c:v>1.7403599999999999</c:v>
                </c:pt>
                <c:pt idx="6">
                  <c:v>2.0204800000000001</c:v>
                </c:pt>
                <c:pt idx="7">
                  <c:v>2.2977600000000002</c:v>
                </c:pt>
                <c:pt idx="8">
                  <c:v>2.5722000000000005</c:v>
                </c:pt>
                <c:pt idx="9">
                  <c:v>2.8438000000000003</c:v>
                </c:pt>
                <c:pt idx="10">
                  <c:v>3.1125600000000002</c:v>
                </c:pt>
                <c:pt idx="11">
                  <c:v>3.3784800000000001</c:v>
                </c:pt>
                <c:pt idx="12">
                  <c:v>3.6415600000000001</c:v>
                </c:pt>
                <c:pt idx="13">
                  <c:v>3.9018000000000002</c:v>
                </c:pt>
                <c:pt idx="14">
                  <c:v>4.1592000000000002</c:v>
                </c:pt>
                <c:pt idx="15">
                  <c:v>4.4137599999999999</c:v>
                </c:pt>
                <c:pt idx="16">
                  <c:v>4.6654799999999996</c:v>
                </c:pt>
                <c:pt idx="17">
                  <c:v>4.9143599999999994</c:v>
                </c:pt>
                <c:pt idx="18">
                  <c:v>5.1603999999999992</c:v>
                </c:pt>
                <c:pt idx="19">
                  <c:v>5.4035999999999991</c:v>
                </c:pt>
                <c:pt idx="20">
                  <c:v>5.643959999999999</c:v>
                </c:pt>
                <c:pt idx="21">
                  <c:v>5.8814799999999989</c:v>
                </c:pt>
                <c:pt idx="22">
                  <c:v>6.1161599999999989</c:v>
                </c:pt>
                <c:pt idx="23">
                  <c:v>6.347999999999999</c:v>
                </c:pt>
                <c:pt idx="24">
                  <c:v>6.5769999999999991</c:v>
                </c:pt>
                <c:pt idx="25">
                  <c:v>6.8031599999999992</c:v>
                </c:pt>
                <c:pt idx="26">
                  <c:v>7.0264799999999994</c:v>
                </c:pt>
                <c:pt idx="27">
                  <c:v>7.2469599999999996</c:v>
                </c:pt>
                <c:pt idx="28">
                  <c:v>7.4645999999999999</c:v>
                </c:pt>
                <c:pt idx="29">
                  <c:v>7.6794000000000002</c:v>
                </c:pt>
                <c:pt idx="30">
                  <c:v>7.8913600000000006</c:v>
                </c:pt>
                <c:pt idx="31">
                  <c:v>8.100480000000001</c:v>
                </c:pt>
                <c:pt idx="32">
                  <c:v>8.3067600000000006</c:v>
                </c:pt>
                <c:pt idx="33">
                  <c:v>8.5102000000000011</c:v>
                </c:pt>
                <c:pt idx="34">
                  <c:v>8.7108000000000008</c:v>
                </c:pt>
                <c:pt idx="35">
                  <c:v>8.9085600000000014</c:v>
                </c:pt>
                <c:pt idx="36">
                  <c:v>9.1034800000000011</c:v>
                </c:pt>
                <c:pt idx="37">
                  <c:v>9.2955600000000018</c:v>
                </c:pt>
                <c:pt idx="38">
                  <c:v>9.4848000000000017</c:v>
                </c:pt>
                <c:pt idx="39">
                  <c:v>9.6712000000000025</c:v>
                </c:pt>
                <c:pt idx="40">
                  <c:v>9.8547600000000024</c:v>
                </c:pt>
                <c:pt idx="41">
                  <c:v>10.035480000000003</c:v>
                </c:pt>
                <c:pt idx="42">
                  <c:v>10.213360000000003</c:v>
                </c:pt>
                <c:pt idx="43">
                  <c:v>10.388400000000003</c:v>
                </c:pt>
                <c:pt idx="44">
                  <c:v>10.560600000000003</c:v>
                </c:pt>
                <c:pt idx="45">
                  <c:v>10.729960000000002</c:v>
                </c:pt>
                <c:pt idx="46">
                  <c:v>10.896480000000002</c:v>
                </c:pt>
                <c:pt idx="47">
                  <c:v>11.060160000000002</c:v>
                </c:pt>
                <c:pt idx="48">
                  <c:v>11.221000000000002</c:v>
                </c:pt>
                <c:pt idx="49">
                  <c:v>11.379000000000001</c:v>
                </c:pt>
                <c:pt idx="50">
                  <c:v>11.534160000000002</c:v>
                </c:pt>
                <c:pt idx="51">
                  <c:v>11.686480000000001</c:v>
                </c:pt>
                <c:pt idx="52">
                  <c:v>11.835960000000002</c:v>
                </c:pt>
                <c:pt idx="53">
                  <c:v>11.982600000000001</c:v>
                </c:pt>
                <c:pt idx="54">
                  <c:v>12.126400000000002</c:v>
                </c:pt>
                <c:pt idx="55">
                  <c:v>12.267360000000002</c:v>
                </c:pt>
                <c:pt idx="56">
                  <c:v>12.405480000000003</c:v>
                </c:pt>
                <c:pt idx="57">
                  <c:v>12.540760000000002</c:v>
                </c:pt>
                <c:pt idx="58">
                  <c:v>12.673200000000003</c:v>
                </c:pt>
                <c:pt idx="59">
                  <c:v>12.802800000000003</c:v>
                </c:pt>
                <c:pt idx="60">
                  <c:v>12.929560000000004</c:v>
                </c:pt>
                <c:pt idx="61">
                  <c:v>13.053480000000004</c:v>
                </c:pt>
                <c:pt idx="62">
                  <c:v>13.174560000000003</c:v>
                </c:pt>
                <c:pt idx="63">
                  <c:v>13.292800000000003</c:v>
                </c:pt>
                <c:pt idx="64">
                  <c:v>13.408200000000003</c:v>
                </c:pt>
                <c:pt idx="65">
                  <c:v>13.520760000000003</c:v>
                </c:pt>
                <c:pt idx="66">
                  <c:v>13.630480000000002</c:v>
                </c:pt>
                <c:pt idx="67">
                  <c:v>13.737360000000002</c:v>
                </c:pt>
                <c:pt idx="68">
                  <c:v>13.841400000000002</c:v>
                </c:pt>
                <c:pt idx="69">
                  <c:v>13.942600000000002</c:v>
                </c:pt>
                <c:pt idx="70">
                  <c:v>14.040960000000002</c:v>
                </c:pt>
                <c:pt idx="71">
                  <c:v>14.136480000000002</c:v>
                </c:pt>
                <c:pt idx="72">
                  <c:v>14.229160000000002</c:v>
                </c:pt>
                <c:pt idx="73">
                  <c:v>14.319000000000003</c:v>
                </c:pt>
                <c:pt idx="74">
                  <c:v>14.406000000000002</c:v>
                </c:pt>
                <c:pt idx="75">
                  <c:v>14.490160000000003</c:v>
                </c:pt>
                <c:pt idx="76">
                  <c:v>14.571480000000003</c:v>
                </c:pt>
                <c:pt idx="77">
                  <c:v>14.649960000000004</c:v>
                </c:pt>
                <c:pt idx="78">
                  <c:v>14.725600000000004</c:v>
                </c:pt>
                <c:pt idx="79">
                  <c:v>14.798400000000004</c:v>
                </c:pt>
                <c:pt idx="80">
                  <c:v>14.868360000000004</c:v>
                </c:pt>
                <c:pt idx="81">
                  <c:v>14.935480000000004</c:v>
                </c:pt>
                <c:pt idx="82">
                  <c:v>14.999760000000004</c:v>
                </c:pt>
                <c:pt idx="83">
                  <c:v>15.061200000000003</c:v>
                </c:pt>
                <c:pt idx="84">
                  <c:v>15.119800000000003</c:v>
                </c:pt>
                <c:pt idx="85">
                  <c:v>15.175560000000003</c:v>
                </c:pt>
                <c:pt idx="86">
                  <c:v>15.228480000000003</c:v>
                </c:pt>
                <c:pt idx="87">
                  <c:v>15.278560000000002</c:v>
                </c:pt>
                <c:pt idx="88">
                  <c:v>15.325800000000003</c:v>
                </c:pt>
                <c:pt idx="89">
                  <c:v>15.410200000000003</c:v>
                </c:pt>
              </c:numCache>
            </c:numRef>
          </c:yVal>
          <c:smooth val="0"/>
          <c:extLst>
            <c:ext xmlns:c16="http://schemas.microsoft.com/office/drawing/2014/chart" uri="{C3380CC4-5D6E-409C-BE32-E72D297353CC}">
              <c16:uniqueId val="{00000001-AF77-41B7-AA26-D032D94367D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796329994387851"/>
                  <c:y val="-0.3165093353115196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cumulative_LWG!$L$92:$L$201</c:f>
              <c:numCache>
                <c:formatCode>0.000</c:formatCode>
                <c:ptCount val="110"/>
                <c:pt idx="0">
                  <c:v>15.450200000000002</c:v>
                </c:pt>
                <c:pt idx="1">
                  <c:v>15.571760000000003</c:v>
                </c:pt>
                <c:pt idx="2">
                  <c:v>15.690480000000003</c:v>
                </c:pt>
                <c:pt idx="3">
                  <c:v>15.806360000000003</c:v>
                </c:pt>
                <c:pt idx="4">
                  <c:v>15.919400000000003</c:v>
                </c:pt>
                <c:pt idx="5">
                  <c:v>16.029600000000002</c:v>
                </c:pt>
                <c:pt idx="6">
                  <c:v>16.136960000000002</c:v>
                </c:pt>
                <c:pt idx="7">
                  <c:v>16.241480000000003</c:v>
                </c:pt>
                <c:pt idx="8">
                  <c:v>16.343160000000005</c:v>
                </c:pt>
                <c:pt idx="9">
                  <c:v>16.442000000000004</c:v>
                </c:pt>
                <c:pt idx="10">
                  <c:v>16.538000000000004</c:v>
                </c:pt>
                <c:pt idx="11">
                  <c:v>16.631160000000005</c:v>
                </c:pt>
                <c:pt idx="12">
                  <c:v>16.721480000000003</c:v>
                </c:pt>
                <c:pt idx="13">
                  <c:v>16.808960000000003</c:v>
                </c:pt>
                <c:pt idx="14">
                  <c:v>16.893600000000003</c:v>
                </c:pt>
                <c:pt idx="15">
                  <c:v>16.975400000000004</c:v>
                </c:pt>
                <c:pt idx="16">
                  <c:v>17.054360000000003</c:v>
                </c:pt>
                <c:pt idx="17">
                  <c:v>17.130480000000002</c:v>
                </c:pt>
                <c:pt idx="18">
                  <c:v>17.203760000000003</c:v>
                </c:pt>
                <c:pt idx="19">
                  <c:v>17.274200000000004</c:v>
                </c:pt>
                <c:pt idx="20">
                  <c:v>17.341800000000003</c:v>
                </c:pt>
                <c:pt idx="21">
                  <c:v>17.406560000000002</c:v>
                </c:pt>
                <c:pt idx="22">
                  <c:v>17.468480000000003</c:v>
                </c:pt>
                <c:pt idx="23">
                  <c:v>17.527560000000005</c:v>
                </c:pt>
                <c:pt idx="24">
                  <c:v>17.583800000000004</c:v>
                </c:pt>
                <c:pt idx="25">
                  <c:v>17.637200000000004</c:v>
                </c:pt>
                <c:pt idx="26">
                  <c:v>17.687760000000004</c:v>
                </c:pt>
                <c:pt idx="27">
                  <c:v>17.735480000000006</c:v>
                </c:pt>
                <c:pt idx="28">
                  <c:v>17.780360000000005</c:v>
                </c:pt>
                <c:pt idx="29">
                  <c:v>17.822400000000005</c:v>
                </c:pt>
                <c:pt idx="30">
                  <c:v>17.861600000000006</c:v>
                </c:pt>
                <c:pt idx="31">
                  <c:v>17.897960000000005</c:v>
                </c:pt>
                <c:pt idx="32">
                  <c:v>17.931480000000004</c:v>
                </c:pt>
                <c:pt idx="33">
                  <c:v>17.962160000000004</c:v>
                </c:pt>
                <c:pt idx="34">
                  <c:v>17.990000000000006</c:v>
                </c:pt>
                <c:pt idx="35">
                  <c:v>18.015000000000004</c:v>
                </c:pt>
                <c:pt idx="36">
                  <c:v>18.037160000000004</c:v>
                </c:pt>
                <c:pt idx="37">
                  <c:v>18.056480000000004</c:v>
                </c:pt>
                <c:pt idx="38">
                  <c:v>18.072960000000005</c:v>
                </c:pt>
                <c:pt idx="39">
                  <c:v>18.086600000000004</c:v>
                </c:pt>
                <c:pt idx="40">
                  <c:v>18.097400000000004</c:v>
                </c:pt>
                <c:pt idx="41">
                  <c:v>18.105360000000005</c:v>
                </c:pt>
                <c:pt idx="42">
                  <c:v>18.110480000000006</c:v>
                </c:pt>
                <c:pt idx="43">
                  <c:v>18.112760000000005</c:v>
                </c:pt>
                <c:pt idx="44">
                  <c:v>18.112200000000005</c:v>
                </c:pt>
                <c:pt idx="45">
                  <c:v>18.108800000000006</c:v>
                </c:pt>
                <c:pt idx="46">
                  <c:v>18.102560000000008</c:v>
                </c:pt>
                <c:pt idx="47">
                  <c:v>18.093480000000007</c:v>
                </c:pt>
                <c:pt idx="48">
                  <c:v>18.081560000000007</c:v>
                </c:pt>
                <c:pt idx="49">
                  <c:v>18.066800000000008</c:v>
                </c:pt>
                <c:pt idx="50">
                  <c:v>18.049200000000006</c:v>
                </c:pt>
                <c:pt idx="51">
                  <c:v>18.028760000000005</c:v>
                </c:pt>
                <c:pt idx="52">
                  <c:v>18.005480000000006</c:v>
                </c:pt>
                <c:pt idx="53">
                  <c:v>17.979360000000007</c:v>
                </c:pt>
                <c:pt idx="54">
                  <c:v>17.950400000000005</c:v>
                </c:pt>
                <c:pt idx="55">
                  <c:v>17.918600000000005</c:v>
                </c:pt>
                <c:pt idx="56">
                  <c:v>17.883960000000005</c:v>
                </c:pt>
                <c:pt idx="57">
                  <c:v>17.846480000000007</c:v>
                </c:pt>
                <c:pt idx="58">
                  <c:v>17.806160000000006</c:v>
                </c:pt>
                <c:pt idx="59">
                  <c:v>17.763000000000005</c:v>
                </c:pt>
                <c:pt idx="60">
                  <c:v>17.717000000000006</c:v>
                </c:pt>
                <c:pt idx="61">
                  <c:v>17.668160000000007</c:v>
                </c:pt>
                <c:pt idx="62">
                  <c:v>17.616480000000006</c:v>
                </c:pt>
                <c:pt idx="63">
                  <c:v>17.561960000000006</c:v>
                </c:pt>
                <c:pt idx="64">
                  <c:v>17.504600000000007</c:v>
                </c:pt>
                <c:pt idx="65">
                  <c:v>17.444400000000009</c:v>
                </c:pt>
                <c:pt idx="66">
                  <c:v>17.381360000000008</c:v>
                </c:pt>
                <c:pt idx="67">
                  <c:v>17.315480000000008</c:v>
                </c:pt>
                <c:pt idx="68">
                  <c:v>17.246760000000009</c:v>
                </c:pt>
                <c:pt idx="69">
                  <c:v>17.175200000000007</c:v>
                </c:pt>
                <c:pt idx="70">
                  <c:v>17.100800000000007</c:v>
                </c:pt>
                <c:pt idx="71">
                  <c:v>17.023560000000007</c:v>
                </c:pt>
                <c:pt idx="72">
                  <c:v>16.943480000000008</c:v>
                </c:pt>
                <c:pt idx="73">
                  <c:v>16.860560000000007</c:v>
                </c:pt>
                <c:pt idx="74">
                  <c:v>16.774800000000006</c:v>
                </c:pt>
                <c:pt idx="75">
                  <c:v>16.686200000000007</c:v>
                </c:pt>
                <c:pt idx="76">
                  <c:v>16.594760000000008</c:v>
                </c:pt>
                <c:pt idx="77">
                  <c:v>16.500480000000007</c:v>
                </c:pt>
                <c:pt idx="78">
                  <c:v>16.403360000000006</c:v>
                </c:pt>
                <c:pt idx="79">
                  <c:v>16.303400000000007</c:v>
                </c:pt>
                <c:pt idx="80">
                  <c:v>16.200600000000009</c:v>
                </c:pt>
                <c:pt idx="81">
                  <c:v>16.094960000000007</c:v>
                </c:pt>
                <c:pt idx="82">
                  <c:v>15.986480000000007</c:v>
                </c:pt>
                <c:pt idx="83">
                  <c:v>15.875160000000008</c:v>
                </c:pt>
                <c:pt idx="84">
                  <c:v>15.761000000000008</c:v>
                </c:pt>
                <c:pt idx="85">
                  <c:v>15.644000000000007</c:v>
                </c:pt>
                <c:pt idx="86">
                  <c:v>15.524160000000007</c:v>
                </c:pt>
                <c:pt idx="87">
                  <c:v>15.401480000000006</c:v>
                </c:pt>
                <c:pt idx="88">
                  <c:v>15.275960000000007</c:v>
                </c:pt>
                <c:pt idx="89">
                  <c:v>15.147600000000006</c:v>
                </c:pt>
                <c:pt idx="90">
                  <c:v>15.016400000000006</c:v>
                </c:pt>
                <c:pt idx="91">
                  <c:v>14.882360000000006</c:v>
                </c:pt>
                <c:pt idx="92">
                  <c:v>14.745480000000006</c:v>
                </c:pt>
                <c:pt idx="93">
                  <c:v>14.605760000000005</c:v>
                </c:pt>
                <c:pt idx="94">
                  <c:v>14.463200000000006</c:v>
                </c:pt>
                <c:pt idx="95">
                  <c:v>14.317800000000005</c:v>
                </c:pt>
                <c:pt idx="96">
                  <c:v>14.169560000000006</c:v>
                </c:pt>
                <c:pt idx="97">
                  <c:v>14.018480000000006</c:v>
                </c:pt>
                <c:pt idx="98">
                  <c:v>13.864560000000006</c:v>
                </c:pt>
                <c:pt idx="99">
                  <c:v>13.707800000000006</c:v>
                </c:pt>
                <c:pt idx="100">
                  <c:v>13.548200000000007</c:v>
                </c:pt>
                <c:pt idx="101">
                  <c:v>13.385760000000007</c:v>
                </c:pt>
                <c:pt idx="102">
                  <c:v>13.220480000000007</c:v>
                </c:pt>
                <c:pt idx="103">
                  <c:v>13.052360000000007</c:v>
                </c:pt>
                <c:pt idx="104">
                  <c:v>12.881400000000008</c:v>
                </c:pt>
                <c:pt idx="105">
                  <c:v>12.707600000000008</c:v>
                </c:pt>
                <c:pt idx="106">
                  <c:v>12.530960000000007</c:v>
                </c:pt>
                <c:pt idx="107">
                  <c:v>12.351480000000008</c:v>
                </c:pt>
                <c:pt idx="108">
                  <c:v>12.169160000000007</c:v>
                </c:pt>
                <c:pt idx="109">
                  <c:v>11.984000000000007</c:v>
                </c:pt>
              </c:numCache>
            </c:numRef>
          </c:yVal>
          <c:smooth val="0"/>
          <c:extLst>
            <c:ext xmlns:c16="http://schemas.microsoft.com/office/drawing/2014/chart" uri="{C3380CC4-5D6E-409C-BE32-E72D297353CC}">
              <c16:uniqueId val="{00000001-90E9-4416-A751-350F14309A8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195574905188688"/>
          <c:y val="0.1865607264472190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669620131176907"/>
                  <c:y val="-0.3083704094309437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cumulative_LWG!$M$92:$M$201</c:f>
              <c:numCache>
                <c:formatCode>0.000</c:formatCode>
                <c:ptCount val="110"/>
                <c:pt idx="0">
                  <c:v>15.490200000000003</c:v>
                </c:pt>
                <c:pt idx="1">
                  <c:v>15.651760000000003</c:v>
                </c:pt>
                <c:pt idx="2">
                  <c:v>15.810480000000004</c:v>
                </c:pt>
                <c:pt idx="3">
                  <c:v>15.966360000000003</c:v>
                </c:pt>
                <c:pt idx="4">
                  <c:v>16.119400000000002</c:v>
                </c:pt>
                <c:pt idx="5">
                  <c:v>16.269600000000004</c:v>
                </c:pt>
                <c:pt idx="6">
                  <c:v>16.416960000000003</c:v>
                </c:pt>
                <c:pt idx="7">
                  <c:v>16.561480000000003</c:v>
                </c:pt>
                <c:pt idx="8">
                  <c:v>16.703160000000004</c:v>
                </c:pt>
                <c:pt idx="9">
                  <c:v>16.842000000000002</c:v>
                </c:pt>
                <c:pt idx="10">
                  <c:v>16.978000000000002</c:v>
                </c:pt>
                <c:pt idx="11">
                  <c:v>17.111160000000002</c:v>
                </c:pt>
                <c:pt idx="12">
                  <c:v>17.241480000000003</c:v>
                </c:pt>
                <c:pt idx="13">
                  <c:v>17.368960000000001</c:v>
                </c:pt>
                <c:pt idx="14">
                  <c:v>17.493600000000001</c:v>
                </c:pt>
                <c:pt idx="15">
                  <c:v>17.615400000000001</c:v>
                </c:pt>
                <c:pt idx="16">
                  <c:v>17.734360000000002</c:v>
                </c:pt>
                <c:pt idx="17">
                  <c:v>17.850480000000001</c:v>
                </c:pt>
                <c:pt idx="18">
                  <c:v>17.963760000000001</c:v>
                </c:pt>
                <c:pt idx="19">
                  <c:v>18.074200000000001</c:v>
                </c:pt>
                <c:pt idx="20">
                  <c:v>18.181800000000003</c:v>
                </c:pt>
                <c:pt idx="21">
                  <c:v>18.286560000000001</c:v>
                </c:pt>
                <c:pt idx="22">
                  <c:v>18.388480000000001</c:v>
                </c:pt>
                <c:pt idx="23">
                  <c:v>18.487560000000002</c:v>
                </c:pt>
                <c:pt idx="24">
                  <c:v>18.583800000000004</c:v>
                </c:pt>
                <c:pt idx="25">
                  <c:v>18.677200000000003</c:v>
                </c:pt>
                <c:pt idx="26">
                  <c:v>18.767760000000003</c:v>
                </c:pt>
                <c:pt idx="27">
                  <c:v>18.855480000000004</c:v>
                </c:pt>
                <c:pt idx="28">
                  <c:v>18.940360000000002</c:v>
                </c:pt>
                <c:pt idx="29">
                  <c:v>19.022400000000001</c:v>
                </c:pt>
                <c:pt idx="30">
                  <c:v>19.101600000000001</c:v>
                </c:pt>
                <c:pt idx="31">
                  <c:v>19.177960000000002</c:v>
                </c:pt>
                <c:pt idx="32">
                  <c:v>19.251480000000001</c:v>
                </c:pt>
                <c:pt idx="33">
                  <c:v>19.32216</c:v>
                </c:pt>
                <c:pt idx="34">
                  <c:v>19.39</c:v>
                </c:pt>
                <c:pt idx="35">
                  <c:v>19.455000000000002</c:v>
                </c:pt>
                <c:pt idx="36">
                  <c:v>19.517160000000001</c:v>
                </c:pt>
                <c:pt idx="37">
                  <c:v>19.57648</c:v>
                </c:pt>
                <c:pt idx="38">
                  <c:v>19.632960000000001</c:v>
                </c:pt>
                <c:pt idx="39">
                  <c:v>19.686600000000002</c:v>
                </c:pt>
                <c:pt idx="40">
                  <c:v>19.737400000000001</c:v>
                </c:pt>
                <c:pt idx="41">
                  <c:v>19.785360000000001</c:v>
                </c:pt>
                <c:pt idx="42">
                  <c:v>19.830480000000001</c:v>
                </c:pt>
                <c:pt idx="43">
                  <c:v>19.872760000000003</c:v>
                </c:pt>
                <c:pt idx="44">
                  <c:v>19.912200000000002</c:v>
                </c:pt>
                <c:pt idx="45">
                  <c:v>19.948800000000002</c:v>
                </c:pt>
                <c:pt idx="46">
                  <c:v>19.982560000000003</c:v>
                </c:pt>
                <c:pt idx="47">
                  <c:v>20.013480000000001</c:v>
                </c:pt>
                <c:pt idx="48">
                  <c:v>20.04156</c:v>
                </c:pt>
                <c:pt idx="49">
                  <c:v>20.066800000000001</c:v>
                </c:pt>
                <c:pt idx="50">
                  <c:v>20.089200000000002</c:v>
                </c:pt>
                <c:pt idx="51">
                  <c:v>20.10876</c:v>
                </c:pt>
                <c:pt idx="52">
                  <c:v>20.12548</c:v>
                </c:pt>
                <c:pt idx="53">
                  <c:v>20.13936</c:v>
                </c:pt>
                <c:pt idx="54">
                  <c:v>20.150400000000001</c:v>
                </c:pt>
                <c:pt idx="55">
                  <c:v>20.1586</c:v>
                </c:pt>
                <c:pt idx="56">
                  <c:v>20.163959999999999</c:v>
                </c:pt>
                <c:pt idx="57">
                  <c:v>20.16648</c:v>
                </c:pt>
                <c:pt idx="58">
                  <c:v>20.166160000000001</c:v>
                </c:pt>
                <c:pt idx="59">
                  <c:v>20.163</c:v>
                </c:pt>
                <c:pt idx="60">
                  <c:v>20.157</c:v>
                </c:pt>
                <c:pt idx="61">
                  <c:v>20.148160000000001</c:v>
                </c:pt>
                <c:pt idx="62">
                  <c:v>20.136480000000002</c:v>
                </c:pt>
                <c:pt idx="63">
                  <c:v>20.121960000000001</c:v>
                </c:pt>
                <c:pt idx="64">
                  <c:v>20.104600000000001</c:v>
                </c:pt>
                <c:pt idx="65">
                  <c:v>20.084400000000002</c:v>
                </c:pt>
                <c:pt idx="66">
                  <c:v>20.061360000000001</c:v>
                </c:pt>
                <c:pt idx="67">
                  <c:v>20.03548</c:v>
                </c:pt>
                <c:pt idx="68">
                  <c:v>20.00676</c:v>
                </c:pt>
                <c:pt idx="69">
                  <c:v>19.975200000000001</c:v>
                </c:pt>
                <c:pt idx="70">
                  <c:v>19.940799999999999</c:v>
                </c:pt>
                <c:pt idx="71">
                  <c:v>19.903559999999999</c:v>
                </c:pt>
                <c:pt idx="72">
                  <c:v>19.863479999999999</c:v>
                </c:pt>
                <c:pt idx="73">
                  <c:v>19.82056</c:v>
                </c:pt>
                <c:pt idx="74">
                  <c:v>19.774799999999999</c:v>
                </c:pt>
                <c:pt idx="75">
                  <c:v>19.726199999999999</c:v>
                </c:pt>
                <c:pt idx="76">
                  <c:v>19.674759999999999</c:v>
                </c:pt>
                <c:pt idx="77">
                  <c:v>19.620480000000001</c:v>
                </c:pt>
                <c:pt idx="78">
                  <c:v>19.563359999999999</c:v>
                </c:pt>
                <c:pt idx="79">
                  <c:v>19.503399999999999</c:v>
                </c:pt>
                <c:pt idx="80">
                  <c:v>19.4406</c:v>
                </c:pt>
                <c:pt idx="81">
                  <c:v>19.374960000000002</c:v>
                </c:pt>
                <c:pt idx="82">
                  <c:v>19.306480000000001</c:v>
                </c:pt>
                <c:pt idx="83">
                  <c:v>19.23516</c:v>
                </c:pt>
                <c:pt idx="84">
                  <c:v>19.161000000000001</c:v>
                </c:pt>
                <c:pt idx="85">
                  <c:v>19.084</c:v>
                </c:pt>
                <c:pt idx="86">
                  <c:v>19.004159999999999</c:v>
                </c:pt>
                <c:pt idx="87">
                  <c:v>18.921479999999999</c:v>
                </c:pt>
                <c:pt idx="88">
                  <c:v>18.83596</c:v>
                </c:pt>
                <c:pt idx="89">
                  <c:v>18.747599999999998</c:v>
                </c:pt>
                <c:pt idx="90">
                  <c:v>18.656399999999998</c:v>
                </c:pt>
                <c:pt idx="91">
                  <c:v>18.562359999999998</c:v>
                </c:pt>
                <c:pt idx="92">
                  <c:v>18.465479999999999</c:v>
                </c:pt>
                <c:pt idx="93">
                  <c:v>18.365759999999998</c:v>
                </c:pt>
                <c:pt idx="94">
                  <c:v>18.263199999999998</c:v>
                </c:pt>
                <c:pt idx="95">
                  <c:v>18.157799999999998</c:v>
                </c:pt>
                <c:pt idx="96">
                  <c:v>18.04956</c:v>
                </c:pt>
                <c:pt idx="97">
                  <c:v>17.938479999999998</c:v>
                </c:pt>
                <c:pt idx="98">
                  <c:v>17.824559999999998</c:v>
                </c:pt>
                <c:pt idx="99">
                  <c:v>17.707799999999999</c:v>
                </c:pt>
                <c:pt idx="100">
                  <c:v>17.588200000000001</c:v>
                </c:pt>
                <c:pt idx="101">
                  <c:v>17.46576</c:v>
                </c:pt>
                <c:pt idx="102">
                  <c:v>17.340479999999999</c:v>
                </c:pt>
                <c:pt idx="103">
                  <c:v>17.21236</c:v>
                </c:pt>
                <c:pt idx="104">
                  <c:v>17.081400000000002</c:v>
                </c:pt>
                <c:pt idx="105">
                  <c:v>16.947600000000001</c:v>
                </c:pt>
                <c:pt idx="106">
                  <c:v>16.810960000000001</c:v>
                </c:pt>
                <c:pt idx="107">
                  <c:v>16.671480000000003</c:v>
                </c:pt>
                <c:pt idx="108">
                  <c:v>16.529160000000001</c:v>
                </c:pt>
                <c:pt idx="109">
                  <c:v>16.384</c:v>
                </c:pt>
              </c:numCache>
            </c:numRef>
          </c:yVal>
          <c:smooth val="0"/>
          <c:extLst>
            <c:ext xmlns:c16="http://schemas.microsoft.com/office/drawing/2014/chart" uri="{C3380CC4-5D6E-409C-BE32-E72D297353CC}">
              <c16:uniqueId val="{00000001-EAB6-4A39-AE04-8EF2493D13C3}"/>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534046947564761"/>
          <c:y val="2.4937660317999408E-2"/>
          <c:w val="0.7195695763116341"/>
          <c:h val="0.7126218416795516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878718145475219"/>
                  <c:y val="-0.573033507020476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cumulative_LWG!$S$92:$S$201</c:f>
              <c:numCache>
                <c:formatCode>0.000</c:formatCode>
                <c:ptCount val="110"/>
                <c:pt idx="0">
                  <c:v>11.684699999999998</c:v>
                </c:pt>
                <c:pt idx="1">
                  <c:v>11.684359999999998</c:v>
                </c:pt>
                <c:pt idx="2">
                  <c:v>11.680279999999998</c:v>
                </c:pt>
                <c:pt idx="3">
                  <c:v>11.672459999999997</c:v>
                </c:pt>
                <c:pt idx="4">
                  <c:v>11.660899999999998</c:v>
                </c:pt>
                <c:pt idx="5">
                  <c:v>11.645599999999998</c:v>
                </c:pt>
                <c:pt idx="6">
                  <c:v>11.626559999999998</c:v>
                </c:pt>
                <c:pt idx="7">
                  <c:v>11.603779999999997</c:v>
                </c:pt>
                <c:pt idx="8">
                  <c:v>11.577259999999997</c:v>
                </c:pt>
                <c:pt idx="9">
                  <c:v>11.546999999999997</c:v>
                </c:pt>
                <c:pt idx="10">
                  <c:v>11.512999999999996</c:v>
                </c:pt>
                <c:pt idx="11">
                  <c:v>11.475259999999997</c:v>
                </c:pt>
                <c:pt idx="12">
                  <c:v>11.433779999999997</c:v>
                </c:pt>
                <c:pt idx="13">
                  <c:v>11.388559999999996</c:v>
                </c:pt>
                <c:pt idx="14">
                  <c:v>11.339599999999997</c:v>
                </c:pt>
                <c:pt idx="15">
                  <c:v>11.286899999999997</c:v>
                </c:pt>
                <c:pt idx="16">
                  <c:v>11.230459999999997</c:v>
                </c:pt>
                <c:pt idx="17">
                  <c:v>11.170279999999996</c:v>
                </c:pt>
                <c:pt idx="18">
                  <c:v>11.106359999999997</c:v>
                </c:pt>
                <c:pt idx="19">
                  <c:v>11.038699999999997</c:v>
                </c:pt>
                <c:pt idx="20">
                  <c:v>10.967299999999996</c:v>
                </c:pt>
                <c:pt idx="21">
                  <c:v>10.892159999999997</c:v>
                </c:pt>
                <c:pt idx="22">
                  <c:v>10.813279999999997</c:v>
                </c:pt>
                <c:pt idx="23">
                  <c:v>10.730659999999997</c:v>
                </c:pt>
                <c:pt idx="24">
                  <c:v>10.644299999999998</c:v>
                </c:pt>
                <c:pt idx="25">
                  <c:v>10.554199999999998</c:v>
                </c:pt>
                <c:pt idx="26">
                  <c:v>10.460359999999998</c:v>
                </c:pt>
                <c:pt idx="27">
                  <c:v>10.362779999999997</c:v>
                </c:pt>
                <c:pt idx="28">
                  <c:v>10.261459999999998</c:v>
                </c:pt>
                <c:pt idx="29">
                  <c:v>10.156399999999998</c:v>
                </c:pt>
                <c:pt idx="30">
                  <c:v>10.047599999999997</c:v>
                </c:pt>
                <c:pt idx="31">
                  <c:v>9.9350599999999982</c:v>
                </c:pt>
                <c:pt idx="32">
                  <c:v>9.8187799999999985</c:v>
                </c:pt>
                <c:pt idx="33">
                  <c:v>9.6987599999999983</c:v>
                </c:pt>
                <c:pt idx="34">
                  <c:v>9.5749999999999975</c:v>
                </c:pt>
                <c:pt idx="35">
                  <c:v>9.447499999999998</c:v>
                </c:pt>
                <c:pt idx="36">
                  <c:v>9.316259999999998</c:v>
                </c:pt>
                <c:pt idx="37">
                  <c:v>9.1812799999999974</c:v>
                </c:pt>
                <c:pt idx="38">
                  <c:v>9.0425599999999982</c:v>
                </c:pt>
                <c:pt idx="39">
                  <c:v>8.9000999999999983</c:v>
                </c:pt>
                <c:pt idx="40">
                  <c:v>8.753899999999998</c:v>
                </c:pt>
                <c:pt idx="41">
                  <c:v>8.6039599999999972</c:v>
                </c:pt>
                <c:pt idx="42">
                  <c:v>8.4502799999999976</c:v>
                </c:pt>
                <c:pt idx="43">
                  <c:v>8.2928599999999975</c:v>
                </c:pt>
                <c:pt idx="44">
                  <c:v>8.1316999999999968</c:v>
                </c:pt>
                <c:pt idx="45">
                  <c:v>7.9667999999999966</c:v>
                </c:pt>
                <c:pt idx="46">
                  <c:v>7.7981599999999966</c:v>
                </c:pt>
                <c:pt idx="47">
                  <c:v>7.6257799999999971</c:v>
                </c:pt>
                <c:pt idx="48">
                  <c:v>7.4496599999999971</c:v>
                </c:pt>
                <c:pt idx="49">
                  <c:v>7.2697999999999974</c:v>
                </c:pt>
                <c:pt idx="50">
                  <c:v>7.0861999999999972</c:v>
                </c:pt>
                <c:pt idx="51">
                  <c:v>6.8988599999999973</c:v>
                </c:pt>
                <c:pt idx="52">
                  <c:v>6.707779999999997</c:v>
                </c:pt>
                <c:pt idx="53">
                  <c:v>6.512959999999997</c:v>
                </c:pt>
                <c:pt idx="54">
                  <c:v>6.3143999999999973</c:v>
                </c:pt>
                <c:pt idx="55">
                  <c:v>6.1120999999999972</c:v>
                </c:pt>
                <c:pt idx="56">
                  <c:v>5.9060599999999974</c:v>
                </c:pt>
                <c:pt idx="57">
                  <c:v>5.6962799999999971</c:v>
                </c:pt>
                <c:pt idx="58">
                  <c:v>5.4827599999999972</c:v>
                </c:pt>
                <c:pt idx="59">
                  <c:v>5.2654999999999976</c:v>
                </c:pt>
                <c:pt idx="60">
                  <c:v>5.0444999999999975</c:v>
                </c:pt>
                <c:pt idx="61">
                  <c:v>4.8197599999999978</c:v>
                </c:pt>
                <c:pt idx="62">
                  <c:v>4.5912799999999976</c:v>
                </c:pt>
                <c:pt idx="63">
                  <c:v>4.3590599999999977</c:v>
                </c:pt>
                <c:pt idx="64">
                  <c:v>4.1230999999999973</c:v>
                </c:pt>
                <c:pt idx="65">
                  <c:v>3.8833999999999973</c:v>
                </c:pt>
                <c:pt idx="66">
                  <c:v>3.6399599999999972</c:v>
                </c:pt>
                <c:pt idx="67">
                  <c:v>3.392779999999997</c:v>
                </c:pt>
                <c:pt idx="68">
                  <c:v>3.1418599999999968</c:v>
                </c:pt>
                <c:pt idx="69">
                  <c:v>2.8871999999999964</c:v>
                </c:pt>
                <c:pt idx="70">
                  <c:v>2.6287999999999965</c:v>
                </c:pt>
                <c:pt idx="71">
                  <c:v>2.3666599999999964</c:v>
                </c:pt>
                <c:pt idx="72">
                  <c:v>2.1007799999999963</c:v>
                </c:pt>
                <c:pt idx="73">
                  <c:v>1.8311599999999963</c:v>
                </c:pt>
                <c:pt idx="74">
                  <c:v>1.5577999999999963</c:v>
                </c:pt>
                <c:pt idx="75">
                  <c:v>1.2806999999999962</c:v>
                </c:pt>
                <c:pt idx="76">
                  <c:v>0.9998599999999962</c:v>
                </c:pt>
                <c:pt idx="77">
                  <c:v>0.71527999999999614</c:v>
                </c:pt>
                <c:pt idx="78">
                  <c:v>0.42695999999999606</c:v>
                </c:pt>
                <c:pt idx="79">
                  <c:v>0.13489999999999597</c:v>
                </c:pt>
                <c:pt idx="80">
                  <c:v>-0.1609000000000041</c:v>
                </c:pt>
                <c:pt idx="81">
                  <c:v>-0.46044000000000418</c:v>
                </c:pt>
                <c:pt idx="82">
                  <c:v>-0.76372000000000428</c:v>
                </c:pt>
                <c:pt idx="83">
                  <c:v>-1.0707400000000042</c:v>
                </c:pt>
                <c:pt idx="84">
                  <c:v>-1.3815000000000044</c:v>
                </c:pt>
                <c:pt idx="85">
                  <c:v>-1.6960000000000044</c:v>
                </c:pt>
                <c:pt idx="86">
                  <c:v>-2.0142400000000045</c:v>
                </c:pt>
                <c:pt idx="87">
                  <c:v>-2.3362200000000044</c:v>
                </c:pt>
                <c:pt idx="88">
                  <c:v>-2.6619400000000044</c:v>
                </c:pt>
                <c:pt idx="89">
                  <c:v>-2.9914000000000045</c:v>
                </c:pt>
                <c:pt idx="90">
                  <c:v>-3.3246000000000047</c:v>
                </c:pt>
                <c:pt idx="91">
                  <c:v>-3.6615400000000049</c:v>
                </c:pt>
                <c:pt idx="92">
                  <c:v>-4.0022200000000048</c:v>
                </c:pt>
                <c:pt idx="93">
                  <c:v>-4.3466400000000052</c:v>
                </c:pt>
                <c:pt idx="94">
                  <c:v>-4.6948000000000052</c:v>
                </c:pt>
                <c:pt idx="95">
                  <c:v>-5.0467000000000048</c:v>
                </c:pt>
                <c:pt idx="96">
                  <c:v>-5.402340000000005</c:v>
                </c:pt>
                <c:pt idx="97">
                  <c:v>-5.7617200000000048</c:v>
                </c:pt>
                <c:pt idx="98">
                  <c:v>-6.1248400000000052</c:v>
                </c:pt>
                <c:pt idx="99">
                  <c:v>-6.4917000000000051</c:v>
                </c:pt>
                <c:pt idx="100">
                  <c:v>-6.8623000000000047</c:v>
                </c:pt>
                <c:pt idx="101">
                  <c:v>-7.2366400000000048</c:v>
                </c:pt>
                <c:pt idx="102">
                  <c:v>-7.6147200000000046</c:v>
                </c:pt>
                <c:pt idx="103">
                  <c:v>-7.9965400000000049</c:v>
                </c:pt>
                <c:pt idx="104">
                  <c:v>-8.3821000000000048</c:v>
                </c:pt>
                <c:pt idx="105">
                  <c:v>-8.7714000000000052</c:v>
                </c:pt>
                <c:pt idx="106">
                  <c:v>-9.1644400000000061</c:v>
                </c:pt>
                <c:pt idx="107">
                  <c:v>-9.5612200000000058</c:v>
                </c:pt>
                <c:pt idx="108">
                  <c:v>-9.961740000000006</c:v>
                </c:pt>
                <c:pt idx="109">
                  <c:v>-10.366000000000007</c:v>
                </c:pt>
              </c:numCache>
            </c:numRef>
          </c:yVal>
          <c:smooth val="0"/>
          <c:extLst>
            <c:ext xmlns:c16="http://schemas.microsoft.com/office/drawing/2014/chart" uri="{C3380CC4-5D6E-409C-BE32-E72D297353CC}">
              <c16:uniqueId val="{00000001-954F-4539-9FBC-34DD223AF98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&gt; 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19432191394923"/>
          <c:y val="0.16022831050228312"/>
          <c:w val="0.84598892415934923"/>
          <c:h val="0.78954337899543381"/>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300"/>
            <c:dispRSqr val="1"/>
            <c:dispEq val="1"/>
            <c:trendlineLbl>
              <c:layout>
                <c:manualLayout>
                  <c:x val="0.11260365618633335"/>
                  <c:y val="-0.74943754345742586"/>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y = -5.1373x + 300</a:t>
                    </a:r>
                    <a:br>
                      <a:rPr lang="en-US" baseline="0"/>
                    </a:b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pivot_CS!$J$66:$J$75</c:f>
              <c:numCache>
                <c:formatCode>General</c:formatCode>
                <c:ptCount val="10"/>
                <c:pt idx="0">
                  <c:v>34.020000000000003</c:v>
                </c:pt>
                <c:pt idx="1">
                  <c:v>34.580000000000005</c:v>
                </c:pt>
                <c:pt idx="2">
                  <c:v>44.24</c:v>
                </c:pt>
                <c:pt idx="3">
                  <c:v>51.03</c:v>
                </c:pt>
                <c:pt idx="4">
                  <c:v>51.870000000000005</c:v>
                </c:pt>
                <c:pt idx="5">
                  <c:v>68.040000000000006</c:v>
                </c:pt>
                <c:pt idx="6">
                  <c:v>69.160000000000011</c:v>
                </c:pt>
                <c:pt idx="7">
                  <c:v>88.48</c:v>
                </c:pt>
                <c:pt idx="8">
                  <c:v>102.06</c:v>
                </c:pt>
                <c:pt idx="9">
                  <c:v>103.74000000000001</c:v>
                </c:pt>
              </c:numCache>
            </c:numRef>
          </c:xVal>
          <c:yVal>
            <c:numRef>
              <c:f>pivot_CS!$K$66:$K$75</c:f>
              <c:numCache>
                <c:formatCode>General</c:formatCode>
                <c:ptCount val="10"/>
                <c:pt idx="0">
                  <c:v>421.42857142857133</c:v>
                </c:pt>
                <c:pt idx="1">
                  <c:v>442.85714285714306</c:v>
                </c:pt>
                <c:pt idx="2">
                  <c:v>-33.834586466165412</c:v>
                </c:pt>
                <c:pt idx="3">
                  <c:v>-357.14285714285717</c:v>
                </c:pt>
                <c:pt idx="4">
                  <c:v>-142.85714285714286</c:v>
                </c:pt>
                <c:pt idx="5">
                  <c:v>-142.85714285714286</c:v>
                </c:pt>
                <c:pt idx="6">
                  <c:v>-85.714285714284898</c:v>
                </c:pt>
                <c:pt idx="7">
                  <c:v>-212.40601503759399</c:v>
                </c:pt>
                <c:pt idx="8">
                  <c:v>-71.428571428571431</c:v>
                </c:pt>
                <c:pt idx="9">
                  <c:v>-128.57142857142887</c:v>
                </c:pt>
              </c:numCache>
            </c:numRef>
          </c:yVal>
          <c:smooth val="0"/>
          <c:extLst>
            <c:ext xmlns:c16="http://schemas.microsoft.com/office/drawing/2014/chart" uri="{C3380CC4-5D6E-409C-BE32-E72D297353CC}">
              <c16:uniqueId val="{00000001-E191-4324-A19B-A089475CCAE6}"/>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max val="900"/>
          <c:min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cumulative_LWG!$AA$3:$AA$202</c:f>
              <c:numCache>
                <c:formatCode>0.000</c:formatCode>
                <c:ptCount val="200"/>
                <c:pt idx="0">
                  <c:v>0.29572000000000004</c:v>
                </c:pt>
                <c:pt idx="1">
                  <c:v>0.58716000000000002</c:v>
                </c:pt>
                <c:pt idx="2">
                  <c:v>0.87431999999999999</c:v>
                </c:pt>
                <c:pt idx="3">
                  <c:v>1.1572</c:v>
                </c:pt>
                <c:pt idx="4">
                  <c:v>1.4358</c:v>
                </c:pt>
                <c:pt idx="5">
                  <c:v>1.7101199999999999</c:v>
                </c:pt>
                <c:pt idx="6">
                  <c:v>1.9801599999999999</c:v>
                </c:pt>
                <c:pt idx="7">
                  <c:v>2.2459199999999999</c:v>
                </c:pt>
                <c:pt idx="8">
                  <c:v>2.5074000000000001</c:v>
                </c:pt>
                <c:pt idx="9">
                  <c:v>2.7646000000000002</c:v>
                </c:pt>
                <c:pt idx="10">
                  <c:v>3.0175200000000002</c:v>
                </c:pt>
                <c:pt idx="11">
                  <c:v>3.2661600000000002</c:v>
                </c:pt>
                <c:pt idx="12">
                  <c:v>3.5105200000000001</c:v>
                </c:pt>
                <c:pt idx="13">
                  <c:v>3.7505999999999999</c:v>
                </c:pt>
                <c:pt idx="14">
                  <c:v>3.9863999999999997</c:v>
                </c:pt>
                <c:pt idx="15">
                  <c:v>4.2179199999999994</c:v>
                </c:pt>
                <c:pt idx="16">
                  <c:v>4.4451599999999996</c:v>
                </c:pt>
                <c:pt idx="17">
                  <c:v>4.6681199999999992</c:v>
                </c:pt>
                <c:pt idx="18">
                  <c:v>4.8867999999999991</c:v>
                </c:pt>
                <c:pt idx="19">
                  <c:v>5.1011999999999995</c:v>
                </c:pt>
                <c:pt idx="20">
                  <c:v>5.3113199999999994</c:v>
                </c:pt>
                <c:pt idx="21">
                  <c:v>5.5171599999999996</c:v>
                </c:pt>
                <c:pt idx="22">
                  <c:v>5.7187199999999994</c:v>
                </c:pt>
                <c:pt idx="23">
                  <c:v>5.9159999999999995</c:v>
                </c:pt>
                <c:pt idx="24">
                  <c:v>6.1089999999999991</c:v>
                </c:pt>
                <c:pt idx="25">
                  <c:v>6.2977199999999991</c:v>
                </c:pt>
                <c:pt idx="26">
                  <c:v>6.4821599999999995</c:v>
                </c:pt>
                <c:pt idx="27">
                  <c:v>6.6623199999999994</c:v>
                </c:pt>
                <c:pt idx="28">
                  <c:v>6.8381999999999996</c:v>
                </c:pt>
                <c:pt idx="29">
                  <c:v>7.0097999999999994</c:v>
                </c:pt>
                <c:pt idx="30">
                  <c:v>7.1771199999999995</c:v>
                </c:pt>
                <c:pt idx="31">
                  <c:v>7.3401599999999991</c:v>
                </c:pt>
                <c:pt idx="32">
                  <c:v>7.4989199999999991</c:v>
                </c:pt>
                <c:pt idx="33">
                  <c:v>7.6533999999999995</c:v>
                </c:pt>
                <c:pt idx="34">
                  <c:v>7.8035999999999994</c:v>
                </c:pt>
                <c:pt idx="35">
                  <c:v>7.9495199999999997</c:v>
                </c:pt>
                <c:pt idx="36">
                  <c:v>8.0911600000000004</c:v>
                </c:pt>
                <c:pt idx="37">
                  <c:v>8.2285199999999996</c:v>
                </c:pt>
                <c:pt idx="38">
                  <c:v>8.3615999999999993</c:v>
                </c:pt>
                <c:pt idx="39">
                  <c:v>8.4903999999999993</c:v>
                </c:pt>
                <c:pt idx="40">
                  <c:v>8.6149199999999997</c:v>
                </c:pt>
                <c:pt idx="41">
                  <c:v>8.7351600000000005</c:v>
                </c:pt>
                <c:pt idx="42">
                  <c:v>8.8511199999999999</c:v>
                </c:pt>
                <c:pt idx="43">
                  <c:v>8.9627999999999997</c:v>
                </c:pt>
                <c:pt idx="44">
                  <c:v>9.0701999999999998</c:v>
                </c:pt>
                <c:pt idx="45">
                  <c:v>9.1733200000000004</c:v>
                </c:pt>
                <c:pt idx="46">
                  <c:v>9.2721599999999995</c:v>
                </c:pt>
                <c:pt idx="47">
                  <c:v>9.366719999999999</c:v>
                </c:pt>
                <c:pt idx="48">
                  <c:v>9.456999999999999</c:v>
                </c:pt>
                <c:pt idx="49">
                  <c:v>9.5429999999999993</c:v>
                </c:pt>
                <c:pt idx="50">
                  <c:v>9.6247199999999999</c:v>
                </c:pt>
                <c:pt idx="51">
                  <c:v>9.7021599999999992</c:v>
                </c:pt>
                <c:pt idx="52">
                  <c:v>9.7753199999999989</c:v>
                </c:pt>
                <c:pt idx="53">
                  <c:v>9.844199999999999</c:v>
                </c:pt>
                <c:pt idx="54">
                  <c:v>9.9087999999999994</c:v>
                </c:pt>
                <c:pt idx="55">
                  <c:v>9.9691200000000002</c:v>
                </c:pt>
                <c:pt idx="56">
                  <c:v>10.02516</c:v>
                </c:pt>
                <c:pt idx="57">
                  <c:v>10.076919999999999</c:v>
                </c:pt>
                <c:pt idx="58">
                  <c:v>10.1244</c:v>
                </c:pt>
                <c:pt idx="59">
                  <c:v>10.1676</c:v>
                </c:pt>
                <c:pt idx="60">
                  <c:v>10.206519999999999</c:v>
                </c:pt>
                <c:pt idx="61">
                  <c:v>10.241159999999999</c:v>
                </c:pt>
                <c:pt idx="62">
                  <c:v>10.271519999999999</c:v>
                </c:pt>
                <c:pt idx="63">
                  <c:v>10.297599999999999</c:v>
                </c:pt>
                <c:pt idx="64">
                  <c:v>10.3194</c:v>
                </c:pt>
                <c:pt idx="65">
                  <c:v>10.336919999999999</c:v>
                </c:pt>
                <c:pt idx="66">
                  <c:v>10.350159999999999</c:v>
                </c:pt>
                <c:pt idx="67">
                  <c:v>10.359119999999999</c:v>
                </c:pt>
                <c:pt idx="68">
                  <c:v>10.363799999999999</c:v>
                </c:pt>
                <c:pt idx="69">
                  <c:v>10.3642</c:v>
                </c:pt>
                <c:pt idx="70">
                  <c:v>10.36032</c:v>
                </c:pt>
                <c:pt idx="71">
                  <c:v>10.35216</c:v>
                </c:pt>
                <c:pt idx="72">
                  <c:v>10.33972</c:v>
                </c:pt>
                <c:pt idx="73">
                  <c:v>10.323</c:v>
                </c:pt>
                <c:pt idx="74">
                  <c:v>10.302</c:v>
                </c:pt>
                <c:pt idx="75">
                  <c:v>10.276719999999999</c:v>
                </c:pt>
                <c:pt idx="76">
                  <c:v>10.247159999999999</c:v>
                </c:pt>
                <c:pt idx="77">
                  <c:v>10.21332</c:v>
                </c:pt>
                <c:pt idx="78">
                  <c:v>10.1752</c:v>
                </c:pt>
                <c:pt idx="79">
                  <c:v>10.1328</c:v>
                </c:pt>
                <c:pt idx="80">
                  <c:v>10.086119999999999</c:v>
                </c:pt>
                <c:pt idx="81">
                  <c:v>10.035159999999999</c:v>
                </c:pt>
                <c:pt idx="82">
                  <c:v>9.9799199999999999</c:v>
                </c:pt>
                <c:pt idx="83">
                  <c:v>9.920399999999999</c:v>
                </c:pt>
                <c:pt idx="84">
                  <c:v>9.8565999999999985</c:v>
                </c:pt>
                <c:pt idx="85">
                  <c:v>9.7885199999999983</c:v>
                </c:pt>
                <c:pt idx="86">
                  <c:v>9.7161599999999986</c:v>
                </c:pt>
                <c:pt idx="87">
                  <c:v>9.6395199999999992</c:v>
                </c:pt>
                <c:pt idx="88">
                  <c:v>9.5585999999999984</c:v>
                </c:pt>
                <c:pt idx="89">
                  <c:v>9.473399999999998</c:v>
                </c:pt>
                <c:pt idx="90">
                  <c:v>9.4239199999999972</c:v>
                </c:pt>
                <c:pt idx="91">
                  <c:v>9.3701599999999967</c:v>
                </c:pt>
                <c:pt idx="92">
                  <c:v>9.3121199999999966</c:v>
                </c:pt>
                <c:pt idx="93">
                  <c:v>9.2497999999999969</c:v>
                </c:pt>
                <c:pt idx="94">
                  <c:v>9.1831999999999976</c:v>
                </c:pt>
                <c:pt idx="95">
                  <c:v>9.1123199999999969</c:v>
                </c:pt>
                <c:pt idx="96">
                  <c:v>9.0371599999999965</c:v>
                </c:pt>
                <c:pt idx="97">
                  <c:v>8.9577199999999966</c:v>
                </c:pt>
                <c:pt idx="98">
                  <c:v>8.873999999999997</c:v>
                </c:pt>
                <c:pt idx="99">
                  <c:v>8.7859999999999978</c:v>
                </c:pt>
                <c:pt idx="100">
                  <c:v>8.6937199999999972</c:v>
                </c:pt>
                <c:pt idx="101">
                  <c:v>8.597159999999997</c:v>
                </c:pt>
                <c:pt idx="102">
                  <c:v>8.4963199999999972</c:v>
                </c:pt>
                <c:pt idx="103">
                  <c:v>8.3911999999999978</c:v>
                </c:pt>
                <c:pt idx="104">
                  <c:v>8.2817999999999969</c:v>
                </c:pt>
                <c:pt idx="105">
                  <c:v>8.1681199999999965</c:v>
                </c:pt>
                <c:pt idx="106">
                  <c:v>8.0501599999999964</c:v>
                </c:pt>
                <c:pt idx="107">
                  <c:v>7.9279199999999967</c:v>
                </c:pt>
                <c:pt idx="108">
                  <c:v>7.8013999999999966</c:v>
                </c:pt>
                <c:pt idx="109">
                  <c:v>7.6705999999999968</c:v>
                </c:pt>
                <c:pt idx="110">
                  <c:v>7.5355199999999964</c:v>
                </c:pt>
                <c:pt idx="111">
                  <c:v>7.3961599999999965</c:v>
                </c:pt>
                <c:pt idx="112">
                  <c:v>7.2525199999999961</c:v>
                </c:pt>
                <c:pt idx="113">
                  <c:v>7.104599999999996</c:v>
                </c:pt>
                <c:pt idx="114">
                  <c:v>6.9523999999999964</c:v>
                </c:pt>
                <c:pt idx="115">
                  <c:v>6.7959199999999962</c:v>
                </c:pt>
                <c:pt idx="116">
                  <c:v>6.6351599999999964</c:v>
                </c:pt>
                <c:pt idx="117">
                  <c:v>6.4701199999999961</c:v>
                </c:pt>
                <c:pt idx="118">
                  <c:v>6.3007999999999962</c:v>
                </c:pt>
                <c:pt idx="119">
                  <c:v>6.1271999999999958</c:v>
                </c:pt>
                <c:pt idx="120">
                  <c:v>5.9493199999999957</c:v>
                </c:pt>
                <c:pt idx="121">
                  <c:v>5.7671599999999961</c:v>
                </c:pt>
                <c:pt idx="122">
                  <c:v>5.5807199999999959</c:v>
                </c:pt>
                <c:pt idx="123">
                  <c:v>5.3899999999999961</c:v>
                </c:pt>
                <c:pt idx="124">
                  <c:v>5.1949999999999958</c:v>
                </c:pt>
                <c:pt idx="125">
                  <c:v>4.9957199999999959</c:v>
                </c:pt>
                <c:pt idx="126">
                  <c:v>4.7921599999999955</c:v>
                </c:pt>
                <c:pt idx="127">
                  <c:v>4.5843199999999955</c:v>
                </c:pt>
                <c:pt idx="128">
                  <c:v>4.3721999999999959</c:v>
                </c:pt>
                <c:pt idx="129">
                  <c:v>4.1557999999999957</c:v>
                </c:pt>
                <c:pt idx="130">
                  <c:v>3.9351199999999955</c:v>
                </c:pt>
                <c:pt idx="131">
                  <c:v>3.7101599999999957</c:v>
                </c:pt>
                <c:pt idx="132">
                  <c:v>3.4809199999999958</c:v>
                </c:pt>
                <c:pt idx="133">
                  <c:v>3.2473999999999958</c:v>
                </c:pt>
                <c:pt idx="134">
                  <c:v>3.0095999999999958</c:v>
                </c:pt>
                <c:pt idx="135">
                  <c:v>2.7675199999999958</c:v>
                </c:pt>
                <c:pt idx="136">
                  <c:v>2.5211599999999956</c:v>
                </c:pt>
                <c:pt idx="137">
                  <c:v>2.2705199999999954</c:v>
                </c:pt>
                <c:pt idx="138">
                  <c:v>2.0155999999999952</c:v>
                </c:pt>
                <c:pt idx="139">
                  <c:v>1.7563999999999951</c:v>
                </c:pt>
                <c:pt idx="140">
                  <c:v>1.4929199999999949</c:v>
                </c:pt>
                <c:pt idx="141">
                  <c:v>1.2251599999999949</c:v>
                </c:pt>
                <c:pt idx="142">
                  <c:v>0.95311999999999486</c:v>
                </c:pt>
                <c:pt idx="143">
                  <c:v>0.67679999999999474</c:v>
                </c:pt>
                <c:pt idx="144">
                  <c:v>0.39619999999999472</c:v>
                </c:pt>
                <c:pt idx="145">
                  <c:v>0.1113199999999947</c:v>
                </c:pt>
                <c:pt idx="146">
                  <c:v>-0.17784000000000538</c:v>
                </c:pt>
                <c:pt idx="147">
                  <c:v>-0.47128000000000547</c:v>
                </c:pt>
                <c:pt idx="148">
                  <c:v>-0.76900000000000546</c:v>
                </c:pt>
                <c:pt idx="149">
                  <c:v>-1.0710000000000055</c:v>
                </c:pt>
                <c:pt idx="150">
                  <c:v>-1.3772800000000056</c:v>
                </c:pt>
                <c:pt idx="151">
                  <c:v>-1.6878400000000058</c:v>
                </c:pt>
                <c:pt idx="152">
                  <c:v>-2.002680000000006</c:v>
                </c:pt>
                <c:pt idx="153">
                  <c:v>-2.3218000000000059</c:v>
                </c:pt>
                <c:pt idx="154">
                  <c:v>-2.6452000000000062</c:v>
                </c:pt>
                <c:pt idx="155">
                  <c:v>-2.9728800000000062</c:v>
                </c:pt>
                <c:pt idx="156">
                  <c:v>-3.3048400000000062</c:v>
                </c:pt>
                <c:pt idx="157">
                  <c:v>-3.6410800000000063</c:v>
                </c:pt>
                <c:pt idx="158">
                  <c:v>-3.9816000000000065</c:v>
                </c:pt>
                <c:pt idx="159">
                  <c:v>-4.3264000000000067</c:v>
                </c:pt>
                <c:pt idx="160">
                  <c:v>-4.6754800000000065</c:v>
                </c:pt>
                <c:pt idx="161">
                  <c:v>-5.0288400000000069</c:v>
                </c:pt>
                <c:pt idx="162">
                  <c:v>-5.3864800000000068</c:v>
                </c:pt>
                <c:pt idx="163">
                  <c:v>-5.7484000000000073</c:v>
                </c:pt>
                <c:pt idx="164">
                  <c:v>-6.1146000000000074</c:v>
                </c:pt>
                <c:pt idx="165">
                  <c:v>-6.4850800000000071</c:v>
                </c:pt>
                <c:pt idx="166">
                  <c:v>-6.8598400000000073</c:v>
                </c:pt>
                <c:pt idx="167">
                  <c:v>-7.2388800000000071</c:v>
                </c:pt>
                <c:pt idx="168">
                  <c:v>-7.6222000000000074</c:v>
                </c:pt>
                <c:pt idx="169">
                  <c:v>-8.0098000000000074</c:v>
                </c:pt>
                <c:pt idx="170">
                  <c:v>-8.4016800000000078</c:v>
                </c:pt>
                <c:pt idx="171">
                  <c:v>-8.7978400000000079</c:v>
                </c:pt>
                <c:pt idx="172">
                  <c:v>-9.1982800000000076</c:v>
                </c:pt>
                <c:pt idx="173">
                  <c:v>-9.6030000000000069</c:v>
                </c:pt>
                <c:pt idx="174">
                  <c:v>-10.012000000000008</c:v>
                </c:pt>
                <c:pt idx="175">
                  <c:v>-10.425280000000008</c:v>
                </c:pt>
                <c:pt idx="176">
                  <c:v>-10.842840000000008</c:v>
                </c:pt>
                <c:pt idx="177">
                  <c:v>-11.264680000000007</c:v>
                </c:pt>
                <c:pt idx="178">
                  <c:v>-11.690800000000007</c:v>
                </c:pt>
                <c:pt idx="179">
                  <c:v>-12.121200000000007</c:v>
                </c:pt>
                <c:pt idx="180">
                  <c:v>-12.555880000000007</c:v>
                </c:pt>
                <c:pt idx="181">
                  <c:v>-12.994840000000007</c:v>
                </c:pt>
                <c:pt idx="182">
                  <c:v>-13.438080000000006</c:v>
                </c:pt>
                <c:pt idx="183">
                  <c:v>-13.885600000000007</c:v>
                </c:pt>
                <c:pt idx="184">
                  <c:v>-14.337400000000008</c:v>
                </c:pt>
                <c:pt idx="185">
                  <c:v>-14.793480000000008</c:v>
                </c:pt>
                <c:pt idx="186">
                  <c:v>-15.253840000000007</c:v>
                </c:pt>
                <c:pt idx="187">
                  <c:v>-15.718480000000007</c:v>
                </c:pt>
                <c:pt idx="188">
                  <c:v>-16.187400000000007</c:v>
                </c:pt>
                <c:pt idx="189">
                  <c:v>-16.660600000000006</c:v>
                </c:pt>
                <c:pt idx="190">
                  <c:v>-17.138080000000006</c:v>
                </c:pt>
                <c:pt idx="191">
                  <c:v>-17.619840000000007</c:v>
                </c:pt>
                <c:pt idx="192">
                  <c:v>-18.105880000000006</c:v>
                </c:pt>
                <c:pt idx="193">
                  <c:v>-18.596200000000007</c:v>
                </c:pt>
                <c:pt idx="194">
                  <c:v>-19.090800000000005</c:v>
                </c:pt>
                <c:pt idx="195">
                  <c:v>-19.589680000000005</c:v>
                </c:pt>
                <c:pt idx="196">
                  <c:v>-20.092840000000006</c:v>
                </c:pt>
                <c:pt idx="197">
                  <c:v>-20.600280000000005</c:v>
                </c:pt>
                <c:pt idx="198">
                  <c:v>-21.112000000000005</c:v>
                </c:pt>
                <c:pt idx="199">
                  <c:v>-21.628000000000007</c:v>
                </c:pt>
              </c:numCache>
            </c:numRef>
          </c:yVal>
          <c:smooth val="0"/>
          <c:extLst>
            <c:ext xmlns:c16="http://schemas.microsoft.com/office/drawing/2014/chart" uri="{C3380CC4-5D6E-409C-BE32-E72D297353CC}">
              <c16:uniqueId val="{00000001-AF06-49F5-9AF7-7215DD4C4F1E}"/>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195574905188688"/>
          <c:y val="0.16839954597048809"/>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55052493438321"/>
                  <c:y val="-0.494509696704578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cumulative_LWG!$A$3:$B$92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cumulative_LWG!$AA$3:$AA$92</c:f>
              <c:numCache>
                <c:formatCode>0.000</c:formatCode>
                <c:ptCount val="90"/>
                <c:pt idx="0">
                  <c:v>0.29572000000000004</c:v>
                </c:pt>
                <c:pt idx="1">
                  <c:v>0.58716000000000002</c:v>
                </c:pt>
                <c:pt idx="2">
                  <c:v>0.87431999999999999</c:v>
                </c:pt>
                <c:pt idx="3">
                  <c:v>1.1572</c:v>
                </c:pt>
                <c:pt idx="4">
                  <c:v>1.4358</c:v>
                </c:pt>
                <c:pt idx="5">
                  <c:v>1.7101199999999999</c:v>
                </c:pt>
                <c:pt idx="6">
                  <c:v>1.9801599999999999</c:v>
                </c:pt>
                <c:pt idx="7">
                  <c:v>2.2459199999999999</c:v>
                </c:pt>
                <c:pt idx="8">
                  <c:v>2.5074000000000001</c:v>
                </c:pt>
                <c:pt idx="9">
                  <c:v>2.7646000000000002</c:v>
                </c:pt>
                <c:pt idx="10">
                  <c:v>3.0175200000000002</c:v>
                </c:pt>
                <c:pt idx="11">
                  <c:v>3.2661600000000002</c:v>
                </c:pt>
                <c:pt idx="12">
                  <c:v>3.5105200000000001</c:v>
                </c:pt>
                <c:pt idx="13">
                  <c:v>3.7505999999999999</c:v>
                </c:pt>
                <c:pt idx="14">
                  <c:v>3.9863999999999997</c:v>
                </c:pt>
                <c:pt idx="15">
                  <c:v>4.2179199999999994</c:v>
                </c:pt>
                <c:pt idx="16">
                  <c:v>4.4451599999999996</c:v>
                </c:pt>
                <c:pt idx="17">
                  <c:v>4.6681199999999992</c:v>
                </c:pt>
                <c:pt idx="18">
                  <c:v>4.8867999999999991</c:v>
                </c:pt>
                <c:pt idx="19">
                  <c:v>5.1011999999999995</c:v>
                </c:pt>
                <c:pt idx="20">
                  <c:v>5.3113199999999994</c:v>
                </c:pt>
                <c:pt idx="21">
                  <c:v>5.5171599999999996</c:v>
                </c:pt>
                <c:pt idx="22">
                  <c:v>5.7187199999999994</c:v>
                </c:pt>
                <c:pt idx="23">
                  <c:v>5.9159999999999995</c:v>
                </c:pt>
                <c:pt idx="24">
                  <c:v>6.1089999999999991</c:v>
                </c:pt>
                <c:pt idx="25">
                  <c:v>6.2977199999999991</c:v>
                </c:pt>
                <c:pt idx="26">
                  <c:v>6.4821599999999995</c:v>
                </c:pt>
                <c:pt idx="27">
                  <c:v>6.6623199999999994</c:v>
                </c:pt>
                <c:pt idx="28">
                  <c:v>6.8381999999999996</c:v>
                </c:pt>
                <c:pt idx="29">
                  <c:v>7.0097999999999994</c:v>
                </c:pt>
                <c:pt idx="30">
                  <c:v>7.1771199999999995</c:v>
                </c:pt>
                <c:pt idx="31">
                  <c:v>7.3401599999999991</c:v>
                </c:pt>
                <c:pt idx="32">
                  <c:v>7.4989199999999991</c:v>
                </c:pt>
                <c:pt idx="33">
                  <c:v>7.6533999999999995</c:v>
                </c:pt>
                <c:pt idx="34">
                  <c:v>7.8035999999999994</c:v>
                </c:pt>
                <c:pt idx="35">
                  <c:v>7.9495199999999997</c:v>
                </c:pt>
                <c:pt idx="36">
                  <c:v>8.0911600000000004</c:v>
                </c:pt>
                <c:pt idx="37">
                  <c:v>8.2285199999999996</c:v>
                </c:pt>
                <c:pt idx="38">
                  <c:v>8.3615999999999993</c:v>
                </c:pt>
                <c:pt idx="39">
                  <c:v>8.4903999999999993</c:v>
                </c:pt>
                <c:pt idx="40">
                  <c:v>8.6149199999999997</c:v>
                </c:pt>
                <c:pt idx="41">
                  <c:v>8.7351600000000005</c:v>
                </c:pt>
                <c:pt idx="42">
                  <c:v>8.8511199999999999</c:v>
                </c:pt>
                <c:pt idx="43">
                  <c:v>8.9627999999999997</c:v>
                </c:pt>
                <c:pt idx="44">
                  <c:v>9.0701999999999998</c:v>
                </c:pt>
                <c:pt idx="45">
                  <c:v>9.1733200000000004</c:v>
                </c:pt>
                <c:pt idx="46">
                  <c:v>9.2721599999999995</c:v>
                </c:pt>
                <c:pt idx="47">
                  <c:v>9.366719999999999</c:v>
                </c:pt>
                <c:pt idx="48">
                  <c:v>9.456999999999999</c:v>
                </c:pt>
                <c:pt idx="49">
                  <c:v>9.5429999999999993</c:v>
                </c:pt>
                <c:pt idx="50">
                  <c:v>9.6247199999999999</c:v>
                </c:pt>
                <c:pt idx="51">
                  <c:v>9.7021599999999992</c:v>
                </c:pt>
                <c:pt idx="52">
                  <c:v>9.7753199999999989</c:v>
                </c:pt>
                <c:pt idx="53">
                  <c:v>9.844199999999999</c:v>
                </c:pt>
                <c:pt idx="54">
                  <c:v>9.9087999999999994</c:v>
                </c:pt>
                <c:pt idx="55">
                  <c:v>9.9691200000000002</c:v>
                </c:pt>
                <c:pt idx="56">
                  <c:v>10.02516</c:v>
                </c:pt>
                <c:pt idx="57">
                  <c:v>10.076919999999999</c:v>
                </c:pt>
                <c:pt idx="58">
                  <c:v>10.1244</c:v>
                </c:pt>
                <c:pt idx="59">
                  <c:v>10.1676</c:v>
                </c:pt>
                <c:pt idx="60">
                  <c:v>10.206519999999999</c:v>
                </c:pt>
                <c:pt idx="61">
                  <c:v>10.241159999999999</c:v>
                </c:pt>
                <c:pt idx="62">
                  <c:v>10.271519999999999</c:v>
                </c:pt>
                <c:pt idx="63">
                  <c:v>10.297599999999999</c:v>
                </c:pt>
                <c:pt idx="64">
                  <c:v>10.3194</c:v>
                </c:pt>
                <c:pt idx="65">
                  <c:v>10.336919999999999</c:v>
                </c:pt>
                <c:pt idx="66">
                  <c:v>10.350159999999999</c:v>
                </c:pt>
                <c:pt idx="67">
                  <c:v>10.359119999999999</c:v>
                </c:pt>
                <c:pt idx="68">
                  <c:v>10.363799999999999</c:v>
                </c:pt>
                <c:pt idx="69">
                  <c:v>10.3642</c:v>
                </c:pt>
                <c:pt idx="70">
                  <c:v>10.36032</c:v>
                </c:pt>
                <c:pt idx="71">
                  <c:v>10.35216</c:v>
                </c:pt>
                <c:pt idx="72">
                  <c:v>10.33972</c:v>
                </c:pt>
                <c:pt idx="73">
                  <c:v>10.323</c:v>
                </c:pt>
                <c:pt idx="74">
                  <c:v>10.302</c:v>
                </c:pt>
                <c:pt idx="75">
                  <c:v>10.276719999999999</c:v>
                </c:pt>
                <c:pt idx="76">
                  <c:v>10.247159999999999</c:v>
                </c:pt>
                <c:pt idx="77">
                  <c:v>10.21332</c:v>
                </c:pt>
                <c:pt idx="78">
                  <c:v>10.1752</c:v>
                </c:pt>
                <c:pt idx="79">
                  <c:v>10.1328</c:v>
                </c:pt>
                <c:pt idx="80">
                  <c:v>10.086119999999999</c:v>
                </c:pt>
                <c:pt idx="81">
                  <c:v>10.035159999999999</c:v>
                </c:pt>
                <c:pt idx="82">
                  <c:v>9.9799199999999999</c:v>
                </c:pt>
                <c:pt idx="83">
                  <c:v>9.920399999999999</c:v>
                </c:pt>
                <c:pt idx="84">
                  <c:v>9.8565999999999985</c:v>
                </c:pt>
                <c:pt idx="85">
                  <c:v>9.7885199999999983</c:v>
                </c:pt>
                <c:pt idx="86">
                  <c:v>9.7161599999999986</c:v>
                </c:pt>
                <c:pt idx="87">
                  <c:v>9.6395199999999992</c:v>
                </c:pt>
                <c:pt idx="88">
                  <c:v>9.5585999999999984</c:v>
                </c:pt>
                <c:pt idx="89">
                  <c:v>9.473399999999998</c:v>
                </c:pt>
              </c:numCache>
            </c:numRef>
          </c:yVal>
          <c:smooth val="0"/>
          <c:extLst>
            <c:ext xmlns:c16="http://schemas.microsoft.com/office/drawing/2014/chart" uri="{C3380CC4-5D6E-409C-BE32-E72D297353CC}">
              <c16:uniqueId val="{00000001-332E-42D5-B473-5D3B641A9DD2}"/>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619620981502584"/>
          <c:y val="0.1774801362088535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436876686789428"/>
                  <c:y val="-0.6726765397231134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cumulative_LWG!$AA$92:$AA$202</c:f>
              <c:numCache>
                <c:formatCode>0.000</c:formatCode>
                <c:ptCount val="111"/>
                <c:pt idx="0">
                  <c:v>9.473399999999998</c:v>
                </c:pt>
                <c:pt idx="1">
                  <c:v>9.4239199999999972</c:v>
                </c:pt>
                <c:pt idx="2">
                  <c:v>9.3701599999999967</c:v>
                </c:pt>
                <c:pt idx="3">
                  <c:v>9.3121199999999966</c:v>
                </c:pt>
                <c:pt idx="4">
                  <c:v>9.2497999999999969</c:v>
                </c:pt>
                <c:pt idx="5">
                  <c:v>9.1831999999999976</c:v>
                </c:pt>
                <c:pt idx="6">
                  <c:v>9.1123199999999969</c:v>
                </c:pt>
                <c:pt idx="7">
                  <c:v>9.0371599999999965</c:v>
                </c:pt>
                <c:pt idx="8">
                  <c:v>8.9577199999999966</c:v>
                </c:pt>
                <c:pt idx="9">
                  <c:v>8.873999999999997</c:v>
                </c:pt>
                <c:pt idx="10">
                  <c:v>8.7859999999999978</c:v>
                </c:pt>
                <c:pt idx="11">
                  <c:v>8.6937199999999972</c:v>
                </c:pt>
                <c:pt idx="12">
                  <c:v>8.597159999999997</c:v>
                </c:pt>
                <c:pt idx="13">
                  <c:v>8.4963199999999972</c:v>
                </c:pt>
                <c:pt idx="14">
                  <c:v>8.3911999999999978</c:v>
                </c:pt>
                <c:pt idx="15">
                  <c:v>8.2817999999999969</c:v>
                </c:pt>
                <c:pt idx="16">
                  <c:v>8.1681199999999965</c:v>
                </c:pt>
                <c:pt idx="17">
                  <c:v>8.0501599999999964</c:v>
                </c:pt>
                <c:pt idx="18">
                  <c:v>7.9279199999999967</c:v>
                </c:pt>
                <c:pt idx="19">
                  <c:v>7.8013999999999966</c:v>
                </c:pt>
                <c:pt idx="20">
                  <c:v>7.6705999999999968</c:v>
                </c:pt>
                <c:pt idx="21">
                  <c:v>7.5355199999999964</c:v>
                </c:pt>
                <c:pt idx="22">
                  <c:v>7.3961599999999965</c:v>
                </c:pt>
                <c:pt idx="23">
                  <c:v>7.2525199999999961</c:v>
                </c:pt>
                <c:pt idx="24">
                  <c:v>7.104599999999996</c:v>
                </c:pt>
                <c:pt idx="25">
                  <c:v>6.9523999999999964</c:v>
                </c:pt>
                <c:pt idx="26">
                  <c:v>6.7959199999999962</c:v>
                </c:pt>
                <c:pt idx="27">
                  <c:v>6.6351599999999964</c:v>
                </c:pt>
                <c:pt idx="28">
                  <c:v>6.4701199999999961</c:v>
                </c:pt>
                <c:pt idx="29">
                  <c:v>6.3007999999999962</c:v>
                </c:pt>
                <c:pt idx="30">
                  <c:v>6.1271999999999958</c:v>
                </c:pt>
                <c:pt idx="31">
                  <c:v>5.9493199999999957</c:v>
                </c:pt>
                <c:pt idx="32">
                  <c:v>5.7671599999999961</c:v>
                </c:pt>
                <c:pt idx="33">
                  <c:v>5.5807199999999959</c:v>
                </c:pt>
                <c:pt idx="34">
                  <c:v>5.3899999999999961</c:v>
                </c:pt>
                <c:pt idx="35">
                  <c:v>5.1949999999999958</c:v>
                </c:pt>
                <c:pt idx="36">
                  <c:v>4.9957199999999959</c:v>
                </c:pt>
                <c:pt idx="37">
                  <c:v>4.7921599999999955</c:v>
                </c:pt>
                <c:pt idx="38">
                  <c:v>4.5843199999999955</c:v>
                </c:pt>
                <c:pt idx="39">
                  <c:v>4.3721999999999959</c:v>
                </c:pt>
                <c:pt idx="40">
                  <c:v>4.1557999999999957</c:v>
                </c:pt>
                <c:pt idx="41">
                  <c:v>3.9351199999999955</c:v>
                </c:pt>
                <c:pt idx="42">
                  <c:v>3.7101599999999957</c:v>
                </c:pt>
                <c:pt idx="43">
                  <c:v>3.4809199999999958</c:v>
                </c:pt>
                <c:pt idx="44">
                  <c:v>3.2473999999999958</c:v>
                </c:pt>
                <c:pt idx="45">
                  <c:v>3.0095999999999958</c:v>
                </c:pt>
                <c:pt idx="46">
                  <c:v>2.7675199999999958</c:v>
                </c:pt>
                <c:pt idx="47">
                  <c:v>2.5211599999999956</c:v>
                </c:pt>
                <c:pt idx="48">
                  <c:v>2.2705199999999954</c:v>
                </c:pt>
                <c:pt idx="49">
                  <c:v>2.0155999999999952</c:v>
                </c:pt>
                <c:pt idx="50">
                  <c:v>1.7563999999999951</c:v>
                </c:pt>
                <c:pt idx="51">
                  <c:v>1.4929199999999949</c:v>
                </c:pt>
                <c:pt idx="52">
                  <c:v>1.2251599999999949</c:v>
                </c:pt>
                <c:pt idx="53">
                  <c:v>0.95311999999999486</c:v>
                </c:pt>
                <c:pt idx="54">
                  <c:v>0.67679999999999474</c:v>
                </c:pt>
                <c:pt idx="55">
                  <c:v>0.39619999999999472</c:v>
                </c:pt>
                <c:pt idx="56">
                  <c:v>0.1113199999999947</c:v>
                </c:pt>
                <c:pt idx="57">
                  <c:v>-0.17784000000000538</c:v>
                </c:pt>
                <c:pt idx="58">
                  <c:v>-0.47128000000000547</c:v>
                </c:pt>
                <c:pt idx="59">
                  <c:v>-0.76900000000000546</c:v>
                </c:pt>
                <c:pt idx="60">
                  <c:v>-1.0710000000000055</c:v>
                </c:pt>
                <c:pt idx="61">
                  <c:v>-1.3772800000000056</c:v>
                </c:pt>
                <c:pt idx="62">
                  <c:v>-1.6878400000000058</c:v>
                </c:pt>
                <c:pt idx="63">
                  <c:v>-2.002680000000006</c:v>
                </c:pt>
                <c:pt idx="64">
                  <c:v>-2.3218000000000059</c:v>
                </c:pt>
                <c:pt idx="65">
                  <c:v>-2.6452000000000062</c:v>
                </c:pt>
                <c:pt idx="66">
                  <c:v>-2.9728800000000062</c:v>
                </c:pt>
                <c:pt idx="67">
                  <c:v>-3.3048400000000062</c:v>
                </c:pt>
                <c:pt idx="68">
                  <c:v>-3.6410800000000063</c:v>
                </c:pt>
                <c:pt idx="69">
                  <c:v>-3.9816000000000065</c:v>
                </c:pt>
                <c:pt idx="70">
                  <c:v>-4.3264000000000067</c:v>
                </c:pt>
                <c:pt idx="71">
                  <c:v>-4.6754800000000065</c:v>
                </c:pt>
                <c:pt idx="72">
                  <c:v>-5.0288400000000069</c:v>
                </c:pt>
                <c:pt idx="73">
                  <c:v>-5.3864800000000068</c:v>
                </c:pt>
                <c:pt idx="74">
                  <c:v>-5.7484000000000073</c:v>
                </c:pt>
                <c:pt idx="75">
                  <c:v>-6.1146000000000074</c:v>
                </c:pt>
                <c:pt idx="76">
                  <c:v>-6.4850800000000071</c:v>
                </c:pt>
                <c:pt idx="77">
                  <c:v>-6.8598400000000073</c:v>
                </c:pt>
                <c:pt idx="78">
                  <c:v>-7.2388800000000071</c:v>
                </c:pt>
                <c:pt idx="79">
                  <c:v>-7.6222000000000074</c:v>
                </c:pt>
                <c:pt idx="80">
                  <c:v>-8.0098000000000074</c:v>
                </c:pt>
                <c:pt idx="81">
                  <c:v>-8.4016800000000078</c:v>
                </c:pt>
                <c:pt idx="82">
                  <c:v>-8.7978400000000079</c:v>
                </c:pt>
                <c:pt idx="83">
                  <c:v>-9.1982800000000076</c:v>
                </c:pt>
                <c:pt idx="84">
                  <c:v>-9.6030000000000069</c:v>
                </c:pt>
                <c:pt idx="85">
                  <c:v>-10.012000000000008</c:v>
                </c:pt>
                <c:pt idx="86">
                  <c:v>-10.425280000000008</c:v>
                </c:pt>
                <c:pt idx="87">
                  <c:v>-10.842840000000008</c:v>
                </c:pt>
                <c:pt idx="88">
                  <c:v>-11.264680000000007</c:v>
                </c:pt>
                <c:pt idx="89">
                  <c:v>-11.690800000000007</c:v>
                </c:pt>
                <c:pt idx="90">
                  <c:v>-12.121200000000007</c:v>
                </c:pt>
                <c:pt idx="91">
                  <c:v>-12.555880000000007</c:v>
                </c:pt>
                <c:pt idx="92">
                  <c:v>-12.994840000000007</c:v>
                </c:pt>
                <c:pt idx="93">
                  <c:v>-13.438080000000006</c:v>
                </c:pt>
                <c:pt idx="94">
                  <c:v>-13.885600000000007</c:v>
                </c:pt>
                <c:pt idx="95">
                  <c:v>-14.337400000000008</c:v>
                </c:pt>
                <c:pt idx="96">
                  <c:v>-14.793480000000008</c:v>
                </c:pt>
                <c:pt idx="97">
                  <c:v>-15.253840000000007</c:v>
                </c:pt>
                <c:pt idx="98">
                  <c:v>-15.718480000000007</c:v>
                </c:pt>
                <c:pt idx="99">
                  <c:v>-16.187400000000007</c:v>
                </c:pt>
                <c:pt idx="100">
                  <c:v>-16.660600000000006</c:v>
                </c:pt>
                <c:pt idx="101">
                  <c:v>-17.138080000000006</c:v>
                </c:pt>
                <c:pt idx="102">
                  <c:v>-17.619840000000007</c:v>
                </c:pt>
                <c:pt idx="103">
                  <c:v>-18.105880000000006</c:v>
                </c:pt>
                <c:pt idx="104">
                  <c:v>-18.596200000000007</c:v>
                </c:pt>
                <c:pt idx="105">
                  <c:v>-19.090800000000005</c:v>
                </c:pt>
                <c:pt idx="106">
                  <c:v>-19.589680000000005</c:v>
                </c:pt>
                <c:pt idx="107">
                  <c:v>-20.092840000000006</c:v>
                </c:pt>
                <c:pt idx="108">
                  <c:v>-20.600280000000005</c:v>
                </c:pt>
                <c:pt idx="109">
                  <c:v>-21.112000000000005</c:v>
                </c:pt>
                <c:pt idx="110">
                  <c:v>-21.628000000000007</c:v>
                </c:pt>
              </c:numCache>
            </c:numRef>
          </c:yVal>
          <c:smooth val="0"/>
          <c:extLst>
            <c:ext xmlns:c16="http://schemas.microsoft.com/office/drawing/2014/chart" uri="{C3380CC4-5D6E-409C-BE32-E72D297353CC}">
              <c16:uniqueId val="{00000001-F08A-4181-84DD-95AD36E32434}"/>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08669580374099"/>
                  <c:y val="-0.6740547159187394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cumulative_LWG!$AI$3:$AI$202</c:f>
              <c:numCache>
                <c:formatCode>0.000</c:formatCode>
                <c:ptCount val="200"/>
                <c:pt idx="0">
                  <c:v>0.29486000000000001</c:v>
                </c:pt>
                <c:pt idx="1">
                  <c:v>0.5845800000000001</c:v>
                </c:pt>
                <c:pt idx="2">
                  <c:v>0.86916000000000015</c:v>
                </c:pt>
                <c:pt idx="3">
                  <c:v>1.1486000000000001</c:v>
                </c:pt>
                <c:pt idx="4">
                  <c:v>1.4229000000000001</c:v>
                </c:pt>
                <c:pt idx="5">
                  <c:v>1.6920600000000001</c:v>
                </c:pt>
                <c:pt idx="6">
                  <c:v>1.95608</c:v>
                </c:pt>
                <c:pt idx="7">
                  <c:v>2.21496</c:v>
                </c:pt>
                <c:pt idx="8">
                  <c:v>2.4687000000000001</c:v>
                </c:pt>
                <c:pt idx="9">
                  <c:v>2.7173000000000003</c:v>
                </c:pt>
                <c:pt idx="10">
                  <c:v>2.9607600000000005</c:v>
                </c:pt>
                <c:pt idx="11">
                  <c:v>3.1990800000000004</c:v>
                </c:pt>
                <c:pt idx="12">
                  <c:v>3.4322600000000003</c:v>
                </c:pt>
                <c:pt idx="13">
                  <c:v>3.6603000000000003</c:v>
                </c:pt>
                <c:pt idx="14">
                  <c:v>3.8832000000000004</c:v>
                </c:pt>
                <c:pt idx="15">
                  <c:v>4.1009600000000006</c:v>
                </c:pt>
                <c:pt idx="16">
                  <c:v>4.3135800000000009</c:v>
                </c:pt>
                <c:pt idx="17">
                  <c:v>4.5210600000000012</c:v>
                </c:pt>
                <c:pt idx="18">
                  <c:v>4.7234000000000016</c:v>
                </c:pt>
                <c:pt idx="19">
                  <c:v>4.9206000000000012</c:v>
                </c:pt>
                <c:pt idx="20">
                  <c:v>5.1126600000000009</c:v>
                </c:pt>
                <c:pt idx="21">
                  <c:v>5.2995800000000006</c:v>
                </c:pt>
                <c:pt idx="22">
                  <c:v>5.4813600000000005</c:v>
                </c:pt>
                <c:pt idx="23">
                  <c:v>5.6580000000000004</c:v>
                </c:pt>
                <c:pt idx="24">
                  <c:v>5.8295000000000003</c:v>
                </c:pt>
                <c:pt idx="25">
                  <c:v>5.9958600000000004</c:v>
                </c:pt>
                <c:pt idx="26">
                  <c:v>6.1570800000000006</c:v>
                </c:pt>
                <c:pt idx="27">
                  <c:v>6.3131600000000008</c:v>
                </c:pt>
                <c:pt idx="28">
                  <c:v>6.4641000000000011</c:v>
                </c:pt>
                <c:pt idx="29">
                  <c:v>6.6099000000000014</c:v>
                </c:pt>
                <c:pt idx="30">
                  <c:v>6.7505600000000019</c:v>
                </c:pt>
                <c:pt idx="31">
                  <c:v>6.8860800000000015</c:v>
                </c:pt>
                <c:pt idx="32">
                  <c:v>7.0164600000000013</c:v>
                </c:pt>
                <c:pt idx="33">
                  <c:v>7.141700000000001</c:v>
                </c:pt>
                <c:pt idx="34">
                  <c:v>7.2618000000000009</c:v>
                </c:pt>
                <c:pt idx="35">
                  <c:v>7.3767600000000009</c:v>
                </c:pt>
                <c:pt idx="36">
                  <c:v>7.4865800000000009</c:v>
                </c:pt>
                <c:pt idx="37">
                  <c:v>7.591260000000001</c:v>
                </c:pt>
                <c:pt idx="38">
                  <c:v>7.6908000000000012</c:v>
                </c:pt>
                <c:pt idx="39">
                  <c:v>7.7852000000000015</c:v>
                </c:pt>
                <c:pt idx="40">
                  <c:v>7.8744600000000018</c:v>
                </c:pt>
                <c:pt idx="41">
                  <c:v>7.9585800000000022</c:v>
                </c:pt>
                <c:pt idx="42">
                  <c:v>8.0375600000000027</c:v>
                </c:pt>
                <c:pt idx="43">
                  <c:v>8.1114000000000033</c:v>
                </c:pt>
                <c:pt idx="44">
                  <c:v>8.180100000000003</c:v>
                </c:pt>
                <c:pt idx="45">
                  <c:v>8.2436600000000038</c:v>
                </c:pt>
                <c:pt idx="46">
                  <c:v>8.3020800000000037</c:v>
                </c:pt>
                <c:pt idx="47">
                  <c:v>8.3553600000000046</c:v>
                </c:pt>
                <c:pt idx="48">
                  <c:v>8.4035000000000046</c:v>
                </c:pt>
                <c:pt idx="49">
                  <c:v>8.4465000000000039</c:v>
                </c:pt>
                <c:pt idx="50">
                  <c:v>8.4843600000000041</c:v>
                </c:pt>
                <c:pt idx="51">
                  <c:v>8.5170800000000035</c:v>
                </c:pt>
                <c:pt idx="52">
                  <c:v>8.5446600000000039</c:v>
                </c:pt>
                <c:pt idx="53">
                  <c:v>8.5671000000000035</c:v>
                </c:pt>
                <c:pt idx="54">
                  <c:v>8.584400000000004</c:v>
                </c:pt>
                <c:pt idx="55">
                  <c:v>8.5965600000000038</c:v>
                </c:pt>
                <c:pt idx="56">
                  <c:v>8.6035800000000044</c:v>
                </c:pt>
                <c:pt idx="57">
                  <c:v>8.6054600000000043</c:v>
                </c:pt>
                <c:pt idx="58">
                  <c:v>8.6022000000000052</c:v>
                </c:pt>
                <c:pt idx="59">
                  <c:v>8.5938000000000052</c:v>
                </c:pt>
                <c:pt idx="60">
                  <c:v>8.5802600000000044</c:v>
                </c:pt>
                <c:pt idx="61">
                  <c:v>8.5615800000000046</c:v>
                </c:pt>
                <c:pt idx="62">
                  <c:v>8.537760000000004</c:v>
                </c:pt>
                <c:pt idx="63">
                  <c:v>8.5088000000000044</c:v>
                </c:pt>
                <c:pt idx="64">
                  <c:v>8.4747000000000039</c:v>
                </c:pt>
                <c:pt idx="65">
                  <c:v>8.4354600000000044</c:v>
                </c:pt>
                <c:pt idx="66">
                  <c:v>8.3910800000000041</c:v>
                </c:pt>
                <c:pt idx="67">
                  <c:v>8.3415600000000047</c:v>
                </c:pt>
                <c:pt idx="68">
                  <c:v>8.2869000000000046</c:v>
                </c:pt>
                <c:pt idx="69">
                  <c:v>8.2271000000000054</c:v>
                </c:pt>
                <c:pt idx="70">
                  <c:v>8.1621600000000054</c:v>
                </c:pt>
                <c:pt idx="71">
                  <c:v>8.0920800000000046</c:v>
                </c:pt>
                <c:pt idx="72">
                  <c:v>8.0168600000000048</c:v>
                </c:pt>
                <c:pt idx="73">
                  <c:v>7.936500000000005</c:v>
                </c:pt>
                <c:pt idx="74">
                  <c:v>7.8510000000000053</c:v>
                </c:pt>
                <c:pt idx="75">
                  <c:v>7.7603600000000057</c:v>
                </c:pt>
                <c:pt idx="76">
                  <c:v>7.6645800000000062</c:v>
                </c:pt>
                <c:pt idx="77">
                  <c:v>7.5636600000000058</c:v>
                </c:pt>
                <c:pt idx="78">
                  <c:v>7.4576000000000056</c:v>
                </c:pt>
                <c:pt idx="79">
                  <c:v>7.3464000000000054</c:v>
                </c:pt>
                <c:pt idx="80">
                  <c:v>7.2300600000000053</c:v>
                </c:pt>
                <c:pt idx="81">
                  <c:v>7.1085800000000052</c:v>
                </c:pt>
                <c:pt idx="82">
                  <c:v>6.9819600000000053</c:v>
                </c:pt>
                <c:pt idx="83">
                  <c:v>6.8502000000000054</c:v>
                </c:pt>
                <c:pt idx="84">
                  <c:v>6.7133000000000056</c:v>
                </c:pt>
                <c:pt idx="85">
                  <c:v>6.5712600000000059</c:v>
                </c:pt>
                <c:pt idx="86">
                  <c:v>6.4240800000000062</c:v>
                </c:pt>
                <c:pt idx="87">
                  <c:v>6.2717600000000067</c:v>
                </c:pt>
                <c:pt idx="88">
                  <c:v>6.1143000000000063</c:v>
                </c:pt>
                <c:pt idx="89">
                  <c:v>5.951700000000006</c:v>
                </c:pt>
                <c:pt idx="90">
                  <c:v>5.8239600000000058</c:v>
                </c:pt>
                <c:pt idx="91">
                  <c:v>5.6910800000000057</c:v>
                </c:pt>
                <c:pt idx="92">
                  <c:v>5.5530600000000057</c:v>
                </c:pt>
                <c:pt idx="93">
                  <c:v>5.4099000000000057</c:v>
                </c:pt>
                <c:pt idx="94">
                  <c:v>5.2616000000000058</c:v>
                </c:pt>
                <c:pt idx="95">
                  <c:v>5.108160000000006</c:v>
                </c:pt>
                <c:pt idx="96">
                  <c:v>4.9495800000000063</c:v>
                </c:pt>
                <c:pt idx="97">
                  <c:v>4.7858600000000067</c:v>
                </c:pt>
                <c:pt idx="98">
                  <c:v>4.6170000000000071</c:v>
                </c:pt>
                <c:pt idx="99">
                  <c:v>4.4430000000000067</c:v>
                </c:pt>
                <c:pt idx="100">
                  <c:v>4.2638600000000064</c:v>
                </c:pt>
                <c:pt idx="101">
                  <c:v>4.0795800000000062</c:v>
                </c:pt>
                <c:pt idx="102">
                  <c:v>3.8901600000000061</c:v>
                </c:pt>
                <c:pt idx="103">
                  <c:v>3.695600000000006</c:v>
                </c:pt>
                <c:pt idx="104">
                  <c:v>3.495900000000006</c:v>
                </c:pt>
                <c:pt idx="105">
                  <c:v>3.2910600000000061</c:v>
                </c:pt>
                <c:pt idx="106">
                  <c:v>3.0810800000000063</c:v>
                </c:pt>
                <c:pt idx="107">
                  <c:v>2.8659600000000061</c:v>
                </c:pt>
                <c:pt idx="108">
                  <c:v>2.6457000000000059</c:v>
                </c:pt>
                <c:pt idx="109">
                  <c:v>2.4203000000000059</c:v>
                </c:pt>
                <c:pt idx="110">
                  <c:v>2.1897600000000059</c:v>
                </c:pt>
                <c:pt idx="111">
                  <c:v>1.954080000000006</c:v>
                </c:pt>
                <c:pt idx="112">
                  <c:v>1.713260000000006</c:v>
                </c:pt>
                <c:pt idx="113">
                  <c:v>1.467300000000006</c:v>
                </c:pt>
                <c:pt idx="114">
                  <c:v>1.2162000000000062</c:v>
                </c:pt>
                <c:pt idx="115">
                  <c:v>0.95996000000000614</c:v>
                </c:pt>
                <c:pt idx="116">
                  <c:v>0.6985800000000062</c:v>
                </c:pt>
                <c:pt idx="117">
                  <c:v>0.43206000000000622</c:v>
                </c:pt>
                <c:pt idx="118">
                  <c:v>0.1604000000000062</c:v>
                </c:pt>
                <c:pt idx="119">
                  <c:v>-0.11639999999999379</c:v>
                </c:pt>
                <c:pt idx="120">
                  <c:v>-0.39833999999999375</c:v>
                </c:pt>
                <c:pt idx="121">
                  <c:v>-0.6854199999999937</c:v>
                </c:pt>
                <c:pt idx="122">
                  <c:v>-0.97763999999999363</c:v>
                </c:pt>
                <c:pt idx="123">
                  <c:v>-1.2749999999999937</c:v>
                </c:pt>
                <c:pt idx="124">
                  <c:v>-1.5774999999999937</c:v>
                </c:pt>
                <c:pt idx="125">
                  <c:v>-1.8851399999999936</c:v>
                </c:pt>
                <c:pt idx="126">
                  <c:v>-2.1979199999999937</c:v>
                </c:pt>
                <c:pt idx="127">
                  <c:v>-2.5158399999999936</c:v>
                </c:pt>
                <c:pt idx="128">
                  <c:v>-2.8388999999999935</c:v>
                </c:pt>
                <c:pt idx="129">
                  <c:v>-3.1670999999999934</c:v>
                </c:pt>
                <c:pt idx="130">
                  <c:v>-3.5004399999999931</c:v>
                </c:pt>
                <c:pt idx="131">
                  <c:v>-3.8389199999999932</c:v>
                </c:pt>
                <c:pt idx="132">
                  <c:v>-4.1825399999999933</c:v>
                </c:pt>
                <c:pt idx="133">
                  <c:v>-4.5312999999999937</c:v>
                </c:pt>
                <c:pt idx="134">
                  <c:v>-4.885199999999994</c:v>
                </c:pt>
                <c:pt idx="135">
                  <c:v>-5.2442399999999942</c:v>
                </c:pt>
                <c:pt idx="136">
                  <c:v>-5.6084199999999944</c:v>
                </c:pt>
                <c:pt idx="137">
                  <c:v>-5.9777399999999945</c:v>
                </c:pt>
                <c:pt idx="138">
                  <c:v>-6.3521999999999945</c:v>
                </c:pt>
                <c:pt idx="139">
                  <c:v>-6.7317999999999945</c:v>
                </c:pt>
                <c:pt idx="140">
                  <c:v>-7.1165399999999943</c:v>
                </c:pt>
                <c:pt idx="141">
                  <c:v>-7.5064199999999941</c:v>
                </c:pt>
                <c:pt idx="142">
                  <c:v>-7.9014399999999938</c:v>
                </c:pt>
                <c:pt idx="143">
                  <c:v>-8.3015999999999934</c:v>
                </c:pt>
                <c:pt idx="144">
                  <c:v>-8.7068999999999939</c:v>
                </c:pt>
                <c:pt idx="145">
                  <c:v>-9.1173399999999933</c:v>
                </c:pt>
                <c:pt idx="146">
                  <c:v>-9.5329199999999936</c:v>
                </c:pt>
                <c:pt idx="147">
                  <c:v>-9.9536399999999929</c:v>
                </c:pt>
                <c:pt idx="148">
                  <c:v>-10.379499999999993</c:v>
                </c:pt>
                <c:pt idx="149">
                  <c:v>-10.810499999999992</c:v>
                </c:pt>
                <c:pt idx="150">
                  <c:v>-11.246639999999992</c:v>
                </c:pt>
                <c:pt idx="151">
                  <c:v>-11.687919999999993</c:v>
                </c:pt>
                <c:pt idx="152">
                  <c:v>-12.134339999999993</c:v>
                </c:pt>
                <c:pt idx="153">
                  <c:v>-12.585899999999993</c:v>
                </c:pt>
                <c:pt idx="154">
                  <c:v>-13.042599999999993</c:v>
                </c:pt>
                <c:pt idx="155">
                  <c:v>-13.504439999999994</c:v>
                </c:pt>
                <c:pt idx="156">
                  <c:v>-13.971419999999993</c:v>
                </c:pt>
                <c:pt idx="157">
                  <c:v>-14.443539999999993</c:v>
                </c:pt>
                <c:pt idx="158">
                  <c:v>-14.920799999999993</c:v>
                </c:pt>
                <c:pt idx="159">
                  <c:v>-15.403199999999993</c:v>
                </c:pt>
                <c:pt idx="160">
                  <c:v>-15.890739999999992</c:v>
                </c:pt>
                <c:pt idx="161">
                  <c:v>-16.38341999999999</c:v>
                </c:pt>
                <c:pt idx="162">
                  <c:v>-16.881239999999991</c:v>
                </c:pt>
                <c:pt idx="163">
                  <c:v>-17.384199999999993</c:v>
                </c:pt>
                <c:pt idx="164">
                  <c:v>-17.892299999999992</c:v>
                </c:pt>
                <c:pt idx="165">
                  <c:v>-18.405539999999991</c:v>
                </c:pt>
                <c:pt idx="166">
                  <c:v>-18.923919999999992</c:v>
                </c:pt>
                <c:pt idx="167">
                  <c:v>-19.447439999999993</c:v>
                </c:pt>
                <c:pt idx="168">
                  <c:v>-19.976099999999992</c:v>
                </c:pt>
                <c:pt idx="169">
                  <c:v>-20.509899999999991</c:v>
                </c:pt>
                <c:pt idx="170">
                  <c:v>-21.048839999999991</c:v>
                </c:pt>
                <c:pt idx="171">
                  <c:v>-21.592919999999992</c:v>
                </c:pt>
                <c:pt idx="172">
                  <c:v>-22.142139999999991</c:v>
                </c:pt>
                <c:pt idx="173">
                  <c:v>-22.69649999999999</c:v>
                </c:pt>
                <c:pt idx="174">
                  <c:v>-23.25599999999999</c:v>
                </c:pt>
                <c:pt idx="175">
                  <c:v>-23.82063999999999</c:v>
                </c:pt>
                <c:pt idx="176">
                  <c:v>-24.390419999999992</c:v>
                </c:pt>
                <c:pt idx="177">
                  <c:v>-24.965339999999991</c:v>
                </c:pt>
                <c:pt idx="178">
                  <c:v>-25.54539999999999</c:v>
                </c:pt>
                <c:pt idx="179">
                  <c:v>-26.130599999999991</c:v>
                </c:pt>
                <c:pt idx="180">
                  <c:v>-26.720939999999992</c:v>
                </c:pt>
                <c:pt idx="181">
                  <c:v>-27.31641999999999</c:v>
                </c:pt>
                <c:pt idx="182">
                  <c:v>-27.917039999999989</c:v>
                </c:pt>
                <c:pt idx="183">
                  <c:v>-28.522799999999989</c:v>
                </c:pt>
                <c:pt idx="184">
                  <c:v>-29.13369999999999</c:v>
                </c:pt>
                <c:pt idx="185">
                  <c:v>-29.749739999999989</c:v>
                </c:pt>
                <c:pt idx="186">
                  <c:v>-30.370919999999987</c:v>
                </c:pt>
                <c:pt idx="187">
                  <c:v>-30.997239999999987</c:v>
                </c:pt>
                <c:pt idx="188">
                  <c:v>-31.628699999999988</c:v>
                </c:pt>
                <c:pt idx="189">
                  <c:v>-32.265299999999989</c:v>
                </c:pt>
                <c:pt idx="190">
                  <c:v>-32.907039999999988</c:v>
                </c:pt>
                <c:pt idx="191">
                  <c:v>-33.553919999999991</c:v>
                </c:pt>
                <c:pt idx="192">
                  <c:v>-34.205939999999991</c:v>
                </c:pt>
                <c:pt idx="193">
                  <c:v>-34.863099999999989</c:v>
                </c:pt>
                <c:pt idx="194">
                  <c:v>-35.525399999999991</c:v>
                </c:pt>
                <c:pt idx="195">
                  <c:v>-36.19283999999999</c:v>
                </c:pt>
                <c:pt idx="196">
                  <c:v>-36.865419999999986</c:v>
                </c:pt>
                <c:pt idx="197">
                  <c:v>-37.543139999999987</c:v>
                </c:pt>
                <c:pt idx="198">
                  <c:v>-38.225999999999985</c:v>
                </c:pt>
                <c:pt idx="199">
                  <c:v>-38.913999999999987</c:v>
                </c:pt>
              </c:numCache>
            </c:numRef>
          </c:yVal>
          <c:smooth val="0"/>
          <c:extLst>
            <c:ext xmlns:c16="http://schemas.microsoft.com/office/drawing/2014/chart" uri="{C3380CC4-5D6E-409C-BE32-E72D297353CC}">
              <c16:uniqueId val="{00000001-B078-4504-9BC8-EDC5323675CD}"/>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55052493438321"/>
                  <c:y val="-0.494509696704578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cumulative_LWG!$A$3:$B$92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cumulative_LWG!$AI$3:$AI$92</c:f>
              <c:numCache>
                <c:formatCode>0.000</c:formatCode>
                <c:ptCount val="90"/>
                <c:pt idx="0">
                  <c:v>0.29486000000000001</c:v>
                </c:pt>
                <c:pt idx="1">
                  <c:v>0.5845800000000001</c:v>
                </c:pt>
                <c:pt idx="2">
                  <c:v>0.86916000000000015</c:v>
                </c:pt>
                <c:pt idx="3">
                  <c:v>1.1486000000000001</c:v>
                </c:pt>
                <c:pt idx="4">
                  <c:v>1.4229000000000001</c:v>
                </c:pt>
                <c:pt idx="5">
                  <c:v>1.6920600000000001</c:v>
                </c:pt>
                <c:pt idx="6">
                  <c:v>1.95608</c:v>
                </c:pt>
                <c:pt idx="7">
                  <c:v>2.21496</c:v>
                </c:pt>
                <c:pt idx="8">
                  <c:v>2.4687000000000001</c:v>
                </c:pt>
                <c:pt idx="9">
                  <c:v>2.7173000000000003</c:v>
                </c:pt>
                <c:pt idx="10">
                  <c:v>2.9607600000000005</c:v>
                </c:pt>
                <c:pt idx="11">
                  <c:v>3.1990800000000004</c:v>
                </c:pt>
                <c:pt idx="12">
                  <c:v>3.4322600000000003</c:v>
                </c:pt>
                <c:pt idx="13">
                  <c:v>3.6603000000000003</c:v>
                </c:pt>
                <c:pt idx="14">
                  <c:v>3.8832000000000004</c:v>
                </c:pt>
                <c:pt idx="15">
                  <c:v>4.1009600000000006</c:v>
                </c:pt>
                <c:pt idx="16">
                  <c:v>4.3135800000000009</c:v>
                </c:pt>
                <c:pt idx="17">
                  <c:v>4.5210600000000012</c:v>
                </c:pt>
                <c:pt idx="18">
                  <c:v>4.7234000000000016</c:v>
                </c:pt>
                <c:pt idx="19">
                  <c:v>4.9206000000000012</c:v>
                </c:pt>
                <c:pt idx="20">
                  <c:v>5.1126600000000009</c:v>
                </c:pt>
                <c:pt idx="21">
                  <c:v>5.2995800000000006</c:v>
                </c:pt>
                <c:pt idx="22">
                  <c:v>5.4813600000000005</c:v>
                </c:pt>
                <c:pt idx="23">
                  <c:v>5.6580000000000004</c:v>
                </c:pt>
                <c:pt idx="24">
                  <c:v>5.8295000000000003</c:v>
                </c:pt>
                <c:pt idx="25">
                  <c:v>5.9958600000000004</c:v>
                </c:pt>
                <c:pt idx="26">
                  <c:v>6.1570800000000006</c:v>
                </c:pt>
                <c:pt idx="27">
                  <c:v>6.3131600000000008</c:v>
                </c:pt>
                <c:pt idx="28">
                  <c:v>6.4641000000000011</c:v>
                </c:pt>
                <c:pt idx="29">
                  <c:v>6.6099000000000014</c:v>
                </c:pt>
                <c:pt idx="30">
                  <c:v>6.7505600000000019</c:v>
                </c:pt>
                <c:pt idx="31">
                  <c:v>6.8860800000000015</c:v>
                </c:pt>
                <c:pt idx="32">
                  <c:v>7.0164600000000013</c:v>
                </c:pt>
                <c:pt idx="33">
                  <c:v>7.141700000000001</c:v>
                </c:pt>
                <c:pt idx="34">
                  <c:v>7.2618000000000009</c:v>
                </c:pt>
                <c:pt idx="35">
                  <c:v>7.3767600000000009</c:v>
                </c:pt>
                <c:pt idx="36">
                  <c:v>7.4865800000000009</c:v>
                </c:pt>
                <c:pt idx="37">
                  <c:v>7.591260000000001</c:v>
                </c:pt>
                <c:pt idx="38">
                  <c:v>7.6908000000000012</c:v>
                </c:pt>
                <c:pt idx="39">
                  <c:v>7.7852000000000015</c:v>
                </c:pt>
                <c:pt idx="40">
                  <c:v>7.8744600000000018</c:v>
                </c:pt>
                <c:pt idx="41">
                  <c:v>7.9585800000000022</c:v>
                </c:pt>
                <c:pt idx="42">
                  <c:v>8.0375600000000027</c:v>
                </c:pt>
                <c:pt idx="43">
                  <c:v>8.1114000000000033</c:v>
                </c:pt>
                <c:pt idx="44">
                  <c:v>8.180100000000003</c:v>
                </c:pt>
                <c:pt idx="45">
                  <c:v>8.2436600000000038</c:v>
                </c:pt>
                <c:pt idx="46">
                  <c:v>8.3020800000000037</c:v>
                </c:pt>
                <c:pt idx="47">
                  <c:v>8.3553600000000046</c:v>
                </c:pt>
                <c:pt idx="48">
                  <c:v>8.4035000000000046</c:v>
                </c:pt>
                <c:pt idx="49">
                  <c:v>8.4465000000000039</c:v>
                </c:pt>
                <c:pt idx="50">
                  <c:v>8.4843600000000041</c:v>
                </c:pt>
                <c:pt idx="51">
                  <c:v>8.5170800000000035</c:v>
                </c:pt>
                <c:pt idx="52">
                  <c:v>8.5446600000000039</c:v>
                </c:pt>
                <c:pt idx="53">
                  <c:v>8.5671000000000035</c:v>
                </c:pt>
                <c:pt idx="54">
                  <c:v>8.584400000000004</c:v>
                </c:pt>
                <c:pt idx="55">
                  <c:v>8.5965600000000038</c:v>
                </c:pt>
                <c:pt idx="56">
                  <c:v>8.6035800000000044</c:v>
                </c:pt>
                <c:pt idx="57">
                  <c:v>8.6054600000000043</c:v>
                </c:pt>
                <c:pt idx="58">
                  <c:v>8.6022000000000052</c:v>
                </c:pt>
                <c:pt idx="59">
                  <c:v>8.5938000000000052</c:v>
                </c:pt>
                <c:pt idx="60">
                  <c:v>8.5802600000000044</c:v>
                </c:pt>
                <c:pt idx="61">
                  <c:v>8.5615800000000046</c:v>
                </c:pt>
                <c:pt idx="62">
                  <c:v>8.537760000000004</c:v>
                </c:pt>
                <c:pt idx="63">
                  <c:v>8.5088000000000044</c:v>
                </c:pt>
                <c:pt idx="64">
                  <c:v>8.4747000000000039</c:v>
                </c:pt>
                <c:pt idx="65">
                  <c:v>8.4354600000000044</c:v>
                </c:pt>
                <c:pt idx="66">
                  <c:v>8.3910800000000041</c:v>
                </c:pt>
                <c:pt idx="67">
                  <c:v>8.3415600000000047</c:v>
                </c:pt>
                <c:pt idx="68">
                  <c:v>8.2869000000000046</c:v>
                </c:pt>
                <c:pt idx="69">
                  <c:v>8.2271000000000054</c:v>
                </c:pt>
                <c:pt idx="70">
                  <c:v>8.1621600000000054</c:v>
                </c:pt>
                <c:pt idx="71">
                  <c:v>8.0920800000000046</c:v>
                </c:pt>
                <c:pt idx="72">
                  <c:v>8.0168600000000048</c:v>
                </c:pt>
                <c:pt idx="73">
                  <c:v>7.936500000000005</c:v>
                </c:pt>
                <c:pt idx="74">
                  <c:v>7.8510000000000053</c:v>
                </c:pt>
                <c:pt idx="75">
                  <c:v>7.7603600000000057</c:v>
                </c:pt>
                <c:pt idx="76">
                  <c:v>7.6645800000000062</c:v>
                </c:pt>
                <c:pt idx="77">
                  <c:v>7.5636600000000058</c:v>
                </c:pt>
                <c:pt idx="78">
                  <c:v>7.4576000000000056</c:v>
                </c:pt>
                <c:pt idx="79">
                  <c:v>7.3464000000000054</c:v>
                </c:pt>
                <c:pt idx="80">
                  <c:v>7.2300600000000053</c:v>
                </c:pt>
                <c:pt idx="81">
                  <c:v>7.1085800000000052</c:v>
                </c:pt>
                <c:pt idx="82">
                  <c:v>6.9819600000000053</c:v>
                </c:pt>
                <c:pt idx="83">
                  <c:v>6.8502000000000054</c:v>
                </c:pt>
                <c:pt idx="84">
                  <c:v>6.7133000000000056</c:v>
                </c:pt>
                <c:pt idx="85">
                  <c:v>6.5712600000000059</c:v>
                </c:pt>
                <c:pt idx="86">
                  <c:v>6.4240800000000062</c:v>
                </c:pt>
                <c:pt idx="87">
                  <c:v>6.2717600000000067</c:v>
                </c:pt>
                <c:pt idx="88">
                  <c:v>6.1143000000000063</c:v>
                </c:pt>
                <c:pt idx="89">
                  <c:v>5.951700000000006</c:v>
                </c:pt>
              </c:numCache>
            </c:numRef>
          </c:yVal>
          <c:smooth val="0"/>
          <c:extLst>
            <c:ext xmlns:c16="http://schemas.microsoft.com/office/drawing/2014/chart" uri="{C3380CC4-5D6E-409C-BE32-E72D297353CC}">
              <c16:uniqueId val="{00000001-68F7-4CC3-A4C8-B9B92979DC00}"/>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97034048023496"/>
                  <c:y val="-0.7386363026982580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cumulative_LWG!$AI$92:$AI$202</c:f>
              <c:numCache>
                <c:formatCode>0.000</c:formatCode>
                <c:ptCount val="111"/>
                <c:pt idx="0">
                  <c:v>5.951700000000006</c:v>
                </c:pt>
                <c:pt idx="1">
                  <c:v>5.8239600000000058</c:v>
                </c:pt>
                <c:pt idx="2">
                  <c:v>5.6910800000000057</c:v>
                </c:pt>
                <c:pt idx="3">
                  <c:v>5.5530600000000057</c:v>
                </c:pt>
                <c:pt idx="4">
                  <c:v>5.4099000000000057</c:v>
                </c:pt>
                <c:pt idx="5">
                  <c:v>5.2616000000000058</c:v>
                </c:pt>
                <c:pt idx="6">
                  <c:v>5.108160000000006</c:v>
                </c:pt>
                <c:pt idx="7">
                  <c:v>4.9495800000000063</c:v>
                </c:pt>
                <c:pt idx="8">
                  <c:v>4.7858600000000067</c:v>
                </c:pt>
                <c:pt idx="9">
                  <c:v>4.6170000000000071</c:v>
                </c:pt>
                <c:pt idx="10">
                  <c:v>4.4430000000000067</c:v>
                </c:pt>
                <c:pt idx="11">
                  <c:v>4.2638600000000064</c:v>
                </c:pt>
                <c:pt idx="12">
                  <c:v>4.0795800000000062</c:v>
                </c:pt>
                <c:pt idx="13">
                  <c:v>3.8901600000000061</c:v>
                </c:pt>
                <c:pt idx="14">
                  <c:v>3.695600000000006</c:v>
                </c:pt>
                <c:pt idx="15">
                  <c:v>3.495900000000006</c:v>
                </c:pt>
                <c:pt idx="16">
                  <c:v>3.2910600000000061</c:v>
                </c:pt>
                <c:pt idx="17">
                  <c:v>3.0810800000000063</c:v>
                </c:pt>
                <c:pt idx="18">
                  <c:v>2.8659600000000061</c:v>
                </c:pt>
                <c:pt idx="19">
                  <c:v>2.6457000000000059</c:v>
                </c:pt>
                <c:pt idx="20">
                  <c:v>2.4203000000000059</c:v>
                </c:pt>
                <c:pt idx="21">
                  <c:v>2.1897600000000059</c:v>
                </c:pt>
                <c:pt idx="22">
                  <c:v>1.954080000000006</c:v>
                </c:pt>
                <c:pt idx="23">
                  <c:v>1.713260000000006</c:v>
                </c:pt>
                <c:pt idx="24">
                  <c:v>1.467300000000006</c:v>
                </c:pt>
                <c:pt idx="25">
                  <c:v>1.2162000000000062</c:v>
                </c:pt>
                <c:pt idx="26">
                  <c:v>0.95996000000000614</c:v>
                </c:pt>
                <c:pt idx="27">
                  <c:v>0.6985800000000062</c:v>
                </c:pt>
                <c:pt idx="28">
                  <c:v>0.43206000000000622</c:v>
                </c:pt>
                <c:pt idx="29">
                  <c:v>0.1604000000000062</c:v>
                </c:pt>
                <c:pt idx="30">
                  <c:v>-0.11639999999999379</c:v>
                </c:pt>
                <c:pt idx="31">
                  <c:v>-0.39833999999999375</c:v>
                </c:pt>
                <c:pt idx="32">
                  <c:v>-0.6854199999999937</c:v>
                </c:pt>
                <c:pt idx="33">
                  <c:v>-0.97763999999999363</c:v>
                </c:pt>
                <c:pt idx="34">
                  <c:v>-1.2749999999999937</c:v>
                </c:pt>
                <c:pt idx="35">
                  <c:v>-1.5774999999999937</c:v>
                </c:pt>
                <c:pt idx="36">
                  <c:v>-1.8851399999999936</c:v>
                </c:pt>
                <c:pt idx="37">
                  <c:v>-2.1979199999999937</c:v>
                </c:pt>
                <c:pt idx="38">
                  <c:v>-2.5158399999999936</c:v>
                </c:pt>
                <c:pt idx="39">
                  <c:v>-2.8388999999999935</c:v>
                </c:pt>
                <c:pt idx="40">
                  <c:v>-3.1670999999999934</c:v>
                </c:pt>
                <c:pt idx="41">
                  <c:v>-3.5004399999999931</c:v>
                </c:pt>
                <c:pt idx="42">
                  <c:v>-3.8389199999999932</c:v>
                </c:pt>
                <c:pt idx="43">
                  <c:v>-4.1825399999999933</c:v>
                </c:pt>
                <c:pt idx="44">
                  <c:v>-4.5312999999999937</c:v>
                </c:pt>
                <c:pt idx="45">
                  <c:v>-4.885199999999994</c:v>
                </c:pt>
                <c:pt idx="46">
                  <c:v>-5.2442399999999942</c:v>
                </c:pt>
                <c:pt idx="47">
                  <c:v>-5.6084199999999944</c:v>
                </c:pt>
                <c:pt idx="48">
                  <c:v>-5.9777399999999945</c:v>
                </c:pt>
                <c:pt idx="49">
                  <c:v>-6.3521999999999945</c:v>
                </c:pt>
                <c:pt idx="50">
                  <c:v>-6.7317999999999945</c:v>
                </c:pt>
                <c:pt idx="51">
                  <c:v>-7.1165399999999943</c:v>
                </c:pt>
                <c:pt idx="52">
                  <c:v>-7.5064199999999941</c:v>
                </c:pt>
                <c:pt idx="53">
                  <c:v>-7.9014399999999938</c:v>
                </c:pt>
                <c:pt idx="54">
                  <c:v>-8.3015999999999934</c:v>
                </c:pt>
                <c:pt idx="55">
                  <c:v>-8.7068999999999939</c:v>
                </c:pt>
                <c:pt idx="56">
                  <c:v>-9.1173399999999933</c:v>
                </c:pt>
                <c:pt idx="57">
                  <c:v>-9.5329199999999936</c:v>
                </c:pt>
                <c:pt idx="58">
                  <c:v>-9.9536399999999929</c:v>
                </c:pt>
                <c:pt idx="59">
                  <c:v>-10.379499999999993</c:v>
                </c:pt>
                <c:pt idx="60">
                  <c:v>-10.810499999999992</c:v>
                </c:pt>
                <c:pt idx="61">
                  <c:v>-11.246639999999992</c:v>
                </c:pt>
                <c:pt idx="62">
                  <c:v>-11.687919999999993</c:v>
                </c:pt>
                <c:pt idx="63">
                  <c:v>-12.134339999999993</c:v>
                </c:pt>
                <c:pt idx="64">
                  <c:v>-12.585899999999993</c:v>
                </c:pt>
                <c:pt idx="65">
                  <c:v>-13.042599999999993</c:v>
                </c:pt>
                <c:pt idx="66">
                  <c:v>-13.504439999999994</c:v>
                </c:pt>
                <c:pt idx="67">
                  <c:v>-13.971419999999993</c:v>
                </c:pt>
                <c:pt idx="68">
                  <c:v>-14.443539999999993</c:v>
                </c:pt>
                <c:pt idx="69">
                  <c:v>-14.920799999999993</c:v>
                </c:pt>
                <c:pt idx="70">
                  <c:v>-15.403199999999993</c:v>
                </c:pt>
                <c:pt idx="71">
                  <c:v>-15.890739999999992</c:v>
                </c:pt>
                <c:pt idx="72">
                  <c:v>-16.38341999999999</c:v>
                </c:pt>
                <c:pt idx="73">
                  <c:v>-16.881239999999991</c:v>
                </c:pt>
                <c:pt idx="74">
                  <c:v>-17.384199999999993</c:v>
                </c:pt>
                <c:pt idx="75">
                  <c:v>-17.892299999999992</c:v>
                </c:pt>
                <c:pt idx="76">
                  <c:v>-18.405539999999991</c:v>
                </c:pt>
                <c:pt idx="77">
                  <c:v>-18.923919999999992</c:v>
                </c:pt>
                <c:pt idx="78">
                  <c:v>-19.447439999999993</c:v>
                </c:pt>
                <c:pt idx="79">
                  <c:v>-19.976099999999992</c:v>
                </c:pt>
                <c:pt idx="80">
                  <c:v>-20.509899999999991</c:v>
                </c:pt>
                <c:pt idx="81">
                  <c:v>-21.048839999999991</c:v>
                </c:pt>
                <c:pt idx="82">
                  <c:v>-21.592919999999992</c:v>
                </c:pt>
                <c:pt idx="83">
                  <c:v>-22.142139999999991</c:v>
                </c:pt>
                <c:pt idx="84">
                  <c:v>-22.69649999999999</c:v>
                </c:pt>
                <c:pt idx="85">
                  <c:v>-23.25599999999999</c:v>
                </c:pt>
                <c:pt idx="86">
                  <c:v>-23.82063999999999</c:v>
                </c:pt>
                <c:pt idx="87">
                  <c:v>-24.390419999999992</c:v>
                </c:pt>
                <c:pt idx="88">
                  <c:v>-24.965339999999991</c:v>
                </c:pt>
                <c:pt idx="89">
                  <c:v>-25.54539999999999</c:v>
                </c:pt>
                <c:pt idx="90">
                  <c:v>-26.130599999999991</c:v>
                </c:pt>
                <c:pt idx="91">
                  <c:v>-26.720939999999992</c:v>
                </c:pt>
                <c:pt idx="92">
                  <c:v>-27.31641999999999</c:v>
                </c:pt>
                <c:pt idx="93">
                  <c:v>-27.917039999999989</c:v>
                </c:pt>
                <c:pt idx="94">
                  <c:v>-28.522799999999989</c:v>
                </c:pt>
                <c:pt idx="95">
                  <c:v>-29.13369999999999</c:v>
                </c:pt>
                <c:pt idx="96">
                  <c:v>-29.749739999999989</c:v>
                </c:pt>
                <c:pt idx="97">
                  <c:v>-30.370919999999987</c:v>
                </c:pt>
                <c:pt idx="98">
                  <c:v>-30.997239999999987</c:v>
                </c:pt>
                <c:pt idx="99">
                  <c:v>-31.628699999999988</c:v>
                </c:pt>
                <c:pt idx="100">
                  <c:v>-32.265299999999989</c:v>
                </c:pt>
                <c:pt idx="101">
                  <c:v>-32.907039999999988</c:v>
                </c:pt>
                <c:pt idx="102">
                  <c:v>-33.553919999999991</c:v>
                </c:pt>
                <c:pt idx="103">
                  <c:v>-34.205939999999991</c:v>
                </c:pt>
                <c:pt idx="104">
                  <c:v>-34.863099999999989</c:v>
                </c:pt>
                <c:pt idx="105">
                  <c:v>-35.525399999999991</c:v>
                </c:pt>
                <c:pt idx="106">
                  <c:v>-36.19283999999999</c:v>
                </c:pt>
                <c:pt idx="107">
                  <c:v>-36.865419999999986</c:v>
                </c:pt>
                <c:pt idx="108">
                  <c:v>-37.543139999999987</c:v>
                </c:pt>
                <c:pt idx="109">
                  <c:v>-38.225999999999985</c:v>
                </c:pt>
                <c:pt idx="110">
                  <c:v>-38.913999999999987</c:v>
                </c:pt>
              </c:numCache>
            </c:numRef>
          </c:yVal>
          <c:smooth val="0"/>
          <c:extLst>
            <c:ext xmlns:c16="http://schemas.microsoft.com/office/drawing/2014/chart" uri="{C3380CC4-5D6E-409C-BE32-E72D297353CC}">
              <c16:uniqueId val="{00000001-4DEB-43FB-8ECE-11CAEBFA9DB9}"/>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619620981502584"/>
          <c:y val="0.1774801362088535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8774147831952973"/>
                  <c:y val="-0.6571119075495812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cumulative_LWG!$T$92:$T$202</c:f>
              <c:numCache>
                <c:formatCode>0.000</c:formatCode>
                <c:ptCount val="111"/>
                <c:pt idx="0">
                  <c:v>11.684699999999998</c:v>
                </c:pt>
                <c:pt idx="1">
                  <c:v>11.724359999999997</c:v>
                </c:pt>
                <c:pt idx="2">
                  <c:v>11.760279999999998</c:v>
                </c:pt>
                <c:pt idx="3">
                  <c:v>11.792459999999998</c:v>
                </c:pt>
                <c:pt idx="4">
                  <c:v>11.820899999999998</c:v>
                </c:pt>
                <c:pt idx="5">
                  <c:v>11.845599999999997</c:v>
                </c:pt>
                <c:pt idx="6">
                  <c:v>11.866559999999998</c:v>
                </c:pt>
                <c:pt idx="7">
                  <c:v>11.883779999999998</c:v>
                </c:pt>
                <c:pt idx="8">
                  <c:v>11.897259999999998</c:v>
                </c:pt>
                <c:pt idx="9">
                  <c:v>11.906999999999998</c:v>
                </c:pt>
                <c:pt idx="10">
                  <c:v>11.912999999999998</c:v>
                </c:pt>
                <c:pt idx="11">
                  <c:v>11.915259999999998</c:v>
                </c:pt>
                <c:pt idx="12">
                  <c:v>11.913779999999997</c:v>
                </c:pt>
                <c:pt idx="13">
                  <c:v>11.908559999999998</c:v>
                </c:pt>
                <c:pt idx="14">
                  <c:v>11.899599999999998</c:v>
                </c:pt>
                <c:pt idx="15">
                  <c:v>11.886899999999997</c:v>
                </c:pt>
                <c:pt idx="16">
                  <c:v>11.870459999999998</c:v>
                </c:pt>
                <c:pt idx="17">
                  <c:v>11.850279999999998</c:v>
                </c:pt>
                <c:pt idx="18">
                  <c:v>11.826359999999998</c:v>
                </c:pt>
                <c:pt idx="19">
                  <c:v>11.798699999999997</c:v>
                </c:pt>
                <c:pt idx="20">
                  <c:v>11.767299999999997</c:v>
                </c:pt>
                <c:pt idx="21">
                  <c:v>11.732159999999997</c:v>
                </c:pt>
                <c:pt idx="22">
                  <c:v>11.693279999999996</c:v>
                </c:pt>
                <c:pt idx="23">
                  <c:v>11.650659999999997</c:v>
                </c:pt>
                <c:pt idx="24">
                  <c:v>11.604299999999997</c:v>
                </c:pt>
                <c:pt idx="25">
                  <c:v>11.554199999999996</c:v>
                </c:pt>
                <c:pt idx="26">
                  <c:v>11.500359999999997</c:v>
                </c:pt>
                <c:pt idx="27">
                  <c:v>11.442779999999997</c:v>
                </c:pt>
                <c:pt idx="28">
                  <c:v>11.381459999999997</c:v>
                </c:pt>
                <c:pt idx="29">
                  <c:v>11.316399999999996</c:v>
                </c:pt>
                <c:pt idx="30">
                  <c:v>11.247599999999997</c:v>
                </c:pt>
                <c:pt idx="31">
                  <c:v>11.175059999999997</c:v>
                </c:pt>
                <c:pt idx="32">
                  <c:v>11.098779999999996</c:v>
                </c:pt>
                <c:pt idx="33">
                  <c:v>11.018759999999997</c:v>
                </c:pt>
                <c:pt idx="34">
                  <c:v>10.934999999999997</c:v>
                </c:pt>
                <c:pt idx="35">
                  <c:v>10.847499999999997</c:v>
                </c:pt>
                <c:pt idx="36">
                  <c:v>10.756259999999996</c:v>
                </c:pt>
                <c:pt idx="37">
                  <c:v>10.661279999999996</c:v>
                </c:pt>
                <c:pt idx="38">
                  <c:v>10.562559999999996</c:v>
                </c:pt>
                <c:pt idx="39">
                  <c:v>10.460099999999995</c:v>
                </c:pt>
                <c:pt idx="40">
                  <c:v>10.353899999999996</c:v>
                </c:pt>
                <c:pt idx="41">
                  <c:v>10.243959999999996</c:v>
                </c:pt>
                <c:pt idx="42">
                  <c:v>10.130279999999996</c:v>
                </c:pt>
                <c:pt idx="43">
                  <c:v>10.012859999999996</c:v>
                </c:pt>
                <c:pt idx="44">
                  <c:v>9.8916999999999966</c:v>
                </c:pt>
                <c:pt idx="45">
                  <c:v>9.7667999999999964</c:v>
                </c:pt>
                <c:pt idx="46">
                  <c:v>9.6381599999999956</c:v>
                </c:pt>
                <c:pt idx="47">
                  <c:v>9.5057799999999961</c:v>
                </c:pt>
                <c:pt idx="48">
                  <c:v>9.3696599999999961</c:v>
                </c:pt>
                <c:pt idx="49">
                  <c:v>9.2297999999999956</c:v>
                </c:pt>
                <c:pt idx="50">
                  <c:v>9.0861999999999963</c:v>
                </c:pt>
                <c:pt idx="51">
                  <c:v>8.9388599999999965</c:v>
                </c:pt>
                <c:pt idx="52">
                  <c:v>8.7877799999999961</c:v>
                </c:pt>
                <c:pt idx="53">
                  <c:v>8.6329599999999953</c:v>
                </c:pt>
                <c:pt idx="54">
                  <c:v>8.4743999999999957</c:v>
                </c:pt>
                <c:pt idx="55">
                  <c:v>8.3120999999999956</c:v>
                </c:pt>
                <c:pt idx="56">
                  <c:v>8.146059999999995</c:v>
                </c:pt>
                <c:pt idx="57">
                  <c:v>7.9762799999999947</c:v>
                </c:pt>
                <c:pt idx="58">
                  <c:v>7.8027599999999948</c:v>
                </c:pt>
                <c:pt idx="59">
                  <c:v>7.6254999999999953</c:v>
                </c:pt>
                <c:pt idx="60">
                  <c:v>7.4444999999999952</c:v>
                </c:pt>
                <c:pt idx="61">
                  <c:v>7.2597599999999956</c:v>
                </c:pt>
                <c:pt idx="62">
                  <c:v>7.0712799999999953</c:v>
                </c:pt>
                <c:pt idx="63">
                  <c:v>6.8790599999999955</c:v>
                </c:pt>
                <c:pt idx="64">
                  <c:v>6.6830999999999952</c:v>
                </c:pt>
                <c:pt idx="65">
                  <c:v>6.4833999999999952</c:v>
                </c:pt>
                <c:pt idx="66">
                  <c:v>6.2799599999999955</c:v>
                </c:pt>
                <c:pt idx="67">
                  <c:v>6.0727799999999954</c:v>
                </c:pt>
                <c:pt idx="68">
                  <c:v>5.8618599999999956</c:v>
                </c:pt>
                <c:pt idx="69">
                  <c:v>5.6471999999999953</c:v>
                </c:pt>
                <c:pt idx="70">
                  <c:v>5.4287999999999954</c:v>
                </c:pt>
                <c:pt idx="71">
                  <c:v>5.2066599999999958</c:v>
                </c:pt>
                <c:pt idx="72">
                  <c:v>4.9807799999999958</c:v>
                </c:pt>
                <c:pt idx="73">
                  <c:v>4.7511599999999961</c:v>
                </c:pt>
                <c:pt idx="74">
                  <c:v>4.5177999999999958</c:v>
                </c:pt>
                <c:pt idx="75">
                  <c:v>4.280699999999996</c:v>
                </c:pt>
                <c:pt idx="76">
                  <c:v>4.0398599999999956</c:v>
                </c:pt>
                <c:pt idx="77">
                  <c:v>3.7952799999999955</c:v>
                </c:pt>
                <c:pt idx="78">
                  <c:v>3.5469599999999954</c:v>
                </c:pt>
                <c:pt idx="79">
                  <c:v>3.2948999999999953</c:v>
                </c:pt>
                <c:pt idx="80">
                  <c:v>3.039099999999995</c:v>
                </c:pt>
                <c:pt idx="81">
                  <c:v>2.7795599999999951</c:v>
                </c:pt>
                <c:pt idx="82">
                  <c:v>2.5162799999999952</c:v>
                </c:pt>
                <c:pt idx="83">
                  <c:v>2.2492599999999952</c:v>
                </c:pt>
                <c:pt idx="84">
                  <c:v>1.978499999999995</c:v>
                </c:pt>
                <c:pt idx="85">
                  <c:v>1.7039999999999951</c:v>
                </c:pt>
                <c:pt idx="86">
                  <c:v>1.425759999999995</c:v>
                </c:pt>
                <c:pt idx="87">
                  <c:v>1.1437799999999951</c:v>
                </c:pt>
                <c:pt idx="88">
                  <c:v>0.85805999999999516</c:v>
                </c:pt>
                <c:pt idx="89">
                  <c:v>0.56859999999999511</c:v>
                </c:pt>
                <c:pt idx="90">
                  <c:v>0.27539999999999509</c:v>
                </c:pt>
                <c:pt idx="91">
                  <c:v>-2.1540000000004944E-2</c:v>
                </c:pt>
                <c:pt idx="92">
                  <c:v>-0.322220000000005</c:v>
                </c:pt>
                <c:pt idx="93">
                  <c:v>-0.62664000000000508</c:v>
                </c:pt>
                <c:pt idx="94">
                  <c:v>-0.93480000000000518</c:v>
                </c:pt>
                <c:pt idx="95">
                  <c:v>-1.2467000000000052</c:v>
                </c:pt>
                <c:pt idx="96">
                  <c:v>-1.5623400000000052</c:v>
                </c:pt>
                <c:pt idx="97">
                  <c:v>-1.8817200000000052</c:v>
                </c:pt>
                <c:pt idx="98">
                  <c:v>-2.2048400000000052</c:v>
                </c:pt>
                <c:pt idx="99">
                  <c:v>-2.5317000000000052</c:v>
                </c:pt>
                <c:pt idx="100">
                  <c:v>-2.8623000000000052</c:v>
                </c:pt>
                <c:pt idx="101">
                  <c:v>-3.1966400000000053</c:v>
                </c:pt>
                <c:pt idx="102">
                  <c:v>-3.5347200000000054</c:v>
                </c:pt>
                <c:pt idx="103">
                  <c:v>-3.8765400000000056</c:v>
                </c:pt>
                <c:pt idx="104">
                  <c:v>-4.2221000000000055</c:v>
                </c:pt>
                <c:pt idx="105">
                  <c:v>-4.5714000000000059</c:v>
                </c:pt>
                <c:pt idx="106">
                  <c:v>-4.9244400000000059</c:v>
                </c:pt>
                <c:pt idx="107">
                  <c:v>-5.2812200000000065</c:v>
                </c:pt>
                <c:pt idx="108">
                  <c:v>-5.6417400000000066</c:v>
                </c:pt>
                <c:pt idx="109">
                  <c:v>-6.0060000000000064</c:v>
                </c:pt>
                <c:pt idx="110">
                  <c:v>-6.3740000000000068</c:v>
                </c:pt>
              </c:numCache>
            </c:numRef>
          </c:yVal>
          <c:smooth val="0"/>
          <c:extLst>
            <c:ext xmlns:c16="http://schemas.microsoft.com/office/drawing/2014/chart" uri="{C3380CC4-5D6E-409C-BE32-E72D297353CC}">
              <c16:uniqueId val="{00000001-7955-48C9-97CC-D137846AB6CC}"/>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479373933549882"/>
                  <c:y val="-0.751970827710100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cumulative_LWG!$AB$92:$AB$202</c:f>
              <c:numCache>
                <c:formatCode>0.000</c:formatCode>
                <c:ptCount val="111"/>
                <c:pt idx="0">
                  <c:v>9.473399999999998</c:v>
                </c:pt>
                <c:pt idx="1">
                  <c:v>9.4639199999999981</c:v>
                </c:pt>
                <c:pt idx="2">
                  <c:v>9.4501599999999986</c:v>
                </c:pt>
                <c:pt idx="3">
                  <c:v>9.4321199999999994</c:v>
                </c:pt>
                <c:pt idx="4">
                  <c:v>9.4097999999999988</c:v>
                </c:pt>
                <c:pt idx="5">
                  <c:v>9.3831999999999987</c:v>
                </c:pt>
                <c:pt idx="6">
                  <c:v>9.3523199999999989</c:v>
                </c:pt>
                <c:pt idx="7">
                  <c:v>9.3171599999999994</c:v>
                </c:pt>
                <c:pt idx="8">
                  <c:v>9.2777199999999986</c:v>
                </c:pt>
                <c:pt idx="9">
                  <c:v>9.2339999999999982</c:v>
                </c:pt>
                <c:pt idx="10">
                  <c:v>9.1859999999999982</c:v>
                </c:pt>
                <c:pt idx="11">
                  <c:v>9.1337199999999985</c:v>
                </c:pt>
                <c:pt idx="12">
                  <c:v>9.0771599999999992</c:v>
                </c:pt>
                <c:pt idx="13">
                  <c:v>9.0163199999999986</c:v>
                </c:pt>
                <c:pt idx="14">
                  <c:v>8.9511999999999983</c:v>
                </c:pt>
                <c:pt idx="15">
                  <c:v>8.8817999999999984</c:v>
                </c:pt>
                <c:pt idx="16">
                  <c:v>8.8081199999999988</c:v>
                </c:pt>
                <c:pt idx="17">
                  <c:v>8.7301599999999979</c:v>
                </c:pt>
                <c:pt idx="18">
                  <c:v>8.6479199999999974</c:v>
                </c:pt>
                <c:pt idx="19">
                  <c:v>8.5613999999999972</c:v>
                </c:pt>
                <c:pt idx="20">
                  <c:v>8.4705999999999975</c:v>
                </c:pt>
                <c:pt idx="21">
                  <c:v>8.3755199999999981</c:v>
                </c:pt>
                <c:pt idx="22">
                  <c:v>8.2761599999999973</c:v>
                </c:pt>
                <c:pt idx="23">
                  <c:v>8.1725199999999969</c:v>
                </c:pt>
                <c:pt idx="24">
                  <c:v>8.0645999999999969</c:v>
                </c:pt>
                <c:pt idx="25">
                  <c:v>7.9523999999999972</c:v>
                </c:pt>
                <c:pt idx="26">
                  <c:v>7.8359199999999971</c:v>
                </c:pt>
                <c:pt idx="27">
                  <c:v>7.7151599999999974</c:v>
                </c:pt>
                <c:pt idx="28">
                  <c:v>7.5901199999999971</c:v>
                </c:pt>
                <c:pt idx="29">
                  <c:v>7.4607999999999972</c:v>
                </c:pt>
                <c:pt idx="30">
                  <c:v>7.3271999999999968</c:v>
                </c:pt>
                <c:pt idx="31">
                  <c:v>7.1893199999999968</c:v>
                </c:pt>
                <c:pt idx="32">
                  <c:v>7.0471599999999963</c:v>
                </c:pt>
                <c:pt idx="33">
                  <c:v>6.9007199999999962</c:v>
                </c:pt>
                <c:pt idx="34">
                  <c:v>6.7499999999999964</c:v>
                </c:pt>
                <c:pt idx="35">
                  <c:v>6.5949999999999962</c:v>
                </c:pt>
                <c:pt idx="36">
                  <c:v>6.4357199999999963</c:v>
                </c:pt>
                <c:pt idx="37">
                  <c:v>6.272159999999996</c:v>
                </c:pt>
                <c:pt idx="38">
                  <c:v>6.104319999999996</c:v>
                </c:pt>
                <c:pt idx="39">
                  <c:v>5.9321999999999964</c:v>
                </c:pt>
                <c:pt idx="40">
                  <c:v>5.7557999999999963</c:v>
                </c:pt>
                <c:pt idx="41">
                  <c:v>5.5751199999999965</c:v>
                </c:pt>
                <c:pt idx="42">
                  <c:v>5.3901599999999963</c:v>
                </c:pt>
                <c:pt idx="43">
                  <c:v>5.2009199999999964</c:v>
                </c:pt>
                <c:pt idx="44">
                  <c:v>5.0073999999999961</c:v>
                </c:pt>
                <c:pt idx="45">
                  <c:v>4.8095999999999961</c:v>
                </c:pt>
                <c:pt idx="46">
                  <c:v>4.6075199999999956</c:v>
                </c:pt>
                <c:pt idx="47">
                  <c:v>4.4011599999999955</c:v>
                </c:pt>
                <c:pt idx="48">
                  <c:v>4.1905199999999958</c:v>
                </c:pt>
                <c:pt idx="49">
                  <c:v>3.9755999999999956</c:v>
                </c:pt>
                <c:pt idx="50">
                  <c:v>3.7563999999999957</c:v>
                </c:pt>
                <c:pt idx="51">
                  <c:v>3.5329199999999958</c:v>
                </c:pt>
                <c:pt idx="52">
                  <c:v>3.3051599999999959</c:v>
                </c:pt>
                <c:pt idx="53">
                  <c:v>3.0731199999999959</c:v>
                </c:pt>
                <c:pt idx="54">
                  <c:v>2.8367999999999958</c:v>
                </c:pt>
                <c:pt idx="55">
                  <c:v>2.5961999999999956</c:v>
                </c:pt>
                <c:pt idx="56">
                  <c:v>2.3513199999999959</c:v>
                </c:pt>
                <c:pt idx="57">
                  <c:v>2.102159999999996</c:v>
                </c:pt>
                <c:pt idx="58">
                  <c:v>1.8487199999999959</c:v>
                </c:pt>
                <c:pt idx="59">
                  <c:v>1.590999999999996</c:v>
                </c:pt>
                <c:pt idx="60">
                  <c:v>1.328999999999996</c:v>
                </c:pt>
                <c:pt idx="61">
                  <c:v>1.0627199999999959</c:v>
                </c:pt>
                <c:pt idx="62">
                  <c:v>0.79215999999999587</c:v>
                </c:pt>
                <c:pt idx="63">
                  <c:v>0.51731999999999578</c:v>
                </c:pt>
                <c:pt idx="64">
                  <c:v>0.2381999999999958</c:v>
                </c:pt>
                <c:pt idx="65">
                  <c:v>-4.5200000000004292E-2</c:v>
                </c:pt>
                <c:pt idx="66">
                  <c:v>-0.33288000000000434</c:v>
                </c:pt>
                <c:pt idx="67">
                  <c:v>-0.62484000000000428</c:v>
                </c:pt>
                <c:pt idx="68">
                  <c:v>-0.92108000000000434</c:v>
                </c:pt>
                <c:pt idx="69">
                  <c:v>-1.2216000000000045</c:v>
                </c:pt>
                <c:pt idx="70">
                  <c:v>-1.5264000000000046</c:v>
                </c:pt>
                <c:pt idx="71">
                  <c:v>-1.8354800000000047</c:v>
                </c:pt>
                <c:pt idx="72">
                  <c:v>-2.1488400000000047</c:v>
                </c:pt>
                <c:pt idx="73">
                  <c:v>-2.4664800000000047</c:v>
                </c:pt>
                <c:pt idx="74">
                  <c:v>-2.7884000000000047</c:v>
                </c:pt>
                <c:pt idx="75">
                  <c:v>-3.1146000000000047</c:v>
                </c:pt>
                <c:pt idx="76">
                  <c:v>-3.4450800000000048</c:v>
                </c:pt>
                <c:pt idx="77">
                  <c:v>-3.779840000000005</c:v>
                </c:pt>
                <c:pt idx="78">
                  <c:v>-4.1188800000000052</c:v>
                </c:pt>
                <c:pt idx="79">
                  <c:v>-4.4622000000000055</c:v>
                </c:pt>
                <c:pt idx="80">
                  <c:v>-4.8098000000000054</c:v>
                </c:pt>
                <c:pt idx="81">
                  <c:v>-5.1616800000000058</c:v>
                </c:pt>
                <c:pt idx="82">
                  <c:v>-5.5178400000000059</c:v>
                </c:pt>
                <c:pt idx="83">
                  <c:v>-5.8782800000000055</c:v>
                </c:pt>
                <c:pt idx="84">
                  <c:v>-6.2430000000000057</c:v>
                </c:pt>
                <c:pt idx="85">
                  <c:v>-6.6120000000000054</c:v>
                </c:pt>
                <c:pt idx="86">
                  <c:v>-6.9852800000000057</c:v>
                </c:pt>
                <c:pt idx="87">
                  <c:v>-7.3628400000000056</c:v>
                </c:pt>
                <c:pt idx="88">
                  <c:v>-7.744680000000006</c:v>
                </c:pt>
                <c:pt idx="89">
                  <c:v>-8.130800000000006</c:v>
                </c:pt>
                <c:pt idx="90">
                  <c:v>-8.5212000000000057</c:v>
                </c:pt>
                <c:pt idx="91">
                  <c:v>-8.9158800000000049</c:v>
                </c:pt>
                <c:pt idx="92">
                  <c:v>-9.3148400000000056</c:v>
                </c:pt>
                <c:pt idx="93">
                  <c:v>-9.7180800000000058</c:v>
                </c:pt>
                <c:pt idx="94">
                  <c:v>-10.125600000000006</c:v>
                </c:pt>
                <c:pt idx="95">
                  <c:v>-10.537400000000005</c:v>
                </c:pt>
                <c:pt idx="96">
                  <c:v>-10.953480000000006</c:v>
                </c:pt>
                <c:pt idx="97">
                  <c:v>-11.373840000000007</c:v>
                </c:pt>
                <c:pt idx="98">
                  <c:v>-11.798480000000007</c:v>
                </c:pt>
                <c:pt idx="99">
                  <c:v>-12.227400000000006</c:v>
                </c:pt>
                <c:pt idx="100">
                  <c:v>-12.660600000000006</c:v>
                </c:pt>
                <c:pt idx="101">
                  <c:v>-13.098080000000007</c:v>
                </c:pt>
                <c:pt idx="102">
                  <c:v>-13.539840000000007</c:v>
                </c:pt>
                <c:pt idx="103">
                  <c:v>-13.985880000000007</c:v>
                </c:pt>
                <c:pt idx="104">
                  <c:v>-14.436200000000007</c:v>
                </c:pt>
                <c:pt idx="105">
                  <c:v>-14.890800000000006</c:v>
                </c:pt>
                <c:pt idx="106">
                  <c:v>-15.349680000000006</c:v>
                </c:pt>
                <c:pt idx="107">
                  <c:v>-15.812840000000007</c:v>
                </c:pt>
                <c:pt idx="108">
                  <c:v>-16.280280000000008</c:v>
                </c:pt>
                <c:pt idx="109">
                  <c:v>-16.75200000000001</c:v>
                </c:pt>
                <c:pt idx="110">
                  <c:v>-17.228000000000009</c:v>
                </c:pt>
              </c:numCache>
            </c:numRef>
          </c:yVal>
          <c:smooth val="0"/>
          <c:extLst>
            <c:ext xmlns:c16="http://schemas.microsoft.com/office/drawing/2014/chart" uri="{C3380CC4-5D6E-409C-BE32-E72D297353CC}">
              <c16:uniqueId val="{00000001-3970-4645-A19B-B3AF14A0CD7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8327466086177674"/>
                  <c:y val="-0.7438426269361051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cumulative_LWG!$AJ$92:$AJ$202</c:f>
              <c:numCache>
                <c:formatCode>0.000</c:formatCode>
                <c:ptCount val="111"/>
                <c:pt idx="0">
                  <c:v>5.951700000000006</c:v>
                </c:pt>
                <c:pt idx="1">
                  <c:v>5.8639600000000058</c:v>
                </c:pt>
                <c:pt idx="2">
                  <c:v>5.7710800000000058</c:v>
                </c:pt>
                <c:pt idx="3">
                  <c:v>5.6730600000000058</c:v>
                </c:pt>
                <c:pt idx="4">
                  <c:v>5.5699000000000058</c:v>
                </c:pt>
                <c:pt idx="5">
                  <c:v>5.461600000000006</c:v>
                </c:pt>
                <c:pt idx="6">
                  <c:v>5.3481600000000062</c:v>
                </c:pt>
                <c:pt idx="7">
                  <c:v>5.2295800000000066</c:v>
                </c:pt>
                <c:pt idx="8">
                  <c:v>5.1058600000000069</c:v>
                </c:pt>
                <c:pt idx="9">
                  <c:v>4.9770000000000074</c:v>
                </c:pt>
                <c:pt idx="10">
                  <c:v>4.8430000000000071</c:v>
                </c:pt>
                <c:pt idx="11">
                  <c:v>4.7038600000000068</c:v>
                </c:pt>
                <c:pt idx="12">
                  <c:v>4.5595800000000066</c:v>
                </c:pt>
                <c:pt idx="13">
                  <c:v>4.4101600000000065</c:v>
                </c:pt>
                <c:pt idx="14">
                  <c:v>4.2556000000000065</c:v>
                </c:pt>
                <c:pt idx="15">
                  <c:v>4.0959000000000065</c:v>
                </c:pt>
                <c:pt idx="16">
                  <c:v>3.9310600000000067</c:v>
                </c:pt>
                <c:pt idx="17">
                  <c:v>3.7610800000000069</c:v>
                </c:pt>
                <c:pt idx="18">
                  <c:v>3.5859600000000067</c:v>
                </c:pt>
                <c:pt idx="19">
                  <c:v>3.4057000000000066</c:v>
                </c:pt>
                <c:pt idx="20">
                  <c:v>3.2203000000000066</c:v>
                </c:pt>
                <c:pt idx="21">
                  <c:v>3.0297600000000067</c:v>
                </c:pt>
                <c:pt idx="22">
                  <c:v>2.8340800000000068</c:v>
                </c:pt>
                <c:pt idx="23">
                  <c:v>2.633260000000007</c:v>
                </c:pt>
                <c:pt idx="24">
                  <c:v>2.4273000000000069</c:v>
                </c:pt>
                <c:pt idx="25">
                  <c:v>2.2162000000000068</c:v>
                </c:pt>
                <c:pt idx="26">
                  <c:v>1.9999600000000068</c:v>
                </c:pt>
                <c:pt idx="27">
                  <c:v>1.7785800000000069</c:v>
                </c:pt>
                <c:pt idx="28">
                  <c:v>1.5520600000000071</c:v>
                </c:pt>
                <c:pt idx="29">
                  <c:v>1.3204000000000071</c:v>
                </c:pt>
                <c:pt idx="30">
                  <c:v>1.0836000000000072</c:v>
                </c:pt>
                <c:pt idx="31">
                  <c:v>0.84166000000000729</c:v>
                </c:pt>
                <c:pt idx="32">
                  <c:v>0.59458000000000744</c:v>
                </c:pt>
                <c:pt idx="33">
                  <c:v>0.34236000000000755</c:v>
                </c:pt>
                <c:pt idx="34">
                  <c:v>8.500000000000757E-2</c:v>
                </c:pt>
                <c:pt idx="35">
                  <c:v>-0.17749999999999244</c:v>
                </c:pt>
                <c:pt idx="36">
                  <c:v>-0.44513999999999243</c:v>
                </c:pt>
                <c:pt idx="37">
                  <c:v>-0.71791999999999234</c:v>
                </c:pt>
                <c:pt idx="38">
                  <c:v>-0.99583999999999229</c:v>
                </c:pt>
                <c:pt idx="39">
                  <c:v>-1.2788999999999922</c:v>
                </c:pt>
                <c:pt idx="40">
                  <c:v>-1.5670999999999919</c:v>
                </c:pt>
                <c:pt idx="41">
                  <c:v>-1.8604399999999919</c:v>
                </c:pt>
                <c:pt idx="42">
                  <c:v>-2.1589199999999917</c:v>
                </c:pt>
                <c:pt idx="43">
                  <c:v>-2.4625399999999917</c:v>
                </c:pt>
                <c:pt idx="44">
                  <c:v>-2.7712999999999917</c:v>
                </c:pt>
                <c:pt idx="45">
                  <c:v>-3.0851999999999915</c:v>
                </c:pt>
                <c:pt idx="46">
                  <c:v>-3.4042399999999913</c:v>
                </c:pt>
                <c:pt idx="47">
                  <c:v>-3.728419999999991</c:v>
                </c:pt>
                <c:pt idx="48">
                  <c:v>-4.057739999999991</c:v>
                </c:pt>
                <c:pt idx="49">
                  <c:v>-4.392199999999991</c:v>
                </c:pt>
                <c:pt idx="50">
                  <c:v>-4.7317999999999909</c:v>
                </c:pt>
                <c:pt idx="51">
                  <c:v>-5.0765399999999907</c:v>
                </c:pt>
                <c:pt idx="52">
                  <c:v>-5.4264199999999905</c:v>
                </c:pt>
                <c:pt idx="53">
                  <c:v>-5.7814399999999901</c:v>
                </c:pt>
                <c:pt idx="54">
                  <c:v>-6.1415999999999897</c:v>
                </c:pt>
                <c:pt idx="55">
                  <c:v>-6.5068999999999892</c:v>
                </c:pt>
                <c:pt idx="56">
                  <c:v>-6.8773399999999896</c:v>
                </c:pt>
                <c:pt idx="57">
                  <c:v>-7.2529199999999898</c:v>
                </c:pt>
                <c:pt idx="58">
                  <c:v>-7.63363999999999</c:v>
                </c:pt>
                <c:pt idx="59">
                  <c:v>-8.0194999999999901</c:v>
                </c:pt>
                <c:pt idx="60">
                  <c:v>-8.4104999999999901</c:v>
                </c:pt>
                <c:pt idx="61">
                  <c:v>-8.8066399999999909</c:v>
                </c:pt>
                <c:pt idx="62">
                  <c:v>-9.2079199999999908</c:v>
                </c:pt>
                <c:pt idx="63">
                  <c:v>-9.6143399999999914</c:v>
                </c:pt>
                <c:pt idx="64">
                  <c:v>-10.025899999999991</c:v>
                </c:pt>
                <c:pt idx="65">
                  <c:v>-10.442599999999992</c:v>
                </c:pt>
                <c:pt idx="66">
                  <c:v>-10.864439999999991</c:v>
                </c:pt>
                <c:pt idx="67">
                  <c:v>-11.291419999999992</c:v>
                </c:pt>
                <c:pt idx="68">
                  <c:v>-11.723539999999991</c:v>
                </c:pt>
                <c:pt idx="69">
                  <c:v>-12.160799999999991</c:v>
                </c:pt>
                <c:pt idx="70">
                  <c:v>-12.60319999999999</c:v>
                </c:pt>
                <c:pt idx="71">
                  <c:v>-13.05073999999999</c:v>
                </c:pt>
                <c:pt idx="72">
                  <c:v>-13.50341999999999</c:v>
                </c:pt>
                <c:pt idx="73">
                  <c:v>-13.961239999999989</c:v>
                </c:pt>
                <c:pt idx="74">
                  <c:v>-14.42419999999999</c:v>
                </c:pt>
                <c:pt idx="75">
                  <c:v>-14.89229999999999</c:v>
                </c:pt>
                <c:pt idx="76">
                  <c:v>-15.36553999999999</c:v>
                </c:pt>
                <c:pt idx="77">
                  <c:v>-15.84391999999999</c:v>
                </c:pt>
                <c:pt idx="78">
                  <c:v>-16.327439999999989</c:v>
                </c:pt>
                <c:pt idx="79">
                  <c:v>-16.816099999999988</c:v>
                </c:pt>
                <c:pt idx="80">
                  <c:v>-17.309899999999988</c:v>
                </c:pt>
                <c:pt idx="81">
                  <c:v>-17.808839999999989</c:v>
                </c:pt>
                <c:pt idx="82">
                  <c:v>-18.312919999999988</c:v>
                </c:pt>
                <c:pt idx="83">
                  <c:v>-18.822139999999987</c:v>
                </c:pt>
                <c:pt idx="84">
                  <c:v>-19.336499999999987</c:v>
                </c:pt>
                <c:pt idx="85">
                  <c:v>-19.855999999999987</c:v>
                </c:pt>
                <c:pt idx="86">
                  <c:v>-20.380639999999989</c:v>
                </c:pt>
                <c:pt idx="87">
                  <c:v>-20.910419999999988</c:v>
                </c:pt>
                <c:pt idx="88">
                  <c:v>-21.445339999999987</c:v>
                </c:pt>
                <c:pt idx="89">
                  <c:v>-21.985399999999988</c:v>
                </c:pt>
                <c:pt idx="90">
                  <c:v>-22.530599999999989</c:v>
                </c:pt>
                <c:pt idx="91">
                  <c:v>-23.080939999999988</c:v>
                </c:pt>
                <c:pt idx="92">
                  <c:v>-23.636419999999987</c:v>
                </c:pt>
                <c:pt idx="93">
                  <c:v>-24.197039999999987</c:v>
                </c:pt>
                <c:pt idx="94">
                  <c:v>-24.762799999999988</c:v>
                </c:pt>
                <c:pt idx="95">
                  <c:v>-25.333699999999986</c:v>
                </c:pt>
                <c:pt idx="96">
                  <c:v>-25.909739999999985</c:v>
                </c:pt>
                <c:pt idx="97">
                  <c:v>-26.490919999999985</c:v>
                </c:pt>
                <c:pt idx="98">
                  <c:v>-27.077239999999986</c:v>
                </c:pt>
                <c:pt idx="99">
                  <c:v>-27.668699999999987</c:v>
                </c:pt>
                <c:pt idx="100">
                  <c:v>-28.265299999999986</c:v>
                </c:pt>
                <c:pt idx="101">
                  <c:v>-28.867039999999985</c:v>
                </c:pt>
                <c:pt idx="102">
                  <c:v>-29.473919999999985</c:v>
                </c:pt>
                <c:pt idx="103">
                  <c:v>-30.085939999999987</c:v>
                </c:pt>
                <c:pt idx="104">
                  <c:v>-30.703099999999985</c:v>
                </c:pt>
                <c:pt idx="105">
                  <c:v>-31.325399999999984</c:v>
                </c:pt>
                <c:pt idx="106">
                  <c:v>-31.952839999999984</c:v>
                </c:pt>
                <c:pt idx="107">
                  <c:v>-32.585419999999985</c:v>
                </c:pt>
                <c:pt idx="108">
                  <c:v>-33.223139999999987</c:v>
                </c:pt>
                <c:pt idx="109">
                  <c:v>-33.865999999999985</c:v>
                </c:pt>
                <c:pt idx="110">
                  <c:v>-34.513999999999989</c:v>
                </c:pt>
              </c:numCache>
            </c:numRef>
          </c:yVal>
          <c:smooth val="0"/>
          <c:extLst>
            <c:ext xmlns:c16="http://schemas.microsoft.com/office/drawing/2014/chart" uri="{C3380CC4-5D6E-409C-BE32-E72D297353CC}">
              <c16:uniqueId val="{00000001-4CE8-48C5-89A6-092544C359FA}"/>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11368854271186"/>
                  <c:y val="-0.7191205412603787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cumulative_LWG!$U$92:$U$202</c:f>
              <c:numCache>
                <c:formatCode>0.000</c:formatCode>
                <c:ptCount val="111"/>
                <c:pt idx="0">
                  <c:v>11.684699999999998</c:v>
                </c:pt>
                <c:pt idx="1">
                  <c:v>11.764359999999998</c:v>
                </c:pt>
                <c:pt idx="2">
                  <c:v>11.840279999999998</c:v>
                </c:pt>
                <c:pt idx="3">
                  <c:v>11.912459999999998</c:v>
                </c:pt>
                <c:pt idx="4">
                  <c:v>11.980899999999998</c:v>
                </c:pt>
                <c:pt idx="5">
                  <c:v>12.045599999999999</c:v>
                </c:pt>
                <c:pt idx="6">
                  <c:v>12.106559999999998</c:v>
                </c:pt>
                <c:pt idx="7">
                  <c:v>12.163779999999997</c:v>
                </c:pt>
                <c:pt idx="8">
                  <c:v>12.217259999999998</c:v>
                </c:pt>
                <c:pt idx="9">
                  <c:v>12.266999999999998</c:v>
                </c:pt>
                <c:pt idx="10">
                  <c:v>12.312999999999997</c:v>
                </c:pt>
                <c:pt idx="11">
                  <c:v>12.355259999999998</c:v>
                </c:pt>
                <c:pt idx="12">
                  <c:v>12.393779999999998</c:v>
                </c:pt>
                <c:pt idx="13">
                  <c:v>12.428559999999997</c:v>
                </c:pt>
                <c:pt idx="14">
                  <c:v>12.459599999999998</c:v>
                </c:pt>
                <c:pt idx="15">
                  <c:v>12.486899999999999</c:v>
                </c:pt>
                <c:pt idx="16">
                  <c:v>12.510459999999998</c:v>
                </c:pt>
                <c:pt idx="17">
                  <c:v>12.530279999999998</c:v>
                </c:pt>
                <c:pt idx="18">
                  <c:v>12.546359999999998</c:v>
                </c:pt>
                <c:pt idx="19">
                  <c:v>12.558699999999998</c:v>
                </c:pt>
                <c:pt idx="20">
                  <c:v>12.567299999999998</c:v>
                </c:pt>
                <c:pt idx="21">
                  <c:v>12.572159999999998</c:v>
                </c:pt>
                <c:pt idx="22">
                  <c:v>12.573279999999999</c:v>
                </c:pt>
                <c:pt idx="23">
                  <c:v>12.570659999999998</c:v>
                </c:pt>
                <c:pt idx="24">
                  <c:v>12.564299999999998</c:v>
                </c:pt>
                <c:pt idx="25">
                  <c:v>12.554199999999998</c:v>
                </c:pt>
                <c:pt idx="26">
                  <c:v>12.540359999999998</c:v>
                </c:pt>
                <c:pt idx="27">
                  <c:v>12.522779999999997</c:v>
                </c:pt>
                <c:pt idx="28">
                  <c:v>12.501459999999998</c:v>
                </c:pt>
                <c:pt idx="29">
                  <c:v>12.476399999999998</c:v>
                </c:pt>
                <c:pt idx="30">
                  <c:v>12.447599999999998</c:v>
                </c:pt>
                <c:pt idx="31">
                  <c:v>12.415059999999997</c:v>
                </c:pt>
                <c:pt idx="32">
                  <c:v>12.378779999999997</c:v>
                </c:pt>
                <c:pt idx="33">
                  <c:v>12.338759999999997</c:v>
                </c:pt>
                <c:pt idx="34">
                  <c:v>12.294999999999996</c:v>
                </c:pt>
                <c:pt idx="35">
                  <c:v>12.247499999999997</c:v>
                </c:pt>
                <c:pt idx="36">
                  <c:v>12.196259999999997</c:v>
                </c:pt>
                <c:pt idx="37">
                  <c:v>12.141279999999997</c:v>
                </c:pt>
                <c:pt idx="38">
                  <c:v>12.082559999999997</c:v>
                </c:pt>
                <c:pt idx="39">
                  <c:v>12.020099999999998</c:v>
                </c:pt>
                <c:pt idx="40">
                  <c:v>11.953899999999997</c:v>
                </c:pt>
                <c:pt idx="41">
                  <c:v>11.883959999999997</c:v>
                </c:pt>
                <c:pt idx="42">
                  <c:v>11.810279999999997</c:v>
                </c:pt>
                <c:pt idx="43">
                  <c:v>11.732859999999997</c:v>
                </c:pt>
                <c:pt idx="44">
                  <c:v>11.651699999999996</c:v>
                </c:pt>
                <c:pt idx="45">
                  <c:v>11.566799999999997</c:v>
                </c:pt>
                <c:pt idx="46">
                  <c:v>11.478159999999997</c:v>
                </c:pt>
                <c:pt idx="47">
                  <c:v>11.385779999999997</c:v>
                </c:pt>
                <c:pt idx="48">
                  <c:v>11.289659999999996</c:v>
                </c:pt>
                <c:pt idx="49">
                  <c:v>11.189799999999996</c:v>
                </c:pt>
                <c:pt idx="50">
                  <c:v>11.086199999999996</c:v>
                </c:pt>
                <c:pt idx="51">
                  <c:v>10.978859999999996</c:v>
                </c:pt>
                <c:pt idx="52">
                  <c:v>10.867779999999996</c:v>
                </c:pt>
                <c:pt idx="53">
                  <c:v>10.752959999999996</c:v>
                </c:pt>
                <c:pt idx="54">
                  <c:v>10.634399999999996</c:v>
                </c:pt>
                <c:pt idx="55">
                  <c:v>10.512099999999997</c:v>
                </c:pt>
                <c:pt idx="56">
                  <c:v>10.386059999999997</c:v>
                </c:pt>
                <c:pt idx="57">
                  <c:v>10.256279999999997</c:v>
                </c:pt>
                <c:pt idx="58">
                  <c:v>10.122759999999996</c:v>
                </c:pt>
                <c:pt idx="59">
                  <c:v>9.9854999999999965</c:v>
                </c:pt>
                <c:pt idx="60">
                  <c:v>9.8444999999999965</c:v>
                </c:pt>
                <c:pt idx="61">
                  <c:v>9.6997599999999959</c:v>
                </c:pt>
                <c:pt idx="62">
                  <c:v>9.5512799999999967</c:v>
                </c:pt>
                <c:pt idx="63">
                  <c:v>9.3990599999999969</c:v>
                </c:pt>
                <c:pt idx="64">
                  <c:v>9.2430999999999965</c:v>
                </c:pt>
                <c:pt idx="65">
                  <c:v>9.0833999999999957</c:v>
                </c:pt>
                <c:pt idx="66">
                  <c:v>8.9199599999999961</c:v>
                </c:pt>
                <c:pt idx="67">
                  <c:v>8.752779999999996</c:v>
                </c:pt>
                <c:pt idx="68">
                  <c:v>8.5818599999999954</c:v>
                </c:pt>
                <c:pt idx="69">
                  <c:v>8.407199999999996</c:v>
                </c:pt>
                <c:pt idx="70">
                  <c:v>8.2287999999999961</c:v>
                </c:pt>
                <c:pt idx="71">
                  <c:v>8.0466599999999957</c:v>
                </c:pt>
                <c:pt idx="72">
                  <c:v>7.8607799999999957</c:v>
                </c:pt>
                <c:pt idx="73">
                  <c:v>7.671159999999996</c:v>
                </c:pt>
                <c:pt idx="74">
                  <c:v>7.4777999999999958</c:v>
                </c:pt>
                <c:pt idx="75">
                  <c:v>7.280699999999996</c:v>
                </c:pt>
                <c:pt idx="76">
                  <c:v>7.0798599999999956</c:v>
                </c:pt>
                <c:pt idx="77">
                  <c:v>6.8752799999999956</c:v>
                </c:pt>
                <c:pt idx="78">
                  <c:v>6.666959999999996</c:v>
                </c:pt>
                <c:pt idx="79">
                  <c:v>6.4548999999999959</c:v>
                </c:pt>
                <c:pt idx="80">
                  <c:v>6.2390999999999961</c:v>
                </c:pt>
                <c:pt idx="81">
                  <c:v>6.0195599999999958</c:v>
                </c:pt>
                <c:pt idx="82">
                  <c:v>5.7962799999999959</c:v>
                </c:pt>
                <c:pt idx="83">
                  <c:v>5.5692599999999963</c:v>
                </c:pt>
                <c:pt idx="84">
                  <c:v>5.3384999999999962</c:v>
                </c:pt>
                <c:pt idx="85">
                  <c:v>5.1039999999999965</c:v>
                </c:pt>
                <c:pt idx="86">
                  <c:v>4.8657599999999963</c:v>
                </c:pt>
                <c:pt idx="87">
                  <c:v>4.6237799999999964</c:v>
                </c:pt>
                <c:pt idx="88">
                  <c:v>4.3780599999999961</c:v>
                </c:pt>
                <c:pt idx="89">
                  <c:v>4.1285999999999961</c:v>
                </c:pt>
                <c:pt idx="90">
                  <c:v>3.875399999999996</c:v>
                </c:pt>
                <c:pt idx="91">
                  <c:v>3.6184599999999958</c:v>
                </c:pt>
                <c:pt idx="92">
                  <c:v>3.3577799999999955</c:v>
                </c:pt>
                <c:pt idx="93">
                  <c:v>3.0933599999999952</c:v>
                </c:pt>
                <c:pt idx="94">
                  <c:v>2.8251999999999953</c:v>
                </c:pt>
                <c:pt idx="95">
                  <c:v>2.5532999999999952</c:v>
                </c:pt>
                <c:pt idx="96">
                  <c:v>2.2776599999999951</c:v>
                </c:pt>
                <c:pt idx="97">
                  <c:v>1.9982799999999952</c:v>
                </c:pt>
                <c:pt idx="98">
                  <c:v>1.7151599999999951</c:v>
                </c:pt>
                <c:pt idx="99">
                  <c:v>1.4282999999999952</c:v>
                </c:pt>
                <c:pt idx="100">
                  <c:v>1.1376999999999953</c:v>
                </c:pt>
                <c:pt idx="101">
                  <c:v>0.84335999999999522</c:v>
                </c:pt>
                <c:pt idx="102">
                  <c:v>0.5452799999999951</c:v>
                </c:pt>
                <c:pt idx="103">
                  <c:v>0.24345999999999507</c:v>
                </c:pt>
                <c:pt idx="104">
                  <c:v>-6.2100000000004985E-2</c:v>
                </c:pt>
                <c:pt idx="105">
                  <c:v>-0.37140000000000506</c:v>
                </c:pt>
                <c:pt idx="106">
                  <c:v>-0.68444000000000516</c:v>
                </c:pt>
                <c:pt idx="107">
                  <c:v>-1.0012200000000053</c:v>
                </c:pt>
                <c:pt idx="108">
                  <c:v>-1.3217400000000055</c:v>
                </c:pt>
                <c:pt idx="109">
                  <c:v>-1.6460000000000055</c:v>
                </c:pt>
                <c:pt idx="110">
                  <c:v>-1.9740000000000055</c:v>
                </c:pt>
              </c:numCache>
            </c:numRef>
          </c:yVal>
          <c:smooth val="0"/>
          <c:extLst>
            <c:ext xmlns:c16="http://schemas.microsoft.com/office/drawing/2014/chart" uri="{C3380CC4-5D6E-409C-BE32-E72D297353CC}">
              <c16:uniqueId val="{00000001-418F-470A-9179-D6EDF031B683}"/>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95513208777896"/>
          <c:y val="5.6180257510729636E-2"/>
          <c:w val="0.5205248101383777"/>
          <c:h val="0.83652360515021462"/>
        </c:manualLayout>
      </c:layout>
      <c:scatterChart>
        <c:scatterStyle val="lineMarker"/>
        <c:varyColors val="0"/>
        <c:ser>
          <c:idx val="0"/>
          <c:order val="0"/>
          <c:tx>
            <c:strRef>
              <c:f>scatterplots_LWG_grazdays_CS!$B$3</c:f>
              <c:strCache>
                <c:ptCount val="1"/>
                <c:pt idx="0">
                  <c:v>CS &lt; 2</c:v>
                </c:pt>
              </c:strCache>
            </c:strRef>
          </c:tx>
          <c:spPr>
            <a:ln w="19050" cap="rnd">
              <a:noFill/>
              <a:round/>
            </a:ln>
            <a:effectLst/>
          </c:spPr>
          <c:marker>
            <c:symbol val="circle"/>
            <c:size val="5"/>
            <c:spPr>
              <a:solidFill>
                <a:srgbClr val="C00000"/>
              </a:solidFill>
              <a:ln w="9525">
                <a:noFill/>
              </a:ln>
              <a:effectLst/>
            </c:spPr>
          </c:marker>
          <c:trendline>
            <c:spPr>
              <a:ln w="19050" cap="rnd">
                <a:solidFill>
                  <a:srgbClr val="C00000"/>
                </a:solidFill>
                <a:prstDash val="sysDot"/>
              </a:ln>
              <a:effectLst/>
            </c:spPr>
            <c:trendlineType val="linear"/>
            <c:intercept val="300"/>
            <c:dispRSqr val="0"/>
            <c:dispEq val="1"/>
            <c:trendlineLbl>
              <c:layout>
                <c:manualLayout>
                  <c:x val="0.30022567875736844"/>
                  <c:y val="-3.0439322767057551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y = -2.8410x + 300</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pivot_CS!$J$4:$J$13</c:f>
              <c:numCache>
                <c:formatCode>0</c:formatCode>
                <c:ptCount val="10"/>
                <c:pt idx="0">
                  <c:v>13.86</c:v>
                </c:pt>
                <c:pt idx="1">
                  <c:v>27.72</c:v>
                </c:pt>
                <c:pt idx="2">
                  <c:v>41.58</c:v>
                </c:pt>
                <c:pt idx="3">
                  <c:v>53.46</c:v>
                </c:pt>
                <c:pt idx="4">
                  <c:v>55.44</c:v>
                </c:pt>
                <c:pt idx="5">
                  <c:v>69.3</c:v>
                </c:pt>
                <c:pt idx="6">
                  <c:v>83.16</c:v>
                </c:pt>
                <c:pt idx="7">
                  <c:v>97.02</c:v>
                </c:pt>
                <c:pt idx="8">
                  <c:v>106.92</c:v>
                </c:pt>
                <c:pt idx="9">
                  <c:v>110.88</c:v>
                </c:pt>
              </c:numCache>
            </c:numRef>
          </c:xVal>
          <c:yVal>
            <c:numRef>
              <c:f>pivot_CS!$K$4:$K$13</c:f>
              <c:numCache>
                <c:formatCode>0</c:formatCode>
                <c:ptCount val="10"/>
                <c:pt idx="0">
                  <c:v>708.57142857142844</c:v>
                </c:pt>
                <c:pt idx="1">
                  <c:v>560.71428571428532</c:v>
                </c:pt>
                <c:pt idx="2">
                  <c:v>125.71428571428547</c:v>
                </c:pt>
                <c:pt idx="3">
                  <c:v>520.00000000000034</c:v>
                </c:pt>
                <c:pt idx="4">
                  <c:v>272.72727272727315</c:v>
                </c:pt>
                <c:pt idx="5">
                  <c:v>44.999999999999922</c:v>
                </c:pt>
                <c:pt idx="6">
                  <c:v>-225.00000000000017</c:v>
                </c:pt>
                <c:pt idx="7">
                  <c:v>-17.142857142856563</c:v>
                </c:pt>
                <c:pt idx="8">
                  <c:v>-103.03030303030309</c:v>
                </c:pt>
                <c:pt idx="9">
                  <c:v>5.7142857142851771</c:v>
                </c:pt>
              </c:numCache>
            </c:numRef>
          </c:yVal>
          <c:smooth val="0"/>
          <c:extLst>
            <c:ext xmlns:c16="http://schemas.microsoft.com/office/drawing/2014/chart" uri="{C3380CC4-5D6E-409C-BE32-E72D297353CC}">
              <c16:uniqueId val="{00000001-BA54-4D71-9ED9-45A777E84E18}"/>
            </c:ext>
          </c:extLst>
        </c:ser>
        <c:ser>
          <c:idx val="1"/>
          <c:order val="1"/>
          <c:tx>
            <c:strRef>
              <c:f>scatterplots_LWG_grazdays_CS!$B$17</c:f>
              <c:strCache>
                <c:ptCount val="1"/>
                <c:pt idx="0">
                  <c:v>CS 2-2.75</c:v>
                </c:pt>
              </c:strCache>
            </c:strRef>
          </c:tx>
          <c:spPr>
            <a:ln w="25400" cap="rnd">
              <a:noFill/>
              <a:round/>
            </a:ln>
            <a:effectLst/>
          </c:spPr>
          <c:marker>
            <c:symbol val="circle"/>
            <c:size val="5"/>
            <c:spPr>
              <a:solidFill>
                <a:srgbClr val="FFC000"/>
              </a:solidFill>
              <a:ln w="9525">
                <a:noFill/>
              </a:ln>
              <a:effectLst/>
            </c:spPr>
          </c:marker>
          <c:trendline>
            <c:spPr>
              <a:ln w="19050" cap="rnd">
                <a:solidFill>
                  <a:schemeClr val="accent2"/>
                </a:solidFill>
                <a:prstDash val="sysDot"/>
              </a:ln>
              <a:effectLst/>
            </c:spPr>
            <c:trendlineType val="linear"/>
            <c:intercept val="300"/>
            <c:dispRSqr val="0"/>
            <c:dispEq val="1"/>
            <c:trendlineLbl>
              <c:layout>
                <c:manualLayout>
                  <c:x val="0.30175573340217721"/>
                  <c:y val="-3.195262072927579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scatterplots_LWG_grazdays_CS!$A$18:$A$39</c:f>
              <c:numCache>
                <c:formatCode>0</c:formatCode>
                <c:ptCount val="22"/>
                <c:pt idx="0">
                  <c:v>13.86</c:v>
                </c:pt>
                <c:pt idx="1">
                  <c:v>27.72</c:v>
                </c:pt>
                <c:pt idx="2">
                  <c:v>28.6</c:v>
                </c:pt>
                <c:pt idx="3">
                  <c:v>32.400000000000006</c:v>
                </c:pt>
                <c:pt idx="4">
                  <c:v>34.020000000000003</c:v>
                </c:pt>
                <c:pt idx="5">
                  <c:v>34.580000000000005</c:v>
                </c:pt>
                <c:pt idx="6">
                  <c:v>41.58</c:v>
                </c:pt>
                <c:pt idx="7">
                  <c:v>51.03</c:v>
                </c:pt>
                <c:pt idx="8">
                  <c:v>51.870000000000005</c:v>
                </c:pt>
                <c:pt idx="9">
                  <c:v>53.46</c:v>
                </c:pt>
                <c:pt idx="10">
                  <c:v>55.44</c:v>
                </c:pt>
                <c:pt idx="11">
                  <c:v>59.400000000000006</c:v>
                </c:pt>
                <c:pt idx="12">
                  <c:v>60.480000000000004</c:v>
                </c:pt>
                <c:pt idx="13">
                  <c:v>68.040000000000006</c:v>
                </c:pt>
                <c:pt idx="14">
                  <c:v>69.160000000000011</c:v>
                </c:pt>
                <c:pt idx="15">
                  <c:v>69.3</c:v>
                </c:pt>
                <c:pt idx="16">
                  <c:v>83.16</c:v>
                </c:pt>
                <c:pt idx="17">
                  <c:v>97.02</c:v>
                </c:pt>
                <c:pt idx="18">
                  <c:v>102.06</c:v>
                </c:pt>
                <c:pt idx="19">
                  <c:v>103.74000000000001</c:v>
                </c:pt>
                <c:pt idx="20">
                  <c:v>106.92</c:v>
                </c:pt>
                <c:pt idx="21">
                  <c:v>110.88</c:v>
                </c:pt>
              </c:numCache>
            </c:numRef>
          </c:xVal>
          <c:yVal>
            <c:numRef>
              <c:f>scatterplots_LWG_grazdays_CS!$B$18:$B$39</c:f>
              <c:numCache>
                <c:formatCode>0</c:formatCode>
                <c:ptCount val="22"/>
                <c:pt idx="0">
                  <c:v>625.85034013605423</c:v>
                </c:pt>
                <c:pt idx="1">
                  <c:v>331.13553113553121</c:v>
                </c:pt>
                <c:pt idx="2">
                  <c:v>-38.461538461538467</c:v>
                </c:pt>
                <c:pt idx="3">
                  <c:v>190.74074074074073</c:v>
                </c:pt>
                <c:pt idx="4">
                  <c:v>241.07142857142856</c:v>
                </c:pt>
                <c:pt idx="5">
                  <c:v>278.57142857142856</c:v>
                </c:pt>
                <c:pt idx="6">
                  <c:v>73.469387755102048</c:v>
                </c:pt>
                <c:pt idx="7">
                  <c:v>-142.85714285714283</c:v>
                </c:pt>
                <c:pt idx="8">
                  <c:v>35.714285714285708</c:v>
                </c:pt>
                <c:pt idx="9">
                  <c:v>357.14285714285717</c:v>
                </c:pt>
                <c:pt idx="10">
                  <c:v>368.25396825396837</c:v>
                </c:pt>
                <c:pt idx="11">
                  <c:v>250</c:v>
                </c:pt>
                <c:pt idx="12">
                  <c:v>85.470085470085465</c:v>
                </c:pt>
                <c:pt idx="13">
                  <c:v>139.28571428571422</c:v>
                </c:pt>
                <c:pt idx="14">
                  <c:v>50.000000000000028</c:v>
                </c:pt>
                <c:pt idx="15">
                  <c:v>109.52380952380946</c:v>
                </c:pt>
                <c:pt idx="16">
                  <c:v>-178.02197802197804</c:v>
                </c:pt>
                <c:pt idx="17">
                  <c:v>-137.41496598639429</c:v>
                </c:pt>
                <c:pt idx="18">
                  <c:v>-185.71428571428567</c:v>
                </c:pt>
                <c:pt idx="19">
                  <c:v>-166.66666666666666</c:v>
                </c:pt>
                <c:pt idx="20">
                  <c:v>-7.4074074074075105</c:v>
                </c:pt>
                <c:pt idx="21">
                  <c:v>-213.60544217687064</c:v>
                </c:pt>
              </c:numCache>
            </c:numRef>
          </c:yVal>
          <c:smooth val="0"/>
          <c:extLst>
            <c:ext xmlns:c16="http://schemas.microsoft.com/office/drawing/2014/chart" uri="{C3380CC4-5D6E-409C-BE32-E72D297353CC}">
              <c16:uniqueId val="{00000002-BA54-4D71-9ED9-45A777E84E18}"/>
            </c:ext>
          </c:extLst>
        </c:ser>
        <c:ser>
          <c:idx val="2"/>
          <c:order val="2"/>
          <c:tx>
            <c:strRef>
              <c:f>scatterplots_LWG_grazdays_CS!$B$41</c:f>
              <c:strCache>
                <c:ptCount val="1"/>
                <c:pt idx="0">
                  <c:v>CS 3-3.75</c:v>
                </c:pt>
              </c:strCache>
            </c:strRef>
          </c:tx>
          <c:spPr>
            <a:ln w="25400" cap="rnd">
              <a:noFill/>
              <a:round/>
            </a:ln>
            <a:effectLst/>
          </c:spPr>
          <c:marker>
            <c:symbol val="circle"/>
            <c:size val="5"/>
            <c:spPr>
              <a:solidFill>
                <a:srgbClr val="00B050"/>
              </a:solidFill>
              <a:ln w="9525">
                <a:noFill/>
              </a:ln>
              <a:effectLst/>
            </c:spPr>
          </c:marker>
          <c:trendline>
            <c:spPr>
              <a:ln w="19050" cap="rnd">
                <a:solidFill>
                  <a:srgbClr val="00B050"/>
                </a:solidFill>
                <a:prstDash val="sysDot"/>
              </a:ln>
              <a:effectLst/>
            </c:spPr>
            <c:trendlineType val="linear"/>
            <c:intercept val="300"/>
            <c:dispRSqr val="0"/>
            <c:dispEq val="1"/>
            <c:trendlineLbl>
              <c:layout>
                <c:manualLayout>
                  <c:x val="0.30448797383933568"/>
                  <c:y val="-3.87148119360616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scatterplots_LWG_grazdays_CS!$A$42:$A$65</c:f>
              <c:numCache>
                <c:formatCode>0</c:formatCode>
                <c:ptCount val="24"/>
                <c:pt idx="0">
                  <c:v>13.86</c:v>
                </c:pt>
                <c:pt idx="1">
                  <c:v>27.72</c:v>
                </c:pt>
                <c:pt idx="2">
                  <c:v>28.6</c:v>
                </c:pt>
                <c:pt idx="3">
                  <c:v>32.400000000000006</c:v>
                </c:pt>
                <c:pt idx="4">
                  <c:v>34.020000000000003</c:v>
                </c:pt>
                <c:pt idx="5">
                  <c:v>34.580000000000005</c:v>
                </c:pt>
                <c:pt idx="6">
                  <c:v>41.58</c:v>
                </c:pt>
                <c:pt idx="7">
                  <c:v>44.24</c:v>
                </c:pt>
                <c:pt idx="8">
                  <c:v>51.03</c:v>
                </c:pt>
                <c:pt idx="9">
                  <c:v>51.870000000000005</c:v>
                </c:pt>
                <c:pt idx="10">
                  <c:v>53.46</c:v>
                </c:pt>
                <c:pt idx="11">
                  <c:v>55.44</c:v>
                </c:pt>
                <c:pt idx="12">
                  <c:v>59.400000000000006</c:v>
                </c:pt>
                <c:pt idx="13">
                  <c:v>60.480000000000004</c:v>
                </c:pt>
                <c:pt idx="14">
                  <c:v>68.040000000000006</c:v>
                </c:pt>
                <c:pt idx="15">
                  <c:v>69.160000000000011</c:v>
                </c:pt>
                <c:pt idx="16">
                  <c:v>69.3</c:v>
                </c:pt>
                <c:pt idx="17">
                  <c:v>83.16</c:v>
                </c:pt>
                <c:pt idx="18">
                  <c:v>88.48</c:v>
                </c:pt>
                <c:pt idx="19">
                  <c:v>97.02</c:v>
                </c:pt>
                <c:pt idx="20">
                  <c:v>102.06</c:v>
                </c:pt>
                <c:pt idx="21">
                  <c:v>103.74000000000001</c:v>
                </c:pt>
                <c:pt idx="22">
                  <c:v>106.92</c:v>
                </c:pt>
                <c:pt idx="23">
                  <c:v>110.88</c:v>
                </c:pt>
              </c:numCache>
            </c:numRef>
          </c:xVal>
          <c:yVal>
            <c:numRef>
              <c:f>scatterplots_LWG_grazdays_CS!$B$42:$B$65</c:f>
              <c:numCache>
                <c:formatCode>0</c:formatCode>
                <c:ptCount val="24"/>
                <c:pt idx="0">
                  <c:v>560.71428571428555</c:v>
                </c:pt>
                <c:pt idx="1">
                  <c:v>309.89010989011001</c:v>
                </c:pt>
                <c:pt idx="2">
                  <c:v>343.50132625994701</c:v>
                </c:pt>
                <c:pt idx="3">
                  <c:v>144.44444444444446</c:v>
                </c:pt>
                <c:pt idx="4">
                  <c:v>173.80952380952385</c:v>
                </c:pt>
                <c:pt idx="5">
                  <c:v>132.41758241758234</c:v>
                </c:pt>
                <c:pt idx="6">
                  <c:v>-46.428571428571587</c:v>
                </c:pt>
                <c:pt idx="7">
                  <c:v>-22.727272727272734</c:v>
                </c:pt>
                <c:pt idx="8">
                  <c:v>-166.66666666666666</c:v>
                </c:pt>
                <c:pt idx="9">
                  <c:v>32.967032967032978</c:v>
                </c:pt>
                <c:pt idx="10">
                  <c:v>775</c:v>
                </c:pt>
                <c:pt idx="11">
                  <c:v>485.71428571428635</c:v>
                </c:pt>
                <c:pt idx="12">
                  <c:v>-94.827586206896541</c:v>
                </c:pt>
                <c:pt idx="13">
                  <c:v>54.487179487179496</c:v>
                </c:pt>
                <c:pt idx="14">
                  <c:v>29.523809523809401</c:v>
                </c:pt>
                <c:pt idx="15">
                  <c:v>29.670329670329693</c:v>
                </c:pt>
                <c:pt idx="16">
                  <c:v>-168.74999999999974</c:v>
                </c:pt>
                <c:pt idx="17">
                  <c:v>-147.25274725274764</c:v>
                </c:pt>
                <c:pt idx="18">
                  <c:v>-214.28571428571431</c:v>
                </c:pt>
                <c:pt idx="19">
                  <c:v>-153.57142857142833</c:v>
                </c:pt>
                <c:pt idx="20">
                  <c:v>-145.71428571428564</c:v>
                </c:pt>
                <c:pt idx="21">
                  <c:v>-190.10989010989013</c:v>
                </c:pt>
                <c:pt idx="22">
                  <c:v>-326.66666666666663</c:v>
                </c:pt>
                <c:pt idx="23">
                  <c:v>-382.14285714285751</c:v>
                </c:pt>
              </c:numCache>
            </c:numRef>
          </c:yVal>
          <c:smooth val="0"/>
          <c:extLst>
            <c:ext xmlns:c16="http://schemas.microsoft.com/office/drawing/2014/chart" uri="{C3380CC4-5D6E-409C-BE32-E72D297353CC}">
              <c16:uniqueId val="{00000003-BA54-4D71-9ED9-45A777E84E18}"/>
            </c:ext>
          </c:extLst>
        </c:ser>
        <c:ser>
          <c:idx val="3"/>
          <c:order val="3"/>
          <c:tx>
            <c:strRef>
              <c:f>scatterplots_LWG_grazdays_CS!$B$67</c:f>
              <c:strCache>
                <c:ptCount val="1"/>
                <c:pt idx="0">
                  <c:v>CS 4+</c:v>
                </c:pt>
              </c:strCache>
            </c:strRef>
          </c:tx>
          <c:spPr>
            <a:ln w="25400" cap="rnd">
              <a:noFill/>
              <a:round/>
            </a:ln>
            <a:effectLst/>
          </c:spPr>
          <c:marker>
            <c:symbol val="circle"/>
            <c:size val="5"/>
            <c:spPr>
              <a:solidFill>
                <a:srgbClr val="002060"/>
              </a:solidFill>
              <a:ln w="9525">
                <a:noFill/>
              </a:ln>
              <a:effectLst/>
            </c:spPr>
          </c:marker>
          <c:trendline>
            <c:spPr>
              <a:ln w="19050" cap="rnd">
                <a:solidFill>
                  <a:srgbClr val="002060"/>
                </a:solidFill>
                <a:prstDash val="sysDot"/>
              </a:ln>
              <a:effectLst/>
            </c:spPr>
            <c:trendlineType val="linear"/>
            <c:intercept val="300"/>
            <c:dispRSqr val="0"/>
            <c:dispEq val="1"/>
            <c:trendlineLbl>
              <c:layout>
                <c:manualLayout>
                  <c:x val="0.34193730906587494"/>
                  <c:y val="5.6868642492649791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scatterplots_LWG_grazdays_CS!$A$68:$A$77</c:f>
              <c:numCache>
                <c:formatCode>General</c:formatCode>
                <c:ptCount val="10"/>
                <c:pt idx="0">
                  <c:v>34.020000000000003</c:v>
                </c:pt>
                <c:pt idx="1">
                  <c:v>34.580000000000005</c:v>
                </c:pt>
                <c:pt idx="2">
                  <c:v>44.24</c:v>
                </c:pt>
                <c:pt idx="3">
                  <c:v>51.03</c:v>
                </c:pt>
                <c:pt idx="4">
                  <c:v>51.870000000000005</c:v>
                </c:pt>
                <c:pt idx="5">
                  <c:v>68.040000000000006</c:v>
                </c:pt>
                <c:pt idx="6">
                  <c:v>69.160000000000011</c:v>
                </c:pt>
                <c:pt idx="7">
                  <c:v>88.48</c:v>
                </c:pt>
                <c:pt idx="8">
                  <c:v>102.06</c:v>
                </c:pt>
                <c:pt idx="9">
                  <c:v>103.74000000000001</c:v>
                </c:pt>
              </c:numCache>
            </c:numRef>
          </c:xVal>
          <c:yVal>
            <c:numRef>
              <c:f>scatterplots_LWG_grazdays_CS!$B$68:$B$77</c:f>
              <c:numCache>
                <c:formatCode>General</c:formatCode>
                <c:ptCount val="10"/>
                <c:pt idx="0">
                  <c:v>421.42857142857133</c:v>
                </c:pt>
                <c:pt idx="1">
                  <c:v>442.85714285714306</c:v>
                </c:pt>
                <c:pt idx="2">
                  <c:v>-33.834586466165412</c:v>
                </c:pt>
                <c:pt idx="3">
                  <c:v>-357.14285714285717</c:v>
                </c:pt>
                <c:pt idx="4">
                  <c:v>-142.85714285714286</c:v>
                </c:pt>
                <c:pt idx="5">
                  <c:v>-142.85714285714286</c:v>
                </c:pt>
                <c:pt idx="6">
                  <c:v>-85.714285714284898</c:v>
                </c:pt>
                <c:pt idx="7">
                  <c:v>-212.40601503759399</c:v>
                </c:pt>
                <c:pt idx="8">
                  <c:v>-71.428571428571431</c:v>
                </c:pt>
                <c:pt idx="9">
                  <c:v>-128.57142857142887</c:v>
                </c:pt>
              </c:numCache>
            </c:numRef>
          </c:yVal>
          <c:smooth val="0"/>
          <c:extLst>
            <c:ext xmlns:c16="http://schemas.microsoft.com/office/drawing/2014/chart" uri="{C3380CC4-5D6E-409C-BE32-E72D297353CC}">
              <c16:uniqueId val="{00000004-BA54-4D71-9ED9-45A777E84E18}"/>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Sheep</a:t>
                </a:r>
                <a:r>
                  <a:rPr lang="en-AU" baseline="0">
                    <a:solidFill>
                      <a:sysClr val="windowText" lastClr="000000"/>
                    </a:solidFill>
                  </a:rPr>
                  <a:t> days on stubble</a:t>
                </a:r>
                <a:endParaRPr lang="en-AU">
                  <a:solidFill>
                    <a:sysClr val="windowText" lastClr="000000"/>
                  </a:solidFill>
                </a:endParaRPr>
              </a:p>
            </c:rich>
          </c:tx>
          <c:layout>
            <c:manualLayout>
              <c:xMode val="edge"/>
              <c:yMode val="edge"/>
              <c:x val="0.41302818804454178"/>
              <c:y val="0.914163090128755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2003520"/>
        <c:crosses val="autoZero"/>
        <c:crossBetween val="midCat"/>
      </c:valAx>
      <c:valAx>
        <c:axId val="852003520"/>
        <c:scaling>
          <c:orientation val="minMax"/>
          <c:min val="-3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Liveweight</a:t>
                </a:r>
                <a:r>
                  <a:rPr lang="en-AU" baseline="0">
                    <a:solidFill>
                      <a:sysClr val="windowText" lastClr="000000"/>
                    </a:solidFill>
                  </a:rPr>
                  <a:t> gain</a:t>
                </a:r>
              </a:p>
              <a:p>
                <a:pPr>
                  <a:defRPr>
                    <a:solidFill>
                      <a:sysClr val="windowText" lastClr="000000"/>
                    </a:solidFill>
                  </a:defRPr>
                </a:pPr>
                <a:r>
                  <a:rPr lang="en-AU" baseline="0">
                    <a:solidFill>
                      <a:sysClr val="windowText" lastClr="000000"/>
                    </a:solidFill>
                  </a:rPr>
                  <a:t>(g/head/day)</a:t>
                </a:r>
                <a:endParaRPr lang="en-AU">
                  <a:solidFill>
                    <a:sysClr val="windowText" lastClr="000000"/>
                  </a:solidFill>
                </a:endParaRPr>
              </a:p>
            </c:rich>
          </c:tx>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1999584"/>
        <c:crosses val="autoZero"/>
        <c:crossBetween val="midCat"/>
      </c:valAx>
      <c:spPr>
        <a:noFill/>
        <a:ln>
          <a:noFill/>
        </a:ln>
        <a:effectLst/>
      </c:spPr>
    </c:plotArea>
    <c:legend>
      <c:legendPos val="r"/>
      <c:layout>
        <c:manualLayout>
          <c:xMode val="edge"/>
          <c:yMode val="edge"/>
          <c:x val="0.75881489074220754"/>
          <c:y val="4.355919029434626E-2"/>
          <c:w val="0.23842258770908073"/>
          <c:h val="0.4376107600283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064687108495887"/>
                  <c:y val="-0.7153550066277283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cumulative_LWG!$AC$92:$AC$202</c:f>
              <c:numCache>
                <c:formatCode>0.000</c:formatCode>
                <c:ptCount val="111"/>
                <c:pt idx="0">
                  <c:v>9.473399999999998</c:v>
                </c:pt>
                <c:pt idx="1">
                  <c:v>9.5039199999999973</c:v>
                </c:pt>
                <c:pt idx="2">
                  <c:v>9.5301599999999969</c:v>
                </c:pt>
                <c:pt idx="3">
                  <c:v>9.5521199999999968</c:v>
                </c:pt>
                <c:pt idx="4">
                  <c:v>9.5697999999999972</c:v>
                </c:pt>
                <c:pt idx="5">
                  <c:v>9.5831999999999979</c:v>
                </c:pt>
                <c:pt idx="6">
                  <c:v>9.5923199999999973</c:v>
                </c:pt>
                <c:pt idx="7">
                  <c:v>9.597159999999997</c:v>
                </c:pt>
                <c:pt idx="8">
                  <c:v>9.5977199999999971</c:v>
                </c:pt>
                <c:pt idx="9">
                  <c:v>9.5939999999999976</c:v>
                </c:pt>
                <c:pt idx="10">
                  <c:v>9.5859999999999985</c:v>
                </c:pt>
                <c:pt idx="11">
                  <c:v>9.573719999999998</c:v>
                </c:pt>
                <c:pt idx="12">
                  <c:v>9.5571599999999979</c:v>
                </c:pt>
                <c:pt idx="13">
                  <c:v>9.5363199999999981</c:v>
                </c:pt>
                <c:pt idx="14">
                  <c:v>9.5111999999999988</c:v>
                </c:pt>
                <c:pt idx="15">
                  <c:v>9.481799999999998</c:v>
                </c:pt>
                <c:pt idx="16">
                  <c:v>9.4481199999999976</c:v>
                </c:pt>
                <c:pt idx="17">
                  <c:v>9.4101599999999976</c:v>
                </c:pt>
                <c:pt idx="18">
                  <c:v>9.367919999999998</c:v>
                </c:pt>
                <c:pt idx="19">
                  <c:v>9.3213999999999988</c:v>
                </c:pt>
                <c:pt idx="20">
                  <c:v>9.2705999999999982</c:v>
                </c:pt>
                <c:pt idx="21">
                  <c:v>9.2155199999999979</c:v>
                </c:pt>
                <c:pt idx="22">
                  <c:v>9.1561599999999981</c:v>
                </c:pt>
                <c:pt idx="23">
                  <c:v>9.0925199999999986</c:v>
                </c:pt>
                <c:pt idx="24">
                  <c:v>9.0245999999999977</c:v>
                </c:pt>
                <c:pt idx="25">
                  <c:v>8.9523999999999972</c:v>
                </c:pt>
                <c:pt idx="26">
                  <c:v>8.8759199999999971</c:v>
                </c:pt>
                <c:pt idx="27">
                  <c:v>8.7951599999999974</c:v>
                </c:pt>
                <c:pt idx="28">
                  <c:v>8.7101199999999981</c:v>
                </c:pt>
                <c:pt idx="29">
                  <c:v>8.6207999999999974</c:v>
                </c:pt>
                <c:pt idx="30">
                  <c:v>8.527199999999997</c:v>
                </c:pt>
                <c:pt idx="31">
                  <c:v>8.429319999999997</c:v>
                </c:pt>
                <c:pt idx="32">
                  <c:v>8.3271599999999975</c:v>
                </c:pt>
                <c:pt idx="33">
                  <c:v>8.2207199999999983</c:v>
                </c:pt>
                <c:pt idx="34">
                  <c:v>8.1099999999999977</c:v>
                </c:pt>
                <c:pt idx="35">
                  <c:v>7.9949999999999974</c:v>
                </c:pt>
                <c:pt idx="36">
                  <c:v>7.8757199999999976</c:v>
                </c:pt>
                <c:pt idx="37">
                  <c:v>7.7521599999999973</c:v>
                </c:pt>
                <c:pt idx="38">
                  <c:v>7.6243199999999973</c:v>
                </c:pt>
                <c:pt idx="39">
                  <c:v>7.4921999999999969</c:v>
                </c:pt>
                <c:pt idx="40">
                  <c:v>7.3557999999999968</c:v>
                </c:pt>
                <c:pt idx="41">
                  <c:v>7.2151199999999971</c:v>
                </c:pt>
                <c:pt idx="42">
                  <c:v>7.0701599999999969</c:v>
                </c:pt>
                <c:pt idx="43">
                  <c:v>6.9209199999999971</c:v>
                </c:pt>
                <c:pt idx="44">
                  <c:v>6.7673999999999968</c:v>
                </c:pt>
                <c:pt idx="45">
                  <c:v>6.6095999999999968</c:v>
                </c:pt>
                <c:pt idx="46">
                  <c:v>6.4475199999999964</c:v>
                </c:pt>
                <c:pt idx="47">
                  <c:v>6.2811599999999963</c:v>
                </c:pt>
                <c:pt idx="48">
                  <c:v>6.1105199999999966</c:v>
                </c:pt>
                <c:pt idx="49">
                  <c:v>5.9355999999999964</c:v>
                </c:pt>
                <c:pt idx="50">
                  <c:v>5.7563999999999966</c:v>
                </c:pt>
                <c:pt idx="51">
                  <c:v>5.5729199999999963</c:v>
                </c:pt>
                <c:pt idx="52">
                  <c:v>5.3851599999999964</c:v>
                </c:pt>
                <c:pt idx="53">
                  <c:v>5.193119999999996</c:v>
                </c:pt>
                <c:pt idx="54">
                  <c:v>4.9967999999999959</c:v>
                </c:pt>
                <c:pt idx="55">
                  <c:v>4.7961999999999962</c:v>
                </c:pt>
                <c:pt idx="56">
                  <c:v>4.5913199999999961</c:v>
                </c:pt>
                <c:pt idx="57">
                  <c:v>4.3821599999999963</c:v>
                </c:pt>
                <c:pt idx="58">
                  <c:v>4.168719999999996</c:v>
                </c:pt>
                <c:pt idx="59">
                  <c:v>3.9509999999999961</c:v>
                </c:pt>
                <c:pt idx="60">
                  <c:v>3.7289999999999961</c:v>
                </c:pt>
                <c:pt idx="61">
                  <c:v>3.5027199999999961</c:v>
                </c:pt>
                <c:pt idx="62">
                  <c:v>3.272159999999996</c:v>
                </c:pt>
                <c:pt idx="63">
                  <c:v>3.0373199999999958</c:v>
                </c:pt>
                <c:pt idx="64">
                  <c:v>2.798199999999996</c:v>
                </c:pt>
                <c:pt idx="65">
                  <c:v>2.5547999999999957</c:v>
                </c:pt>
                <c:pt idx="66">
                  <c:v>2.3071199999999958</c:v>
                </c:pt>
                <c:pt idx="67">
                  <c:v>2.0551599999999959</c:v>
                </c:pt>
                <c:pt idx="68">
                  <c:v>1.7989199999999959</c:v>
                </c:pt>
                <c:pt idx="69">
                  <c:v>1.5383999999999958</c:v>
                </c:pt>
                <c:pt idx="70">
                  <c:v>1.2735999999999956</c:v>
                </c:pt>
                <c:pt idx="71">
                  <c:v>1.0045199999999956</c:v>
                </c:pt>
                <c:pt idx="72">
                  <c:v>0.73115999999999559</c:v>
                </c:pt>
                <c:pt idx="73">
                  <c:v>0.45351999999999559</c:v>
                </c:pt>
                <c:pt idx="74">
                  <c:v>0.17159999999999553</c:v>
                </c:pt>
                <c:pt idx="75">
                  <c:v>-0.11460000000000453</c:v>
                </c:pt>
                <c:pt idx="76">
                  <c:v>-0.40508000000000455</c:v>
                </c:pt>
                <c:pt idx="77">
                  <c:v>-0.69984000000000457</c:v>
                </c:pt>
                <c:pt idx="78">
                  <c:v>-0.99888000000000465</c:v>
                </c:pt>
                <c:pt idx="79">
                  <c:v>-1.3022000000000047</c:v>
                </c:pt>
                <c:pt idx="80">
                  <c:v>-1.6098000000000048</c:v>
                </c:pt>
                <c:pt idx="81">
                  <c:v>-1.9216800000000047</c:v>
                </c:pt>
                <c:pt idx="82">
                  <c:v>-2.2378400000000047</c:v>
                </c:pt>
                <c:pt idx="83">
                  <c:v>-2.5582800000000048</c:v>
                </c:pt>
                <c:pt idx="84">
                  <c:v>-2.8830000000000049</c:v>
                </c:pt>
                <c:pt idx="85">
                  <c:v>-3.2120000000000051</c:v>
                </c:pt>
                <c:pt idx="86">
                  <c:v>-3.5452800000000053</c:v>
                </c:pt>
                <c:pt idx="87">
                  <c:v>-3.8828400000000052</c:v>
                </c:pt>
                <c:pt idx="88">
                  <c:v>-4.2246800000000055</c:v>
                </c:pt>
                <c:pt idx="89">
                  <c:v>-4.5708000000000055</c:v>
                </c:pt>
                <c:pt idx="90">
                  <c:v>-4.921200000000006</c:v>
                </c:pt>
                <c:pt idx="91">
                  <c:v>-5.2758800000000061</c:v>
                </c:pt>
                <c:pt idx="92">
                  <c:v>-5.6348400000000058</c:v>
                </c:pt>
                <c:pt idx="93">
                  <c:v>-5.9980800000000061</c:v>
                </c:pt>
                <c:pt idx="94">
                  <c:v>-6.3656000000000059</c:v>
                </c:pt>
                <c:pt idx="95">
                  <c:v>-6.7374000000000063</c:v>
                </c:pt>
                <c:pt idx="96">
                  <c:v>-7.1134800000000062</c:v>
                </c:pt>
                <c:pt idx="97">
                  <c:v>-7.4938400000000058</c:v>
                </c:pt>
                <c:pt idx="98">
                  <c:v>-7.8784800000000059</c:v>
                </c:pt>
                <c:pt idx="99">
                  <c:v>-8.2674000000000056</c:v>
                </c:pt>
                <c:pt idx="100">
                  <c:v>-8.6606000000000058</c:v>
                </c:pt>
                <c:pt idx="101">
                  <c:v>-9.0580800000000057</c:v>
                </c:pt>
                <c:pt idx="102">
                  <c:v>-9.4598400000000051</c:v>
                </c:pt>
                <c:pt idx="103">
                  <c:v>-9.865880000000006</c:v>
                </c:pt>
                <c:pt idx="104">
                  <c:v>-10.276200000000006</c:v>
                </c:pt>
                <c:pt idx="105">
                  <c:v>-10.690800000000007</c:v>
                </c:pt>
                <c:pt idx="106">
                  <c:v>-11.109680000000006</c:v>
                </c:pt>
                <c:pt idx="107">
                  <c:v>-11.532840000000006</c:v>
                </c:pt>
                <c:pt idx="108">
                  <c:v>-11.960280000000006</c:v>
                </c:pt>
                <c:pt idx="109">
                  <c:v>-12.392000000000007</c:v>
                </c:pt>
                <c:pt idx="110">
                  <c:v>-12.828000000000007</c:v>
                </c:pt>
              </c:numCache>
            </c:numRef>
          </c:yVal>
          <c:smooth val="0"/>
          <c:extLst>
            <c:ext xmlns:c16="http://schemas.microsoft.com/office/drawing/2014/chart" uri="{C3380CC4-5D6E-409C-BE32-E72D297353CC}">
              <c16:uniqueId val="{00000001-73C5-4714-BE7A-2344499985E0}"/>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35266407033894"/>
                  <c:y val="-0.7446566625255838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cumulative_LWG!$AK$92:$AK$202</c:f>
              <c:numCache>
                <c:formatCode>0.000</c:formatCode>
                <c:ptCount val="111"/>
                <c:pt idx="0">
                  <c:v>5.951700000000006</c:v>
                </c:pt>
                <c:pt idx="1">
                  <c:v>5.9039600000000059</c:v>
                </c:pt>
                <c:pt idx="2">
                  <c:v>5.8510800000000058</c:v>
                </c:pt>
                <c:pt idx="3">
                  <c:v>5.7930600000000059</c:v>
                </c:pt>
                <c:pt idx="4">
                  <c:v>5.729900000000006</c:v>
                </c:pt>
                <c:pt idx="5">
                  <c:v>5.6616000000000062</c:v>
                </c:pt>
                <c:pt idx="6">
                  <c:v>5.5881600000000065</c:v>
                </c:pt>
                <c:pt idx="7">
                  <c:v>5.5095800000000068</c:v>
                </c:pt>
                <c:pt idx="8">
                  <c:v>5.4258600000000072</c:v>
                </c:pt>
                <c:pt idx="9">
                  <c:v>5.3370000000000068</c:v>
                </c:pt>
                <c:pt idx="10">
                  <c:v>5.2430000000000065</c:v>
                </c:pt>
                <c:pt idx="11">
                  <c:v>5.1438600000000063</c:v>
                </c:pt>
                <c:pt idx="12">
                  <c:v>5.0395800000000062</c:v>
                </c:pt>
                <c:pt idx="13">
                  <c:v>4.9301600000000061</c:v>
                </c:pt>
                <c:pt idx="14">
                  <c:v>4.8156000000000061</c:v>
                </c:pt>
                <c:pt idx="15">
                  <c:v>4.6959000000000062</c:v>
                </c:pt>
                <c:pt idx="16">
                  <c:v>4.5710600000000063</c:v>
                </c:pt>
                <c:pt idx="17">
                  <c:v>4.4410800000000066</c:v>
                </c:pt>
                <c:pt idx="18">
                  <c:v>4.3059600000000069</c:v>
                </c:pt>
                <c:pt idx="19">
                  <c:v>4.1657000000000073</c:v>
                </c:pt>
                <c:pt idx="20">
                  <c:v>4.0203000000000078</c:v>
                </c:pt>
                <c:pt idx="21">
                  <c:v>3.8697600000000079</c:v>
                </c:pt>
                <c:pt idx="22">
                  <c:v>3.714080000000008</c:v>
                </c:pt>
                <c:pt idx="23">
                  <c:v>3.5532600000000079</c:v>
                </c:pt>
                <c:pt idx="24">
                  <c:v>3.3873000000000077</c:v>
                </c:pt>
                <c:pt idx="25">
                  <c:v>3.2162000000000077</c:v>
                </c:pt>
                <c:pt idx="26">
                  <c:v>3.0399600000000078</c:v>
                </c:pt>
                <c:pt idx="27">
                  <c:v>2.8585800000000079</c:v>
                </c:pt>
                <c:pt idx="28">
                  <c:v>2.6720600000000081</c:v>
                </c:pt>
                <c:pt idx="29">
                  <c:v>2.4804000000000079</c:v>
                </c:pt>
                <c:pt idx="30">
                  <c:v>2.2836000000000078</c:v>
                </c:pt>
                <c:pt idx="31">
                  <c:v>2.0816600000000078</c:v>
                </c:pt>
                <c:pt idx="32">
                  <c:v>1.8745800000000079</c:v>
                </c:pt>
                <c:pt idx="33">
                  <c:v>1.6623600000000081</c:v>
                </c:pt>
                <c:pt idx="34">
                  <c:v>1.4450000000000081</c:v>
                </c:pt>
                <c:pt idx="35">
                  <c:v>1.2225000000000081</c:v>
                </c:pt>
                <c:pt idx="36">
                  <c:v>0.99486000000000807</c:v>
                </c:pt>
                <c:pt idx="37">
                  <c:v>0.76208000000000808</c:v>
                </c:pt>
                <c:pt idx="38">
                  <c:v>0.52416000000000817</c:v>
                </c:pt>
                <c:pt idx="39">
                  <c:v>0.28110000000000823</c:v>
                </c:pt>
                <c:pt idx="40">
                  <c:v>3.2900000000008311E-2</c:v>
                </c:pt>
                <c:pt idx="41">
                  <c:v>-0.22043999999999159</c:v>
                </c:pt>
                <c:pt idx="42">
                  <c:v>-0.47891999999999152</c:v>
                </c:pt>
                <c:pt idx="43">
                  <c:v>-0.74253999999999154</c:v>
                </c:pt>
                <c:pt idx="44">
                  <c:v>-1.0112999999999914</c:v>
                </c:pt>
                <c:pt idx="45">
                  <c:v>-1.2851999999999915</c:v>
                </c:pt>
                <c:pt idx="46">
                  <c:v>-1.5642399999999914</c:v>
                </c:pt>
                <c:pt idx="47">
                  <c:v>-1.8484199999999913</c:v>
                </c:pt>
                <c:pt idx="48">
                  <c:v>-2.1377399999999911</c:v>
                </c:pt>
                <c:pt idx="49">
                  <c:v>-2.432199999999991</c:v>
                </c:pt>
                <c:pt idx="50">
                  <c:v>-2.7317999999999909</c:v>
                </c:pt>
                <c:pt idx="51">
                  <c:v>-3.0365399999999907</c:v>
                </c:pt>
                <c:pt idx="52">
                  <c:v>-3.3464199999999908</c:v>
                </c:pt>
                <c:pt idx="53">
                  <c:v>-3.6614399999999909</c:v>
                </c:pt>
                <c:pt idx="54">
                  <c:v>-3.9815999999999909</c:v>
                </c:pt>
                <c:pt idx="55">
                  <c:v>-4.3068999999999908</c:v>
                </c:pt>
                <c:pt idx="56">
                  <c:v>-4.6373399999999911</c:v>
                </c:pt>
                <c:pt idx="57">
                  <c:v>-4.9729199999999913</c:v>
                </c:pt>
                <c:pt idx="58">
                  <c:v>-5.3136399999999915</c:v>
                </c:pt>
                <c:pt idx="59">
                  <c:v>-5.6594999999999915</c:v>
                </c:pt>
                <c:pt idx="60">
                  <c:v>-6.0104999999999915</c:v>
                </c:pt>
                <c:pt idx="61">
                  <c:v>-6.3666399999999914</c:v>
                </c:pt>
                <c:pt idx="62">
                  <c:v>-6.7279199999999912</c:v>
                </c:pt>
                <c:pt idx="63">
                  <c:v>-7.094339999999991</c:v>
                </c:pt>
                <c:pt idx="64">
                  <c:v>-7.4658999999999907</c:v>
                </c:pt>
                <c:pt idx="65">
                  <c:v>-7.8425999999999902</c:v>
                </c:pt>
                <c:pt idx="66">
                  <c:v>-8.2244399999999906</c:v>
                </c:pt>
                <c:pt idx="67">
                  <c:v>-8.6114199999999901</c:v>
                </c:pt>
                <c:pt idx="68">
                  <c:v>-9.0035399999999903</c:v>
                </c:pt>
                <c:pt idx="69">
                  <c:v>-9.4007999999999896</c:v>
                </c:pt>
                <c:pt idx="70">
                  <c:v>-9.8031999999999897</c:v>
                </c:pt>
                <c:pt idx="71">
                  <c:v>-10.210739999999991</c:v>
                </c:pt>
                <c:pt idx="72">
                  <c:v>-10.623419999999991</c:v>
                </c:pt>
                <c:pt idx="73">
                  <c:v>-11.041239999999991</c:v>
                </c:pt>
                <c:pt idx="74">
                  <c:v>-11.464199999999991</c:v>
                </c:pt>
                <c:pt idx="75">
                  <c:v>-11.892299999999992</c:v>
                </c:pt>
                <c:pt idx="76">
                  <c:v>-12.325539999999991</c:v>
                </c:pt>
                <c:pt idx="77">
                  <c:v>-12.763919999999992</c:v>
                </c:pt>
                <c:pt idx="78">
                  <c:v>-13.207439999999991</c:v>
                </c:pt>
                <c:pt idx="79">
                  <c:v>-13.656099999999991</c:v>
                </c:pt>
                <c:pt idx="80">
                  <c:v>-14.109899999999991</c:v>
                </c:pt>
                <c:pt idx="81">
                  <c:v>-14.568839999999991</c:v>
                </c:pt>
                <c:pt idx="82">
                  <c:v>-15.03291999999999</c:v>
                </c:pt>
                <c:pt idx="83">
                  <c:v>-15.50213999999999</c:v>
                </c:pt>
                <c:pt idx="84">
                  <c:v>-15.976499999999991</c:v>
                </c:pt>
                <c:pt idx="85">
                  <c:v>-16.455999999999992</c:v>
                </c:pt>
                <c:pt idx="86">
                  <c:v>-16.940639999999991</c:v>
                </c:pt>
                <c:pt idx="87">
                  <c:v>-17.430419999999991</c:v>
                </c:pt>
                <c:pt idx="88">
                  <c:v>-17.925339999999991</c:v>
                </c:pt>
                <c:pt idx="89">
                  <c:v>-18.425399999999993</c:v>
                </c:pt>
                <c:pt idx="90">
                  <c:v>-18.930599999999991</c:v>
                </c:pt>
                <c:pt idx="91">
                  <c:v>-19.440939999999991</c:v>
                </c:pt>
                <c:pt idx="92">
                  <c:v>-19.956419999999991</c:v>
                </c:pt>
                <c:pt idx="93">
                  <c:v>-20.477039999999992</c:v>
                </c:pt>
                <c:pt idx="94">
                  <c:v>-21.002799999999993</c:v>
                </c:pt>
                <c:pt idx="95">
                  <c:v>-21.533699999999993</c:v>
                </c:pt>
                <c:pt idx="96">
                  <c:v>-22.069739999999992</c:v>
                </c:pt>
                <c:pt idx="97">
                  <c:v>-22.610919999999993</c:v>
                </c:pt>
                <c:pt idx="98">
                  <c:v>-23.157239999999994</c:v>
                </c:pt>
                <c:pt idx="99">
                  <c:v>-23.708699999999993</c:v>
                </c:pt>
                <c:pt idx="100">
                  <c:v>-24.265299999999993</c:v>
                </c:pt>
                <c:pt idx="101">
                  <c:v>-24.827039999999993</c:v>
                </c:pt>
                <c:pt idx="102">
                  <c:v>-25.393919999999994</c:v>
                </c:pt>
                <c:pt idx="103">
                  <c:v>-25.965939999999993</c:v>
                </c:pt>
                <c:pt idx="104">
                  <c:v>-26.543099999999992</c:v>
                </c:pt>
                <c:pt idx="105">
                  <c:v>-27.125399999999992</c:v>
                </c:pt>
                <c:pt idx="106">
                  <c:v>-27.712839999999993</c:v>
                </c:pt>
                <c:pt idx="107">
                  <c:v>-28.305419999999991</c:v>
                </c:pt>
                <c:pt idx="108">
                  <c:v>-28.90313999999999</c:v>
                </c:pt>
                <c:pt idx="109">
                  <c:v>-29.50599999999999</c:v>
                </c:pt>
                <c:pt idx="110">
                  <c:v>-30.11399999999999</c:v>
                </c:pt>
              </c:numCache>
            </c:numRef>
          </c:yVal>
          <c:smooth val="0"/>
          <c:extLst>
            <c:ext xmlns:c16="http://schemas.microsoft.com/office/drawing/2014/chart" uri="{C3380CC4-5D6E-409C-BE32-E72D297353CC}">
              <c16:uniqueId val="{00000001-822D-4495-A3FE-C581783876C0}"/>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cumulative_LWG!$S$3:$S$202</c:f>
              <c:numCache>
                <c:formatCode>0.000</c:formatCode>
                <c:ptCount val="200"/>
                <c:pt idx="0">
                  <c:v>0.29625999999999997</c:v>
                </c:pt>
                <c:pt idx="1">
                  <c:v>0.58877999999999997</c:v>
                </c:pt>
                <c:pt idx="2">
                  <c:v>0.8775599999999999</c:v>
                </c:pt>
                <c:pt idx="3">
                  <c:v>1.1625999999999999</c:v>
                </c:pt>
                <c:pt idx="4">
                  <c:v>1.4438999999999997</c:v>
                </c:pt>
                <c:pt idx="5">
                  <c:v>1.7214599999999998</c:v>
                </c:pt>
                <c:pt idx="6">
                  <c:v>1.9952799999999997</c:v>
                </c:pt>
                <c:pt idx="7">
                  <c:v>2.2653599999999998</c:v>
                </c:pt>
                <c:pt idx="8">
                  <c:v>2.5316999999999998</c:v>
                </c:pt>
                <c:pt idx="9">
                  <c:v>2.7942999999999998</c:v>
                </c:pt>
                <c:pt idx="10">
                  <c:v>3.0531599999999997</c:v>
                </c:pt>
                <c:pt idx="11">
                  <c:v>3.3082799999999999</c:v>
                </c:pt>
                <c:pt idx="12">
                  <c:v>3.55966</c:v>
                </c:pt>
                <c:pt idx="13">
                  <c:v>3.8073000000000001</c:v>
                </c:pt>
                <c:pt idx="14">
                  <c:v>4.0511999999999997</c:v>
                </c:pt>
                <c:pt idx="15">
                  <c:v>4.2913600000000001</c:v>
                </c:pt>
                <c:pt idx="16">
                  <c:v>4.5277799999999999</c:v>
                </c:pt>
                <c:pt idx="17">
                  <c:v>4.7604600000000001</c:v>
                </c:pt>
                <c:pt idx="18">
                  <c:v>4.9893999999999998</c:v>
                </c:pt>
                <c:pt idx="19">
                  <c:v>5.2145999999999999</c:v>
                </c:pt>
                <c:pt idx="20">
                  <c:v>5.4360599999999994</c:v>
                </c:pt>
                <c:pt idx="21">
                  <c:v>5.6537799999999994</c:v>
                </c:pt>
                <c:pt idx="22">
                  <c:v>5.8677599999999996</c:v>
                </c:pt>
                <c:pt idx="23">
                  <c:v>6.0779999999999994</c:v>
                </c:pt>
                <c:pt idx="24">
                  <c:v>6.2844999999999995</c:v>
                </c:pt>
                <c:pt idx="25">
                  <c:v>6.4872599999999991</c:v>
                </c:pt>
                <c:pt idx="26">
                  <c:v>6.6862799999999991</c:v>
                </c:pt>
                <c:pt idx="27">
                  <c:v>6.8815599999999995</c:v>
                </c:pt>
                <c:pt idx="28">
                  <c:v>7.0730999999999993</c:v>
                </c:pt>
                <c:pt idx="29">
                  <c:v>7.2608999999999995</c:v>
                </c:pt>
                <c:pt idx="30">
                  <c:v>7.4449599999999991</c:v>
                </c:pt>
                <c:pt idx="31">
                  <c:v>7.6252799999999992</c:v>
                </c:pt>
                <c:pt idx="32">
                  <c:v>7.8018599999999996</c:v>
                </c:pt>
                <c:pt idx="33">
                  <c:v>7.9746999999999995</c:v>
                </c:pt>
                <c:pt idx="34">
                  <c:v>8.1437999999999988</c:v>
                </c:pt>
                <c:pt idx="35">
                  <c:v>8.3091599999999985</c:v>
                </c:pt>
                <c:pt idx="36">
                  <c:v>8.4707799999999978</c:v>
                </c:pt>
                <c:pt idx="37">
                  <c:v>8.6286599999999982</c:v>
                </c:pt>
                <c:pt idx="38">
                  <c:v>8.7827999999999982</c:v>
                </c:pt>
                <c:pt idx="39">
                  <c:v>8.9331999999999976</c:v>
                </c:pt>
                <c:pt idx="40">
                  <c:v>9.0798599999999983</c:v>
                </c:pt>
                <c:pt idx="41">
                  <c:v>9.2227799999999984</c:v>
                </c:pt>
                <c:pt idx="42">
                  <c:v>9.3619599999999981</c:v>
                </c:pt>
                <c:pt idx="43">
                  <c:v>9.497399999999999</c:v>
                </c:pt>
                <c:pt idx="44">
                  <c:v>9.6290999999999993</c:v>
                </c:pt>
                <c:pt idx="45">
                  <c:v>9.7570599999999992</c:v>
                </c:pt>
                <c:pt idx="46">
                  <c:v>9.8812799999999985</c:v>
                </c:pt>
                <c:pt idx="47">
                  <c:v>10.001759999999999</c:v>
                </c:pt>
                <c:pt idx="48">
                  <c:v>10.118499999999999</c:v>
                </c:pt>
                <c:pt idx="49">
                  <c:v>10.231499999999999</c:v>
                </c:pt>
                <c:pt idx="50">
                  <c:v>10.34076</c:v>
                </c:pt>
                <c:pt idx="51">
                  <c:v>10.44628</c:v>
                </c:pt>
                <c:pt idx="52">
                  <c:v>10.54806</c:v>
                </c:pt>
                <c:pt idx="53">
                  <c:v>10.646099999999999</c:v>
                </c:pt>
                <c:pt idx="54">
                  <c:v>10.740399999999999</c:v>
                </c:pt>
                <c:pt idx="55">
                  <c:v>10.830959999999999</c:v>
                </c:pt>
                <c:pt idx="56">
                  <c:v>10.917779999999999</c:v>
                </c:pt>
                <c:pt idx="57">
                  <c:v>11.000859999999999</c:v>
                </c:pt>
                <c:pt idx="58">
                  <c:v>11.0802</c:v>
                </c:pt>
                <c:pt idx="59">
                  <c:v>11.155799999999999</c:v>
                </c:pt>
                <c:pt idx="60">
                  <c:v>11.227659999999998</c:v>
                </c:pt>
                <c:pt idx="61">
                  <c:v>11.295779999999999</c:v>
                </c:pt>
                <c:pt idx="62">
                  <c:v>11.360159999999999</c:v>
                </c:pt>
                <c:pt idx="63">
                  <c:v>11.420799999999998</c:v>
                </c:pt>
                <c:pt idx="64">
                  <c:v>11.477699999999999</c:v>
                </c:pt>
                <c:pt idx="65">
                  <c:v>11.530859999999999</c:v>
                </c:pt>
                <c:pt idx="66">
                  <c:v>11.580279999999998</c:v>
                </c:pt>
                <c:pt idx="67">
                  <c:v>11.625959999999999</c:v>
                </c:pt>
                <c:pt idx="68">
                  <c:v>11.667899999999999</c:v>
                </c:pt>
                <c:pt idx="69">
                  <c:v>11.706099999999999</c:v>
                </c:pt>
                <c:pt idx="70">
                  <c:v>11.740559999999999</c:v>
                </c:pt>
                <c:pt idx="71">
                  <c:v>11.771279999999999</c:v>
                </c:pt>
                <c:pt idx="72">
                  <c:v>11.798259999999999</c:v>
                </c:pt>
                <c:pt idx="73">
                  <c:v>11.821499999999999</c:v>
                </c:pt>
                <c:pt idx="74">
                  <c:v>11.840999999999999</c:v>
                </c:pt>
                <c:pt idx="75">
                  <c:v>11.85676</c:v>
                </c:pt>
                <c:pt idx="76">
                  <c:v>11.868779999999999</c:v>
                </c:pt>
                <c:pt idx="77">
                  <c:v>11.877059999999998</c:v>
                </c:pt>
                <c:pt idx="78">
                  <c:v>11.881599999999999</c:v>
                </c:pt>
                <c:pt idx="79">
                  <c:v>11.882399999999999</c:v>
                </c:pt>
                <c:pt idx="80">
                  <c:v>11.879459999999998</c:v>
                </c:pt>
                <c:pt idx="81">
                  <c:v>11.872779999999999</c:v>
                </c:pt>
                <c:pt idx="82">
                  <c:v>11.862359999999999</c:v>
                </c:pt>
                <c:pt idx="83">
                  <c:v>11.848199999999999</c:v>
                </c:pt>
                <c:pt idx="84">
                  <c:v>11.830299999999998</c:v>
                </c:pt>
                <c:pt idx="85">
                  <c:v>11.808659999999998</c:v>
                </c:pt>
                <c:pt idx="86">
                  <c:v>11.783279999999998</c:v>
                </c:pt>
                <c:pt idx="87">
                  <c:v>11.754159999999997</c:v>
                </c:pt>
                <c:pt idx="88">
                  <c:v>11.721299999999998</c:v>
                </c:pt>
                <c:pt idx="89">
                  <c:v>11.684699999999998</c:v>
                </c:pt>
                <c:pt idx="90">
                  <c:v>11.684359999999998</c:v>
                </c:pt>
                <c:pt idx="91">
                  <c:v>11.680279999999998</c:v>
                </c:pt>
                <c:pt idx="92">
                  <c:v>11.672459999999997</c:v>
                </c:pt>
                <c:pt idx="93">
                  <c:v>11.660899999999998</c:v>
                </c:pt>
                <c:pt idx="94">
                  <c:v>11.645599999999998</c:v>
                </c:pt>
                <c:pt idx="95">
                  <c:v>11.626559999999998</c:v>
                </c:pt>
                <c:pt idx="96">
                  <c:v>11.603779999999997</c:v>
                </c:pt>
                <c:pt idx="97">
                  <c:v>11.577259999999997</c:v>
                </c:pt>
                <c:pt idx="98">
                  <c:v>11.546999999999997</c:v>
                </c:pt>
                <c:pt idx="99">
                  <c:v>11.512999999999996</c:v>
                </c:pt>
                <c:pt idx="100">
                  <c:v>11.475259999999997</c:v>
                </c:pt>
                <c:pt idx="101">
                  <c:v>11.433779999999997</c:v>
                </c:pt>
                <c:pt idx="102">
                  <c:v>11.388559999999996</c:v>
                </c:pt>
                <c:pt idx="103">
                  <c:v>11.339599999999997</c:v>
                </c:pt>
                <c:pt idx="104">
                  <c:v>11.286899999999997</c:v>
                </c:pt>
                <c:pt idx="105">
                  <c:v>11.230459999999997</c:v>
                </c:pt>
                <c:pt idx="106">
                  <c:v>11.170279999999996</c:v>
                </c:pt>
                <c:pt idx="107">
                  <c:v>11.106359999999997</c:v>
                </c:pt>
                <c:pt idx="108">
                  <c:v>11.038699999999997</c:v>
                </c:pt>
                <c:pt idx="109">
                  <c:v>10.967299999999996</c:v>
                </c:pt>
                <c:pt idx="110">
                  <c:v>10.892159999999997</c:v>
                </c:pt>
                <c:pt idx="111">
                  <c:v>10.813279999999997</c:v>
                </c:pt>
                <c:pt idx="112">
                  <c:v>10.730659999999997</c:v>
                </c:pt>
                <c:pt idx="113">
                  <c:v>10.644299999999998</c:v>
                </c:pt>
                <c:pt idx="114">
                  <c:v>10.554199999999998</c:v>
                </c:pt>
                <c:pt idx="115">
                  <c:v>10.460359999999998</c:v>
                </c:pt>
                <c:pt idx="116">
                  <c:v>10.362779999999997</c:v>
                </c:pt>
                <c:pt idx="117">
                  <c:v>10.261459999999998</c:v>
                </c:pt>
                <c:pt idx="118">
                  <c:v>10.156399999999998</c:v>
                </c:pt>
                <c:pt idx="119">
                  <c:v>10.047599999999997</c:v>
                </c:pt>
                <c:pt idx="120">
                  <c:v>9.9350599999999982</c:v>
                </c:pt>
                <c:pt idx="121">
                  <c:v>9.8187799999999985</c:v>
                </c:pt>
                <c:pt idx="122">
                  <c:v>9.6987599999999983</c:v>
                </c:pt>
                <c:pt idx="123">
                  <c:v>9.5749999999999975</c:v>
                </c:pt>
                <c:pt idx="124">
                  <c:v>9.447499999999998</c:v>
                </c:pt>
                <c:pt idx="125">
                  <c:v>9.316259999999998</c:v>
                </c:pt>
                <c:pt idx="126">
                  <c:v>9.1812799999999974</c:v>
                </c:pt>
                <c:pt idx="127">
                  <c:v>9.0425599999999982</c:v>
                </c:pt>
                <c:pt idx="128">
                  <c:v>8.9000999999999983</c:v>
                </c:pt>
                <c:pt idx="129">
                  <c:v>8.753899999999998</c:v>
                </c:pt>
                <c:pt idx="130">
                  <c:v>8.6039599999999972</c:v>
                </c:pt>
                <c:pt idx="131">
                  <c:v>8.4502799999999976</c:v>
                </c:pt>
                <c:pt idx="132">
                  <c:v>8.2928599999999975</c:v>
                </c:pt>
                <c:pt idx="133">
                  <c:v>8.1316999999999968</c:v>
                </c:pt>
                <c:pt idx="134">
                  <c:v>7.9667999999999966</c:v>
                </c:pt>
                <c:pt idx="135">
                  <c:v>7.7981599999999966</c:v>
                </c:pt>
                <c:pt idx="136">
                  <c:v>7.6257799999999971</c:v>
                </c:pt>
                <c:pt idx="137">
                  <c:v>7.4496599999999971</c:v>
                </c:pt>
                <c:pt idx="138">
                  <c:v>7.2697999999999974</c:v>
                </c:pt>
                <c:pt idx="139">
                  <c:v>7.0861999999999972</c:v>
                </c:pt>
                <c:pt idx="140">
                  <c:v>6.8988599999999973</c:v>
                </c:pt>
                <c:pt idx="141">
                  <c:v>6.707779999999997</c:v>
                </c:pt>
                <c:pt idx="142">
                  <c:v>6.512959999999997</c:v>
                </c:pt>
                <c:pt idx="143">
                  <c:v>6.3143999999999973</c:v>
                </c:pt>
                <c:pt idx="144">
                  <c:v>6.1120999999999972</c:v>
                </c:pt>
                <c:pt idx="145">
                  <c:v>5.9060599999999974</c:v>
                </c:pt>
                <c:pt idx="146">
                  <c:v>5.6962799999999971</c:v>
                </c:pt>
                <c:pt idx="147">
                  <c:v>5.4827599999999972</c:v>
                </c:pt>
                <c:pt idx="148">
                  <c:v>5.2654999999999976</c:v>
                </c:pt>
                <c:pt idx="149">
                  <c:v>5.0444999999999975</c:v>
                </c:pt>
                <c:pt idx="150">
                  <c:v>4.8197599999999978</c:v>
                </c:pt>
                <c:pt idx="151">
                  <c:v>4.5912799999999976</c:v>
                </c:pt>
                <c:pt idx="152">
                  <c:v>4.3590599999999977</c:v>
                </c:pt>
                <c:pt idx="153">
                  <c:v>4.1230999999999973</c:v>
                </c:pt>
                <c:pt idx="154">
                  <c:v>3.8833999999999973</c:v>
                </c:pt>
                <c:pt idx="155">
                  <c:v>3.6399599999999972</c:v>
                </c:pt>
                <c:pt idx="156">
                  <c:v>3.392779999999997</c:v>
                </c:pt>
                <c:pt idx="157">
                  <c:v>3.1418599999999968</c:v>
                </c:pt>
                <c:pt idx="158">
                  <c:v>2.8871999999999964</c:v>
                </c:pt>
                <c:pt idx="159">
                  <c:v>2.6287999999999965</c:v>
                </c:pt>
                <c:pt idx="160">
                  <c:v>2.3666599999999964</c:v>
                </c:pt>
                <c:pt idx="161">
                  <c:v>2.1007799999999963</c:v>
                </c:pt>
                <c:pt idx="162">
                  <c:v>1.8311599999999963</c:v>
                </c:pt>
                <c:pt idx="163">
                  <c:v>1.5577999999999963</c:v>
                </c:pt>
                <c:pt idx="164">
                  <c:v>1.2806999999999962</c:v>
                </c:pt>
                <c:pt idx="165">
                  <c:v>0.9998599999999962</c:v>
                </c:pt>
                <c:pt idx="166">
                  <c:v>0.71527999999999614</c:v>
                </c:pt>
                <c:pt idx="167">
                  <c:v>0.42695999999999606</c:v>
                </c:pt>
                <c:pt idx="168">
                  <c:v>0.13489999999999597</c:v>
                </c:pt>
                <c:pt idx="169">
                  <c:v>-0.1609000000000041</c:v>
                </c:pt>
                <c:pt idx="170">
                  <c:v>-0.46044000000000418</c:v>
                </c:pt>
                <c:pt idx="171">
                  <c:v>-0.76372000000000428</c:v>
                </c:pt>
                <c:pt idx="172">
                  <c:v>-1.0707400000000042</c:v>
                </c:pt>
                <c:pt idx="173">
                  <c:v>-1.3815000000000044</c:v>
                </c:pt>
                <c:pt idx="174">
                  <c:v>-1.6960000000000044</c:v>
                </c:pt>
                <c:pt idx="175">
                  <c:v>-2.0142400000000045</c:v>
                </c:pt>
                <c:pt idx="176">
                  <c:v>-2.3362200000000044</c:v>
                </c:pt>
                <c:pt idx="177">
                  <c:v>-2.6619400000000044</c:v>
                </c:pt>
                <c:pt idx="178">
                  <c:v>-2.9914000000000045</c:v>
                </c:pt>
                <c:pt idx="179">
                  <c:v>-3.3246000000000047</c:v>
                </c:pt>
                <c:pt idx="180">
                  <c:v>-3.6615400000000049</c:v>
                </c:pt>
                <c:pt idx="181">
                  <c:v>-4.0022200000000048</c:v>
                </c:pt>
                <c:pt idx="182">
                  <c:v>-4.3466400000000052</c:v>
                </c:pt>
                <c:pt idx="183">
                  <c:v>-4.6948000000000052</c:v>
                </c:pt>
                <c:pt idx="184">
                  <c:v>-5.0467000000000048</c:v>
                </c:pt>
                <c:pt idx="185">
                  <c:v>-5.402340000000005</c:v>
                </c:pt>
                <c:pt idx="186">
                  <c:v>-5.7617200000000048</c:v>
                </c:pt>
                <c:pt idx="187">
                  <c:v>-6.1248400000000052</c:v>
                </c:pt>
                <c:pt idx="188">
                  <c:v>-6.4917000000000051</c:v>
                </c:pt>
                <c:pt idx="189">
                  <c:v>-6.8623000000000047</c:v>
                </c:pt>
                <c:pt idx="190">
                  <c:v>-7.2366400000000048</c:v>
                </c:pt>
                <c:pt idx="191">
                  <c:v>-7.6147200000000046</c:v>
                </c:pt>
                <c:pt idx="192">
                  <c:v>-7.9965400000000049</c:v>
                </c:pt>
                <c:pt idx="193">
                  <c:v>-8.3821000000000048</c:v>
                </c:pt>
                <c:pt idx="194">
                  <c:v>-8.7714000000000052</c:v>
                </c:pt>
                <c:pt idx="195">
                  <c:v>-9.1644400000000061</c:v>
                </c:pt>
                <c:pt idx="196">
                  <c:v>-9.5612200000000058</c:v>
                </c:pt>
                <c:pt idx="197">
                  <c:v>-9.961740000000006</c:v>
                </c:pt>
                <c:pt idx="198">
                  <c:v>-10.366000000000007</c:v>
                </c:pt>
                <c:pt idx="199">
                  <c:v>-10.774000000000006</c:v>
                </c:pt>
              </c:numCache>
            </c:numRef>
          </c:yVal>
          <c:smooth val="0"/>
          <c:extLst>
            <c:ext xmlns:c16="http://schemas.microsoft.com/office/drawing/2014/chart" uri="{C3380CC4-5D6E-409C-BE32-E72D297353CC}">
              <c16:uniqueId val="{00000001-9008-486D-B7CC-72F9EED5359C}"/>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3813917444765378"/>
                  <c:y val="-0.222678237864988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cumulative_LWG!$A$3:$B$92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cumulative_LWG!$S$3:$S$92</c:f>
              <c:numCache>
                <c:formatCode>0.000</c:formatCode>
                <c:ptCount val="90"/>
                <c:pt idx="0">
                  <c:v>0.29625999999999997</c:v>
                </c:pt>
                <c:pt idx="1">
                  <c:v>0.58877999999999997</c:v>
                </c:pt>
                <c:pt idx="2">
                  <c:v>0.8775599999999999</c:v>
                </c:pt>
                <c:pt idx="3">
                  <c:v>1.1625999999999999</c:v>
                </c:pt>
                <c:pt idx="4">
                  <c:v>1.4438999999999997</c:v>
                </c:pt>
                <c:pt idx="5">
                  <c:v>1.7214599999999998</c:v>
                </c:pt>
                <c:pt idx="6">
                  <c:v>1.9952799999999997</c:v>
                </c:pt>
                <c:pt idx="7">
                  <c:v>2.2653599999999998</c:v>
                </c:pt>
                <c:pt idx="8">
                  <c:v>2.5316999999999998</c:v>
                </c:pt>
                <c:pt idx="9">
                  <c:v>2.7942999999999998</c:v>
                </c:pt>
                <c:pt idx="10">
                  <c:v>3.0531599999999997</c:v>
                </c:pt>
                <c:pt idx="11">
                  <c:v>3.3082799999999999</c:v>
                </c:pt>
                <c:pt idx="12">
                  <c:v>3.55966</c:v>
                </c:pt>
                <c:pt idx="13">
                  <c:v>3.8073000000000001</c:v>
                </c:pt>
                <c:pt idx="14">
                  <c:v>4.0511999999999997</c:v>
                </c:pt>
                <c:pt idx="15">
                  <c:v>4.2913600000000001</c:v>
                </c:pt>
                <c:pt idx="16">
                  <c:v>4.5277799999999999</c:v>
                </c:pt>
                <c:pt idx="17">
                  <c:v>4.7604600000000001</c:v>
                </c:pt>
                <c:pt idx="18">
                  <c:v>4.9893999999999998</c:v>
                </c:pt>
                <c:pt idx="19">
                  <c:v>5.2145999999999999</c:v>
                </c:pt>
                <c:pt idx="20">
                  <c:v>5.4360599999999994</c:v>
                </c:pt>
                <c:pt idx="21">
                  <c:v>5.6537799999999994</c:v>
                </c:pt>
                <c:pt idx="22">
                  <c:v>5.8677599999999996</c:v>
                </c:pt>
                <c:pt idx="23">
                  <c:v>6.0779999999999994</c:v>
                </c:pt>
                <c:pt idx="24">
                  <c:v>6.2844999999999995</c:v>
                </c:pt>
                <c:pt idx="25">
                  <c:v>6.4872599999999991</c:v>
                </c:pt>
                <c:pt idx="26">
                  <c:v>6.6862799999999991</c:v>
                </c:pt>
                <c:pt idx="27">
                  <c:v>6.8815599999999995</c:v>
                </c:pt>
                <c:pt idx="28">
                  <c:v>7.0730999999999993</c:v>
                </c:pt>
                <c:pt idx="29">
                  <c:v>7.2608999999999995</c:v>
                </c:pt>
                <c:pt idx="30">
                  <c:v>7.4449599999999991</c:v>
                </c:pt>
                <c:pt idx="31">
                  <c:v>7.6252799999999992</c:v>
                </c:pt>
                <c:pt idx="32">
                  <c:v>7.8018599999999996</c:v>
                </c:pt>
                <c:pt idx="33">
                  <c:v>7.9746999999999995</c:v>
                </c:pt>
                <c:pt idx="34">
                  <c:v>8.1437999999999988</c:v>
                </c:pt>
                <c:pt idx="35">
                  <c:v>8.3091599999999985</c:v>
                </c:pt>
                <c:pt idx="36">
                  <c:v>8.4707799999999978</c:v>
                </c:pt>
                <c:pt idx="37">
                  <c:v>8.6286599999999982</c:v>
                </c:pt>
                <c:pt idx="38">
                  <c:v>8.7827999999999982</c:v>
                </c:pt>
                <c:pt idx="39">
                  <c:v>8.9331999999999976</c:v>
                </c:pt>
                <c:pt idx="40">
                  <c:v>9.0798599999999983</c:v>
                </c:pt>
                <c:pt idx="41">
                  <c:v>9.2227799999999984</c:v>
                </c:pt>
                <c:pt idx="42">
                  <c:v>9.3619599999999981</c:v>
                </c:pt>
                <c:pt idx="43">
                  <c:v>9.497399999999999</c:v>
                </c:pt>
                <c:pt idx="44">
                  <c:v>9.6290999999999993</c:v>
                </c:pt>
                <c:pt idx="45">
                  <c:v>9.7570599999999992</c:v>
                </c:pt>
                <c:pt idx="46">
                  <c:v>9.8812799999999985</c:v>
                </c:pt>
                <c:pt idx="47">
                  <c:v>10.001759999999999</c:v>
                </c:pt>
                <c:pt idx="48">
                  <c:v>10.118499999999999</c:v>
                </c:pt>
                <c:pt idx="49">
                  <c:v>10.231499999999999</c:v>
                </c:pt>
                <c:pt idx="50">
                  <c:v>10.34076</c:v>
                </c:pt>
                <c:pt idx="51">
                  <c:v>10.44628</c:v>
                </c:pt>
                <c:pt idx="52">
                  <c:v>10.54806</c:v>
                </c:pt>
                <c:pt idx="53">
                  <c:v>10.646099999999999</c:v>
                </c:pt>
                <c:pt idx="54">
                  <c:v>10.740399999999999</c:v>
                </c:pt>
                <c:pt idx="55">
                  <c:v>10.830959999999999</c:v>
                </c:pt>
                <c:pt idx="56">
                  <c:v>10.917779999999999</c:v>
                </c:pt>
                <c:pt idx="57">
                  <c:v>11.000859999999999</c:v>
                </c:pt>
                <c:pt idx="58">
                  <c:v>11.0802</c:v>
                </c:pt>
                <c:pt idx="59">
                  <c:v>11.155799999999999</c:v>
                </c:pt>
                <c:pt idx="60">
                  <c:v>11.227659999999998</c:v>
                </c:pt>
                <c:pt idx="61">
                  <c:v>11.295779999999999</c:v>
                </c:pt>
                <c:pt idx="62">
                  <c:v>11.360159999999999</c:v>
                </c:pt>
                <c:pt idx="63">
                  <c:v>11.420799999999998</c:v>
                </c:pt>
                <c:pt idx="64">
                  <c:v>11.477699999999999</c:v>
                </c:pt>
                <c:pt idx="65">
                  <c:v>11.530859999999999</c:v>
                </c:pt>
                <c:pt idx="66">
                  <c:v>11.580279999999998</c:v>
                </c:pt>
                <c:pt idx="67">
                  <c:v>11.625959999999999</c:v>
                </c:pt>
                <c:pt idx="68">
                  <c:v>11.667899999999999</c:v>
                </c:pt>
                <c:pt idx="69">
                  <c:v>11.706099999999999</c:v>
                </c:pt>
                <c:pt idx="70">
                  <c:v>11.740559999999999</c:v>
                </c:pt>
                <c:pt idx="71">
                  <c:v>11.771279999999999</c:v>
                </c:pt>
                <c:pt idx="72">
                  <c:v>11.798259999999999</c:v>
                </c:pt>
                <c:pt idx="73">
                  <c:v>11.821499999999999</c:v>
                </c:pt>
                <c:pt idx="74">
                  <c:v>11.840999999999999</c:v>
                </c:pt>
                <c:pt idx="75">
                  <c:v>11.85676</c:v>
                </c:pt>
                <c:pt idx="76">
                  <c:v>11.868779999999999</c:v>
                </c:pt>
                <c:pt idx="77">
                  <c:v>11.877059999999998</c:v>
                </c:pt>
                <c:pt idx="78">
                  <c:v>11.881599999999999</c:v>
                </c:pt>
                <c:pt idx="79">
                  <c:v>11.882399999999999</c:v>
                </c:pt>
                <c:pt idx="80">
                  <c:v>11.879459999999998</c:v>
                </c:pt>
                <c:pt idx="81">
                  <c:v>11.872779999999999</c:v>
                </c:pt>
                <c:pt idx="82">
                  <c:v>11.862359999999999</c:v>
                </c:pt>
                <c:pt idx="83">
                  <c:v>11.848199999999999</c:v>
                </c:pt>
                <c:pt idx="84">
                  <c:v>11.830299999999998</c:v>
                </c:pt>
                <c:pt idx="85">
                  <c:v>11.808659999999998</c:v>
                </c:pt>
                <c:pt idx="86">
                  <c:v>11.783279999999998</c:v>
                </c:pt>
                <c:pt idx="87">
                  <c:v>11.754159999999997</c:v>
                </c:pt>
                <c:pt idx="88">
                  <c:v>11.721299999999998</c:v>
                </c:pt>
                <c:pt idx="89">
                  <c:v>11.684699999999998</c:v>
                </c:pt>
              </c:numCache>
            </c:numRef>
          </c:yVal>
          <c:smooth val="0"/>
          <c:extLst>
            <c:ext xmlns:c16="http://schemas.microsoft.com/office/drawing/2014/chart" uri="{C3380CC4-5D6E-409C-BE32-E72D297353CC}">
              <c16:uniqueId val="{00000001-E526-4948-9A5C-1B5A67534B5C}"/>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S_100_45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cumulative_LWG!$A$47:$A$202</c:f>
              <c:numCache>
                <c:formatCode>General</c:formatCode>
                <c:ptCount val="156"/>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pt idx="21">
                  <c:v>66</c:v>
                </c:pt>
                <c:pt idx="22">
                  <c:v>67</c:v>
                </c:pt>
                <c:pt idx="23">
                  <c:v>68</c:v>
                </c:pt>
                <c:pt idx="24">
                  <c:v>69</c:v>
                </c:pt>
                <c:pt idx="25">
                  <c:v>70</c:v>
                </c:pt>
                <c:pt idx="26">
                  <c:v>71</c:v>
                </c:pt>
                <c:pt idx="27">
                  <c:v>72</c:v>
                </c:pt>
                <c:pt idx="28">
                  <c:v>73</c:v>
                </c:pt>
                <c:pt idx="29">
                  <c:v>74</c:v>
                </c:pt>
                <c:pt idx="30">
                  <c:v>75</c:v>
                </c:pt>
                <c:pt idx="31">
                  <c:v>76</c:v>
                </c:pt>
                <c:pt idx="32">
                  <c:v>77</c:v>
                </c:pt>
                <c:pt idx="33">
                  <c:v>78</c:v>
                </c:pt>
                <c:pt idx="34">
                  <c:v>79</c:v>
                </c:pt>
                <c:pt idx="35">
                  <c:v>80</c:v>
                </c:pt>
                <c:pt idx="36">
                  <c:v>81</c:v>
                </c:pt>
                <c:pt idx="37">
                  <c:v>82</c:v>
                </c:pt>
                <c:pt idx="38">
                  <c:v>83</c:v>
                </c:pt>
                <c:pt idx="39">
                  <c:v>84</c:v>
                </c:pt>
                <c:pt idx="40">
                  <c:v>85</c:v>
                </c:pt>
                <c:pt idx="41">
                  <c:v>86</c:v>
                </c:pt>
                <c:pt idx="42">
                  <c:v>87</c:v>
                </c:pt>
                <c:pt idx="43">
                  <c:v>88</c:v>
                </c:pt>
                <c:pt idx="44">
                  <c:v>89</c:v>
                </c:pt>
                <c:pt idx="45">
                  <c:v>90</c:v>
                </c:pt>
                <c:pt idx="46">
                  <c:v>91</c:v>
                </c:pt>
                <c:pt idx="47">
                  <c:v>92</c:v>
                </c:pt>
                <c:pt idx="48">
                  <c:v>93</c:v>
                </c:pt>
                <c:pt idx="49">
                  <c:v>94</c:v>
                </c:pt>
                <c:pt idx="50">
                  <c:v>95</c:v>
                </c:pt>
                <c:pt idx="51">
                  <c:v>96</c:v>
                </c:pt>
                <c:pt idx="52">
                  <c:v>97</c:v>
                </c:pt>
                <c:pt idx="53">
                  <c:v>98</c:v>
                </c:pt>
                <c:pt idx="54">
                  <c:v>99</c:v>
                </c:pt>
                <c:pt idx="55">
                  <c:v>100</c:v>
                </c:pt>
                <c:pt idx="56">
                  <c:v>101</c:v>
                </c:pt>
                <c:pt idx="57">
                  <c:v>102</c:v>
                </c:pt>
                <c:pt idx="58">
                  <c:v>103</c:v>
                </c:pt>
                <c:pt idx="59">
                  <c:v>104</c:v>
                </c:pt>
                <c:pt idx="60">
                  <c:v>105</c:v>
                </c:pt>
                <c:pt idx="61">
                  <c:v>106</c:v>
                </c:pt>
                <c:pt idx="62">
                  <c:v>107</c:v>
                </c:pt>
                <c:pt idx="63">
                  <c:v>108</c:v>
                </c:pt>
                <c:pt idx="64">
                  <c:v>109</c:v>
                </c:pt>
                <c:pt idx="65">
                  <c:v>110</c:v>
                </c:pt>
                <c:pt idx="66">
                  <c:v>111</c:v>
                </c:pt>
                <c:pt idx="67">
                  <c:v>112</c:v>
                </c:pt>
                <c:pt idx="68">
                  <c:v>113</c:v>
                </c:pt>
                <c:pt idx="69">
                  <c:v>114</c:v>
                </c:pt>
                <c:pt idx="70">
                  <c:v>115</c:v>
                </c:pt>
                <c:pt idx="71">
                  <c:v>116</c:v>
                </c:pt>
                <c:pt idx="72">
                  <c:v>117</c:v>
                </c:pt>
                <c:pt idx="73">
                  <c:v>118</c:v>
                </c:pt>
                <c:pt idx="74">
                  <c:v>119</c:v>
                </c:pt>
                <c:pt idx="75">
                  <c:v>120</c:v>
                </c:pt>
                <c:pt idx="76">
                  <c:v>121</c:v>
                </c:pt>
                <c:pt idx="77">
                  <c:v>122</c:v>
                </c:pt>
                <c:pt idx="78">
                  <c:v>123</c:v>
                </c:pt>
                <c:pt idx="79">
                  <c:v>124</c:v>
                </c:pt>
                <c:pt idx="80">
                  <c:v>125</c:v>
                </c:pt>
                <c:pt idx="81">
                  <c:v>126</c:v>
                </c:pt>
                <c:pt idx="82">
                  <c:v>127</c:v>
                </c:pt>
                <c:pt idx="83">
                  <c:v>128</c:v>
                </c:pt>
                <c:pt idx="84">
                  <c:v>129</c:v>
                </c:pt>
                <c:pt idx="85">
                  <c:v>130</c:v>
                </c:pt>
                <c:pt idx="86">
                  <c:v>131</c:v>
                </c:pt>
                <c:pt idx="87">
                  <c:v>132</c:v>
                </c:pt>
                <c:pt idx="88">
                  <c:v>133</c:v>
                </c:pt>
                <c:pt idx="89">
                  <c:v>134</c:v>
                </c:pt>
                <c:pt idx="90">
                  <c:v>135</c:v>
                </c:pt>
                <c:pt idx="91">
                  <c:v>136</c:v>
                </c:pt>
                <c:pt idx="92">
                  <c:v>137</c:v>
                </c:pt>
                <c:pt idx="93">
                  <c:v>138</c:v>
                </c:pt>
                <c:pt idx="94">
                  <c:v>139</c:v>
                </c:pt>
                <c:pt idx="95">
                  <c:v>140</c:v>
                </c:pt>
                <c:pt idx="96">
                  <c:v>141</c:v>
                </c:pt>
                <c:pt idx="97">
                  <c:v>142</c:v>
                </c:pt>
                <c:pt idx="98">
                  <c:v>143</c:v>
                </c:pt>
                <c:pt idx="99">
                  <c:v>144</c:v>
                </c:pt>
                <c:pt idx="100">
                  <c:v>145</c:v>
                </c:pt>
                <c:pt idx="101">
                  <c:v>146</c:v>
                </c:pt>
                <c:pt idx="102">
                  <c:v>147</c:v>
                </c:pt>
                <c:pt idx="103">
                  <c:v>148</c:v>
                </c:pt>
                <c:pt idx="104">
                  <c:v>149</c:v>
                </c:pt>
                <c:pt idx="105">
                  <c:v>150</c:v>
                </c:pt>
                <c:pt idx="106">
                  <c:v>151</c:v>
                </c:pt>
                <c:pt idx="107">
                  <c:v>152</c:v>
                </c:pt>
                <c:pt idx="108">
                  <c:v>153</c:v>
                </c:pt>
                <c:pt idx="109">
                  <c:v>154</c:v>
                </c:pt>
                <c:pt idx="110">
                  <c:v>155</c:v>
                </c:pt>
                <c:pt idx="111">
                  <c:v>156</c:v>
                </c:pt>
                <c:pt idx="112">
                  <c:v>157</c:v>
                </c:pt>
                <c:pt idx="113">
                  <c:v>158</c:v>
                </c:pt>
                <c:pt idx="114">
                  <c:v>159</c:v>
                </c:pt>
                <c:pt idx="115">
                  <c:v>160</c:v>
                </c:pt>
                <c:pt idx="116">
                  <c:v>161</c:v>
                </c:pt>
                <c:pt idx="117">
                  <c:v>162</c:v>
                </c:pt>
                <c:pt idx="118">
                  <c:v>163</c:v>
                </c:pt>
                <c:pt idx="119">
                  <c:v>164</c:v>
                </c:pt>
                <c:pt idx="120">
                  <c:v>165</c:v>
                </c:pt>
                <c:pt idx="121">
                  <c:v>166</c:v>
                </c:pt>
                <c:pt idx="122">
                  <c:v>167</c:v>
                </c:pt>
                <c:pt idx="123">
                  <c:v>168</c:v>
                </c:pt>
                <c:pt idx="124">
                  <c:v>169</c:v>
                </c:pt>
                <c:pt idx="125">
                  <c:v>170</c:v>
                </c:pt>
                <c:pt idx="126">
                  <c:v>171</c:v>
                </c:pt>
                <c:pt idx="127">
                  <c:v>172</c:v>
                </c:pt>
                <c:pt idx="128">
                  <c:v>173</c:v>
                </c:pt>
                <c:pt idx="129">
                  <c:v>174</c:v>
                </c:pt>
                <c:pt idx="130">
                  <c:v>175</c:v>
                </c:pt>
                <c:pt idx="131">
                  <c:v>176</c:v>
                </c:pt>
                <c:pt idx="132">
                  <c:v>177</c:v>
                </c:pt>
                <c:pt idx="133">
                  <c:v>178</c:v>
                </c:pt>
                <c:pt idx="134">
                  <c:v>179</c:v>
                </c:pt>
                <c:pt idx="135">
                  <c:v>180</c:v>
                </c:pt>
                <c:pt idx="136">
                  <c:v>181</c:v>
                </c:pt>
                <c:pt idx="137">
                  <c:v>182</c:v>
                </c:pt>
                <c:pt idx="138">
                  <c:v>183</c:v>
                </c:pt>
                <c:pt idx="139">
                  <c:v>184</c:v>
                </c:pt>
                <c:pt idx="140">
                  <c:v>185</c:v>
                </c:pt>
                <c:pt idx="141">
                  <c:v>186</c:v>
                </c:pt>
                <c:pt idx="142">
                  <c:v>187</c:v>
                </c:pt>
                <c:pt idx="143">
                  <c:v>188</c:v>
                </c:pt>
                <c:pt idx="144">
                  <c:v>189</c:v>
                </c:pt>
                <c:pt idx="145">
                  <c:v>190</c:v>
                </c:pt>
                <c:pt idx="146">
                  <c:v>191</c:v>
                </c:pt>
                <c:pt idx="147">
                  <c:v>192</c:v>
                </c:pt>
                <c:pt idx="148">
                  <c:v>193</c:v>
                </c:pt>
                <c:pt idx="149">
                  <c:v>194</c:v>
                </c:pt>
                <c:pt idx="150">
                  <c:v>195</c:v>
                </c:pt>
                <c:pt idx="151">
                  <c:v>196</c:v>
                </c:pt>
                <c:pt idx="152">
                  <c:v>197</c:v>
                </c:pt>
                <c:pt idx="153">
                  <c:v>198</c:v>
                </c:pt>
                <c:pt idx="154">
                  <c:v>199</c:v>
                </c:pt>
                <c:pt idx="155">
                  <c:v>200</c:v>
                </c:pt>
              </c:numCache>
            </c:numRef>
          </c:xVal>
          <c:yVal>
            <c:numRef>
              <c:f>cumulative_LWG!$I$47:$I$202</c:f>
              <c:numCache>
                <c:formatCode>0.000</c:formatCode>
                <c:ptCount val="156"/>
                <c:pt idx="0">
                  <c:v>10.600600000000002</c:v>
                </c:pt>
                <c:pt idx="1">
                  <c:v>10.809960000000002</c:v>
                </c:pt>
                <c:pt idx="2">
                  <c:v>11.016480000000001</c:v>
                </c:pt>
                <c:pt idx="3">
                  <c:v>11.220160000000002</c:v>
                </c:pt>
                <c:pt idx="4">
                  <c:v>11.421000000000001</c:v>
                </c:pt>
                <c:pt idx="5">
                  <c:v>11.619000000000002</c:v>
                </c:pt>
                <c:pt idx="6">
                  <c:v>11.814160000000001</c:v>
                </c:pt>
                <c:pt idx="7">
                  <c:v>12.006480000000002</c:v>
                </c:pt>
                <c:pt idx="8">
                  <c:v>12.195960000000001</c:v>
                </c:pt>
                <c:pt idx="9">
                  <c:v>12.382600000000002</c:v>
                </c:pt>
                <c:pt idx="10">
                  <c:v>12.566400000000002</c:v>
                </c:pt>
                <c:pt idx="11">
                  <c:v>12.747360000000002</c:v>
                </c:pt>
                <c:pt idx="12">
                  <c:v>12.925480000000002</c:v>
                </c:pt>
                <c:pt idx="13">
                  <c:v>13.100760000000003</c:v>
                </c:pt>
                <c:pt idx="14">
                  <c:v>13.273200000000003</c:v>
                </c:pt>
                <c:pt idx="15">
                  <c:v>13.442800000000004</c:v>
                </c:pt>
                <c:pt idx="16">
                  <c:v>13.609560000000004</c:v>
                </c:pt>
                <c:pt idx="17">
                  <c:v>13.773480000000003</c:v>
                </c:pt>
                <c:pt idx="18">
                  <c:v>13.934560000000003</c:v>
                </c:pt>
                <c:pt idx="19">
                  <c:v>14.092800000000002</c:v>
                </c:pt>
                <c:pt idx="20">
                  <c:v>14.248200000000002</c:v>
                </c:pt>
                <c:pt idx="21">
                  <c:v>14.400760000000002</c:v>
                </c:pt>
                <c:pt idx="22">
                  <c:v>14.550480000000002</c:v>
                </c:pt>
                <c:pt idx="23">
                  <c:v>14.697360000000002</c:v>
                </c:pt>
                <c:pt idx="24">
                  <c:v>14.841400000000002</c:v>
                </c:pt>
                <c:pt idx="25">
                  <c:v>14.982600000000001</c:v>
                </c:pt>
                <c:pt idx="26">
                  <c:v>15.120960000000002</c:v>
                </c:pt>
                <c:pt idx="27">
                  <c:v>15.256480000000002</c:v>
                </c:pt>
                <c:pt idx="28">
                  <c:v>15.389160000000002</c:v>
                </c:pt>
                <c:pt idx="29">
                  <c:v>15.519000000000002</c:v>
                </c:pt>
                <c:pt idx="30">
                  <c:v>15.646000000000003</c:v>
                </c:pt>
                <c:pt idx="31">
                  <c:v>15.770160000000002</c:v>
                </c:pt>
                <c:pt idx="32">
                  <c:v>15.891480000000003</c:v>
                </c:pt>
                <c:pt idx="33">
                  <c:v>16.009960000000003</c:v>
                </c:pt>
                <c:pt idx="34">
                  <c:v>16.125600000000002</c:v>
                </c:pt>
                <c:pt idx="35">
                  <c:v>16.238400000000002</c:v>
                </c:pt>
                <c:pt idx="36">
                  <c:v>16.348360000000003</c:v>
                </c:pt>
                <c:pt idx="37">
                  <c:v>16.455480000000001</c:v>
                </c:pt>
                <c:pt idx="38">
                  <c:v>16.559760000000001</c:v>
                </c:pt>
                <c:pt idx="39">
                  <c:v>16.661200000000001</c:v>
                </c:pt>
                <c:pt idx="40">
                  <c:v>16.759800000000002</c:v>
                </c:pt>
                <c:pt idx="41">
                  <c:v>16.855560000000001</c:v>
                </c:pt>
                <c:pt idx="42">
                  <c:v>16.94848</c:v>
                </c:pt>
                <c:pt idx="43">
                  <c:v>17.03856</c:v>
                </c:pt>
                <c:pt idx="44">
                  <c:v>17.125800000000002</c:v>
                </c:pt>
                <c:pt idx="45">
                  <c:v>17.2102</c:v>
                </c:pt>
                <c:pt idx="46">
                  <c:v>17.29176</c:v>
                </c:pt>
                <c:pt idx="47">
                  <c:v>17.370480000000001</c:v>
                </c:pt>
                <c:pt idx="48">
                  <c:v>17.446360000000002</c:v>
                </c:pt>
                <c:pt idx="49">
                  <c:v>17.519400000000001</c:v>
                </c:pt>
                <c:pt idx="50">
                  <c:v>17.589600000000001</c:v>
                </c:pt>
                <c:pt idx="51">
                  <c:v>17.656960000000002</c:v>
                </c:pt>
                <c:pt idx="52">
                  <c:v>17.721480000000003</c:v>
                </c:pt>
                <c:pt idx="53">
                  <c:v>17.783160000000002</c:v>
                </c:pt>
                <c:pt idx="54">
                  <c:v>17.842000000000002</c:v>
                </c:pt>
                <c:pt idx="55">
                  <c:v>17.898000000000003</c:v>
                </c:pt>
                <c:pt idx="56">
                  <c:v>17.951160000000002</c:v>
                </c:pt>
                <c:pt idx="57">
                  <c:v>18.001480000000001</c:v>
                </c:pt>
                <c:pt idx="58">
                  <c:v>18.048960000000001</c:v>
                </c:pt>
                <c:pt idx="59">
                  <c:v>18.093600000000002</c:v>
                </c:pt>
                <c:pt idx="60">
                  <c:v>18.135400000000001</c:v>
                </c:pt>
                <c:pt idx="61">
                  <c:v>18.17436</c:v>
                </c:pt>
                <c:pt idx="62">
                  <c:v>18.21048</c:v>
                </c:pt>
                <c:pt idx="63">
                  <c:v>18.243760000000002</c:v>
                </c:pt>
                <c:pt idx="64">
                  <c:v>18.2742</c:v>
                </c:pt>
                <c:pt idx="65">
                  <c:v>18.3018</c:v>
                </c:pt>
                <c:pt idx="66">
                  <c:v>18.326560000000001</c:v>
                </c:pt>
                <c:pt idx="67">
                  <c:v>18.348480000000002</c:v>
                </c:pt>
                <c:pt idx="68">
                  <c:v>18.367560000000001</c:v>
                </c:pt>
                <c:pt idx="69">
                  <c:v>18.383800000000001</c:v>
                </c:pt>
                <c:pt idx="70">
                  <c:v>18.397200000000002</c:v>
                </c:pt>
                <c:pt idx="71">
                  <c:v>18.407760000000003</c:v>
                </c:pt>
                <c:pt idx="72">
                  <c:v>18.415480000000002</c:v>
                </c:pt>
                <c:pt idx="73">
                  <c:v>18.420360000000002</c:v>
                </c:pt>
                <c:pt idx="74">
                  <c:v>18.422400000000003</c:v>
                </c:pt>
                <c:pt idx="75">
                  <c:v>18.421600000000002</c:v>
                </c:pt>
                <c:pt idx="76">
                  <c:v>18.417960000000001</c:v>
                </c:pt>
                <c:pt idx="77">
                  <c:v>18.411480000000001</c:v>
                </c:pt>
                <c:pt idx="78">
                  <c:v>18.402160000000002</c:v>
                </c:pt>
                <c:pt idx="79">
                  <c:v>18.39</c:v>
                </c:pt>
                <c:pt idx="80">
                  <c:v>18.375</c:v>
                </c:pt>
                <c:pt idx="81">
                  <c:v>18.35716</c:v>
                </c:pt>
                <c:pt idx="82">
                  <c:v>18.336480000000002</c:v>
                </c:pt>
                <c:pt idx="83">
                  <c:v>18.31296</c:v>
                </c:pt>
                <c:pt idx="84">
                  <c:v>18.2866</c:v>
                </c:pt>
                <c:pt idx="85">
                  <c:v>18.257400000000001</c:v>
                </c:pt>
                <c:pt idx="86">
                  <c:v>18.225360000000002</c:v>
                </c:pt>
                <c:pt idx="87">
                  <c:v>18.190480000000001</c:v>
                </c:pt>
                <c:pt idx="88">
                  <c:v>18.152760000000001</c:v>
                </c:pt>
                <c:pt idx="89">
                  <c:v>18.112200000000001</c:v>
                </c:pt>
                <c:pt idx="90">
                  <c:v>18.068800000000003</c:v>
                </c:pt>
                <c:pt idx="91">
                  <c:v>18.022560000000002</c:v>
                </c:pt>
                <c:pt idx="92">
                  <c:v>17.973480000000002</c:v>
                </c:pt>
                <c:pt idx="93">
                  <c:v>17.921560000000003</c:v>
                </c:pt>
                <c:pt idx="94">
                  <c:v>17.866800000000001</c:v>
                </c:pt>
                <c:pt idx="95">
                  <c:v>17.809200000000001</c:v>
                </c:pt>
                <c:pt idx="96">
                  <c:v>17.748760000000001</c:v>
                </c:pt>
                <c:pt idx="97">
                  <c:v>17.685480000000002</c:v>
                </c:pt>
                <c:pt idx="98">
                  <c:v>17.61936</c:v>
                </c:pt>
                <c:pt idx="99">
                  <c:v>17.5504</c:v>
                </c:pt>
                <c:pt idx="100">
                  <c:v>17.4786</c:v>
                </c:pt>
                <c:pt idx="101">
                  <c:v>17.403960000000001</c:v>
                </c:pt>
                <c:pt idx="102">
                  <c:v>17.32648</c:v>
                </c:pt>
                <c:pt idx="103">
                  <c:v>17.24616</c:v>
                </c:pt>
                <c:pt idx="104">
                  <c:v>17.163</c:v>
                </c:pt>
                <c:pt idx="105">
                  <c:v>17.077000000000002</c:v>
                </c:pt>
                <c:pt idx="106">
                  <c:v>16.988160000000001</c:v>
                </c:pt>
                <c:pt idx="107">
                  <c:v>16.89648</c:v>
                </c:pt>
                <c:pt idx="108">
                  <c:v>16.801960000000001</c:v>
                </c:pt>
                <c:pt idx="109">
                  <c:v>16.704600000000003</c:v>
                </c:pt>
                <c:pt idx="110">
                  <c:v>16.604400000000002</c:v>
                </c:pt>
                <c:pt idx="111">
                  <c:v>16.501360000000002</c:v>
                </c:pt>
                <c:pt idx="112">
                  <c:v>16.395480000000003</c:v>
                </c:pt>
                <c:pt idx="113">
                  <c:v>16.286760000000001</c:v>
                </c:pt>
                <c:pt idx="114">
                  <c:v>16.1752</c:v>
                </c:pt>
                <c:pt idx="115">
                  <c:v>16.0608</c:v>
                </c:pt>
                <c:pt idx="116">
                  <c:v>15.94356</c:v>
                </c:pt>
                <c:pt idx="117">
                  <c:v>15.82348</c:v>
                </c:pt>
                <c:pt idx="118">
                  <c:v>15.700559999999999</c:v>
                </c:pt>
                <c:pt idx="119">
                  <c:v>15.5748</c:v>
                </c:pt>
                <c:pt idx="120">
                  <c:v>15.446199999999999</c:v>
                </c:pt>
                <c:pt idx="121">
                  <c:v>15.31476</c:v>
                </c:pt>
                <c:pt idx="122">
                  <c:v>15.180479999999999</c:v>
                </c:pt>
                <c:pt idx="123">
                  <c:v>15.04336</c:v>
                </c:pt>
                <c:pt idx="124">
                  <c:v>14.9034</c:v>
                </c:pt>
                <c:pt idx="125">
                  <c:v>14.7606</c:v>
                </c:pt>
                <c:pt idx="126">
                  <c:v>14.61496</c:v>
                </c:pt>
                <c:pt idx="127">
                  <c:v>14.466480000000001</c:v>
                </c:pt>
                <c:pt idx="128">
                  <c:v>14.315160000000001</c:v>
                </c:pt>
                <c:pt idx="129">
                  <c:v>14.161000000000001</c:v>
                </c:pt>
                <c:pt idx="130">
                  <c:v>14.004000000000001</c:v>
                </c:pt>
                <c:pt idx="131">
                  <c:v>13.844160000000002</c:v>
                </c:pt>
                <c:pt idx="132">
                  <c:v>13.681480000000002</c:v>
                </c:pt>
                <c:pt idx="133">
                  <c:v>13.515960000000002</c:v>
                </c:pt>
                <c:pt idx="134">
                  <c:v>13.347600000000002</c:v>
                </c:pt>
                <c:pt idx="135">
                  <c:v>13.176400000000001</c:v>
                </c:pt>
                <c:pt idx="136">
                  <c:v>13.002360000000001</c:v>
                </c:pt>
                <c:pt idx="137">
                  <c:v>12.825480000000001</c:v>
                </c:pt>
                <c:pt idx="138">
                  <c:v>12.645760000000001</c:v>
                </c:pt>
                <c:pt idx="139">
                  <c:v>12.463200000000001</c:v>
                </c:pt>
                <c:pt idx="140">
                  <c:v>12.277800000000001</c:v>
                </c:pt>
                <c:pt idx="141">
                  <c:v>12.089560000000001</c:v>
                </c:pt>
                <c:pt idx="142">
                  <c:v>11.898480000000001</c:v>
                </c:pt>
                <c:pt idx="143">
                  <c:v>11.704560000000001</c:v>
                </c:pt>
                <c:pt idx="144">
                  <c:v>11.507800000000001</c:v>
                </c:pt>
                <c:pt idx="145">
                  <c:v>11.308200000000001</c:v>
                </c:pt>
                <c:pt idx="146">
                  <c:v>11.105760000000002</c:v>
                </c:pt>
                <c:pt idx="147">
                  <c:v>10.900480000000002</c:v>
                </c:pt>
                <c:pt idx="148">
                  <c:v>10.692360000000003</c:v>
                </c:pt>
                <c:pt idx="149">
                  <c:v>10.481400000000002</c:v>
                </c:pt>
                <c:pt idx="150">
                  <c:v>10.267600000000003</c:v>
                </c:pt>
                <c:pt idx="151">
                  <c:v>10.050960000000003</c:v>
                </c:pt>
                <c:pt idx="152">
                  <c:v>9.8314800000000027</c:v>
                </c:pt>
                <c:pt idx="153">
                  <c:v>9.6091600000000028</c:v>
                </c:pt>
                <c:pt idx="154">
                  <c:v>9.3840000000000021</c:v>
                </c:pt>
                <c:pt idx="155">
                  <c:v>9.1560000000000024</c:v>
                </c:pt>
              </c:numCache>
            </c:numRef>
          </c:yVal>
          <c:smooth val="0"/>
          <c:extLst>
            <c:ext xmlns:c16="http://schemas.microsoft.com/office/drawing/2014/chart" uri="{C3380CC4-5D6E-409C-BE32-E72D297353CC}">
              <c16:uniqueId val="{00000001-93C4-4446-97A0-26D3CC9F4499}"/>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568716625939001"/>
          <c:y val="0.18656072644721908"/>
          <c:w val="0.71304846592451809"/>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4124468277672186"/>
                  <c:y val="-0.406291347520265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cumulative_LWG!$A$22:$A$202</c:f>
              <c:numCache>
                <c:formatCode>General</c:formatCode>
                <c:ptCount val="18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pt idx="79">
                  <c:v>99</c:v>
                </c:pt>
                <c:pt idx="80">
                  <c:v>100</c:v>
                </c:pt>
                <c:pt idx="81">
                  <c:v>101</c:v>
                </c:pt>
                <c:pt idx="82">
                  <c:v>102</c:v>
                </c:pt>
                <c:pt idx="83">
                  <c:v>103</c:v>
                </c:pt>
                <c:pt idx="84">
                  <c:v>104</c:v>
                </c:pt>
                <c:pt idx="85">
                  <c:v>105</c:v>
                </c:pt>
                <c:pt idx="86">
                  <c:v>106</c:v>
                </c:pt>
                <c:pt idx="87">
                  <c:v>107</c:v>
                </c:pt>
                <c:pt idx="88">
                  <c:v>108</c:v>
                </c:pt>
                <c:pt idx="89">
                  <c:v>109</c:v>
                </c:pt>
                <c:pt idx="90">
                  <c:v>110</c:v>
                </c:pt>
                <c:pt idx="91">
                  <c:v>111</c:v>
                </c:pt>
                <c:pt idx="92">
                  <c:v>112</c:v>
                </c:pt>
                <c:pt idx="93">
                  <c:v>113</c:v>
                </c:pt>
                <c:pt idx="94">
                  <c:v>114</c:v>
                </c:pt>
                <c:pt idx="95">
                  <c:v>115</c:v>
                </c:pt>
                <c:pt idx="96">
                  <c:v>116</c:v>
                </c:pt>
                <c:pt idx="97">
                  <c:v>117</c:v>
                </c:pt>
                <c:pt idx="98">
                  <c:v>118</c:v>
                </c:pt>
                <c:pt idx="99">
                  <c:v>119</c:v>
                </c:pt>
                <c:pt idx="100">
                  <c:v>120</c:v>
                </c:pt>
                <c:pt idx="101">
                  <c:v>121</c:v>
                </c:pt>
                <c:pt idx="102">
                  <c:v>122</c:v>
                </c:pt>
                <c:pt idx="103">
                  <c:v>123</c:v>
                </c:pt>
                <c:pt idx="104">
                  <c:v>124</c:v>
                </c:pt>
                <c:pt idx="105">
                  <c:v>125</c:v>
                </c:pt>
                <c:pt idx="106">
                  <c:v>126</c:v>
                </c:pt>
                <c:pt idx="107">
                  <c:v>127</c:v>
                </c:pt>
                <c:pt idx="108">
                  <c:v>128</c:v>
                </c:pt>
                <c:pt idx="109">
                  <c:v>129</c:v>
                </c:pt>
                <c:pt idx="110">
                  <c:v>130</c:v>
                </c:pt>
                <c:pt idx="111">
                  <c:v>131</c:v>
                </c:pt>
                <c:pt idx="112">
                  <c:v>132</c:v>
                </c:pt>
                <c:pt idx="113">
                  <c:v>133</c:v>
                </c:pt>
                <c:pt idx="114">
                  <c:v>134</c:v>
                </c:pt>
                <c:pt idx="115">
                  <c:v>135</c:v>
                </c:pt>
                <c:pt idx="116">
                  <c:v>136</c:v>
                </c:pt>
                <c:pt idx="117">
                  <c:v>137</c:v>
                </c:pt>
                <c:pt idx="118">
                  <c:v>138</c:v>
                </c:pt>
                <c:pt idx="119">
                  <c:v>139</c:v>
                </c:pt>
                <c:pt idx="120">
                  <c:v>140</c:v>
                </c:pt>
                <c:pt idx="121">
                  <c:v>141</c:v>
                </c:pt>
                <c:pt idx="122">
                  <c:v>142</c:v>
                </c:pt>
                <c:pt idx="123">
                  <c:v>143</c:v>
                </c:pt>
                <c:pt idx="124">
                  <c:v>144</c:v>
                </c:pt>
                <c:pt idx="125">
                  <c:v>145</c:v>
                </c:pt>
                <c:pt idx="126">
                  <c:v>146</c:v>
                </c:pt>
                <c:pt idx="127">
                  <c:v>147</c:v>
                </c:pt>
                <c:pt idx="128">
                  <c:v>148</c:v>
                </c:pt>
                <c:pt idx="129">
                  <c:v>149</c:v>
                </c:pt>
                <c:pt idx="130">
                  <c:v>150</c:v>
                </c:pt>
                <c:pt idx="131">
                  <c:v>151</c:v>
                </c:pt>
                <c:pt idx="132">
                  <c:v>152</c:v>
                </c:pt>
                <c:pt idx="133">
                  <c:v>153</c:v>
                </c:pt>
                <c:pt idx="134">
                  <c:v>154</c:v>
                </c:pt>
                <c:pt idx="135">
                  <c:v>155</c:v>
                </c:pt>
                <c:pt idx="136">
                  <c:v>156</c:v>
                </c:pt>
                <c:pt idx="137">
                  <c:v>157</c:v>
                </c:pt>
                <c:pt idx="138">
                  <c:v>158</c:v>
                </c:pt>
                <c:pt idx="139">
                  <c:v>159</c:v>
                </c:pt>
                <c:pt idx="140">
                  <c:v>160</c:v>
                </c:pt>
                <c:pt idx="141">
                  <c:v>161</c:v>
                </c:pt>
                <c:pt idx="142">
                  <c:v>162</c:v>
                </c:pt>
                <c:pt idx="143">
                  <c:v>163</c:v>
                </c:pt>
                <c:pt idx="144">
                  <c:v>164</c:v>
                </c:pt>
                <c:pt idx="145">
                  <c:v>165</c:v>
                </c:pt>
                <c:pt idx="146">
                  <c:v>166</c:v>
                </c:pt>
                <c:pt idx="147">
                  <c:v>167</c:v>
                </c:pt>
                <c:pt idx="148">
                  <c:v>168</c:v>
                </c:pt>
                <c:pt idx="149">
                  <c:v>169</c:v>
                </c:pt>
                <c:pt idx="150">
                  <c:v>170</c:v>
                </c:pt>
                <c:pt idx="151">
                  <c:v>171</c:v>
                </c:pt>
                <c:pt idx="152">
                  <c:v>172</c:v>
                </c:pt>
                <c:pt idx="153">
                  <c:v>173</c:v>
                </c:pt>
                <c:pt idx="154">
                  <c:v>174</c:v>
                </c:pt>
                <c:pt idx="155">
                  <c:v>175</c:v>
                </c:pt>
                <c:pt idx="156">
                  <c:v>176</c:v>
                </c:pt>
                <c:pt idx="157">
                  <c:v>177</c:v>
                </c:pt>
                <c:pt idx="158">
                  <c:v>178</c:v>
                </c:pt>
                <c:pt idx="159">
                  <c:v>179</c:v>
                </c:pt>
                <c:pt idx="160">
                  <c:v>180</c:v>
                </c:pt>
                <c:pt idx="161">
                  <c:v>181</c:v>
                </c:pt>
                <c:pt idx="162">
                  <c:v>182</c:v>
                </c:pt>
                <c:pt idx="163">
                  <c:v>183</c:v>
                </c:pt>
                <c:pt idx="164">
                  <c:v>184</c:v>
                </c:pt>
                <c:pt idx="165">
                  <c:v>185</c:v>
                </c:pt>
                <c:pt idx="166">
                  <c:v>186</c:v>
                </c:pt>
                <c:pt idx="167">
                  <c:v>187</c:v>
                </c:pt>
                <c:pt idx="168">
                  <c:v>188</c:v>
                </c:pt>
                <c:pt idx="169">
                  <c:v>189</c:v>
                </c:pt>
                <c:pt idx="170">
                  <c:v>190</c:v>
                </c:pt>
                <c:pt idx="171">
                  <c:v>191</c:v>
                </c:pt>
                <c:pt idx="172">
                  <c:v>192</c:v>
                </c:pt>
                <c:pt idx="173">
                  <c:v>193</c:v>
                </c:pt>
                <c:pt idx="174">
                  <c:v>194</c:v>
                </c:pt>
                <c:pt idx="175">
                  <c:v>195</c:v>
                </c:pt>
                <c:pt idx="176">
                  <c:v>196</c:v>
                </c:pt>
                <c:pt idx="177">
                  <c:v>197</c:v>
                </c:pt>
                <c:pt idx="178">
                  <c:v>198</c:v>
                </c:pt>
                <c:pt idx="179">
                  <c:v>199</c:v>
                </c:pt>
                <c:pt idx="180">
                  <c:v>200</c:v>
                </c:pt>
              </c:numCache>
            </c:numRef>
          </c:xVal>
          <c:yVal>
            <c:numRef>
              <c:f>cumulative_LWG!$J$22:$J$202</c:f>
              <c:numCache>
                <c:formatCode>0.000</c:formatCode>
                <c:ptCount val="181"/>
                <c:pt idx="0">
                  <c:v>5.4435999999999991</c:v>
                </c:pt>
                <c:pt idx="1">
                  <c:v>5.723959999999999</c:v>
                </c:pt>
                <c:pt idx="2">
                  <c:v>6.001479999999999</c:v>
                </c:pt>
                <c:pt idx="3">
                  <c:v>6.2761599999999991</c:v>
                </c:pt>
                <c:pt idx="4">
                  <c:v>6.5479999999999992</c:v>
                </c:pt>
                <c:pt idx="5">
                  <c:v>6.8169999999999993</c:v>
                </c:pt>
                <c:pt idx="6">
                  <c:v>7.0831599999999995</c:v>
                </c:pt>
                <c:pt idx="7">
                  <c:v>7.3464799999999997</c:v>
                </c:pt>
                <c:pt idx="8">
                  <c:v>7.6069599999999999</c:v>
                </c:pt>
                <c:pt idx="9">
                  <c:v>7.8646000000000003</c:v>
                </c:pt>
                <c:pt idx="10">
                  <c:v>8.1194000000000006</c:v>
                </c:pt>
                <c:pt idx="11">
                  <c:v>8.371360000000001</c:v>
                </c:pt>
                <c:pt idx="12">
                  <c:v>8.6204800000000006</c:v>
                </c:pt>
                <c:pt idx="13">
                  <c:v>8.8667600000000011</c:v>
                </c:pt>
                <c:pt idx="14">
                  <c:v>9.1102000000000007</c:v>
                </c:pt>
                <c:pt idx="15">
                  <c:v>9.3508000000000013</c:v>
                </c:pt>
                <c:pt idx="16">
                  <c:v>9.5885600000000011</c:v>
                </c:pt>
                <c:pt idx="17">
                  <c:v>9.8234800000000018</c:v>
                </c:pt>
                <c:pt idx="18">
                  <c:v>10.055560000000002</c:v>
                </c:pt>
                <c:pt idx="19">
                  <c:v>10.284800000000002</c:v>
                </c:pt>
                <c:pt idx="20">
                  <c:v>10.511200000000002</c:v>
                </c:pt>
                <c:pt idx="21">
                  <c:v>10.734760000000003</c:v>
                </c:pt>
                <c:pt idx="22">
                  <c:v>10.955480000000003</c:v>
                </c:pt>
                <c:pt idx="23">
                  <c:v>11.173360000000002</c:v>
                </c:pt>
                <c:pt idx="24">
                  <c:v>11.388400000000003</c:v>
                </c:pt>
                <c:pt idx="25">
                  <c:v>11.600600000000002</c:v>
                </c:pt>
                <c:pt idx="26">
                  <c:v>11.809960000000002</c:v>
                </c:pt>
                <c:pt idx="27">
                  <c:v>12.016480000000001</c:v>
                </c:pt>
                <c:pt idx="28">
                  <c:v>12.220160000000002</c:v>
                </c:pt>
                <c:pt idx="29">
                  <c:v>12.421000000000001</c:v>
                </c:pt>
                <c:pt idx="30">
                  <c:v>12.619000000000002</c:v>
                </c:pt>
                <c:pt idx="31">
                  <c:v>12.814160000000001</c:v>
                </c:pt>
                <c:pt idx="32">
                  <c:v>13.006480000000002</c:v>
                </c:pt>
                <c:pt idx="33">
                  <c:v>13.195960000000001</c:v>
                </c:pt>
                <c:pt idx="34">
                  <c:v>13.382600000000002</c:v>
                </c:pt>
                <c:pt idx="35">
                  <c:v>13.566400000000002</c:v>
                </c:pt>
                <c:pt idx="36">
                  <c:v>13.747360000000002</c:v>
                </c:pt>
                <c:pt idx="37">
                  <c:v>13.925480000000002</c:v>
                </c:pt>
                <c:pt idx="38">
                  <c:v>14.100760000000003</c:v>
                </c:pt>
                <c:pt idx="39">
                  <c:v>14.273200000000003</c:v>
                </c:pt>
                <c:pt idx="40">
                  <c:v>14.442800000000004</c:v>
                </c:pt>
                <c:pt idx="41">
                  <c:v>14.609560000000004</c:v>
                </c:pt>
                <c:pt idx="42">
                  <c:v>14.773480000000003</c:v>
                </c:pt>
                <c:pt idx="43">
                  <c:v>14.934560000000003</c:v>
                </c:pt>
                <c:pt idx="44">
                  <c:v>15.092800000000002</c:v>
                </c:pt>
                <c:pt idx="45">
                  <c:v>15.248200000000002</c:v>
                </c:pt>
                <c:pt idx="46">
                  <c:v>15.400760000000002</c:v>
                </c:pt>
                <c:pt idx="47">
                  <c:v>15.550480000000002</c:v>
                </c:pt>
                <c:pt idx="48">
                  <c:v>15.697360000000002</c:v>
                </c:pt>
                <c:pt idx="49">
                  <c:v>15.841400000000002</c:v>
                </c:pt>
                <c:pt idx="50">
                  <c:v>15.982600000000001</c:v>
                </c:pt>
                <c:pt idx="51">
                  <c:v>16.12096</c:v>
                </c:pt>
                <c:pt idx="52">
                  <c:v>16.25648</c:v>
                </c:pt>
                <c:pt idx="53">
                  <c:v>16.38916</c:v>
                </c:pt>
                <c:pt idx="54">
                  <c:v>16.519000000000002</c:v>
                </c:pt>
                <c:pt idx="55">
                  <c:v>16.646000000000001</c:v>
                </c:pt>
                <c:pt idx="56">
                  <c:v>16.770160000000001</c:v>
                </c:pt>
                <c:pt idx="57">
                  <c:v>16.891480000000001</c:v>
                </c:pt>
                <c:pt idx="58">
                  <c:v>17.009960000000003</c:v>
                </c:pt>
                <c:pt idx="59">
                  <c:v>17.125600000000002</c:v>
                </c:pt>
                <c:pt idx="60">
                  <c:v>17.238400000000002</c:v>
                </c:pt>
                <c:pt idx="61">
                  <c:v>17.348360000000003</c:v>
                </c:pt>
                <c:pt idx="62">
                  <c:v>17.455480000000001</c:v>
                </c:pt>
                <c:pt idx="63">
                  <c:v>17.559760000000001</c:v>
                </c:pt>
                <c:pt idx="64">
                  <c:v>17.661200000000001</c:v>
                </c:pt>
                <c:pt idx="65">
                  <c:v>17.759800000000002</c:v>
                </c:pt>
                <c:pt idx="66">
                  <c:v>17.855560000000001</c:v>
                </c:pt>
                <c:pt idx="67">
                  <c:v>17.94848</c:v>
                </c:pt>
                <c:pt idx="68">
                  <c:v>18.03856</c:v>
                </c:pt>
                <c:pt idx="69">
                  <c:v>18.125800000000002</c:v>
                </c:pt>
                <c:pt idx="70">
                  <c:v>18.2102</c:v>
                </c:pt>
                <c:pt idx="71">
                  <c:v>18.29176</c:v>
                </c:pt>
                <c:pt idx="72">
                  <c:v>18.370480000000001</c:v>
                </c:pt>
                <c:pt idx="73">
                  <c:v>18.446360000000002</c:v>
                </c:pt>
                <c:pt idx="74">
                  <c:v>18.519400000000001</c:v>
                </c:pt>
                <c:pt idx="75">
                  <c:v>18.589600000000001</c:v>
                </c:pt>
                <c:pt idx="76">
                  <c:v>18.656960000000002</c:v>
                </c:pt>
                <c:pt idx="77">
                  <c:v>18.721480000000003</c:v>
                </c:pt>
                <c:pt idx="78">
                  <c:v>18.783160000000002</c:v>
                </c:pt>
                <c:pt idx="79">
                  <c:v>18.842000000000002</c:v>
                </c:pt>
                <c:pt idx="80">
                  <c:v>18.898000000000003</c:v>
                </c:pt>
                <c:pt idx="81">
                  <c:v>18.951160000000002</c:v>
                </c:pt>
                <c:pt idx="82">
                  <c:v>19.001480000000001</c:v>
                </c:pt>
                <c:pt idx="83">
                  <c:v>19.048960000000001</c:v>
                </c:pt>
                <c:pt idx="84">
                  <c:v>19.093600000000002</c:v>
                </c:pt>
                <c:pt idx="85">
                  <c:v>19.135400000000001</c:v>
                </c:pt>
                <c:pt idx="86">
                  <c:v>19.17436</c:v>
                </c:pt>
                <c:pt idx="87">
                  <c:v>19.21048</c:v>
                </c:pt>
                <c:pt idx="88">
                  <c:v>19.243760000000002</c:v>
                </c:pt>
                <c:pt idx="89">
                  <c:v>19.2742</c:v>
                </c:pt>
                <c:pt idx="90">
                  <c:v>19.3018</c:v>
                </c:pt>
                <c:pt idx="91">
                  <c:v>19.326560000000001</c:v>
                </c:pt>
                <c:pt idx="92">
                  <c:v>19.348480000000002</c:v>
                </c:pt>
                <c:pt idx="93">
                  <c:v>19.367560000000001</c:v>
                </c:pt>
                <c:pt idx="94">
                  <c:v>19.383800000000001</c:v>
                </c:pt>
                <c:pt idx="95">
                  <c:v>19.397200000000002</c:v>
                </c:pt>
                <c:pt idx="96">
                  <c:v>19.407760000000003</c:v>
                </c:pt>
                <c:pt idx="97">
                  <c:v>19.415480000000002</c:v>
                </c:pt>
                <c:pt idx="98">
                  <c:v>19.420360000000002</c:v>
                </c:pt>
                <c:pt idx="99">
                  <c:v>19.422400000000003</c:v>
                </c:pt>
                <c:pt idx="100">
                  <c:v>19.421600000000002</c:v>
                </c:pt>
                <c:pt idx="101">
                  <c:v>19.417960000000001</c:v>
                </c:pt>
                <c:pt idx="102">
                  <c:v>19.411480000000001</c:v>
                </c:pt>
                <c:pt idx="103">
                  <c:v>19.402160000000002</c:v>
                </c:pt>
                <c:pt idx="104">
                  <c:v>19.39</c:v>
                </c:pt>
                <c:pt idx="105">
                  <c:v>19.375</c:v>
                </c:pt>
                <c:pt idx="106">
                  <c:v>19.35716</c:v>
                </c:pt>
                <c:pt idx="107">
                  <c:v>19.336480000000002</c:v>
                </c:pt>
                <c:pt idx="108">
                  <c:v>19.31296</c:v>
                </c:pt>
                <c:pt idx="109">
                  <c:v>19.2866</c:v>
                </c:pt>
                <c:pt idx="110">
                  <c:v>19.257400000000001</c:v>
                </c:pt>
                <c:pt idx="111">
                  <c:v>19.225360000000002</c:v>
                </c:pt>
                <c:pt idx="112">
                  <c:v>19.190480000000001</c:v>
                </c:pt>
                <c:pt idx="113">
                  <c:v>19.152760000000001</c:v>
                </c:pt>
                <c:pt idx="114">
                  <c:v>19.112200000000001</c:v>
                </c:pt>
                <c:pt idx="115">
                  <c:v>19.068800000000003</c:v>
                </c:pt>
                <c:pt idx="116">
                  <c:v>19.022560000000002</c:v>
                </c:pt>
                <c:pt idx="117">
                  <c:v>18.973480000000002</c:v>
                </c:pt>
                <c:pt idx="118">
                  <c:v>18.921560000000003</c:v>
                </c:pt>
                <c:pt idx="119">
                  <c:v>18.866800000000001</c:v>
                </c:pt>
                <c:pt idx="120">
                  <c:v>18.809200000000001</c:v>
                </c:pt>
                <c:pt idx="121">
                  <c:v>18.748760000000001</c:v>
                </c:pt>
                <c:pt idx="122">
                  <c:v>18.685480000000002</c:v>
                </c:pt>
                <c:pt idx="123">
                  <c:v>18.61936</c:v>
                </c:pt>
                <c:pt idx="124">
                  <c:v>18.5504</c:v>
                </c:pt>
                <c:pt idx="125">
                  <c:v>18.4786</c:v>
                </c:pt>
                <c:pt idx="126">
                  <c:v>18.403960000000001</c:v>
                </c:pt>
                <c:pt idx="127">
                  <c:v>18.32648</c:v>
                </c:pt>
                <c:pt idx="128">
                  <c:v>18.24616</c:v>
                </c:pt>
                <c:pt idx="129">
                  <c:v>18.163</c:v>
                </c:pt>
                <c:pt idx="130">
                  <c:v>18.077000000000002</c:v>
                </c:pt>
                <c:pt idx="131">
                  <c:v>17.988160000000001</c:v>
                </c:pt>
                <c:pt idx="132">
                  <c:v>17.89648</c:v>
                </c:pt>
                <c:pt idx="133">
                  <c:v>17.801960000000001</c:v>
                </c:pt>
                <c:pt idx="134">
                  <c:v>17.704600000000003</c:v>
                </c:pt>
                <c:pt idx="135">
                  <c:v>17.604400000000002</c:v>
                </c:pt>
                <c:pt idx="136">
                  <c:v>17.501360000000002</c:v>
                </c:pt>
                <c:pt idx="137">
                  <c:v>17.395480000000003</c:v>
                </c:pt>
                <c:pt idx="138">
                  <c:v>17.286760000000001</c:v>
                </c:pt>
                <c:pt idx="139">
                  <c:v>17.1752</c:v>
                </c:pt>
                <c:pt idx="140">
                  <c:v>17.0608</c:v>
                </c:pt>
                <c:pt idx="141">
                  <c:v>16.943560000000002</c:v>
                </c:pt>
                <c:pt idx="142">
                  <c:v>16.82348</c:v>
                </c:pt>
                <c:pt idx="143">
                  <c:v>16.700559999999999</c:v>
                </c:pt>
                <c:pt idx="144">
                  <c:v>16.5748</c:v>
                </c:pt>
                <c:pt idx="145">
                  <c:v>16.446200000000001</c:v>
                </c:pt>
                <c:pt idx="146">
                  <c:v>16.31476</c:v>
                </c:pt>
                <c:pt idx="147">
                  <c:v>16.180479999999999</c:v>
                </c:pt>
                <c:pt idx="148">
                  <c:v>16.04336</c:v>
                </c:pt>
                <c:pt idx="149">
                  <c:v>15.9034</c:v>
                </c:pt>
                <c:pt idx="150">
                  <c:v>15.7606</c:v>
                </c:pt>
                <c:pt idx="151">
                  <c:v>15.61496</c:v>
                </c:pt>
                <c:pt idx="152">
                  <c:v>15.466480000000001</c:v>
                </c:pt>
                <c:pt idx="153">
                  <c:v>15.315160000000001</c:v>
                </c:pt>
                <c:pt idx="154">
                  <c:v>15.161000000000001</c:v>
                </c:pt>
                <c:pt idx="155">
                  <c:v>15.004000000000001</c:v>
                </c:pt>
                <c:pt idx="156">
                  <c:v>14.844160000000002</c:v>
                </c:pt>
                <c:pt idx="157">
                  <c:v>14.681480000000002</c:v>
                </c:pt>
                <c:pt idx="158">
                  <c:v>14.515960000000002</c:v>
                </c:pt>
                <c:pt idx="159">
                  <c:v>14.347600000000002</c:v>
                </c:pt>
                <c:pt idx="160">
                  <c:v>14.176400000000001</c:v>
                </c:pt>
                <c:pt idx="161">
                  <c:v>14.002360000000001</c:v>
                </c:pt>
                <c:pt idx="162">
                  <c:v>13.825480000000001</c:v>
                </c:pt>
                <c:pt idx="163">
                  <c:v>13.645760000000001</c:v>
                </c:pt>
                <c:pt idx="164">
                  <c:v>13.463200000000001</c:v>
                </c:pt>
                <c:pt idx="165">
                  <c:v>13.277800000000001</c:v>
                </c:pt>
                <c:pt idx="166">
                  <c:v>13.089560000000001</c:v>
                </c:pt>
                <c:pt idx="167">
                  <c:v>12.898480000000001</c:v>
                </c:pt>
                <c:pt idx="168">
                  <c:v>12.704560000000001</c:v>
                </c:pt>
                <c:pt idx="169">
                  <c:v>12.507800000000001</c:v>
                </c:pt>
                <c:pt idx="170">
                  <c:v>12.308200000000001</c:v>
                </c:pt>
                <c:pt idx="171">
                  <c:v>12.105760000000002</c:v>
                </c:pt>
                <c:pt idx="172">
                  <c:v>11.900480000000002</c:v>
                </c:pt>
                <c:pt idx="173">
                  <c:v>11.692360000000003</c:v>
                </c:pt>
                <c:pt idx="174">
                  <c:v>11.481400000000002</c:v>
                </c:pt>
                <c:pt idx="175">
                  <c:v>11.267600000000003</c:v>
                </c:pt>
                <c:pt idx="176">
                  <c:v>11.050960000000003</c:v>
                </c:pt>
                <c:pt idx="177">
                  <c:v>10.831480000000003</c:v>
                </c:pt>
                <c:pt idx="178">
                  <c:v>10.609160000000003</c:v>
                </c:pt>
                <c:pt idx="179">
                  <c:v>10.384000000000002</c:v>
                </c:pt>
                <c:pt idx="180">
                  <c:v>10.156000000000002</c:v>
                </c:pt>
              </c:numCache>
            </c:numRef>
          </c:yVal>
          <c:smooth val="0"/>
          <c:extLst>
            <c:ext xmlns:c16="http://schemas.microsoft.com/office/drawing/2014/chart" uri="{C3380CC4-5D6E-409C-BE32-E72D297353CC}">
              <c16:uniqueId val="{00000001-D207-4DCB-A654-57F7C5C0F0EC}"/>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7285387817902073"/>
                  <c:y val="-0.405291767586940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cumulative_LWG!$A$12:$A$202</c:f>
              <c:numCache>
                <c:formatCode>General</c:formatCode>
                <c:ptCount val="1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pt idx="91">
                  <c:v>101</c:v>
                </c:pt>
                <c:pt idx="92">
                  <c:v>102</c:v>
                </c:pt>
                <c:pt idx="93">
                  <c:v>103</c:v>
                </c:pt>
                <c:pt idx="94">
                  <c:v>104</c:v>
                </c:pt>
                <c:pt idx="95">
                  <c:v>105</c:v>
                </c:pt>
                <c:pt idx="96">
                  <c:v>106</c:v>
                </c:pt>
                <c:pt idx="97">
                  <c:v>107</c:v>
                </c:pt>
                <c:pt idx="98">
                  <c:v>108</c:v>
                </c:pt>
                <c:pt idx="99">
                  <c:v>109</c:v>
                </c:pt>
                <c:pt idx="100">
                  <c:v>110</c:v>
                </c:pt>
                <c:pt idx="101">
                  <c:v>111</c:v>
                </c:pt>
                <c:pt idx="102">
                  <c:v>112</c:v>
                </c:pt>
                <c:pt idx="103">
                  <c:v>113</c:v>
                </c:pt>
                <c:pt idx="104">
                  <c:v>114</c:v>
                </c:pt>
                <c:pt idx="105">
                  <c:v>115</c:v>
                </c:pt>
                <c:pt idx="106">
                  <c:v>116</c:v>
                </c:pt>
                <c:pt idx="107">
                  <c:v>117</c:v>
                </c:pt>
                <c:pt idx="108">
                  <c:v>118</c:v>
                </c:pt>
                <c:pt idx="109">
                  <c:v>119</c:v>
                </c:pt>
                <c:pt idx="110">
                  <c:v>120</c:v>
                </c:pt>
                <c:pt idx="111">
                  <c:v>121</c:v>
                </c:pt>
                <c:pt idx="112">
                  <c:v>122</c:v>
                </c:pt>
                <c:pt idx="113">
                  <c:v>123</c:v>
                </c:pt>
                <c:pt idx="114">
                  <c:v>124</c:v>
                </c:pt>
                <c:pt idx="115">
                  <c:v>125</c:v>
                </c:pt>
                <c:pt idx="116">
                  <c:v>126</c:v>
                </c:pt>
                <c:pt idx="117">
                  <c:v>127</c:v>
                </c:pt>
                <c:pt idx="118">
                  <c:v>128</c:v>
                </c:pt>
                <c:pt idx="119">
                  <c:v>129</c:v>
                </c:pt>
                <c:pt idx="120">
                  <c:v>130</c:v>
                </c:pt>
                <c:pt idx="121">
                  <c:v>131</c:v>
                </c:pt>
                <c:pt idx="122">
                  <c:v>132</c:v>
                </c:pt>
                <c:pt idx="123">
                  <c:v>133</c:v>
                </c:pt>
                <c:pt idx="124">
                  <c:v>134</c:v>
                </c:pt>
                <c:pt idx="125">
                  <c:v>135</c:v>
                </c:pt>
                <c:pt idx="126">
                  <c:v>136</c:v>
                </c:pt>
                <c:pt idx="127">
                  <c:v>137</c:v>
                </c:pt>
                <c:pt idx="128">
                  <c:v>138</c:v>
                </c:pt>
                <c:pt idx="129">
                  <c:v>139</c:v>
                </c:pt>
                <c:pt idx="130">
                  <c:v>140</c:v>
                </c:pt>
                <c:pt idx="131">
                  <c:v>141</c:v>
                </c:pt>
                <c:pt idx="132">
                  <c:v>142</c:v>
                </c:pt>
                <c:pt idx="133">
                  <c:v>143</c:v>
                </c:pt>
                <c:pt idx="134">
                  <c:v>144</c:v>
                </c:pt>
                <c:pt idx="135">
                  <c:v>145</c:v>
                </c:pt>
                <c:pt idx="136">
                  <c:v>146</c:v>
                </c:pt>
                <c:pt idx="137">
                  <c:v>147</c:v>
                </c:pt>
                <c:pt idx="138">
                  <c:v>148</c:v>
                </c:pt>
                <c:pt idx="139">
                  <c:v>149</c:v>
                </c:pt>
                <c:pt idx="140">
                  <c:v>150</c:v>
                </c:pt>
                <c:pt idx="141">
                  <c:v>151</c:v>
                </c:pt>
                <c:pt idx="142">
                  <c:v>152</c:v>
                </c:pt>
                <c:pt idx="143">
                  <c:v>153</c:v>
                </c:pt>
                <c:pt idx="144">
                  <c:v>154</c:v>
                </c:pt>
                <c:pt idx="145">
                  <c:v>155</c:v>
                </c:pt>
                <c:pt idx="146">
                  <c:v>156</c:v>
                </c:pt>
                <c:pt idx="147">
                  <c:v>157</c:v>
                </c:pt>
                <c:pt idx="148">
                  <c:v>158</c:v>
                </c:pt>
                <c:pt idx="149">
                  <c:v>159</c:v>
                </c:pt>
                <c:pt idx="150">
                  <c:v>160</c:v>
                </c:pt>
                <c:pt idx="151">
                  <c:v>161</c:v>
                </c:pt>
                <c:pt idx="152">
                  <c:v>162</c:v>
                </c:pt>
                <c:pt idx="153">
                  <c:v>163</c:v>
                </c:pt>
                <c:pt idx="154">
                  <c:v>164</c:v>
                </c:pt>
                <c:pt idx="155">
                  <c:v>165</c:v>
                </c:pt>
                <c:pt idx="156">
                  <c:v>166</c:v>
                </c:pt>
                <c:pt idx="157">
                  <c:v>167</c:v>
                </c:pt>
                <c:pt idx="158">
                  <c:v>168</c:v>
                </c:pt>
                <c:pt idx="159">
                  <c:v>169</c:v>
                </c:pt>
                <c:pt idx="160">
                  <c:v>170</c:v>
                </c:pt>
                <c:pt idx="161">
                  <c:v>171</c:v>
                </c:pt>
                <c:pt idx="162">
                  <c:v>172</c:v>
                </c:pt>
                <c:pt idx="163">
                  <c:v>173</c:v>
                </c:pt>
                <c:pt idx="164">
                  <c:v>174</c:v>
                </c:pt>
                <c:pt idx="165">
                  <c:v>175</c:v>
                </c:pt>
                <c:pt idx="166">
                  <c:v>176</c:v>
                </c:pt>
                <c:pt idx="167">
                  <c:v>177</c:v>
                </c:pt>
                <c:pt idx="168">
                  <c:v>178</c:v>
                </c:pt>
                <c:pt idx="169">
                  <c:v>179</c:v>
                </c:pt>
                <c:pt idx="170">
                  <c:v>180</c:v>
                </c:pt>
                <c:pt idx="171">
                  <c:v>181</c:v>
                </c:pt>
                <c:pt idx="172">
                  <c:v>182</c:v>
                </c:pt>
                <c:pt idx="173">
                  <c:v>183</c:v>
                </c:pt>
                <c:pt idx="174">
                  <c:v>184</c:v>
                </c:pt>
                <c:pt idx="175">
                  <c:v>185</c:v>
                </c:pt>
                <c:pt idx="176">
                  <c:v>186</c:v>
                </c:pt>
                <c:pt idx="177">
                  <c:v>187</c:v>
                </c:pt>
                <c:pt idx="178">
                  <c:v>188</c:v>
                </c:pt>
                <c:pt idx="179">
                  <c:v>189</c:v>
                </c:pt>
                <c:pt idx="180">
                  <c:v>190</c:v>
                </c:pt>
                <c:pt idx="181">
                  <c:v>191</c:v>
                </c:pt>
                <c:pt idx="182">
                  <c:v>192</c:v>
                </c:pt>
                <c:pt idx="183">
                  <c:v>193</c:v>
                </c:pt>
                <c:pt idx="184">
                  <c:v>194</c:v>
                </c:pt>
                <c:pt idx="185">
                  <c:v>195</c:v>
                </c:pt>
                <c:pt idx="186">
                  <c:v>196</c:v>
                </c:pt>
                <c:pt idx="187">
                  <c:v>197</c:v>
                </c:pt>
                <c:pt idx="188">
                  <c:v>198</c:v>
                </c:pt>
                <c:pt idx="189">
                  <c:v>199</c:v>
                </c:pt>
                <c:pt idx="190">
                  <c:v>200</c:v>
                </c:pt>
              </c:numCache>
            </c:numRef>
          </c:xVal>
          <c:yVal>
            <c:numRef>
              <c:f>cumulative_LWG!$K$12:$K$202</c:f>
              <c:numCache>
                <c:formatCode>0.000</c:formatCode>
                <c:ptCount val="191"/>
                <c:pt idx="0">
                  <c:v>2.8838000000000004</c:v>
                </c:pt>
                <c:pt idx="1">
                  <c:v>3.1925600000000003</c:v>
                </c:pt>
                <c:pt idx="2">
                  <c:v>3.4984800000000003</c:v>
                </c:pt>
                <c:pt idx="3">
                  <c:v>3.8015600000000003</c:v>
                </c:pt>
                <c:pt idx="4">
                  <c:v>4.1017999999999999</c:v>
                </c:pt>
                <c:pt idx="5">
                  <c:v>4.3991999999999996</c:v>
                </c:pt>
                <c:pt idx="6">
                  <c:v>4.6937599999999993</c:v>
                </c:pt>
                <c:pt idx="7">
                  <c:v>4.985479999999999</c:v>
                </c:pt>
                <c:pt idx="8">
                  <c:v>5.2743599999999988</c:v>
                </c:pt>
                <c:pt idx="9">
                  <c:v>5.5603999999999987</c:v>
                </c:pt>
                <c:pt idx="10">
                  <c:v>5.8435999999999986</c:v>
                </c:pt>
                <c:pt idx="11">
                  <c:v>6.1239599999999985</c:v>
                </c:pt>
                <c:pt idx="12">
                  <c:v>6.4014799999999985</c:v>
                </c:pt>
                <c:pt idx="13">
                  <c:v>6.6761599999999985</c:v>
                </c:pt>
                <c:pt idx="14">
                  <c:v>6.9479999999999986</c:v>
                </c:pt>
                <c:pt idx="15">
                  <c:v>7.2169999999999987</c:v>
                </c:pt>
                <c:pt idx="16">
                  <c:v>7.4831599999999989</c:v>
                </c:pt>
                <c:pt idx="17">
                  <c:v>7.7464799999999991</c:v>
                </c:pt>
                <c:pt idx="18">
                  <c:v>8.0069599999999994</c:v>
                </c:pt>
                <c:pt idx="19">
                  <c:v>8.2645999999999997</c:v>
                </c:pt>
                <c:pt idx="20">
                  <c:v>8.5193999999999992</c:v>
                </c:pt>
                <c:pt idx="21">
                  <c:v>8.7713599999999996</c:v>
                </c:pt>
                <c:pt idx="22">
                  <c:v>9.0204799999999992</c:v>
                </c:pt>
                <c:pt idx="23">
                  <c:v>9.2667599999999997</c:v>
                </c:pt>
                <c:pt idx="24">
                  <c:v>9.5101999999999993</c:v>
                </c:pt>
                <c:pt idx="25">
                  <c:v>9.7507999999999999</c:v>
                </c:pt>
                <c:pt idx="26">
                  <c:v>9.9885599999999997</c:v>
                </c:pt>
                <c:pt idx="27">
                  <c:v>10.22348</c:v>
                </c:pt>
                <c:pt idx="28">
                  <c:v>10.45556</c:v>
                </c:pt>
                <c:pt idx="29">
                  <c:v>10.684800000000001</c:v>
                </c:pt>
                <c:pt idx="30">
                  <c:v>10.911200000000001</c:v>
                </c:pt>
                <c:pt idx="31">
                  <c:v>11.134760000000002</c:v>
                </c:pt>
                <c:pt idx="32">
                  <c:v>11.355480000000002</c:v>
                </c:pt>
                <c:pt idx="33">
                  <c:v>11.573360000000001</c:v>
                </c:pt>
                <c:pt idx="34">
                  <c:v>11.788400000000001</c:v>
                </c:pt>
                <c:pt idx="35">
                  <c:v>12.0006</c:v>
                </c:pt>
                <c:pt idx="36">
                  <c:v>12.209960000000001</c:v>
                </c:pt>
                <c:pt idx="37">
                  <c:v>12.41648</c:v>
                </c:pt>
                <c:pt idx="38">
                  <c:v>12.62016</c:v>
                </c:pt>
                <c:pt idx="39">
                  <c:v>12.821</c:v>
                </c:pt>
                <c:pt idx="40">
                  <c:v>13.019</c:v>
                </c:pt>
                <c:pt idx="41">
                  <c:v>13.21416</c:v>
                </c:pt>
                <c:pt idx="42">
                  <c:v>13.40648</c:v>
                </c:pt>
                <c:pt idx="43">
                  <c:v>13.59596</c:v>
                </c:pt>
                <c:pt idx="44">
                  <c:v>13.7826</c:v>
                </c:pt>
                <c:pt idx="45">
                  <c:v>13.9664</c:v>
                </c:pt>
                <c:pt idx="46">
                  <c:v>14.147360000000001</c:v>
                </c:pt>
                <c:pt idx="47">
                  <c:v>14.325480000000001</c:v>
                </c:pt>
                <c:pt idx="48">
                  <c:v>14.500760000000001</c:v>
                </c:pt>
                <c:pt idx="49">
                  <c:v>14.673200000000001</c:v>
                </c:pt>
                <c:pt idx="50">
                  <c:v>14.842800000000002</c:v>
                </c:pt>
                <c:pt idx="51">
                  <c:v>15.009560000000002</c:v>
                </c:pt>
                <c:pt idx="52">
                  <c:v>15.173480000000001</c:v>
                </c:pt>
                <c:pt idx="53">
                  <c:v>15.334560000000002</c:v>
                </c:pt>
                <c:pt idx="54">
                  <c:v>15.492800000000001</c:v>
                </c:pt>
                <c:pt idx="55">
                  <c:v>15.648200000000001</c:v>
                </c:pt>
                <c:pt idx="56">
                  <c:v>15.80076</c:v>
                </c:pt>
                <c:pt idx="57">
                  <c:v>15.950480000000001</c:v>
                </c:pt>
                <c:pt idx="58">
                  <c:v>16.097360000000002</c:v>
                </c:pt>
                <c:pt idx="59">
                  <c:v>16.241400000000002</c:v>
                </c:pt>
                <c:pt idx="60">
                  <c:v>16.382600000000004</c:v>
                </c:pt>
                <c:pt idx="61">
                  <c:v>16.520960000000002</c:v>
                </c:pt>
                <c:pt idx="62">
                  <c:v>16.656480000000002</c:v>
                </c:pt>
                <c:pt idx="63">
                  <c:v>16.789160000000003</c:v>
                </c:pt>
                <c:pt idx="64">
                  <c:v>16.919000000000004</c:v>
                </c:pt>
                <c:pt idx="65">
                  <c:v>17.046000000000003</c:v>
                </c:pt>
                <c:pt idx="66">
                  <c:v>17.170160000000003</c:v>
                </c:pt>
                <c:pt idx="67">
                  <c:v>17.291480000000004</c:v>
                </c:pt>
                <c:pt idx="68">
                  <c:v>17.409960000000005</c:v>
                </c:pt>
                <c:pt idx="69">
                  <c:v>17.525600000000004</c:v>
                </c:pt>
                <c:pt idx="70">
                  <c:v>17.638400000000004</c:v>
                </c:pt>
                <c:pt idx="71">
                  <c:v>17.748360000000005</c:v>
                </c:pt>
                <c:pt idx="72">
                  <c:v>17.855480000000004</c:v>
                </c:pt>
                <c:pt idx="73">
                  <c:v>17.959760000000003</c:v>
                </c:pt>
                <c:pt idx="74">
                  <c:v>18.061200000000003</c:v>
                </c:pt>
                <c:pt idx="75">
                  <c:v>18.159800000000004</c:v>
                </c:pt>
                <c:pt idx="76">
                  <c:v>18.255560000000003</c:v>
                </c:pt>
                <c:pt idx="77">
                  <c:v>18.348480000000002</c:v>
                </c:pt>
                <c:pt idx="78">
                  <c:v>18.438560000000003</c:v>
                </c:pt>
                <c:pt idx="79">
                  <c:v>18.525800000000004</c:v>
                </c:pt>
                <c:pt idx="80">
                  <c:v>18.610200000000003</c:v>
                </c:pt>
                <c:pt idx="81">
                  <c:v>18.691760000000002</c:v>
                </c:pt>
                <c:pt idx="82">
                  <c:v>18.770480000000003</c:v>
                </c:pt>
                <c:pt idx="83">
                  <c:v>18.846360000000004</c:v>
                </c:pt>
                <c:pt idx="84">
                  <c:v>18.919400000000003</c:v>
                </c:pt>
                <c:pt idx="85">
                  <c:v>18.989600000000003</c:v>
                </c:pt>
                <c:pt idx="86">
                  <c:v>19.056960000000004</c:v>
                </c:pt>
                <c:pt idx="87">
                  <c:v>19.121480000000005</c:v>
                </c:pt>
                <c:pt idx="88">
                  <c:v>19.183160000000004</c:v>
                </c:pt>
                <c:pt idx="89">
                  <c:v>19.242000000000004</c:v>
                </c:pt>
                <c:pt idx="90">
                  <c:v>19.298000000000005</c:v>
                </c:pt>
                <c:pt idx="91">
                  <c:v>19.351160000000004</c:v>
                </c:pt>
                <c:pt idx="92">
                  <c:v>19.401480000000003</c:v>
                </c:pt>
                <c:pt idx="93">
                  <c:v>19.448960000000003</c:v>
                </c:pt>
                <c:pt idx="94">
                  <c:v>19.493600000000004</c:v>
                </c:pt>
                <c:pt idx="95">
                  <c:v>19.535400000000003</c:v>
                </c:pt>
                <c:pt idx="96">
                  <c:v>19.574360000000002</c:v>
                </c:pt>
                <c:pt idx="97">
                  <c:v>19.610480000000003</c:v>
                </c:pt>
                <c:pt idx="98">
                  <c:v>19.643760000000004</c:v>
                </c:pt>
                <c:pt idx="99">
                  <c:v>19.674200000000003</c:v>
                </c:pt>
                <c:pt idx="100">
                  <c:v>19.701800000000002</c:v>
                </c:pt>
                <c:pt idx="101">
                  <c:v>19.726560000000003</c:v>
                </c:pt>
                <c:pt idx="102">
                  <c:v>19.748480000000004</c:v>
                </c:pt>
                <c:pt idx="103">
                  <c:v>19.767560000000003</c:v>
                </c:pt>
                <c:pt idx="104">
                  <c:v>19.783800000000003</c:v>
                </c:pt>
                <c:pt idx="105">
                  <c:v>19.797200000000004</c:v>
                </c:pt>
                <c:pt idx="106">
                  <c:v>19.807760000000005</c:v>
                </c:pt>
                <c:pt idx="107">
                  <c:v>19.815480000000004</c:v>
                </c:pt>
                <c:pt idx="108">
                  <c:v>19.820360000000004</c:v>
                </c:pt>
                <c:pt idx="109">
                  <c:v>19.822400000000005</c:v>
                </c:pt>
                <c:pt idx="110">
                  <c:v>19.821600000000004</c:v>
                </c:pt>
                <c:pt idx="111">
                  <c:v>19.817960000000003</c:v>
                </c:pt>
                <c:pt idx="112">
                  <c:v>19.811480000000003</c:v>
                </c:pt>
                <c:pt idx="113">
                  <c:v>19.802160000000004</c:v>
                </c:pt>
                <c:pt idx="114">
                  <c:v>19.790000000000003</c:v>
                </c:pt>
                <c:pt idx="115">
                  <c:v>19.775000000000002</c:v>
                </c:pt>
                <c:pt idx="116">
                  <c:v>19.757160000000002</c:v>
                </c:pt>
                <c:pt idx="117">
                  <c:v>19.736480000000004</c:v>
                </c:pt>
                <c:pt idx="118">
                  <c:v>19.712960000000002</c:v>
                </c:pt>
                <c:pt idx="119">
                  <c:v>19.686600000000002</c:v>
                </c:pt>
                <c:pt idx="120">
                  <c:v>19.657400000000003</c:v>
                </c:pt>
                <c:pt idx="121">
                  <c:v>19.625360000000004</c:v>
                </c:pt>
                <c:pt idx="122">
                  <c:v>19.590480000000003</c:v>
                </c:pt>
                <c:pt idx="123">
                  <c:v>19.552760000000003</c:v>
                </c:pt>
                <c:pt idx="124">
                  <c:v>19.512200000000004</c:v>
                </c:pt>
                <c:pt idx="125">
                  <c:v>19.468800000000005</c:v>
                </c:pt>
                <c:pt idx="126">
                  <c:v>19.422560000000004</c:v>
                </c:pt>
                <c:pt idx="127">
                  <c:v>19.373480000000004</c:v>
                </c:pt>
                <c:pt idx="128">
                  <c:v>19.321560000000005</c:v>
                </c:pt>
                <c:pt idx="129">
                  <c:v>19.266800000000003</c:v>
                </c:pt>
                <c:pt idx="130">
                  <c:v>19.209200000000003</c:v>
                </c:pt>
                <c:pt idx="131">
                  <c:v>19.148760000000003</c:v>
                </c:pt>
                <c:pt idx="132">
                  <c:v>19.085480000000004</c:v>
                </c:pt>
                <c:pt idx="133">
                  <c:v>19.019360000000002</c:v>
                </c:pt>
                <c:pt idx="134">
                  <c:v>18.950400000000002</c:v>
                </c:pt>
                <c:pt idx="135">
                  <c:v>18.878600000000002</c:v>
                </c:pt>
                <c:pt idx="136">
                  <c:v>18.803960000000004</c:v>
                </c:pt>
                <c:pt idx="137">
                  <c:v>18.726480000000002</c:v>
                </c:pt>
                <c:pt idx="138">
                  <c:v>18.646160000000002</c:v>
                </c:pt>
                <c:pt idx="139">
                  <c:v>18.563000000000002</c:v>
                </c:pt>
                <c:pt idx="140">
                  <c:v>18.477000000000004</c:v>
                </c:pt>
                <c:pt idx="141">
                  <c:v>18.388160000000003</c:v>
                </c:pt>
                <c:pt idx="142">
                  <c:v>18.296480000000003</c:v>
                </c:pt>
                <c:pt idx="143">
                  <c:v>18.201960000000003</c:v>
                </c:pt>
                <c:pt idx="144">
                  <c:v>18.104600000000005</c:v>
                </c:pt>
                <c:pt idx="145">
                  <c:v>18.004400000000004</c:v>
                </c:pt>
                <c:pt idx="146">
                  <c:v>17.901360000000004</c:v>
                </c:pt>
                <c:pt idx="147">
                  <c:v>17.795480000000005</c:v>
                </c:pt>
                <c:pt idx="148">
                  <c:v>17.686760000000003</c:v>
                </c:pt>
                <c:pt idx="149">
                  <c:v>17.575200000000002</c:v>
                </c:pt>
                <c:pt idx="150">
                  <c:v>17.460800000000003</c:v>
                </c:pt>
                <c:pt idx="151">
                  <c:v>17.343560000000004</c:v>
                </c:pt>
                <c:pt idx="152">
                  <c:v>17.223480000000002</c:v>
                </c:pt>
                <c:pt idx="153">
                  <c:v>17.100560000000002</c:v>
                </c:pt>
                <c:pt idx="154">
                  <c:v>16.974800000000002</c:v>
                </c:pt>
                <c:pt idx="155">
                  <c:v>16.846200000000003</c:v>
                </c:pt>
                <c:pt idx="156">
                  <c:v>16.714760000000002</c:v>
                </c:pt>
                <c:pt idx="157">
                  <c:v>16.580480000000001</c:v>
                </c:pt>
                <c:pt idx="158">
                  <c:v>16.443360000000002</c:v>
                </c:pt>
                <c:pt idx="159">
                  <c:v>16.303400000000003</c:v>
                </c:pt>
                <c:pt idx="160">
                  <c:v>16.160600000000002</c:v>
                </c:pt>
                <c:pt idx="161">
                  <c:v>16.014960000000002</c:v>
                </c:pt>
                <c:pt idx="162">
                  <c:v>15.866480000000003</c:v>
                </c:pt>
                <c:pt idx="163">
                  <c:v>15.715160000000003</c:v>
                </c:pt>
                <c:pt idx="164">
                  <c:v>15.561000000000003</c:v>
                </c:pt>
                <c:pt idx="165">
                  <c:v>15.404000000000003</c:v>
                </c:pt>
                <c:pt idx="166">
                  <c:v>15.244160000000004</c:v>
                </c:pt>
                <c:pt idx="167">
                  <c:v>15.081480000000004</c:v>
                </c:pt>
                <c:pt idx="168">
                  <c:v>14.915960000000004</c:v>
                </c:pt>
                <c:pt idx="169">
                  <c:v>14.747600000000004</c:v>
                </c:pt>
                <c:pt idx="170">
                  <c:v>14.576400000000003</c:v>
                </c:pt>
                <c:pt idx="171">
                  <c:v>14.402360000000003</c:v>
                </c:pt>
                <c:pt idx="172">
                  <c:v>14.225480000000003</c:v>
                </c:pt>
                <c:pt idx="173">
                  <c:v>14.045760000000003</c:v>
                </c:pt>
                <c:pt idx="174">
                  <c:v>13.863200000000003</c:v>
                </c:pt>
                <c:pt idx="175">
                  <c:v>13.677800000000003</c:v>
                </c:pt>
                <c:pt idx="176">
                  <c:v>13.489560000000003</c:v>
                </c:pt>
                <c:pt idx="177">
                  <c:v>13.298480000000003</c:v>
                </c:pt>
                <c:pt idx="178">
                  <c:v>13.104560000000003</c:v>
                </c:pt>
                <c:pt idx="179">
                  <c:v>12.907800000000003</c:v>
                </c:pt>
                <c:pt idx="180">
                  <c:v>12.708200000000003</c:v>
                </c:pt>
                <c:pt idx="181">
                  <c:v>12.505760000000004</c:v>
                </c:pt>
                <c:pt idx="182">
                  <c:v>12.300480000000004</c:v>
                </c:pt>
                <c:pt idx="183">
                  <c:v>12.092360000000005</c:v>
                </c:pt>
                <c:pt idx="184">
                  <c:v>11.881400000000005</c:v>
                </c:pt>
                <c:pt idx="185">
                  <c:v>11.667600000000006</c:v>
                </c:pt>
                <c:pt idx="186">
                  <c:v>11.450960000000006</c:v>
                </c:pt>
                <c:pt idx="187">
                  <c:v>11.231480000000005</c:v>
                </c:pt>
                <c:pt idx="188">
                  <c:v>11.009160000000005</c:v>
                </c:pt>
                <c:pt idx="189">
                  <c:v>10.784000000000004</c:v>
                </c:pt>
                <c:pt idx="190">
                  <c:v>10.556000000000004</c:v>
                </c:pt>
              </c:numCache>
            </c:numRef>
          </c:yVal>
          <c:smooth val="0"/>
          <c:extLst>
            <c:ext xmlns:c16="http://schemas.microsoft.com/office/drawing/2014/chart" uri="{C3380CC4-5D6E-409C-BE32-E72D297353CC}">
              <c16:uniqueId val="{00000001-BEDB-448A-95A3-8980B361423E}"/>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cumulative_LWG!$BZ$9</c:f>
              <c:strCache>
                <c:ptCount val="1"/>
                <c:pt idx="0">
                  <c:v>100 g/hd/day</c:v>
                </c:pt>
              </c:strCache>
            </c:strRef>
          </c:tx>
          <c:spPr>
            <a:ln w="25400" cap="flat" cmpd="sng" algn="ctr">
              <a:noFill/>
              <a:prstDash val="sysDot"/>
              <a:round/>
            </a:ln>
            <a:effectLst/>
          </c:spPr>
          <c:marker>
            <c:symbol val="circle"/>
            <c:size val="5"/>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trendline>
            <c:spPr>
              <a:ln w="9525" cap="rnd">
                <a:solidFill>
                  <a:schemeClr val="accent1"/>
                </a:solidFill>
              </a:ln>
              <a:effectLst/>
            </c:spPr>
            <c:trendlineType val="linear"/>
            <c:dispRSqr val="0"/>
            <c:dispEq val="1"/>
            <c:trendlineLbl>
              <c:layout>
                <c:manualLayout>
                  <c:x val="0.12099475065616808"/>
                  <c:y val="-9.449948964712746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cumulative_LWG!$BY$11:$BY$14</c:f>
              <c:numCache>
                <c:formatCode>General</c:formatCode>
                <c:ptCount val="4"/>
                <c:pt idx="0">
                  <c:v>90</c:v>
                </c:pt>
                <c:pt idx="1">
                  <c:v>45</c:v>
                </c:pt>
                <c:pt idx="2">
                  <c:v>20</c:v>
                </c:pt>
                <c:pt idx="3">
                  <c:v>10</c:v>
                </c:pt>
              </c:numCache>
            </c:numRef>
          </c:xVal>
          <c:yVal>
            <c:numRef>
              <c:f>cumulative_LWG!$BZ$11:$BZ$14</c:f>
              <c:numCache>
                <c:formatCode>General</c:formatCode>
                <c:ptCount val="4"/>
                <c:pt idx="0">
                  <c:v>-3.56</c:v>
                </c:pt>
                <c:pt idx="1">
                  <c:v>-1.76</c:v>
                </c:pt>
                <c:pt idx="2">
                  <c:v>-0.76</c:v>
                </c:pt>
                <c:pt idx="3">
                  <c:v>-0.36</c:v>
                </c:pt>
              </c:numCache>
            </c:numRef>
          </c:yVal>
          <c:smooth val="0"/>
          <c:extLst>
            <c:ext xmlns:c16="http://schemas.microsoft.com/office/drawing/2014/chart" uri="{C3380CC4-5D6E-409C-BE32-E72D297353CC}">
              <c16:uniqueId val="{00000000-87E1-4F57-8F0A-C3C64287FF86}"/>
            </c:ext>
          </c:extLst>
        </c:ser>
        <c:ser>
          <c:idx val="1"/>
          <c:order val="1"/>
          <c:tx>
            <c:strRef>
              <c:f>cumulative_LWG!$CA$9</c:f>
              <c:strCache>
                <c:ptCount val="1"/>
                <c:pt idx="0">
                  <c:v>200 g/hd/day</c:v>
                </c:pt>
              </c:strCache>
            </c:strRef>
          </c:tx>
          <c:spPr>
            <a:ln w="25400" cap="flat" cmpd="sng" algn="ctr">
              <a:noFill/>
              <a:prstDash val="sysDot"/>
              <a:round/>
            </a:ln>
            <a:effectLst/>
          </c:spPr>
          <c:marker>
            <c:symbol val="circle"/>
            <c:size val="5"/>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trendline>
            <c:spPr>
              <a:ln w="9525" cap="rnd">
                <a:solidFill>
                  <a:schemeClr val="accent2"/>
                </a:solidFill>
              </a:ln>
              <a:effectLst/>
            </c:spPr>
            <c:trendlineType val="linear"/>
            <c:dispRSqr val="0"/>
            <c:dispEq val="1"/>
            <c:trendlineLbl>
              <c:layout>
                <c:manualLayout>
                  <c:x val="0.13210586176727909"/>
                  <c:y val="7.49241761446485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cumulative_LWG!$BY$11:$BY$14</c:f>
              <c:numCache>
                <c:formatCode>General</c:formatCode>
                <c:ptCount val="4"/>
                <c:pt idx="0">
                  <c:v>90</c:v>
                </c:pt>
                <c:pt idx="1">
                  <c:v>45</c:v>
                </c:pt>
                <c:pt idx="2">
                  <c:v>20</c:v>
                </c:pt>
                <c:pt idx="3">
                  <c:v>10</c:v>
                </c:pt>
              </c:numCache>
            </c:numRef>
          </c:xVal>
          <c:yVal>
            <c:numRef>
              <c:f>cumulative_LWG!$CA$11:$CA$14</c:f>
              <c:numCache>
                <c:formatCode>General</c:formatCode>
                <c:ptCount val="4"/>
                <c:pt idx="0">
                  <c:v>-7.12</c:v>
                </c:pt>
                <c:pt idx="1">
                  <c:v>-3.52</c:v>
                </c:pt>
                <c:pt idx="2">
                  <c:v>-1.52</c:v>
                </c:pt>
                <c:pt idx="3">
                  <c:v>-0.72</c:v>
                </c:pt>
              </c:numCache>
            </c:numRef>
          </c:yVal>
          <c:smooth val="0"/>
          <c:extLst>
            <c:ext xmlns:c16="http://schemas.microsoft.com/office/drawing/2014/chart" uri="{C3380CC4-5D6E-409C-BE32-E72D297353CC}">
              <c16:uniqueId val="{00000002-87E1-4F57-8F0A-C3C64287FF86}"/>
            </c:ext>
          </c:extLst>
        </c:ser>
        <c:ser>
          <c:idx val="2"/>
          <c:order val="2"/>
          <c:tx>
            <c:strRef>
              <c:f>cumulative_LWG!$CB$9</c:f>
              <c:strCache>
                <c:ptCount val="1"/>
                <c:pt idx="0">
                  <c:v>300 g/hd/day</c:v>
                </c:pt>
              </c:strCache>
            </c:strRef>
          </c:tx>
          <c:spPr>
            <a:ln w="25400" cap="flat" cmpd="sng" algn="ctr">
              <a:noFill/>
              <a:prstDash val="sysDot"/>
              <a:round/>
            </a:ln>
            <a:effectLst/>
          </c:spPr>
          <c:marker>
            <c:symbol val="circle"/>
            <c:size val="5"/>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marker>
          <c:trendline>
            <c:spPr>
              <a:ln w="9525" cap="rnd">
                <a:solidFill>
                  <a:schemeClr val="accent3"/>
                </a:solidFill>
              </a:ln>
              <a:effectLst/>
            </c:spPr>
            <c:trendlineType val="linear"/>
            <c:dispRSqr val="0"/>
            <c:dispEq val="1"/>
            <c:trendlineLbl>
              <c:layout>
                <c:manualLayout>
                  <c:x val="0.13210586176727909"/>
                  <c:y val="7.305191017789443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cumulative_LWG!$BY$11:$BY$14</c:f>
              <c:numCache>
                <c:formatCode>General</c:formatCode>
                <c:ptCount val="4"/>
                <c:pt idx="0">
                  <c:v>90</c:v>
                </c:pt>
                <c:pt idx="1">
                  <c:v>45</c:v>
                </c:pt>
                <c:pt idx="2">
                  <c:v>20</c:v>
                </c:pt>
                <c:pt idx="3">
                  <c:v>10</c:v>
                </c:pt>
              </c:numCache>
            </c:numRef>
          </c:xVal>
          <c:yVal>
            <c:numRef>
              <c:f>cumulative_LWG!$CB$11:$CB$14</c:f>
              <c:numCache>
                <c:formatCode>General</c:formatCode>
                <c:ptCount val="4"/>
                <c:pt idx="0">
                  <c:v>-10.68</c:v>
                </c:pt>
                <c:pt idx="1">
                  <c:v>-5.28</c:v>
                </c:pt>
                <c:pt idx="2">
                  <c:v>-2.2800000000000002</c:v>
                </c:pt>
                <c:pt idx="3">
                  <c:v>-1.08</c:v>
                </c:pt>
              </c:numCache>
            </c:numRef>
          </c:yVal>
          <c:smooth val="0"/>
          <c:extLst>
            <c:ext xmlns:c16="http://schemas.microsoft.com/office/drawing/2014/chart" uri="{C3380CC4-5D6E-409C-BE32-E72D297353CC}">
              <c16:uniqueId val="{00000003-87E1-4F57-8F0A-C3C64287FF86}"/>
            </c:ext>
          </c:extLst>
        </c:ser>
        <c:dLbls>
          <c:showLegendKey val="0"/>
          <c:showVal val="0"/>
          <c:showCatName val="0"/>
          <c:showSerName val="0"/>
          <c:showPercent val="0"/>
          <c:showBubbleSize val="0"/>
        </c:dLbls>
        <c:axId val="678526720"/>
        <c:axId val="678527048"/>
      </c:scatterChart>
      <c:valAx>
        <c:axId val="67852672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AU"/>
                  <a:t>sheep grazing days</a:t>
                </a:r>
              </a:p>
            </c:rich>
          </c:tx>
          <c:overlay val="0"/>
          <c:spPr>
            <a:noFill/>
            <a:ln>
              <a:noFill/>
            </a:ln>
            <a:effectLst/>
          </c:spPr>
        </c:title>
        <c:numFmt formatCode="General"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678527048"/>
        <c:crosses val="autoZero"/>
        <c:crossBetween val="midCat"/>
      </c:valAx>
      <c:valAx>
        <c:axId val="67852704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AU"/>
                  <a:t>constant</a:t>
                </a:r>
                <a:r>
                  <a:rPr lang="en-AU" baseline="0"/>
                  <a:t> value </a:t>
                </a:r>
              </a:p>
              <a:p>
                <a:pPr>
                  <a:defRPr sz="900" b="0" i="0" u="none" strike="noStrike" kern="1200" baseline="0">
                    <a:solidFill>
                      <a:schemeClr val="dk1">
                        <a:lumMod val="65000"/>
                        <a:lumOff val="35000"/>
                      </a:schemeClr>
                    </a:solidFill>
                    <a:latin typeface="+mn-lt"/>
                    <a:ea typeface="+mn-ea"/>
                    <a:cs typeface="+mn-cs"/>
                  </a:defRPr>
                </a:pPr>
                <a:r>
                  <a:rPr lang="en-AU" baseline="0"/>
                  <a:t>(c)</a:t>
                </a:r>
                <a:endParaRPr lang="en-AU"/>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en-US"/>
          </a:p>
        </c:txPr>
        <c:crossAx val="67852672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456647480362519"/>
                  <c:y val="0.452805168186009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cumulative_LWG!$BY$25:$BY$28</c:f>
              <c:numCache>
                <c:formatCode>General</c:formatCode>
                <c:ptCount val="4"/>
                <c:pt idx="0">
                  <c:v>0</c:v>
                </c:pt>
                <c:pt idx="1">
                  <c:v>100</c:v>
                </c:pt>
                <c:pt idx="2">
                  <c:v>200</c:v>
                </c:pt>
                <c:pt idx="3">
                  <c:v>300</c:v>
                </c:pt>
              </c:numCache>
            </c:numRef>
          </c:xVal>
          <c:yVal>
            <c:numRef>
              <c:f>cumulative_LWG!$BZ$25:$BZ$28</c:f>
              <c:numCache>
                <c:formatCode>0.000</c:formatCode>
                <c:ptCount val="4"/>
                <c:pt idx="0">
                  <c:v>-0.19983999999999996</c:v>
                </c:pt>
                <c:pt idx="1">
                  <c:v>-0.15983999999999995</c:v>
                </c:pt>
                <c:pt idx="2">
                  <c:v>-0.11983999999999996</c:v>
                </c:pt>
                <c:pt idx="3">
                  <c:v>-7.9839999999999967E-2</c:v>
                </c:pt>
              </c:numCache>
            </c:numRef>
          </c:yVal>
          <c:smooth val="0"/>
          <c:extLst>
            <c:ext xmlns:c16="http://schemas.microsoft.com/office/drawing/2014/chart" uri="{C3380CC4-5D6E-409C-BE32-E72D297353CC}">
              <c16:uniqueId val="{00000000-0853-49E4-AE83-E79A47156510}"/>
            </c:ext>
          </c:extLst>
        </c:ser>
        <c:dLbls>
          <c:showLegendKey val="0"/>
          <c:showVal val="0"/>
          <c:showCatName val="0"/>
          <c:showSerName val="0"/>
          <c:showPercent val="0"/>
          <c:showBubbleSize val="0"/>
        </c:dLbls>
        <c:axId val="739846960"/>
        <c:axId val="739842696"/>
      </c:scatterChart>
      <c:valAx>
        <c:axId val="7398469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Supplementary feed</a:t>
                </a:r>
              </a:p>
            </c:rich>
          </c:tx>
          <c:layout>
            <c:manualLayout>
              <c:xMode val="edge"/>
              <c:yMode val="edge"/>
              <c:x val="0.4453789697216895"/>
              <c:y val="0.914866397733610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842696"/>
        <c:crosses val="autoZero"/>
        <c:crossBetween val="midCat"/>
      </c:valAx>
      <c:valAx>
        <c:axId val="739842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aseline="0"/>
                  <a:t>LWG (kg/hd/day)</a:t>
                </a:r>
                <a:endParaRPr lang="en-AU"/>
              </a:p>
            </c:rich>
          </c:tx>
          <c:layout>
            <c:manualLayout>
              <c:xMode val="edge"/>
              <c:yMode val="edge"/>
              <c:x val="1.3992538341207717E-2"/>
              <c:y val="0.390670551034078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8469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chart" Target="../charts/chart86.xml"/><Relationship Id="rId18" Type="http://schemas.openxmlformats.org/officeDocument/2006/relationships/chart" Target="../charts/chart91.xml"/><Relationship Id="rId3" Type="http://schemas.openxmlformats.org/officeDocument/2006/relationships/chart" Target="../charts/chart76.xml"/><Relationship Id="rId21" Type="http://schemas.openxmlformats.org/officeDocument/2006/relationships/chart" Target="../charts/chart94.xml"/><Relationship Id="rId7" Type="http://schemas.openxmlformats.org/officeDocument/2006/relationships/chart" Target="../charts/chart80.xml"/><Relationship Id="rId12" Type="http://schemas.openxmlformats.org/officeDocument/2006/relationships/chart" Target="../charts/chart85.xml"/><Relationship Id="rId17" Type="http://schemas.openxmlformats.org/officeDocument/2006/relationships/chart" Target="../charts/chart90.xml"/><Relationship Id="rId25" Type="http://schemas.openxmlformats.org/officeDocument/2006/relationships/chart" Target="../charts/chart98.xml"/><Relationship Id="rId2" Type="http://schemas.openxmlformats.org/officeDocument/2006/relationships/chart" Target="../charts/chart75.xml"/><Relationship Id="rId16" Type="http://schemas.openxmlformats.org/officeDocument/2006/relationships/chart" Target="../charts/chart89.xml"/><Relationship Id="rId20" Type="http://schemas.openxmlformats.org/officeDocument/2006/relationships/chart" Target="../charts/chart93.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24" Type="http://schemas.openxmlformats.org/officeDocument/2006/relationships/chart" Target="../charts/chart97.xml"/><Relationship Id="rId5" Type="http://schemas.openxmlformats.org/officeDocument/2006/relationships/chart" Target="../charts/chart78.xml"/><Relationship Id="rId15" Type="http://schemas.openxmlformats.org/officeDocument/2006/relationships/chart" Target="../charts/chart88.xml"/><Relationship Id="rId23" Type="http://schemas.openxmlformats.org/officeDocument/2006/relationships/chart" Target="../charts/chart96.xml"/><Relationship Id="rId10" Type="http://schemas.openxmlformats.org/officeDocument/2006/relationships/chart" Target="../charts/chart83.xml"/><Relationship Id="rId19" Type="http://schemas.openxmlformats.org/officeDocument/2006/relationships/chart" Target="../charts/chart92.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chart" Target="../charts/chart87.xml"/><Relationship Id="rId22" Type="http://schemas.openxmlformats.org/officeDocument/2006/relationships/chart" Target="../charts/chart95.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18" Type="http://schemas.openxmlformats.org/officeDocument/2006/relationships/chart" Target="../charts/chart33.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17" Type="http://schemas.openxmlformats.org/officeDocument/2006/relationships/chart" Target="../charts/chart32.xml"/><Relationship Id="rId2" Type="http://schemas.openxmlformats.org/officeDocument/2006/relationships/chart" Target="../charts/chart17.xml"/><Relationship Id="rId16" Type="http://schemas.openxmlformats.org/officeDocument/2006/relationships/chart" Target="../charts/chart31.xml"/><Relationship Id="rId20" Type="http://schemas.openxmlformats.org/officeDocument/2006/relationships/chart" Target="../charts/chart35.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19" Type="http://schemas.openxmlformats.org/officeDocument/2006/relationships/chart" Target="../charts/chart34.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5" Type="http://schemas.openxmlformats.org/officeDocument/2006/relationships/chart" Target="../charts/chart40.xml"/><Relationship Id="rId4"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chart" Target="../charts/chart66.xml"/><Relationship Id="rId3" Type="http://schemas.openxmlformats.org/officeDocument/2006/relationships/chart" Target="../charts/chart51.xml"/><Relationship Id="rId21" Type="http://schemas.openxmlformats.org/officeDocument/2006/relationships/chart" Target="../charts/chart69.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chart" Target="../charts/chart65.xml"/><Relationship Id="rId25" Type="http://schemas.openxmlformats.org/officeDocument/2006/relationships/chart" Target="../charts/chart73.xml"/><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chart" Target="../charts/chart68.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24" Type="http://schemas.openxmlformats.org/officeDocument/2006/relationships/chart" Target="../charts/chart72.xml"/><Relationship Id="rId5" Type="http://schemas.openxmlformats.org/officeDocument/2006/relationships/chart" Target="../charts/chart53.xml"/><Relationship Id="rId15" Type="http://schemas.openxmlformats.org/officeDocument/2006/relationships/chart" Target="../charts/chart63.xml"/><Relationship Id="rId23" Type="http://schemas.openxmlformats.org/officeDocument/2006/relationships/chart" Target="../charts/chart71.xml"/><Relationship Id="rId10" Type="http://schemas.openxmlformats.org/officeDocument/2006/relationships/chart" Target="../charts/chart58.xml"/><Relationship Id="rId19" Type="http://schemas.openxmlformats.org/officeDocument/2006/relationships/chart" Target="../charts/chart67.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 Id="rId22" Type="http://schemas.openxmlformats.org/officeDocument/2006/relationships/chart" Target="../charts/chart7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1283</xdr:colOff>
      <xdr:row>15</xdr:row>
      <xdr:rowOff>179972</xdr:rowOff>
    </xdr:to>
    <xdr:pic>
      <xdr:nvPicPr>
        <xdr:cNvPr id="3" name="Picture 2">
          <a:extLst>
            <a:ext uri="{FF2B5EF4-FFF2-40B4-BE49-F238E27FC236}">
              <a16:creationId xmlns:a16="http://schemas.microsoft.com/office/drawing/2014/main" id="{DC9FB767-19F1-4784-B100-D14B87998702}"/>
            </a:ext>
          </a:extLst>
        </xdr:cNvPr>
        <xdr:cNvPicPr>
          <a:picLocks noChangeAspect="1"/>
        </xdr:cNvPicPr>
      </xdr:nvPicPr>
      <xdr:blipFill>
        <a:blip xmlns:r="http://schemas.openxmlformats.org/officeDocument/2006/relationships" r:embed="rId1"/>
        <a:stretch>
          <a:fillRect/>
        </a:stretch>
      </xdr:blipFill>
      <xdr:spPr>
        <a:xfrm>
          <a:off x="0" y="0"/>
          <a:ext cx="11383658" cy="80476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38</xdr:col>
      <xdr:colOff>9525</xdr:colOff>
      <xdr:row>8</xdr:row>
      <xdr:rowOff>22224</xdr:rowOff>
    </xdr:from>
    <xdr:to>
      <xdr:col>44</xdr:col>
      <xdr:colOff>603250</xdr:colOff>
      <xdr:row>23</xdr:row>
      <xdr:rowOff>25399</xdr:rowOff>
    </xdr:to>
    <xdr:graphicFrame macro="">
      <xdr:nvGraphicFramePr>
        <xdr:cNvPr id="2" name="Chart 1">
          <a:extLst>
            <a:ext uri="{FF2B5EF4-FFF2-40B4-BE49-F238E27FC236}">
              <a16:creationId xmlns:a16="http://schemas.microsoft.com/office/drawing/2014/main" id="{5962A3C4-F2FA-454A-8592-B004D52F0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400050</xdr:colOff>
      <xdr:row>8</xdr:row>
      <xdr:rowOff>31750</xdr:rowOff>
    </xdr:from>
    <xdr:to>
      <xdr:col>59</xdr:col>
      <xdr:colOff>542925</xdr:colOff>
      <xdr:row>23</xdr:row>
      <xdr:rowOff>34925</xdr:rowOff>
    </xdr:to>
    <xdr:graphicFrame macro="">
      <xdr:nvGraphicFramePr>
        <xdr:cNvPr id="6" name="Chart 5">
          <a:extLst>
            <a:ext uri="{FF2B5EF4-FFF2-40B4-BE49-F238E27FC236}">
              <a16:creationId xmlns:a16="http://schemas.microsoft.com/office/drawing/2014/main" id="{8BD93FAE-C6C3-4465-AABF-4EE382F8B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88900</xdr:colOff>
      <xdr:row>8</xdr:row>
      <xdr:rowOff>12700</xdr:rowOff>
    </xdr:from>
    <xdr:to>
      <xdr:col>52</xdr:col>
      <xdr:colOff>231775</xdr:colOff>
      <xdr:row>23</xdr:row>
      <xdr:rowOff>15875</xdr:rowOff>
    </xdr:to>
    <xdr:graphicFrame macro="">
      <xdr:nvGraphicFramePr>
        <xdr:cNvPr id="7" name="Chart 6">
          <a:extLst>
            <a:ext uri="{FF2B5EF4-FFF2-40B4-BE49-F238E27FC236}">
              <a16:creationId xmlns:a16="http://schemas.microsoft.com/office/drawing/2014/main" id="{BDEA4971-E621-4040-A83B-0C232066C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0</xdr:colOff>
      <xdr:row>8</xdr:row>
      <xdr:rowOff>0</xdr:rowOff>
    </xdr:from>
    <xdr:to>
      <xdr:col>67</xdr:col>
      <xdr:colOff>142875</xdr:colOff>
      <xdr:row>23</xdr:row>
      <xdr:rowOff>3175</xdr:rowOff>
    </xdr:to>
    <xdr:graphicFrame macro="">
      <xdr:nvGraphicFramePr>
        <xdr:cNvPr id="8" name="Chart 7">
          <a:extLst>
            <a:ext uri="{FF2B5EF4-FFF2-40B4-BE49-F238E27FC236}">
              <a16:creationId xmlns:a16="http://schemas.microsoft.com/office/drawing/2014/main" id="{BE8EA360-F9DD-42BC-9CAC-76F692D5B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68</xdr:col>
      <xdr:colOff>0</xdr:colOff>
      <xdr:row>8</xdr:row>
      <xdr:rowOff>0</xdr:rowOff>
    </xdr:from>
    <xdr:to>
      <xdr:col>75</xdr:col>
      <xdr:colOff>142875</xdr:colOff>
      <xdr:row>23</xdr:row>
      <xdr:rowOff>3175</xdr:rowOff>
    </xdr:to>
    <xdr:graphicFrame macro="">
      <xdr:nvGraphicFramePr>
        <xdr:cNvPr id="9" name="Chart 8">
          <a:extLst>
            <a:ext uri="{FF2B5EF4-FFF2-40B4-BE49-F238E27FC236}">
              <a16:creationId xmlns:a16="http://schemas.microsoft.com/office/drawing/2014/main" id="{F0D08824-F0B1-450D-B6D1-0785B7D0E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53</xdr:col>
      <xdr:colOff>110067</xdr:colOff>
      <xdr:row>40</xdr:row>
      <xdr:rowOff>84665</xdr:rowOff>
    </xdr:from>
    <xdr:to>
      <xdr:col>60</xdr:col>
      <xdr:colOff>252942</xdr:colOff>
      <xdr:row>55</xdr:row>
      <xdr:rowOff>87840</xdr:rowOff>
    </xdr:to>
    <xdr:graphicFrame macro="">
      <xdr:nvGraphicFramePr>
        <xdr:cNvPr id="13" name="Chart 12">
          <a:extLst>
            <a:ext uri="{FF2B5EF4-FFF2-40B4-BE49-F238E27FC236}">
              <a16:creationId xmlns:a16="http://schemas.microsoft.com/office/drawing/2014/main" id="{C0FBDE34-22A9-4FA7-B061-3FCD8E92E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38</xdr:col>
      <xdr:colOff>16934</xdr:colOff>
      <xdr:row>57</xdr:row>
      <xdr:rowOff>101600</xdr:rowOff>
    </xdr:from>
    <xdr:to>
      <xdr:col>44</xdr:col>
      <xdr:colOff>559859</xdr:colOff>
      <xdr:row>72</xdr:row>
      <xdr:rowOff>11643</xdr:rowOff>
    </xdr:to>
    <xdr:graphicFrame macro="">
      <xdr:nvGraphicFramePr>
        <xdr:cNvPr id="15" name="Chart 14">
          <a:extLst>
            <a:ext uri="{FF2B5EF4-FFF2-40B4-BE49-F238E27FC236}">
              <a16:creationId xmlns:a16="http://schemas.microsoft.com/office/drawing/2014/main" id="{A85BE6A9-62DB-4FED-83FE-C9A7DB922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16933</xdr:colOff>
      <xdr:row>57</xdr:row>
      <xdr:rowOff>93133</xdr:rowOff>
    </xdr:from>
    <xdr:to>
      <xdr:col>52</xdr:col>
      <xdr:colOff>159808</xdr:colOff>
      <xdr:row>72</xdr:row>
      <xdr:rowOff>20109</xdr:rowOff>
    </xdr:to>
    <xdr:graphicFrame macro="">
      <xdr:nvGraphicFramePr>
        <xdr:cNvPr id="16" name="Chart 15">
          <a:extLst>
            <a:ext uri="{FF2B5EF4-FFF2-40B4-BE49-F238E27FC236}">
              <a16:creationId xmlns:a16="http://schemas.microsoft.com/office/drawing/2014/main" id="{653E759C-2CC0-426F-8F3D-F4912FAF9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52</xdr:col>
      <xdr:colOff>491067</xdr:colOff>
      <xdr:row>57</xdr:row>
      <xdr:rowOff>16933</xdr:rowOff>
    </xdr:from>
    <xdr:to>
      <xdr:col>60</xdr:col>
      <xdr:colOff>24342</xdr:colOff>
      <xdr:row>72</xdr:row>
      <xdr:rowOff>20108</xdr:rowOff>
    </xdr:to>
    <xdr:graphicFrame macro="">
      <xdr:nvGraphicFramePr>
        <xdr:cNvPr id="17" name="Chart 16">
          <a:extLst>
            <a:ext uri="{FF2B5EF4-FFF2-40B4-BE49-F238E27FC236}">
              <a16:creationId xmlns:a16="http://schemas.microsoft.com/office/drawing/2014/main" id="{71CA70A1-A21C-4253-9D51-08110AD5F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16934</xdr:colOff>
      <xdr:row>74</xdr:row>
      <xdr:rowOff>101599</xdr:rowOff>
    </xdr:from>
    <xdr:to>
      <xdr:col>45</xdr:col>
      <xdr:colOff>1059</xdr:colOff>
      <xdr:row>89</xdr:row>
      <xdr:rowOff>104774</xdr:rowOff>
    </xdr:to>
    <xdr:graphicFrame macro="">
      <xdr:nvGraphicFramePr>
        <xdr:cNvPr id="18" name="Chart 17">
          <a:extLst>
            <a:ext uri="{FF2B5EF4-FFF2-40B4-BE49-F238E27FC236}">
              <a16:creationId xmlns:a16="http://schemas.microsoft.com/office/drawing/2014/main" id="{DD4A59EE-D50D-4CAB-97FD-21ADA9A0A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160866</xdr:colOff>
      <xdr:row>74</xdr:row>
      <xdr:rowOff>93133</xdr:rowOff>
    </xdr:from>
    <xdr:to>
      <xdr:col>52</xdr:col>
      <xdr:colOff>303741</xdr:colOff>
      <xdr:row>89</xdr:row>
      <xdr:rowOff>96308</xdr:rowOff>
    </xdr:to>
    <xdr:graphicFrame macro="">
      <xdr:nvGraphicFramePr>
        <xdr:cNvPr id="19" name="Chart 18">
          <a:extLst>
            <a:ext uri="{FF2B5EF4-FFF2-40B4-BE49-F238E27FC236}">
              <a16:creationId xmlns:a16="http://schemas.microsoft.com/office/drawing/2014/main" id="{F1F9E865-9EE1-4E9D-AEC9-6E5A7252F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52</xdr:col>
      <xdr:colOff>592667</xdr:colOff>
      <xdr:row>74</xdr:row>
      <xdr:rowOff>93133</xdr:rowOff>
    </xdr:from>
    <xdr:to>
      <xdr:col>60</xdr:col>
      <xdr:colOff>125942</xdr:colOff>
      <xdr:row>89</xdr:row>
      <xdr:rowOff>96308</xdr:rowOff>
    </xdr:to>
    <xdr:graphicFrame macro="">
      <xdr:nvGraphicFramePr>
        <xdr:cNvPr id="20" name="Chart 19">
          <a:extLst>
            <a:ext uri="{FF2B5EF4-FFF2-40B4-BE49-F238E27FC236}">
              <a16:creationId xmlns:a16="http://schemas.microsoft.com/office/drawing/2014/main" id="{D9E62C89-3F33-4360-BCE3-62029B7BD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60</xdr:col>
      <xdr:colOff>440267</xdr:colOff>
      <xdr:row>40</xdr:row>
      <xdr:rowOff>152399</xdr:rowOff>
    </xdr:from>
    <xdr:to>
      <xdr:col>67</xdr:col>
      <xdr:colOff>583142</xdr:colOff>
      <xdr:row>55</xdr:row>
      <xdr:rowOff>155574</xdr:rowOff>
    </xdr:to>
    <xdr:graphicFrame macro="">
      <xdr:nvGraphicFramePr>
        <xdr:cNvPr id="21" name="Chart 20">
          <a:extLst>
            <a:ext uri="{FF2B5EF4-FFF2-40B4-BE49-F238E27FC236}">
              <a16:creationId xmlns:a16="http://schemas.microsoft.com/office/drawing/2014/main" id="{CC501559-72D1-4350-A0CB-214EBF79A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60</xdr:col>
      <xdr:colOff>414867</xdr:colOff>
      <xdr:row>57</xdr:row>
      <xdr:rowOff>84667</xdr:rowOff>
    </xdr:from>
    <xdr:to>
      <xdr:col>67</xdr:col>
      <xdr:colOff>557742</xdr:colOff>
      <xdr:row>72</xdr:row>
      <xdr:rowOff>87842</xdr:rowOff>
    </xdr:to>
    <xdr:graphicFrame macro="">
      <xdr:nvGraphicFramePr>
        <xdr:cNvPr id="22" name="Chart 21">
          <a:extLst>
            <a:ext uri="{FF2B5EF4-FFF2-40B4-BE49-F238E27FC236}">
              <a16:creationId xmlns:a16="http://schemas.microsoft.com/office/drawing/2014/main" id="{922E90B4-F99B-430C-BEEE-B693FE66F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60</xdr:col>
      <xdr:colOff>431801</xdr:colOff>
      <xdr:row>74</xdr:row>
      <xdr:rowOff>93133</xdr:rowOff>
    </xdr:from>
    <xdr:to>
      <xdr:col>67</xdr:col>
      <xdr:colOff>574676</xdr:colOff>
      <xdr:row>89</xdr:row>
      <xdr:rowOff>96308</xdr:rowOff>
    </xdr:to>
    <xdr:graphicFrame macro="">
      <xdr:nvGraphicFramePr>
        <xdr:cNvPr id="23" name="Chart 22">
          <a:extLst>
            <a:ext uri="{FF2B5EF4-FFF2-40B4-BE49-F238E27FC236}">
              <a16:creationId xmlns:a16="http://schemas.microsoft.com/office/drawing/2014/main" id="{737ED5C7-6A8A-4F86-A7EF-9F8327825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42333</xdr:colOff>
      <xdr:row>40</xdr:row>
      <xdr:rowOff>152400</xdr:rowOff>
    </xdr:from>
    <xdr:to>
      <xdr:col>75</xdr:col>
      <xdr:colOff>185208</xdr:colOff>
      <xdr:row>55</xdr:row>
      <xdr:rowOff>155575</xdr:rowOff>
    </xdr:to>
    <xdr:graphicFrame macro="">
      <xdr:nvGraphicFramePr>
        <xdr:cNvPr id="24" name="Chart 23">
          <a:extLst>
            <a:ext uri="{FF2B5EF4-FFF2-40B4-BE49-F238E27FC236}">
              <a16:creationId xmlns:a16="http://schemas.microsoft.com/office/drawing/2014/main" id="{4D7D35BF-0BB8-47AC-9067-3FAD57C45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68</xdr:col>
      <xdr:colOff>67733</xdr:colOff>
      <xdr:row>57</xdr:row>
      <xdr:rowOff>101600</xdr:rowOff>
    </xdr:from>
    <xdr:to>
      <xdr:col>75</xdr:col>
      <xdr:colOff>210608</xdr:colOff>
      <xdr:row>72</xdr:row>
      <xdr:rowOff>37042</xdr:rowOff>
    </xdr:to>
    <xdr:graphicFrame macro="">
      <xdr:nvGraphicFramePr>
        <xdr:cNvPr id="25" name="Chart 24">
          <a:extLst>
            <a:ext uri="{FF2B5EF4-FFF2-40B4-BE49-F238E27FC236}">
              <a16:creationId xmlns:a16="http://schemas.microsoft.com/office/drawing/2014/main" id="{8CA1AECC-7890-4974-90B6-581635EA9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68</xdr:col>
      <xdr:colOff>76200</xdr:colOff>
      <xdr:row>74</xdr:row>
      <xdr:rowOff>101600</xdr:rowOff>
    </xdr:from>
    <xdr:to>
      <xdr:col>75</xdr:col>
      <xdr:colOff>219075</xdr:colOff>
      <xdr:row>89</xdr:row>
      <xdr:rowOff>104775</xdr:rowOff>
    </xdr:to>
    <xdr:graphicFrame macro="">
      <xdr:nvGraphicFramePr>
        <xdr:cNvPr id="26" name="Chart 25">
          <a:extLst>
            <a:ext uri="{FF2B5EF4-FFF2-40B4-BE49-F238E27FC236}">
              <a16:creationId xmlns:a16="http://schemas.microsoft.com/office/drawing/2014/main" id="{F3979930-0E7D-45D5-BE21-D770EA9A3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38</xdr:col>
      <xdr:colOff>25400</xdr:colOff>
      <xdr:row>40</xdr:row>
      <xdr:rowOff>67733</xdr:rowOff>
    </xdr:from>
    <xdr:to>
      <xdr:col>45</xdr:col>
      <xdr:colOff>9525</xdr:colOff>
      <xdr:row>55</xdr:row>
      <xdr:rowOff>70908</xdr:rowOff>
    </xdr:to>
    <xdr:graphicFrame macro="">
      <xdr:nvGraphicFramePr>
        <xdr:cNvPr id="27" name="Chart 26">
          <a:extLst>
            <a:ext uri="{FF2B5EF4-FFF2-40B4-BE49-F238E27FC236}">
              <a16:creationId xmlns:a16="http://schemas.microsoft.com/office/drawing/2014/main" id="{C8FB14A7-8FA7-414D-AF3A-4A0E9162A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45</xdr:col>
      <xdr:colOff>237067</xdr:colOff>
      <xdr:row>40</xdr:row>
      <xdr:rowOff>101600</xdr:rowOff>
    </xdr:from>
    <xdr:to>
      <xdr:col>52</xdr:col>
      <xdr:colOff>379942</xdr:colOff>
      <xdr:row>55</xdr:row>
      <xdr:rowOff>104775</xdr:rowOff>
    </xdr:to>
    <xdr:graphicFrame macro="">
      <xdr:nvGraphicFramePr>
        <xdr:cNvPr id="28" name="Chart 27">
          <a:extLst>
            <a:ext uri="{FF2B5EF4-FFF2-40B4-BE49-F238E27FC236}">
              <a16:creationId xmlns:a16="http://schemas.microsoft.com/office/drawing/2014/main" id="{1FAFFCA9-324D-451F-B7EB-9A82DDAF6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52</xdr:col>
      <xdr:colOff>406400</xdr:colOff>
      <xdr:row>24</xdr:row>
      <xdr:rowOff>0</xdr:rowOff>
    </xdr:from>
    <xdr:to>
      <xdr:col>59</xdr:col>
      <xdr:colOff>549275</xdr:colOff>
      <xdr:row>39</xdr:row>
      <xdr:rowOff>3175</xdr:rowOff>
    </xdr:to>
    <xdr:graphicFrame macro="">
      <xdr:nvGraphicFramePr>
        <xdr:cNvPr id="29" name="Chart 28">
          <a:extLst>
            <a:ext uri="{FF2B5EF4-FFF2-40B4-BE49-F238E27FC236}">
              <a16:creationId xmlns:a16="http://schemas.microsoft.com/office/drawing/2014/main" id="{FA252751-B6F3-4141-9A70-680980CB0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60</xdr:col>
      <xdr:colOff>33867</xdr:colOff>
      <xdr:row>24</xdr:row>
      <xdr:rowOff>16933</xdr:rowOff>
    </xdr:from>
    <xdr:to>
      <xdr:col>67</xdr:col>
      <xdr:colOff>186267</xdr:colOff>
      <xdr:row>39</xdr:row>
      <xdr:rowOff>20108</xdr:rowOff>
    </xdr:to>
    <xdr:graphicFrame macro="">
      <xdr:nvGraphicFramePr>
        <xdr:cNvPr id="31" name="Chart 30">
          <a:extLst>
            <a:ext uri="{FF2B5EF4-FFF2-40B4-BE49-F238E27FC236}">
              <a16:creationId xmlns:a16="http://schemas.microsoft.com/office/drawing/2014/main" id="{9059096F-49DA-4D64-849C-19AA4CC63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68</xdr:col>
      <xdr:colOff>0</xdr:colOff>
      <xdr:row>24</xdr:row>
      <xdr:rowOff>0</xdr:rowOff>
    </xdr:from>
    <xdr:to>
      <xdr:col>75</xdr:col>
      <xdr:colOff>152400</xdr:colOff>
      <xdr:row>39</xdr:row>
      <xdr:rowOff>3175</xdr:rowOff>
    </xdr:to>
    <xdr:graphicFrame macro="">
      <xdr:nvGraphicFramePr>
        <xdr:cNvPr id="30" name="Chart 29">
          <a:extLst>
            <a:ext uri="{FF2B5EF4-FFF2-40B4-BE49-F238E27FC236}">
              <a16:creationId xmlns:a16="http://schemas.microsoft.com/office/drawing/2014/main" id="{90C3B6A7-9628-4964-B63B-F030775CB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80</xdr:col>
      <xdr:colOff>347134</xdr:colOff>
      <xdr:row>7</xdr:row>
      <xdr:rowOff>182033</xdr:rowOff>
    </xdr:from>
    <xdr:to>
      <xdr:col>88</xdr:col>
      <xdr:colOff>42334</xdr:colOff>
      <xdr:row>22</xdr:row>
      <xdr:rowOff>131233</xdr:rowOff>
    </xdr:to>
    <xdr:graphicFrame macro="">
      <xdr:nvGraphicFramePr>
        <xdr:cNvPr id="4" name="Chart 3">
          <a:extLst>
            <a:ext uri="{FF2B5EF4-FFF2-40B4-BE49-F238E27FC236}">
              <a16:creationId xmlns:a16="http://schemas.microsoft.com/office/drawing/2014/main" id="{7D0D81F0-6642-41EB-80E2-8098B1B16B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80</xdr:col>
      <xdr:colOff>406400</xdr:colOff>
      <xdr:row>24</xdr:row>
      <xdr:rowOff>33867</xdr:rowOff>
    </xdr:from>
    <xdr:to>
      <xdr:col>88</xdr:col>
      <xdr:colOff>67733</xdr:colOff>
      <xdr:row>40</xdr:row>
      <xdr:rowOff>67733</xdr:rowOff>
    </xdr:to>
    <xdr:graphicFrame macro="">
      <xdr:nvGraphicFramePr>
        <xdr:cNvPr id="3" name="Chart 2">
          <a:extLst>
            <a:ext uri="{FF2B5EF4-FFF2-40B4-BE49-F238E27FC236}">
              <a16:creationId xmlns:a16="http://schemas.microsoft.com/office/drawing/2014/main" id="{0F41A3EE-B74C-490E-819E-4320B3841A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254000</xdr:colOff>
      <xdr:row>16</xdr:row>
      <xdr:rowOff>469900</xdr:rowOff>
    </xdr:from>
    <xdr:to>
      <xdr:col>1</xdr:col>
      <xdr:colOff>558800</xdr:colOff>
      <xdr:row>18</xdr:row>
      <xdr:rowOff>114300</xdr:rowOff>
    </xdr:to>
    <xdr:sp macro="" textlink="">
      <xdr:nvSpPr>
        <xdr:cNvPr id="8193" name="AutoShape 1">
          <a:extLst>
            <a:ext uri="{FF2B5EF4-FFF2-40B4-BE49-F238E27FC236}">
              <a16:creationId xmlns:a16="http://schemas.microsoft.com/office/drawing/2014/main" id="{AD46A1FC-D414-4778-83E0-C3DD0C149AD8}"/>
            </a:ext>
          </a:extLst>
        </xdr:cNvPr>
        <xdr:cNvSpPr>
          <a:spLocks noChangeAspect="1" noChangeArrowheads="1"/>
        </xdr:cNvSpPr>
      </xdr:nvSpPr>
      <xdr:spPr bwMode="auto">
        <a:xfrm>
          <a:off x="9124950" y="604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19050</xdr:colOff>
      <xdr:row>8</xdr:row>
      <xdr:rowOff>685800</xdr:rowOff>
    </xdr:from>
    <xdr:to>
      <xdr:col>0</xdr:col>
      <xdr:colOff>323850</xdr:colOff>
      <xdr:row>9</xdr:row>
      <xdr:rowOff>34925</xdr:rowOff>
    </xdr:to>
    <xdr:sp macro="" textlink="">
      <xdr:nvSpPr>
        <xdr:cNvPr id="8195" name="AutoShape 3">
          <a:extLst>
            <a:ext uri="{FF2B5EF4-FFF2-40B4-BE49-F238E27FC236}">
              <a16:creationId xmlns:a16="http://schemas.microsoft.com/office/drawing/2014/main" id="{431FBC44-3EF9-41F3-9D0E-B3648BE0E7CB}"/>
            </a:ext>
          </a:extLst>
        </xdr:cNvPr>
        <xdr:cNvSpPr>
          <a:spLocks noChangeAspect="1" noChangeArrowheads="1"/>
        </xdr:cNvSpPr>
      </xdr:nvSpPr>
      <xdr:spPr bwMode="auto">
        <a:xfrm>
          <a:off x="19050" y="36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xdr:row>
      <xdr:rowOff>0</xdr:rowOff>
    </xdr:from>
    <xdr:to>
      <xdr:col>1</xdr:col>
      <xdr:colOff>304800</xdr:colOff>
      <xdr:row>8</xdr:row>
      <xdr:rowOff>85725</xdr:rowOff>
    </xdr:to>
    <xdr:sp macro="" textlink="">
      <xdr:nvSpPr>
        <xdr:cNvPr id="8196" name="AutoShape 4">
          <a:extLst>
            <a:ext uri="{FF2B5EF4-FFF2-40B4-BE49-F238E27FC236}">
              <a16:creationId xmlns:a16="http://schemas.microsoft.com/office/drawing/2014/main" id="{7BA39B98-DEF6-47B7-8E7E-506B2C38F4CB}"/>
            </a:ext>
          </a:extLst>
        </xdr:cNvPr>
        <xdr:cNvSpPr>
          <a:spLocks noChangeAspect="1" noChangeArrowheads="1"/>
        </xdr:cNvSpPr>
      </xdr:nvSpPr>
      <xdr:spPr bwMode="auto">
        <a:xfrm>
          <a:off x="8870950" y="22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5950212</xdr:colOff>
      <xdr:row>6</xdr:row>
      <xdr:rowOff>605755</xdr:rowOff>
    </xdr:to>
    <xdr:pic>
      <xdr:nvPicPr>
        <xdr:cNvPr id="22" name="Picture 21">
          <a:extLst>
            <a:ext uri="{FF2B5EF4-FFF2-40B4-BE49-F238E27FC236}">
              <a16:creationId xmlns:a16="http://schemas.microsoft.com/office/drawing/2014/main" id="{2B2083EC-870E-4512-80FD-9E810DF48160}"/>
            </a:ext>
          </a:extLst>
        </xdr:cNvPr>
        <xdr:cNvPicPr>
          <a:picLocks noChangeAspect="1"/>
        </xdr:cNvPicPr>
      </xdr:nvPicPr>
      <xdr:blipFill>
        <a:blip xmlns:r="http://schemas.openxmlformats.org/officeDocument/2006/relationships" r:embed="rId1"/>
        <a:stretch>
          <a:fillRect/>
        </a:stretch>
      </xdr:blipFill>
      <xdr:spPr>
        <a:xfrm>
          <a:off x="5705475" y="190500"/>
          <a:ext cx="5950212" cy="3987130"/>
        </a:xfrm>
        <a:prstGeom prst="rect">
          <a:avLst/>
        </a:prstGeom>
      </xdr:spPr>
    </xdr:pic>
    <xdr:clientData/>
  </xdr:twoCellAnchor>
  <xdr:twoCellAnchor editAs="oneCell">
    <xdr:from>
      <xdr:col>1</xdr:col>
      <xdr:colOff>142875</xdr:colOff>
      <xdr:row>9</xdr:row>
      <xdr:rowOff>47625</xdr:rowOff>
    </xdr:from>
    <xdr:to>
      <xdr:col>2</xdr:col>
      <xdr:colOff>47380</xdr:colOff>
      <xdr:row>12</xdr:row>
      <xdr:rowOff>1233605</xdr:rowOff>
    </xdr:to>
    <xdr:pic>
      <xdr:nvPicPr>
        <xdr:cNvPr id="24" name="Picture 23">
          <a:extLst>
            <a:ext uri="{FF2B5EF4-FFF2-40B4-BE49-F238E27FC236}">
              <a16:creationId xmlns:a16="http://schemas.microsoft.com/office/drawing/2014/main" id="{F9D17F18-C83D-47B2-BC97-2B6ED47A7773}"/>
            </a:ext>
          </a:extLst>
        </xdr:cNvPr>
        <xdr:cNvPicPr>
          <a:picLocks noChangeAspect="1"/>
        </xdr:cNvPicPr>
      </xdr:nvPicPr>
      <xdr:blipFill>
        <a:blip xmlns:r="http://schemas.openxmlformats.org/officeDocument/2006/relationships" r:embed="rId2"/>
        <a:stretch>
          <a:fillRect/>
        </a:stretch>
      </xdr:blipFill>
      <xdr:spPr>
        <a:xfrm>
          <a:off x="5848350" y="5743575"/>
          <a:ext cx="5962405" cy="3548180"/>
        </a:xfrm>
        <a:prstGeom prst="rect">
          <a:avLst/>
        </a:prstGeom>
      </xdr:spPr>
    </xdr:pic>
    <xdr:clientData/>
  </xdr:twoCellAnchor>
  <xdr:twoCellAnchor editAs="oneCell">
    <xdr:from>
      <xdr:col>1</xdr:col>
      <xdr:colOff>171450</xdr:colOff>
      <xdr:row>12</xdr:row>
      <xdr:rowOff>1343025</xdr:rowOff>
    </xdr:from>
    <xdr:to>
      <xdr:col>2</xdr:col>
      <xdr:colOff>75955</xdr:colOff>
      <xdr:row>14</xdr:row>
      <xdr:rowOff>1136275</xdr:rowOff>
    </xdr:to>
    <xdr:pic>
      <xdr:nvPicPr>
        <xdr:cNvPr id="26" name="Picture 25">
          <a:extLst>
            <a:ext uri="{FF2B5EF4-FFF2-40B4-BE49-F238E27FC236}">
              <a16:creationId xmlns:a16="http://schemas.microsoft.com/office/drawing/2014/main" id="{1ABB092C-CA9E-4FD2-93DC-333663AA03B7}"/>
            </a:ext>
          </a:extLst>
        </xdr:cNvPr>
        <xdr:cNvPicPr>
          <a:picLocks noChangeAspect="1"/>
        </xdr:cNvPicPr>
      </xdr:nvPicPr>
      <xdr:blipFill>
        <a:blip xmlns:r="http://schemas.openxmlformats.org/officeDocument/2006/relationships" r:embed="rId3"/>
        <a:stretch>
          <a:fillRect/>
        </a:stretch>
      </xdr:blipFill>
      <xdr:spPr>
        <a:xfrm>
          <a:off x="5876925" y="9401175"/>
          <a:ext cx="5962405" cy="1536325"/>
        </a:xfrm>
        <a:prstGeom prst="rect">
          <a:avLst/>
        </a:prstGeom>
      </xdr:spPr>
    </xdr:pic>
    <xdr:clientData/>
  </xdr:twoCellAnchor>
  <xdr:twoCellAnchor editAs="oneCell">
    <xdr:from>
      <xdr:col>1</xdr:col>
      <xdr:colOff>180975</xdr:colOff>
      <xdr:row>15</xdr:row>
      <xdr:rowOff>28575</xdr:rowOff>
    </xdr:from>
    <xdr:to>
      <xdr:col>2</xdr:col>
      <xdr:colOff>85480</xdr:colOff>
      <xdr:row>28</xdr:row>
      <xdr:rowOff>75009</xdr:rowOff>
    </xdr:to>
    <xdr:pic>
      <xdr:nvPicPr>
        <xdr:cNvPr id="28" name="Picture 27">
          <a:extLst>
            <a:ext uri="{FF2B5EF4-FFF2-40B4-BE49-F238E27FC236}">
              <a16:creationId xmlns:a16="http://schemas.microsoft.com/office/drawing/2014/main" id="{4A438853-8F2E-4D38-9D2A-369BF7EE845B}"/>
            </a:ext>
          </a:extLst>
        </xdr:cNvPr>
        <xdr:cNvPicPr>
          <a:picLocks noChangeAspect="1"/>
        </xdr:cNvPicPr>
      </xdr:nvPicPr>
      <xdr:blipFill>
        <a:blip xmlns:r="http://schemas.openxmlformats.org/officeDocument/2006/relationships" r:embed="rId4"/>
        <a:stretch>
          <a:fillRect/>
        </a:stretch>
      </xdr:blipFill>
      <xdr:spPr>
        <a:xfrm>
          <a:off x="5886450" y="11839575"/>
          <a:ext cx="5962405" cy="38469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76200</xdr:colOff>
      <xdr:row>2</xdr:row>
      <xdr:rowOff>19050</xdr:rowOff>
    </xdr:from>
    <xdr:to>
      <xdr:col>10</xdr:col>
      <xdr:colOff>609599</xdr:colOff>
      <xdr:row>14</xdr:row>
      <xdr:rowOff>184149</xdr:rowOff>
    </xdr:to>
    <xdr:graphicFrame macro="">
      <xdr:nvGraphicFramePr>
        <xdr:cNvPr id="10" name="Chart 6">
          <a:extLst>
            <a:ext uri="{FF2B5EF4-FFF2-40B4-BE49-F238E27FC236}">
              <a16:creationId xmlns:a16="http://schemas.microsoft.com/office/drawing/2014/main" id="{27603C7F-07FB-42C7-8928-BC8B13F02930}"/>
            </a:ext>
            <a:ext uri="{147F2762-F138-4A5C-976F-8EAC2B608ADB}">
              <a16:predDERef xmlns:a16="http://schemas.microsoft.com/office/drawing/2014/main" pred="{90AD0564-5F1E-423D-9119-FA41B9A46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88900</xdr:colOff>
      <xdr:row>17</xdr:row>
      <xdr:rowOff>12700</xdr:rowOff>
    </xdr:from>
    <xdr:to>
      <xdr:col>10</xdr:col>
      <xdr:colOff>584200</xdr:colOff>
      <xdr:row>34</xdr:row>
      <xdr:rowOff>0</xdr:rowOff>
    </xdr:to>
    <xdr:graphicFrame macro="">
      <xdr:nvGraphicFramePr>
        <xdr:cNvPr id="11" name="Chart 11">
          <a:extLst>
            <a:ext uri="{FF2B5EF4-FFF2-40B4-BE49-F238E27FC236}">
              <a16:creationId xmlns:a16="http://schemas.microsoft.com/office/drawing/2014/main" id="{3EA823A4-67FE-412F-BE06-F987D6E1BC68}"/>
            </a:ext>
            <a:ext uri="{147F2762-F138-4A5C-976F-8EAC2B608ADB}">
              <a16:predDERef xmlns:a16="http://schemas.microsoft.com/office/drawing/2014/main" pred="{4C98A7FE-39AD-4118-8167-9D4A60E11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107950</xdr:colOff>
      <xdr:row>41</xdr:row>
      <xdr:rowOff>6350</xdr:rowOff>
    </xdr:from>
    <xdr:to>
      <xdr:col>11</xdr:col>
      <xdr:colOff>6350</xdr:colOff>
      <xdr:row>57</xdr:row>
      <xdr:rowOff>177800</xdr:rowOff>
    </xdr:to>
    <xdr:graphicFrame macro="">
      <xdr:nvGraphicFramePr>
        <xdr:cNvPr id="12" name="Chart 11">
          <a:extLst>
            <a:ext uri="{FF2B5EF4-FFF2-40B4-BE49-F238E27FC236}">
              <a16:creationId xmlns:a16="http://schemas.microsoft.com/office/drawing/2014/main" id="{25345A61-9496-456E-9A61-91AA1B4FE007}"/>
            </a:ext>
            <a:ext uri="{147F2762-F138-4A5C-976F-8EAC2B608ADB}">
              <a16:predDERef xmlns:a16="http://schemas.microsoft.com/office/drawing/2014/main" pred="{F17B71EA-3AF6-4128-AF96-88D8C7A68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69850</xdr:colOff>
      <xdr:row>67</xdr:row>
      <xdr:rowOff>9525</xdr:rowOff>
    </xdr:from>
    <xdr:to>
      <xdr:col>10</xdr:col>
      <xdr:colOff>584200</xdr:colOff>
      <xdr:row>81</xdr:row>
      <xdr:rowOff>0</xdr:rowOff>
    </xdr:to>
    <xdr:graphicFrame macro="">
      <xdr:nvGraphicFramePr>
        <xdr:cNvPr id="13" name="Chart 16">
          <a:extLst>
            <a:ext uri="{FF2B5EF4-FFF2-40B4-BE49-F238E27FC236}">
              <a16:creationId xmlns:a16="http://schemas.microsoft.com/office/drawing/2014/main" id="{1578E9E7-E14C-43B8-AB63-14237EBD2D2E}"/>
            </a:ext>
            <a:ext uri="{147F2762-F138-4A5C-976F-8EAC2B608ADB}">
              <a16:predDERef xmlns:a16="http://schemas.microsoft.com/office/drawing/2014/main" pred="{DD304526-66F2-430F-AAC2-44CB497B8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19050</xdr:colOff>
      <xdr:row>2</xdr:row>
      <xdr:rowOff>6350</xdr:rowOff>
    </xdr:from>
    <xdr:to>
      <xdr:col>17</xdr:col>
      <xdr:colOff>565150</xdr:colOff>
      <xdr:row>17</xdr:row>
      <xdr:rowOff>6350</xdr:rowOff>
    </xdr:to>
    <xdr:graphicFrame macro="">
      <xdr:nvGraphicFramePr>
        <xdr:cNvPr id="22" name="Chart 6">
          <a:extLst>
            <a:ext uri="{FF2B5EF4-FFF2-40B4-BE49-F238E27FC236}">
              <a16:creationId xmlns:a16="http://schemas.microsoft.com/office/drawing/2014/main" id="{585A0F35-339B-4BB2-929C-6EFE958E280A}"/>
            </a:ext>
            <a:ext uri="{147F2762-F138-4A5C-976F-8EAC2B608ADB}">
              <a16:predDERef xmlns:a16="http://schemas.microsoft.com/office/drawing/2014/main" pred="{90AD0564-5F1E-423D-9119-FA41B9A46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18</xdr:row>
      <xdr:rowOff>6350</xdr:rowOff>
    </xdr:from>
    <xdr:to>
      <xdr:col>17</xdr:col>
      <xdr:colOff>581025</xdr:colOff>
      <xdr:row>33</xdr:row>
      <xdr:rowOff>171450</xdr:rowOff>
    </xdr:to>
    <xdr:graphicFrame macro="">
      <xdr:nvGraphicFramePr>
        <xdr:cNvPr id="23" name="Chart 11">
          <a:extLst>
            <a:ext uri="{FF2B5EF4-FFF2-40B4-BE49-F238E27FC236}">
              <a16:creationId xmlns:a16="http://schemas.microsoft.com/office/drawing/2014/main" id="{1353E906-610A-4B03-8F7A-3609252F8AAF}"/>
            </a:ext>
            <a:ext uri="{147F2762-F138-4A5C-976F-8EAC2B608ADB}">
              <a16:predDERef xmlns:a16="http://schemas.microsoft.com/office/drawing/2014/main" pred="{4C98A7FE-39AD-4118-8167-9D4A60E11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6350</xdr:colOff>
      <xdr:row>35</xdr:row>
      <xdr:rowOff>12700</xdr:rowOff>
    </xdr:from>
    <xdr:to>
      <xdr:col>17</xdr:col>
      <xdr:colOff>552450</xdr:colOff>
      <xdr:row>50</xdr:row>
      <xdr:rowOff>107950</xdr:rowOff>
    </xdr:to>
    <xdr:graphicFrame macro="">
      <xdr:nvGraphicFramePr>
        <xdr:cNvPr id="24" name="Chart 23">
          <a:extLst>
            <a:ext uri="{FF2B5EF4-FFF2-40B4-BE49-F238E27FC236}">
              <a16:creationId xmlns:a16="http://schemas.microsoft.com/office/drawing/2014/main" id="{AA3BD3D7-AE27-48C1-A0CD-CFD2143D9837}"/>
            </a:ext>
            <a:ext uri="{147F2762-F138-4A5C-976F-8EAC2B608ADB}">
              <a16:predDERef xmlns:a16="http://schemas.microsoft.com/office/drawing/2014/main" pred="{F17B71EA-3AF6-4128-AF96-88D8C7A68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19050</xdr:colOff>
      <xdr:row>51</xdr:row>
      <xdr:rowOff>38100</xdr:rowOff>
    </xdr:from>
    <xdr:to>
      <xdr:col>17</xdr:col>
      <xdr:colOff>552450</xdr:colOff>
      <xdr:row>65</xdr:row>
      <xdr:rowOff>120650</xdr:rowOff>
    </xdr:to>
    <xdr:graphicFrame macro="">
      <xdr:nvGraphicFramePr>
        <xdr:cNvPr id="25" name="Chart 16">
          <a:extLst>
            <a:ext uri="{FF2B5EF4-FFF2-40B4-BE49-F238E27FC236}">
              <a16:creationId xmlns:a16="http://schemas.microsoft.com/office/drawing/2014/main" id="{3723A749-6AAE-40FA-A4E2-54B4A836DFE7}"/>
            </a:ext>
            <a:ext uri="{147F2762-F138-4A5C-976F-8EAC2B608ADB}">
              <a16:predDERef xmlns:a16="http://schemas.microsoft.com/office/drawing/2014/main" pred="{DD304526-66F2-430F-AAC2-44CB497B8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31750</xdr:colOff>
      <xdr:row>7</xdr:row>
      <xdr:rowOff>95250</xdr:rowOff>
    </xdr:from>
    <xdr:to>
      <xdr:col>26</xdr:col>
      <xdr:colOff>133350</xdr:colOff>
      <xdr:row>23</xdr:row>
      <xdr:rowOff>107950</xdr:rowOff>
    </xdr:to>
    <xdr:graphicFrame macro="">
      <xdr:nvGraphicFramePr>
        <xdr:cNvPr id="14" name="Chart 6">
          <a:extLst>
            <a:ext uri="{FF2B5EF4-FFF2-40B4-BE49-F238E27FC236}">
              <a16:creationId xmlns:a16="http://schemas.microsoft.com/office/drawing/2014/main" id="{8C02A940-4063-4EC8-A183-FAAA5E047BA0}"/>
            </a:ext>
            <a:ext uri="{147F2762-F138-4A5C-976F-8EAC2B608ADB}">
              <a16:predDERef xmlns:a16="http://schemas.microsoft.com/office/drawing/2014/main" pred="{90AD0564-5F1E-423D-9119-FA41B9A46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625475</xdr:colOff>
      <xdr:row>18</xdr:row>
      <xdr:rowOff>95250</xdr:rowOff>
    </xdr:from>
    <xdr:to>
      <xdr:col>34</xdr:col>
      <xdr:colOff>266700</xdr:colOff>
      <xdr:row>32</xdr:row>
      <xdr:rowOff>50800</xdr:rowOff>
    </xdr:to>
    <xdr:graphicFrame macro="">
      <xdr:nvGraphicFramePr>
        <xdr:cNvPr id="3" name="Chart 10">
          <a:extLst>
            <a:ext uri="{FF2B5EF4-FFF2-40B4-BE49-F238E27FC236}">
              <a16:creationId xmlns:a16="http://schemas.microsoft.com/office/drawing/2014/main" id="{2475770B-527B-4EDC-8FF1-00D788597455}"/>
            </a:ext>
            <a:ext uri="{147F2762-F138-4A5C-976F-8EAC2B608ADB}">
              <a16:predDERef xmlns:a16="http://schemas.microsoft.com/office/drawing/2014/main" pred="{8C02A940-4063-4EC8-A183-FAAA5E047B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552450</xdr:colOff>
      <xdr:row>18</xdr:row>
      <xdr:rowOff>95250</xdr:rowOff>
    </xdr:from>
    <xdr:to>
      <xdr:col>30</xdr:col>
      <xdr:colOff>565150</xdr:colOff>
      <xdr:row>32</xdr:row>
      <xdr:rowOff>25400</xdr:rowOff>
    </xdr:to>
    <xdr:graphicFrame macro="">
      <xdr:nvGraphicFramePr>
        <xdr:cNvPr id="15" name="Chart 10">
          <a:extLst>
            <a:ext uri="{FF2B5EF4-FFF2-40B4-BE49-F238E27FC236}">
              <a16:creationId xmlns:a16="http://schemas.microsoft.com/office/drawing/2014/main" id="{43863048-1814-495E-BB46-5686CC5BC274}"/>
            </a:ext>
            <a:ext uri="{147F2762-F138-4A5C-976F-8EAC2B608ADB}">
              <a16:predDERef xmlns:a16="http://schemas.microsoft.com/office/drawing/2014/main" pred="{8C02A940-4063-4EC8-A183-FAAA5E047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34</xdr:col>
      <xdr:colOff>298450</xdr:colOff>
      <xdr:row>18</xdr:row>
      <xdr:rowOff>95250</xdr:rowOff>
    </xdr:from>
    <xdr:to>
      <xdr:col>38</xdr:col>
      <xdr:colOff>244475</xdr:colOff>
      <xdr:row>32</xdr:row>
      <xdr:rowOff>50800</xdr:rowOff>
    </xdr:to>
    <xdr:graphicFrame macro="">
      <xdr:nvGraphicFramePr>
        <xdr:cNvPr id="16" name="Chart 10">
          <a:extLst>
            <a:ext uri="{FF2B5EF4-FFF2-40B4-BE49-F238E27FC236}">
              <a16:creationId xmlns:a16="http://schemas.microsoft.com/office/drawing/2014/main" id="{07F31346-E9C3-46E0-9DDB-D059C7BABC19}"/>
            </a:ext>
            <a:ext uri="{147F2762-F138-4A5C-976F-8EAC2B608ADB}">
              <a16:predDERef xmlns:a16="http://schemas.microsoft.com/office/drawing/2014/main" pred="{8C02A940-4063-4EC8-A183-FAAA5E047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38</xdr:col>
      <xdr:colOff>273050</xdr:colOff>
      <xdr:row>18</xdr:row>
      <xdr:rowOff>95250</xdr:rowOff>
    </xdr:from>
    <xdr:to>
      <xdr:col>42</xdr:col>
      <xdr:colOff>498475</xdr:colOff>
      <xdr:row>32</xdr:row>
      <xdr:rowOff>50800</xdr:rowOff>
    </xdr:to>
    <xdr:graphicFrame macro="">
      <xdr:nvGraphicFramePr>
        <xdr:cNvPr id="17" name="Chart 10">
          <a:extLst>
            <a:ext uri="{FF2B5EF4-FFF2-40B4-BE49-F238E27FC236}">
              <a16:creationId xmlns:a16="http://schemas.microsoft.com/office/drawing/2014/main" id="{503121E0-E2F7-46E3-8045-A0EFAE10C237}"/>
            </a:ext>
            <a:ext uri="{147F2762-F138-4A5C-976F-8EAC2B608ADB}">
              <a16:predDERef xmlns:a16="http://schemas.microsoft.com/office/drawing/2014/main" pred="{8C02A940-4063-4EC8-A183-FAAA5E047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412750</xdr:colOff>
      <xdr:row>0</xdr:row>
      <xdr:rowOff>82550</xdr:rowOff>
    </xdr:from>
    <xdr:to>
      <xdr:col>12</xdr:col>
      <xdr:colOff>552450</xdr:colOff>
      <xdr:row>22</xdr:row>
      <xdr:rowOff>152400</xdr:rowOff>
    </xdr:to>
    <xdr:graphicFrame macro="">
      <xdr:nvGraphicFramePr>
        <xdr:cNvPr id="2" name="Chart 1">
          <a:extLst>
            <a:ext uri="{FF2B5EF4-FFF2-40B4-BE49-F238E27FC236}">
              <a16:creationId xmlns:a16="http://schemas.microsoft.com/office/drawing/2014/main" id="{71EEFF0C-0E13-422D-BB02-83789C563C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101600</xdr:colOff>
      <xdr:row>1039</xdr:row>
      <xdr:rowOff>88900</xdr:rowOff>
    </xdr:from>
    <xdr:to>
      <xdr:col>35</xdr:col>
      <xdr:colOff>603250</xdr:colOff>
      <xdr:row>1067</xdr:row>
      <xdr:rowOff>50800</xdr:rowOff>
    </xdr:to>
    <xdr:graphicFrame macro="">
      <xdr:nvGraphicFramePr>
        <xdr:cNvPr id="2" name="Chart 1">
          <a:extLst>
            <a:ext uri="{FF2B5EF4-FFF2-40B4-BE49-F238E27FC236}">
              <a16:creationId xmlns:a16="http://schemas.microsoft.com/office/drawing/2014/main" id="{1CAF4686-BF46-44AE-A5B5-AF60C088BC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19050</xdr:colOff>
      <xdr:row>1</xdr:row>
      <xdr:rowOff>0</xdr:rowOff>
    </xdr:from>
    <xdr:to>
      <xdr:col>10</xdr:col>
      <xdr:colOff>714375</xdr:colOff>
      <xdr:row>15</xdr:row>
      <xdr:rowOff>161925</xdr:rowOff>
    </xdr:to>
    <xdr:graphicFrame macro="">
      <xdr:nvGraphicFramePr>
        <xdr:cNvPr id="2" name="Chart 1">
          <a:extLst>
            <a:ext uri="{FF2B5EF4-FFF2-40B4-BE49-F238E27FC236}">
              <a16:creationId xmlns:a16="http://schemas.microsoft.com/office/drawing/2014/main" id="{66997CF9-FC5A-48C6-9D20-E8AE5F8338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32</xdr:row>
      <xdr:rowOff>38100</xdr:rowOff>
    </xdr:from>
    <xdr:to>
      <xdr:col>10</xdr:col>
      <xdr:colOff>723900</xdr:colOff>
      <xdr:row>50</xdr:row>
      <xdr:rowOff>85725</xdr:rowOff>
    </xdr:to>
    <xdr:graphicFrame macro="">
      <xdr:nvGraphicFramePr>
        <xdr:cNvPr id="3" name="Chart 2">
          <a:extLst>
            <a:ext uri="{FF2B5EF4-FFF2-40B4-BE49-F238E27FC236}">
              <a16:creationId xmlns:a16="http://schemas.microsoft.com/office/drawing/2014/main" id="{5E150013-8C60-4138-8B29-2D191D118B1A}"/>
            </a:ext>
            <a:ext uri="{147F2762-F138-4A5C-976F-8EAC2B608ADB}">
              <a16:predDERef xmlns:a16="http://schemas.microsoft.com/office/drawing/2014/main" pred="{66997CF9-FC5A-48C6-9D20-E8AE5F833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19050</xdr:colOff>
      <xdr:row>51</xdr:row>
      <xdr:rowOff>9525</xdr:rowOff>
    </xdr:from>
    <xdr:to>
      <xdr:col>10</xdr:col>
      <xdr:colOff>714375</xdr:colOff>
      <xdr:row>69</xdr:row>
      <xdr:rowOff>171450</xdr:rowOff>
    </xdr:to>
    <xdr:graphicFrame macro="">
      <xdr:nvGraphicFramePr>
        <xdr:cNvPr id="4" name="Chart 3">
          <a:extLst>
            <a:ext uri="{FF2B5EF4-FFF2-40B4-BE49-F238E27FC236}">
              <a16:creationId xmlns:a16="http://schemas.microsoft.com/office/drawing/2014/main" id="{907EBB10-F011-41D1-9B7C-515D3E99FBB2}"/>
            </a:ext>
            <a:ext uri="{147F2762-F138-4A5C-976F-8EAC2B608ADB}">
              <a16:predDERef xmlns:a16="http://schemas.microsoft.com/office/drawing/2014/main" pred="{5E150013-8C60-4138-8B29-2D191D118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19050</xdr:colOff>
      <xdr:row>70</xdr:row>
      <xdr:rowOff>76200</xdr:rowOff>
    </xdr:from>
    <xdr:to>
      <xdr:col>10</xdr:col>
      <xdr:colOff>714375</xdr:colOff>
      <xdr:row>88</xdr:row>
      <xdr:rowOff>85725</xdr:rowOff>
    </xdr:to>
    <xdr:graphicFrame macro="">
      <xdr:nvGraphicFramePr>
        <xdr:cNvPr id="5" name="Chart 4">
          <a:extLst>
            <a:ext uri="{FF2B5EF4-FFF2-40B4-BE49-F238E27FC236}">
              <a16:creationId xmlns:a16="http://schemas.microsoft.com/office/drawing/2014/main" id="{40B2D37D-1918-406C-AD8C-E5D44043122C}"/>
            </a:ext>
            <a:ext uri="{147F2762-F138-4A5C-976F-8EAC2B608ADB}">
              <a16:predDERef xmlns:a16="http://schemas.microsoft.com/office/drawing/2014/main" pred="{907EBB10-F011-41D1-9B7C-515D3E99F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38100</xdr:colOff>
      <xdr:row>1</xdr:row>
      <xdr:rowOff>9525</xdr:rowOff>
    </xdr:from>
    <xdr:to>
      <xdr:col>16</xdr:col>
      <xdr:colOff>571500</xdr:colOff>
      <xdr:row>15</xdr:row>
      <xdr:rowOff>123825</xdr:rowOff>
    </xdr:to>
    <xdr:graphicFrame macro="">
      <xdr:nvGraphicFramePr>
        <xdr:cNvPr id="6" name="Chart 5">
          <a:extLst>
            <a:ext uri="{FF2B5EF4-FFF2-40B4-BE49-F238E27FC236}">
              <a16:creationId xmlns:a16="http://schemas.microsoft.com/office/drawing/2014/main" id="{94ACBB19-9131-4C4E-B1EB-BEF3734D8B7A}"/>
            </a:ext>
            <a:ext uri="{147F2762-F138-4A5C-976F-8EAC2B608ADB}">
              <a16:predDERef xmlns:a16="http://schemas.microsoft.com/office/drawing/2014/main" pred="{40B2D37D-1918-406C-AD8C-E5D440431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28575</xdr:colOff>
      <xdr:row>1</xdr:row>
      <xdr:rowOff>9525</xdr:rowOff>
    </xdr:from>
    <xdr:to>
      <xdr:col>22</xdr:col>
      <xdr:colOff>581025</xdr:colOff>
      <xdr:row>15</xdr:row>
      <xdr:rowOff>161925</xdr:rowOff>
    </xdr:to>
    <xdr:graphicFrame macro="">
      <xdr:nvGraphicFramePr>
        <xdr:cNvPr id="7" name="Chart 6">
          <a:extLst>
            <a:ext uri="{FF2B5EF4-FFF2-40B4-BE49-F238E27FC236}">
              <a16:creationId xmlns:a16="http://schemas.microsoft.com/office/drawing/2014/main" id="{F2951D25-1538-4EDF-9957-90F8428F859A}"/>
            </a:ext>
            <a:ext uri="{147F2762-F138-4A5C-976F-8EAC2B608ADB}">
              <a16:predDERef xmlns:a16="http://schemas.microsoft.com/office/drawing/2014/main" pred="{94ACBB19-9131-4C4E-B1EB-BEF3734D8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19050</xdr:colOff>
      <xdr:row>1</xdr:row>
      <xdr:rowOff>9525</xdr:rowOff>
    </xdr:from>
    <xdr:to>
      <xdr:col>28</xdr:col>
      <xdr:colOff>581025</xdr:colOff>
      <xdr:row>15</xdr:row>
      <xdr:rowOff>161925</xdr:rowOff>
    </xdr:to>
    <xdr:graphicFrame macro="">
      <xdr:nvGraphicFramePr>
        <xdr:cNvPr id="10" name="Chart 7">
          <a:extLst>
            <a:ext uri="{FF2B5EF4-FFF2-40B4-BE49-F238E27FC236}">
              <a16:creationId xmlns:a16="http://schemas.microsoft.com/office/drawing/2014/main" id="{DD62D4CD-8B81-433A-A5CD-DC858123CFF2}"/>
            </a:ext>
            <a:ext uri="{147F2762-F138-4A5C-976F-8EAC2B608ADB}">
              <a16:predDERef xmlns:a16="http://schemas.microsoft.com/office/drawing/2014/main" pred="{F2951D25-1538-4EDF-9957-90F8428F8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514351</xdr:colOff>
      <xdr:row>16</xdr:row>
      <xdr:rowOff>95251</xdr:rowOff>
    </xdr:from>
    <xdr:to>
      <xdr:col>10</xdr:col>
      <xdr:colOff>38100</xdr:colOff>
      <xdr:row>30</xdr:row>
      <xdr:rowOff>158751</xdr:rowOff>
    </xdr:to>
    <xdr:graphicFrame macro="">
      <xdr:nvGraphicFramePr>
        <xdr:cNvPr id="12" name="Chart 8">
          <a:extLst>
            <a:ext uri="{FF2B5EF4-FFF2-40B4-BE49-F238E27FC236}">
              <a16:creationId xmlns:a16="http://schemas.microsoft.com/office/drawing/2014/main" id="{90AD0564-5F1E-423D-9119-FA41B9A46C6A}"/>
            </a:ext>
            <a:ext uri="{147F2762-F138-4A5C-976F-8EAC2B608ADB}">
              <a16:predDERef xmlns:a16="http://schemas.microsoft.com/office/drawing/2014/main" pred="{DD62D4CD-8B81-433A-A5CD-DC858123CF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47625</xdr:colOff>
      <xdr:row>31</xdr:row>
      <xdr:rowOff>85725</xdr:rowOff>
    </xdr:from>
    <xdr:to>
      <xdr:col>20</xdr:col>
      <xdr:colOff>590550</xdr:colOff>
      <xdr:row>46</xdr:row>
      <xdr:rowOff>161925</xdr:rowOff>
    </xdr:to>
    <xdr:graphicFrame macro="">
      <xdr:nvGraphicFramePr>
        <xdr:cNvPr id="11" name="Chart 6">
          <a:extLst>
            <a:ext uri="{FF2B5EF4-FFF2-40B4-BE49-F238E27FC236}">
              <a16:creationId xmlns:a16="http://schemas.microsoft.com/office/drawing/2014/main" id="{4C98A7FE-39AD-4118-8167-9D4A60E11452}"/>
            </a:ext>
            <a:ext uri="{147F2762-F138-4A5C-976F-8EAC2B608ADB}">
              <a16:predDERef xmlns:a16="http://schemas.microsoft.com/office/drawing/2014/main" pred="{90AD0564-5F1E-423D-9119-FA41B9A46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28575</xdr:colOff>
      <xdr:row>48</xdr:row>
      <xdr:rowOff>0</xdr:rowOff>
    </xdr:from>
    <xdr:to>
      <xdr:col>21</xdr:col>
      <xdr:colOff>0</xdr:colOff>
      <xdr:row>64</xdr:row>
      <xdr:rowOff>171450</xdr:rowOff>
    </xdr:to>
    <xdr:graphicFrame macro="">
      <xdr:nvGraphicFramePr>
        <xdr:cNvPr id="13" name="Chart 11">
          <a:extLst>
            <a:ext uri="{FF2B5EF4-FFF2-40B4-BE49-F238E27FC236}">
              <a16:creationId xmlns:a16="http://schemas.microsoft.com/office/drawing/2014/main" id="{F17B71EA-3AF6-4128-AF96-88D8C7A68F4C}"/>
            </a:ext>
            <a:ext uri="{147F2762-F138-4A5C-976F-8EAC2B608ADB}">
              <a16:predDERef xmlns:a16="http://schemas.microsoft.com/office/drawing/2014/main" pred="{4C98A7FE-39AD-4118-8167-9D4A60E11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70</xdr:row>
      <xdr:rowOff>0</xdr:rowOff>
    </xdr:from>
    <xdr:to>
      <xdr:col>20</xdr:col>
      <xdr:colOff>561975</xdr:colOff>
      <xdr:row>86</xdr:row>
      <xdr:rowOff>171450</xdr:rowOff>
    </xdr:to>
    <xdr:graphicFrame macro="">
      <xdr:nvGraphicFramePr>
        <xdr:cNvPr id="14" name="Chart 13">
          <a:extLst>
            <a:ext uri="{FF2B5EF4-FFF2-40B4-BE49-F238E27FC236}">
              <a16:creationId xmlns:a16="http://schemas.microsoft.com/office/drawing/2014/main" id="{DD304526-66F2-430F-AAC2-44CB497B8B16}"/>
            </a:ext>
            <a:ext uri="{147F2762-F138-4A5C-976F-8EAC2B608ADB}">
              <a16:predDERef xmlns:a16="http://schemas.microsoft.com/office/drawing/2014/main" pred="{F17B71EA-3AF6-4128-AF96-88D8C7A68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96</xdr:row>
      <xdr:rowOff>9525</xdr:rowOff>
    </xdr:from>
    <xdr:to>
      <xdr:col>20</xdr:col>
      <xdr:colOff>590550</xdr:colOff>
      <xdr:row>111</xdr:row>
      <xdr:rowOff>28575</xdr:rowOff>
    </xdr:to>
    <xdr:graphicFrame macro="">
      <xdr:nvGraphicFramePr>
        <xdr:cNvPr id="15" name="Chart 16">
          <a:extLst>
            <a:ext uri="{FF2B5EF4-FFF2-40B4-BE49-F238E27FC236}">
              <a16:creationId xmlns:a16="http://schemas.microsoft.com/office/drawing/2014/main" id="{44DF1AF2-9878-4336-9EFB-B8F93F27667E}"/>
            </a:ext>
            <a:ext uri="{147F2762-F138-4A5C-976F-8EAC2B608ADB}">
              <a16:predDERef xmlns:a16="http://schemas.microsoft.com/office/drawing/2014/main" pred="{DD304526-66F2-430F-AAC2-44CB497B8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88900</xdr:colOff>
      <xdr:row>16</xdr:row>
      <xdr:rowOff>88900</xdr:rowOff>
    </xdr:from>
    <xdr:to>
      <xdr:col>14</xdr:col>
      <xdr:colOff>171450</xdr:colOff>
      <xdr:row>30</xdr:row>
      <xdr:rowOff>161925</xdr:rowOff>
    </xdr:to>
    <xdr:graphicFrame macro="">
      <xdr:nvGraphicFramePr>
        <xdr:cNvPr id="16" name="Chart 8">
          <a:extLst>
            <a:ext uri="{FF2B5EF4-FFF2-40B4-BE49-F238E27FC236}">
              <a16:creationId xmlns:a16="http://schemas.microsoft.com/office/drawing/2014/main" id="{65573021-CCA0-481A-AAA8-43780C1CF273}"/>
            </a:ext>
            <a:ext uri="{147F2762-F138-4A5C-976F-8EAC2B608ADB}">
              <a16:predDERef xmlns:a16="http://schemas.microsoft.com/office/drawing/2014/main" pred="{DD62D4CD-8B81-433A-A5CD-DC858123C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219075</xdr:colOff>
      <xdr:row>16</xdr:row>
      <xdr:rowOff>95250</xdr:rowOff>
    </xdr:from>
    <xdr:to>
      <xdr:col>19</xdr:col>
      <xdr:colOff>47625</xdr:colOff>
      <xdr:row>30</xdr:row>
      <xdr:rowOff>168275</xdr:rowOff>
    </xdr:to>
    <xdr:graphicFrame macro="">
      <xdr:nvGraphicFramePr>
        <xdr:cNvPr id="17" name="Chart 8">
          <a:extLst>
            <a:ext uri="{FF2B5EF4-FFF2-40B4-BE49-F238E27FC236}">
              <a16:creationId xmlns:a16="http://schemas.microsoft.com/office/drawing/2014/main" id="{87B0CE95-FFA2-4AB1-893E-D2C5EADDF9DC}"/>
            </a:ext>
            <a:ext uri="{147F2762-F138-4A5C-976F-8EAC2B608ADB}">
              <a16:predDERef xmlns:a16="http://schemas.microsoft.com/office/drawing/2014/main" pred="{65573021-CCA0-481A-AAA8-43780C1CF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76200</xdr:colOff>
      <xdr:row>16</xdr:row>
      <xdr:rowOff>76200</xdr:rowOff>
    </xdr:from>
    <xdr:to>
      <xdr:col>23</xdr:col>
      <xdr:colOff>514350</xdr:colOff>
      <xdr:row>30</xdr:row>
      <xdr:rowOff>149225</xdr:rowOff>
    </xdr:to>
    <xdr:graphicFrame macro="">
      <xdr:nvGraphicFramePr>
        <xdr:cNvPr id="18" name="Chart 8">
          <a:extLst>
            <a:ext uri="{FF2B5EF4-FFF2-40B4-BE49-F238E27FC236}">
              <a16:creationId xmlns:a16="http://schemas.microsoft.com/office/drawing/2014/main" id="{79C9C3B8-D4D0-4E44-AD5D-6366EE6F20FB}"/>
            </a:ext>
            <a:ext uri="{147F2762-F138-4A5C-976F-8EAC2B608ADB}">
              <a16:predDERef xmlns:a16="http://schemas.microsoft.com/office/drawing/2014/main" pred="{87B0CE95-FFA2-4AB1-893E-D2C5EADDF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533400</xdr:colOff>
      <xdr:row>16</xdr:row>
      <xdr:rowOff>76200</xdr:rowOff>
    </xdr:from>
    <xdr:to>
      <xdr:col>28</xdr:col>
      <xdr:colOff>346075</xdr:colOff>
      <xdr:row>30</xdr:row>
      <xdr:rowOff>149225</xdr:rowOff>
    </xdr:to>
    <xdr:graphicFrame macro="">
      <xdr:nvGraphicFramePr>
        <xdr:cNvPr id="19" name="Chart 8">
          <a:extLst>
            <a:ext uri="{FF2B5EF4-FFF2-40B4-BE49-F238E27FC236}">
              <a16:creationId xmlns:a16="http://schemas.microsoft.com/office/drawing/2014/main" id="{9132ECBC-FD6D-43B7-9A47-E90976AF103B}"/>
            </a:ext>
            <a:ext uri="{147F2762-F138-4A5C-976F-8EAC2B608ADB}">
              <a16:predDERef xmlns:a16="http://schemas.microsoft.com/office/drawing/2014/main" pred="{79C9C3B8-D4D0-4E44-AD5D-6366EE6F2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52</xdr:col>
      <xdr:colOff>31750</xdr:colOff>
      <xdr:row>0</xdr:row>
      <xdr:rowOff>85725</xdr:rowOff>
    </xdr:from>
    <xdr:to>
      <xdr:col>58</xdr:col>
      <xdr:colOff>0</xdr:colOff>
      <xdr:row>14</xdr:row>
      <xdr:rowOff>158750</xdr:rowOff>
    </xdr:to>
    <xdr:graphicFrame macro="">
      <xdr:nvGraphicFramePr>
        <xdr:cNvPr id="8" name="Chart 7">
          <a:extLst>
            <a:ext uri="{FF2B5EF4-FFF2-40B4-BE49-F238E27FC236}">
              <a16:creationId xmlns:a16="http://schemas.microsoft.com/office/drawing/2014/main" id="{56CFB2C6-F07E-4E31-A334-EB8F24725C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58</xdr:col>
      <xdr:colOff>19050</xdr:colOff>
      <xdr:row>0</xdr:row>
      <xdr:rowOff>92075</xdr:rowOff>
    </xdr:from>
    <xdr:to>
      <xdr:col>64</xdr:col>
      <xdr:colOff>279400</xdr:colOff>
      <xdr:row>14</xdr:row>
      <xdr:rowOff>171450</xdr:rowOff>
    </xdr:to>
    <xdr:graphicFrame macro="">
      <xdr:nvGraphicFramePr>
        <xdr:cNvPr id="9" name="Chart 8">
          <a:extLst>
            <a:ext uri="{FF2B5EF4-FFF2-40B4-BE49-F238E27FC236}">
              <a16:creationId xmlns:a16="http://schemas.microsoft.com/office/drawing/2014/main" id="{EF29A44C-0201-4190-BB30-0650F15BC9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64</xdr:col>
      <xdr:colOff>304800</xdr:colOff>
      <xdr:row>0</xdr:row>
      <xdr:rowOff>101600</xdr:rowOff>
    </xdr:from>
    <xdr:to>
      <xdr:col>70</xdr:col>
      <xdr:colOff>25400</xdr:colOff>
      <xdr:row>14</xdr:row>
      <xdr:rowOff>177800</xdr:rowOff>
    </xdr:to>
    <xdr:graphicFrame macro="">
      <xdr:nvGraphicFramePr>
        <xdr:cNvPr id="20" name="Chart 19">
          <a:extLst>
            <a:ext uri="{FF2B5EF4-FFF2-40B4-BE49-F238E27FC236}">
              <a16:creationId xmlns:a16="http://schemas.microsoft.com/office/drawing/2014/main" id="{05C58A30-18DE-4D9F-BEFF-AE6E6954C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58</xdr:col>
      <xdr:colOff>38099</xdr:colOff>
      <xdr:row>16</xdr:row>
      <xdr:rowOff>15875</xdr:rowOff>
    </xdr:from>
    <xdr:to>
      <xdr:col>63</xdr:col>
      <xdr:colOff>495300</xdr:colOff>
      <xdr:row>28</xdr:row>
      <xdr:rowOff>88901</xdr:rowOff>
    </xdr:to>
    <xdr:graphicFrame macro="">
      <xdr:nvGraphicFramePr>
        <xdr:cNvPr id="21" name="Chart 20">
          <a:extLst>
            <a:ext uri="{FF2B5EF4-FFF2-40B4-BE49-F238E27FC236}">
              <a16:creationId xmlns:a16="http://schemas.microsoft.com/office/drawing/2014/main" id="{D43D544B-9812-4070-982D-42317D69B7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241300</xdr:colOff>
      <xdr:row>0</xdr:row>
      <xdr:rowOff>127000</xdr:rowOff>
    </xdr:from>
    <xdr:to>
      <xdr:col>25</xdr:col>
      <xdr:colOff>19050</xdr:colOff>
      <xdr:row>29</xdr:row>
      <xdr:rowOff>0</xdr:rowOff>
    </xdr:to>
    <xdr:graphicFrame macro="">
      <xdr:nvGraphicFramePr>
        <xdr:cNvPr id="2" name="Chart 1">
          <a:extLst>
            <a:ext uri="{FF2B5EF4-FFF2-40B4-BE49-F238E27FC236}">
              <a16:creationId xmlns:a16="http://schemas.microsoft.com/office/drawing/2014/main" id="{6D6035DC-9199-4575-9A26-F462C8B268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41275</xdr:colOff>
      <xdr:row>0</xdr:row>
      <xdr:rowOff>63499</xdr:rowOff>
    </xdr:from>
    <xdr:to>
      <xdr:col>44</xdr:col>
      <xdr:colOff>596900</xdr:colOff>
      <xdr:row>29</xdr:row>
      <xdr:rowOff>104774</xdr:rowOff>
    </xdr:to>
    <xdr:graphicFrame macro="">
      <xdr:nvGraphicFramePr>
        <xdr:cNvPr id="3" name="Chart 2">
          <a:extLst>
            <a:ext uri="{FF2B5EF4-FFF2-40B4-BE49-F238E27FC236}">
              <a16:creationId xmlns:a16="http://schemas.microsoft.com/office/drawing/2014/main" id="{32319205-9F3A-42F5-93E3-90D8874435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148982</xdr:colOff>
      <xdr:row>204</xdr:row>
      <xdr:rowOff>48846</xdr:rowOff>
    </xdr:from>
    <xdr:to>
      <xdr:col>27</xdr:col>
      <xdr:colOff>317500</xdr:colOff>
      <xdr:row>222</xdr:row>
      <xdr:rowOff>111613</xdr:rowOff>
    </xdr:to>
    <xdr:graphicFrame macro="">
      <xdr:nvGraphicFramePr>
        <xdr:cNvPr id="4" name="Chart 3">
          <a:extLst>
            <a:ext uri="{FF2B5EF4-FFF2-40B4-BE49-F238E27FC236}">
              <a16:creationId xmlns:a16="http://schemas.microsoft.com/office/drawing/2014/main" id="{18304F9B-1E99-46B7-BADA-54A5EB6D10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112347</xdr:colOff>
      <xdr:row>63</xdr:row>
      <xdr:rowOff>34193</xdr:rowOff>
    </xdr:from>
    <xdr:to>
      <xdr:col>35</xdr:col>
      <xdr:colOff>412750</xdr:colOff>
      <xdr:row>83</xdr:row>
      <xdr:rowOff>62767</xdr:rowOff>
    </xdr:to>
    <xdr:graphicFrame macro="">
      <xdr:nvGraphicFramePr>
        <xdr:cNvPr id="6" name="Chart 5">
          <a:extLst>
            <a:ext uri="{FF2B5EF4-FFF2-40B4-BE49-F238E27FC236}">
              <a16:creationId xmlns:a16="http://schemas.microsoft.com/office/drawing/2014/main" id="{28D05F41-C25F-4BF4-BE93-768650DAD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101600</xdr:colOff>
      <xdr:row>223</xdr:row>
      <xdr:rowOff>69850</xdr:rowOff>
    </xdr:from>
    <xdr:to>
      <xdr:col>26</xdr:col>
      <xdr:colOff>177800</xdr:colOff>
      <xdr:row>242</xdr:row>
      <xdr:rowOff>133351</xdr:rowOff>
    </xdr:to>
    <xdr:graphicFrame macro="">
      <xdr:nvGraphicFramePr>
        <xdr:cNvPr id="7" name="Chart 6">
          <a:extLst>
            <a:ext uri="{FF2B5EF4-FFF2-40B4-BE49-F238E27FC236}">
              <a16:creationId xmlns:a16="http://schemas.microsoft.com/office/drawing/2014/main" id="{57559FC6-B206-44B7-8B3E-B54F550EE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38</xdr:col>
      <xdr:colOff>41275</xdr:colOff>
      <xdr:row>0</xdr:row>
      <xdr:rowOff>63499</xdr:rowOff>
    </xdr:from>
    <xdr:to>
      <xdr:col>44</xdr:col>
      <xdr:colOff>596900</xdr:colOff>
      <xdr:row>29</xdr:row>
      <xdr:rowOff>104774</xdr:rowOff>
    </xdr:to>
    <xdr:graphicFrame macro="">
      <xdr:nvGraphicFramePr>
        <xdr:cNvPr id="3" name="Chart 2">
          <a:extLst>
            <a:ext uri="{FF2B5EF4-FFF2-40B4-BE49-F238E27FC236}">
              <a16:creationId xmlns:a16="http://schemas.microsoft.com/office/drawing/2014/main" id="{D2630970-7016-4CD3-AEBE-9A8E9ECC91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148982</xdr:colOff>
      <xdr:row>204</xdr:row>
      <xdr:rowOff>48846</xdr:rowOff>
    </xdr:from>
    <xdr:to>
      <xdr:col>27</xdr:col>
      <xdr:colOff>317500</xdr:colOff>
      <xdr:row>222</xdr:row>
      <xdr:rowOff>111613</xdr:rowOff>
    </xdr:to>
    <xdr:graphicFrame macro="">
      <xdr:nvGraphicFramePr>
        <xdr:cNvPr id="4" name="Chart 3">
          <a:extLst>
            <a:ext uri="{FF2B5EF4-FFF2-40B4-BE49-F238E27FC236}">
              <a16:creationId xmlns:a16="http://schemas.microsoft.com/office/drawing/2014/main" id="{B82047BA-53B0-40BF-9FD9-1311ACBE9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112347</xdr:colOff>
      <xdr:row>63</xdr:row>
      <xdr:rowOff>34193</xdr:rowOff>
    </xdr:from>
    <xdr:to>
      <xdr:col>35</xdr:col>
      <xdr:colOff>412750</xdr:colOff>
      <xdr:row>83</xdr:row>
      <xdr:rowOff>62767</xdr:rowOff>
    </xdr:to>
    <xdr:graphicFrame macro="">
      <xdr:nvGraphicFramePr>
        <xdr:cNvPr id="5" name="Chart 4">
          <a:extLst>
            <a:ext uri="{FF2B5EF4-FFF2-40B4-BE49-F238E27FC236}">
              <a16:creationId xmlns:a16="http://schemas.microsoft.com/office/drawing/2014/main" id="{096FBCCA-C5CB-4174-9E58-813FC7934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101600</xdr:colOff>
      <xdr:row>223</xdr:row>
      <xdr:rowOff>69850</xdr:rowOff>
    </xdr:from>
    <xdr:to>
      <xdr:col>26</xdr:col>
      <xdr:colOff>177800</xdr:colOff>
      <xdr:row>242</xdr:row>
      <xdr:rowOff>133351</xdr:rowOff>
    </xdr:to>
    <xdr:graphicFrame macro="">
      <xdr:nvGraphicFramePr>
        <xdr:cNvPr id="6" name="Chart 5">
          <a:extLst>
            <a:ext uri="{FF2B5EF4-FFF2-40B4-BE49-F238E27FC236}">
              <a16:creationId xmlns:a16="http://schemas.microsoft.com/office/drawing/2014/main" id="{883E3287-5664-436F-8D3C-2E6D8270A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50800</xdr:colOff>
      <xdr:row>0</xdr:row>
      <xdr:rowOff>0</xdr:rowOff>
    </xdr:from>
    <xdr:to>
      <xdr:col>21</xdr:col>
      <xdr:colOff>279400</xdr:colOff>
      <xdr:row>14</xdr:row>
      <xdr:rowOff>165100</xdr:rowOff>
    </xdr:to>
    <xdr:graphicFrame macro="">
      <xdr:nvGraphicFramePr>
        <xdr:cNvPr id="7" name="Chart 6">
          <a:extLst>
            <a:ext uri="{FF2B5EF4-FFF2-40B4-BE49-F238E27FC236}">
              <a16:creationId xmlns:a16="http://schemas.microsoft.com/office/drawing/2014/main" id="{AE813B06-0491-4C3E-AB9B-6D6EE89E6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25400</xdr:colOff>
      <xdr:row>16</xdr:row>
      <xdr:rowOff>0</xdr:rowOff>
    </xdr:from>
    <xdr:to>
      <xdr:col>21</xdr:col>
      <xdr:colOff>311150</xdr:colOff>
      <xdr:row>34</xdr:row>
      <xdr:rowOff>171450</xdr:rowOff>
    </xdr:to>
    <xdr:graphicFrame macro="">
      <xdr:nvGraphicFramePr>
        <xdr:cNvPr id="12" name="Chart 11">
          <a:extLst>
            <a:ext uri="{FF2B5EF4-FFF2-40B4-BE49-F238E27FC236}">
              <a16:creationId xmlns:a16="http://schemas.microsoft.com/office/drawing/2014/main" id="{BE32753E-EA11-46D1-B75E-831070F22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38</xdr:row>
      <xdr:rowOff>0</xdr:rowOff>
    </xdr:from>
    <xdr:to>
      <xdr:col>21</xdr:col>
      <xdr:colOff>285750</xdr:colOff>
      <xdr:row>56</xdr:row>
      <xdr:rowOff>171450</xdr:rowOff>
    </xdr:to>
    <xdr:graphicFrame macro="">
      <xdr:nvGraphicFramePr>
        <xdr:cNvPr id="14" name="Chart 13">
          <a:extLst>
            <a:ext uri="{FF2B5EF4-FFF2-40B4-BE49-F238E27FC236}">
              <a16:creationId xmlns:a16="http://schemas.microsoft.com/office/drawing/2014/main" id="{818D3CE6-DA25-414B-9904-B691A0313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64</xdr:row>
      <xdr:rowOff>0</xdr:rowOff>
    </xdr:from>
    <xdr:to>
      <xdr:col>21</xdr:col>
      <xdr:colOff>285750</xdr:colOff>
      <xdr:row>82</xdr:row>
      <xdr:rowOff>171450</xdr:rowOff>
    </xdr:to>
    <xdr:graphicFrame macro="">
      <xdr:nvGraphicFramePr>
        <xdr:cNvPr id="17" name="Chart 16">
          <a:extLst>
            <a:ext uri="{FF2B5EF4-FFF2-40B4-BE49-F238E27FC236}">
              <a16:creationId xmlns:a16="http://schemas.microsoft.com/office/drawing/2014/main" id="{FA72B406-B7C4-404F-B80A-F7303832B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38</xdr:col>
      <xdr:colOff>9525</xdr:colOff>
      <xdr:row>8</xdr:row>
      <xdr:rowOff>22224</xdr:rowOff>
    </xdr:from>
    <xdr:to>
      <xdr:col>44</xdr:col>
      <xdr:colOff>603250</xdr:colOff>
      <xdr:row>23</xdr:row>
      <xdr:rowOff>25399</xdr:rowOff>
    </xdr:to>
    <xdr:graphicFrame macro="">
      <xdr:nvGraphicFramePr>
        <xdr:cNvPr id="2" name="Chart 1">
          <a:extLst>
            <a:ext uri="{FF2B5EF4-FFF2-40B4-BE49-F238E27FC236}">
              <a16:creationId xmlns:a16="http://schemas.microsoft.com/office/drawing/2014/main" id="{7C03DF0C-FB11-48BF-A1D5-1B34D0391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400050</xdr:colOff>
      <xdr:row>8</xdr:row>
      <xdr:rowOff>31750</xdr:rowOff>
    </xdr:from>
    <xdr:to>
      <xdr:col>59</xdr:col>
      <xdr:colOff>542925</xdr:colOff>
      <xdr:row>23</xdr:row>
      <xdr:rowOff>34925</xdr:rowOff>
    </xdr:to>
    <xdr:graphicFrame macro="">
      <xdr:nvGraphicFramePr>
        <xdr:cNvPr id="3" name="Chart 2">
          <a:extLst>
            <a:ext uri="{FF2B5EF4-FFF2-40B4-BE49-F238E27FC236}">
              <a16:creationId xmlns:a16="http://schemas.microsoft.com/office/drawing/2014/main" id="{572FF773-5515-4B91-91FA-88233E641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88900</xdr:colOff>
      <xdr:row>8</xdr:row>
      <xdr:rowOff>12700</xdr:rowOff>
    </xdr:from>
    <xdr:to>
      <xdr:col>52</xdr:col>
      <xdr:colOff>231775</xdr:colOff>
      <xdr:row>23</xdr:row>
      <xdr:rowOff>15875</xdr:rowOff>
    </xdr:to>
    <xdr:graphicFrame macro="">
      <xdr:nvGraphicFramePr>
        <xdr:cNvPr id="4" name="Chart 3">
          <a:extLst>
            <a:ext uri="{FF2B5EF4-FFF2-40B4-BE49-F238E27FC236}">
              <a16:creationId xmlns:a16="http://schemas.microsoft.com/office/drawing/2014/main" id="{D3B6540E-97C1-475A-8619-497EFF065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0</xdr:colOff>
      <xdr:row>8</xdr:row>
      <xdr:rowOff>0</xdr:rowOff>
    </xdr:from>
    <xdr:to>
      <xdr:col>67</xdr:col>
      <xdr:colOff>142875</xdr:colOff>
      <xdr:row>23</xdr:row>
      <xdr:rowOff>3175</xdr:rowOff>
    </xdr:to>
    <xdr:graphicFrame macro="">
      <xdr:nvGraphicFramePr>
        <xdr:cNvPr id="5" name="Chart 4">
          <a:extLst>
            <a:ext uri="{FF2B5EF4-FFF2-40B4-BE49-F238E27FC236}">
              <a16:creationId xmlns:a16="http://schemas.microsoft.com/office/drawing/2014/main" id="{D5478838-A297-4144-8821-468E4A738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68</xdr:col>
      <xdr:colOff>0</xdr:colOff>
      <xdr:row>8</xdr:row>
      <xdr:rowOff>0</xdr:rowOff>
    </xdr:from>
    <xdr:to>
      <xdr:col>75</xdr:col>
      <xdr:colOff>142875</xdr:colOff>
      <xdr:row>23</xdr:row>
      <xdr:rowOff>3175</xdr:rowOff>
    </xdr:to>
    <xdr:graphicFrame macro="">
      <xdr:nvGraphicFramePr>
        <xdr:cNvPr id="6" name="Chart 5">
          <a:extLst>
            <a:ext uri="{FF2B5EF4-FFF2-40B4-BE49-F238E27FC236}">
              <a16:creationId xmlns:a16="http://schemas.microsoft.com/office/drawing/2014/main" id="{72F1071E-3781-448F-B662-F877AE097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53</xdr:col>
      <xdr:colOff>110067</xdr:colOff>
      <xdr:row>40</xdr:row>
      <xdr:rowOff>84665</xdr:rowOff>
    </xdr:from>
    <xdr:to>
      <xdr:col>60</xdr:col>
      <xdr:colOff>252942</xdr:colOff>
      <xdr:row>55</xdr:row>
      <xdr:rowOff>87840</xdr:rowOff>
    </xdr:to>
    <xdr:graphicFrame macro="">
      <xdr:nvGraphicFramePr>
        <xdr:cNvPr id="7" name="Chart 6">
          <a:extLst>
            <a:ext uri="{FF2B5EF4-FFF2-40B4-BE49-F238E27FC236}">
              <a16:creationId xmlns:a16="http://schemas.microsoft.com/office/drawing/2014/main" id="{10F11D7E-CF34-4DCF-935C-8FF8EFF1C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38</xdr:col>
      <xdr:colOff>16934</xdr:colOff>
      <xdr:row>57</xdr:row>
      <xdr:rowOff>101600</xdr:rowOff>
    </xdr:from>
    <xdr:to>
      <xdr:col>44</xdr:col>
      <xdr:colOff>559859</xdr:colOff>
      <xdr:row>72</xdr:row>
      <xdr:rowOff>11643</xdr:rowOff>
    </xdr:to>
    <xdr:graphicFrame macro="">
      <xdr:nvGraphicFramePr>
        <xdr:cNvPr id="8" name="Chart 7">
          <a:extLst>
            <a:ext uri="{FF2B5EF4-FFF2-40B4-BE49-F238E27FC236}">
              <a16:creationId xmlns:a16="http://schemas.microsoft.com/office/drawing/2014/main" id="{B4743A33-299D-4E85-82F8-0B431FFD5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16933</xdr:colOff>
      <xdr:row>57</xdr:row>
      <xdr:rowOff>93133</xdr:rowOff>
    </xdr:from>
    <xdr:to>
      <xdr:col>52</xdr:col>
      <xdr:colOff>159808</xdr:colOff>
      <xdr:row>72</xdr:row>
      <xdr:rowOff>20109</xdr:rowOff>
    </xdr:to>
    <xdr:graphicFrame macro="">
      <xdr:nvGraphicFramePr>
        <xdr:cNvPr id="9" name="Chart 8">
          <a:extLst>
            <a:ext uri="{FF2B5EF4-FFF2-40B4-BE49-F238E27FC236}">
              <a16:creationId xmlns:a16="http://schemas.microsoft.com/office/drawing/2014/main" id="{30687A62-9771-477E-8C8F-5D7AB3F8B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52</xdr:col>
      <xdr:colOff>491067</xdr:colOff>
      <xdr:row>57</xdr:row>
      <xdr:rowOff>16933</xdr:rowOff>
    </xdr:from>
    <xdr:to>
      <xdr:col>60</xdr:col>
      <xdr:colOff>24342</xdr:colOff>
      <xdr:row>72</xdr:row>
      <xdr:rowOff>20108</xdr:rowOff>
    </xdr:to>
    <xdr:graphicFrame macro="">
      <xdr:nvGraphicFramePr>
        <xdr:cNvPr id="10" name="Chart 9">
          <a:extLst>
            <a:ext uri="{FF2B5EF4-FFF2-40B4-BE49-F238E27FC236}">
              <a16:creationId xmlns:a16="http://schemas.microsoft.com/office/drawing/2014/main" id="{4E0B2089-D602-47B5-9BB2-61469BD88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16934</xdr:colOff>
      <xdr:row>74</xdr:row>
      <xdr:rowOff>101599</xdr:rowOff>
    </xdr:from>
    <xdr:to>
      <xdr:col>45</xdr:col>
      <xdr:colOff>1059</xdr:colOff>
      <xdr:row>89</xdr:row>
      <xdr:rowOff>104774</xdr:rowOff>
    </xdr:to>
    <xdr:graphicFrame macro="">
      <xdr:nvGraphicFramePr>
        <xdr:cNvPr id="11" name="Chart 10">
          <a:extLst>
            <a:ext uri="{FF2B5EF4-FFF2-40B4-BE49-F238E27FC236}">
              <a16:creationId xmlns:a16="http://schemas.microsoft.com/office/drawing/2014/main" id="{7EF7DE39-E12B-4330-9FC0-F24B41342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160866</xdr:colOff>
      <xdr:row>74</xdr:row>
      <xdr:rowOff>93133</xdr:rowOff>
    </xdr:from>
    <xdr:to>
      <xdr:col>52</xdr:col>
      <xdr:colOff>303741</xdr:colOff>
      <xdr:row>89</xdr:row>
      <xdr:rowOff>96308</xdr:rowOff>
    </xdr:to>
    <xdr:graphicFrame macro="">
      <xdr:nvGraphicFramePr>
        <xdr:cNvPr id="12" name="Chart 11">
          <a:extLst>
            <a:ext uri="{FF2B5EF4-FFF2-40B4-BE49-F238E27FC236}">
              <a16:creationId xmlns:a16="http://schemas.microsoft.com/office/drawing/2014/main" id="{B72BC86D-2748-4D91-84B9-E058022E7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52</xdr:col>
      <xdr:colOff>592667</xdr:colOff>
      <xdr:row>74</xdr:row>
      <xdr:rowOff>93133</xdr:rowOff>
    </xdr:from>
    <xdr:to>
      <xdr:col>60</xdr:col>
      <xdr:colOff>125942</xdr:colOff>
      <xdr:row>89</xdr:row>
      <xdr:rowOff>96308</xdr:rowOff>
    </xdr:to>
    <xdr:graphicFrame macro="">
      <xdr:nvGraphicFramePr>
        <xdr:cNvPr id="13" name="Chart 12">
          <a:extLst>
            <a:ext uri="{FF2B5EF4-FFF2-40B4-BE49-F238E27FC236}">
              <a16:creationId xmlns:a16="http://schemas.microsoft.com/office/drawing/2014/main" id="{0116821E-EA2B-44B7-801F-FF60E6351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60</xdr:col>
      <xdr:colOff>440267</xdr:colOff>
      <xdr:row>40</xdr:row>
      <xdr:rowOff>152399</xdr:rowOff>
    </xdr:from>
    <xdr:to>
      <xdr:col>67</xdr:col>
      <xdr:colOff>583142</xdr:colOff>
      <xdr:row>55</xdr:row>
      <xdr:rowOff>155574</xdr:rowOff>
    </xdr:to>
    <xdr:graphicFrame macro="">
      <xdr:nvGraphicFramePr>
        <xdr:cNvPr id="14" name="Chart 13">
          <a:extLst>
            <a:ext uri="{FF2B5EF4-FFF2-40B4-BE49-F238E27FC236}">
              <a16:creationId xmlns:a16="http://schemas.microsoft.com/office/drawing/2014/main" id="{25EA5026-DECA-490A-BD8D-78F654558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60</xdr:col>
      <xdr:colOff>414867</xdr:colOff>
      <xdr:row>57</xdr:row>
      <xdr:rowOff>84667</xdr:rowOff>
    </xdr:from>
    <xdr:to>
      <xdr:col>67</xdr:col>
      <xdr:colOff>557742</xdr:colOff>
      <xdr:row>72</xdr:row>
      <xdr:rowOff>87842</xdr:rowOff>
    </xdr:to>
    <xdr:graphicFrame macro="">
      <xdr:nvGraphicFramePr>
        <xdr:cNvPr id="15" name="Chart 14">
          <a:extLst>
            <a:ext uri="{FF2B5EF4-FFF2-40B4-BE49-F238E27FC236}">
              <a16:creationId xmlns:a16="http://schemas.microsoft.com/office/drawing/2014/main" id="{8687B34C-8E6D-47C7-9CA2-C883FEF4A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60</xdr:col>
      <xdr:colOff>431801</xdr:colOff>
      <xdr:row>74</xdr:row>
      <xdr:rowOff>93133</xdr:rowOff>
    </xdr:from>
    <xdr:to>
      <xdr:col>67</xdr:col>
      <xdr:colOff>574676</xdr:colOff>
      <xdr:row>89</xdr:row>
      <xdr:rowOff>96308</xdr:rowOff>
    </xdr:to>
    <xdr:graphicFrame macro="">
      <xdr:nvGraphicFramePr>
        <xdr:cNvPr id="16" name="Chart 15">
          <a:extLst>
            <a:ext uri="{FF2B5EF4-FFF2-40B4-BE49-F238E27FC236}">
              <a16:creationId xmlns:a16="http://schemas.microsoft.com/office/drawing/2014/main" id="{43200D69-72BE-4467-B74D-386E9DCE6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42333</xdr:colOff>
      <xdr:row>40</xdr:row>
      <xdr:rowOff>152400</xdr:rowOff>
    </xdr:from>
    <xdr:to>
      <xdr:col>75</xdr:col>
      <xdr:colOff>185208</xdr:colOff>
      <xdr:row>55</xdr:row>
      <xdr:rowOff>155575</xdr:rowOff>
    </xdr:to>
    <xdr:graphicFrame macro="">
      <xdr:nvGraphicFramePr>
        <xdr:cNvPr id="17" name="Chart 16">
          <a:extLst>
            <a:ext uri="{FF2B5EF4-FFF2-40B4-BE49-F238E27FC236}">
              <a16:creationId xmlns:a16="http://schemas.microsoft.com/office/drawing/2014/main" id="{5A5C8791-A431-4B9F-A9B9-A1847E923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68</xdr:col>
      <xdr:colOff>67733</xdr:colOff>
      <xdr:row>57</xdr:row>
      <xdr:rowOff>101600</xdr:rowOff>
    </xdr:from>
    <xdr:to>
      <xdr:col>75</xdr:col>
      <xdr:colOff>210608</xdr:colOff>
      <xdr:row>72</xdr:row>
      <xdr:rowOff>37042</xdr:rowOff>
    </xdr:to>
    <xdr:graphicFrame macro="">
      <xdr:nvGraphicFramePr>
        <xdr:cNvPr id="18" name="Chart 17">
          <a:extLst>
            <a:ext uri="{FF2B5EF4-FFF2-40B4-BE49-F238E27FC236}">
              <a16:creationId xmlns:a16="http://schemas.microsoft.com/office/drawing/2014/main" id="{5830C518-336D-4ED3-BC7E-AD1746DF1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68</xdr:col>
      <xdr:colOff>76200</xdr:colOff>
      <xdr:row>74</xdr:row>
      <xdr:rowOff>101600</xdr:rowOff>
    </xdr:from>
    <xdr:to>
      <xdr:col>75</xdr:col>
      <xdr:colOff>219075</xdr:colOff>
      <xdr:row>89</xdr:row>
      <xdr:rowOff>104775</xdr:rowOff>
    </xdr:to>
    <xdr:graphicFrame macro="">
      <xdr:nvGraphicFramePr>
        <xdr:cNvPr id="19" name="Chart 18">
          <a:extLst>
            <a:ext uri="{FF2B5EF4-FFF2-40B4-BE49-F238E27FC236}">
              <a16:creationId xmlns:a16="http://schemas.microsoft.com/office/drawing/2014/main" id="{EBA17386-D659-4600-8EF9-35F3C92E7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38</xdr:col>
      <xdr:colOff>25400</xdr:colOff>
      <xdr:row>40</xdr:row>
      <xdr:rowOff>67733</xdr:rowOff>
    </xdr:from>
    <xdr:to>
      <xdr:col>45</xdr:col>
      <xdr:colOff>9525</xdr:colOff>
      <xdr:row>55</xdr:row>
      <xdr:rowOff>70908</xdr:rowOff>
    </xdr:to>
    <xdr:graphicFrame macro="">
      <xdr:nvGraphicFramePr>
        <xdr:cNvPr id="20" name="Chart 19">
          <a:extLst>
            <a:ext uri="{FF2B5EF4-FFF2-40B4-BE49-F238E27FC236}">
              <a16:creationId xmlns:a16="http://schemas.microsoft.com/office/drawing/2014/main" id="{DC1ABA79-A231-4D24-B54D-A568B77E9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45</xdr:col>
      <xdr:colOff>237067</xdr:colOff>
      <xdr:row>40</xdr:row>
      <xdr:rowOff>101600</xdr:rowOff>
    </xdr:from>
    <xdr:to>
      <xdr:col>52</xdr:col>
      <xdr:colOff>379942</xdr:colOff>
      <xdr:row>55</xdr:row>
      <xdr:rowOff>104775</xdr:rowOff>
    </xdr:to>
    <xdr:graphicFrame macro="">
      <xdr:nvGraphicFramePr>
        <xdr:cNvPr id="21" name="Chart 20">
          <a:extLst>
            <a:ext uri="{FF2B5EF4-FFF2-40B4-BE49-F238E27FC236}">
              <a16:creationId xmlns:a16="http://schemas.microsoft.com/office/drawing/2014/main" id="{FD511AC4-8ABD-46B3-98A1-3437F3420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52</xdr:col>
      <xdr:colOff>406400</xdr:colOff>
      <xdr:row>24</xdr:row>
      <xdr:rowOff>0</xdr:rowOff>
    </xdr:from>
    <xdr:to>
      <xdr:col>59</xdr:col>
      <xdr:colOff>549275</xdr:colOff>
      <xdr:row>39</xdr:row>
      <xdr:rowOff>3175</xdr:rowOff>
    </xdr:to>
    <xdr:graphicFrame macro="">
      <xdr:nvGraphicFramePr>
        <xdr:cNvPr id="22" name="Chart 21">
          <a:extLst>
            <a:ext uri="{FF2B5EF4-FFF2-40B4-BE49-F238E27FC236}">
              <a16:creationId xmlns:a16="http://schemas.microsoft.com/office/drawing/2014/main" id="{06E10EFE-90A1-43E5-B656-8647891E6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60</xdr:col>
      <xdr:colOff>33867</xdr:colOff>
      <xdr:row>24</xdr:row>
      <xdr:rowOff>16933</xdr:rowOff>
    </xdr:from>
    <xdr:to>
      <xdr:col>67</xdr:col>
      <xdr:colOff>186267</xdr:colOff>
      <xdr:row>39</xdr:row>
      <xdr:rowOff>20108</xdr:rowOff>
    </xdr:to>
    <xdr:graphicFrame macro="">
      <xdr:nvGraphicFramePr>
        <xdr:cNvPr id="23" name="Chart 22">
          <a:extLst>
            <a:ext uri="{FF2B5EF4-FFF2-40B4-BE49-F238E27FC236}">
              <a16:creationId xmlns:a16="http://schemas.microsoft.com/office/drawing/2014/main" id="{04A31C9F-7EC1-40CC-B8D2-B88148F9F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68</xdr:col>
      <xdr:colOff>0</xdr:colOff>
      <xdr:row>24</xdr:row>
      <xdr:rowOff>0</xdr:rowOff>
    </xdr:from>
    <xdr:to>
      <xdr:col>75</xdr:col>
      <xdr:colOff>152400</xdr:colOff>
      <xdr:row>39</xdr:row>
      <xdr:rowOff>3175</xdr:rowOff>
    </xdr:to>
    <xdr:graphicFrame macro="">
      <xdr:nvGraphicFramePr>
        <xdr:cNvPr id="24" name="Chart 23">
          <a:extLst>
            <a:ext uri="{FF2B5EF4-FFF2-40B4-BE49-F238E27FC236}">
              <a16:creationId xmlns:a16="http://schemas.microsoft.com/office/drawing/2014/main" id="{CDE9091F-3C26-4596-BA37-B861EE5B1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80</xdr:col>
      <xdr:colOff>347134</xdr:colOff>
      <xdr:row>7</xdr:row>
      <xdr:rowOff>182033</xdr:rowOff>
    </xdr:from>
    <xdr:to>
      <xdr:col>88</xdr:col>
      <xdr:colOff>42334</xdr:colOff>
      <xdr:row>22</xdr:row>
      <xdr:rowOff>131233</xdr:rowOff>
    </xdr:to>
    <xdr:graphicFrame macro="">
      <xdr:nvGraphicFramePr>
        <xdr:cNvPr id="25" name="Chart 24">
          <a:extLst>
            <a:ext uri="{FF2B5EF4-FFF2-40B4-BE49-F238E27FC236}">
              <a16:creationId xmlns:a16="http://schemas.microsoft.com/office/drawing/2014/main" id="{C3F2806F-506D-40F5-B480-D2D490D2C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80</xdr:col>
      <xdr:colOff>406400</xdr:colOff>
      <xdr:row>24</xdr:row>
      <xdr:rowOff>33867</xdr:rowOff>
    </xdr:from>
    <xdr:to>
      <xdr:col>88</xdr:col>
      <xdr:colOff>67733</xdr:colOff>
      <xdr:row>40</xdr:row>
      <xdr:rowOff>67733</xdr:rowOff>
    </xdr:to>
    <xdr:graphicFrame macro="">
      <xdr:nvGraphicFramePr>
        <xdr:cNvPr id="26" name="Chart 25">
          <a:extLst>
            <a:ext uri="{FF2B5EF4-FFF2-40B4-BE49-F238E27FC236}">
              <a16:creationId xmlns:a16="http://schemas.microsoft.com/office/drawing/2014/main" id="{088DA537-3AA3-4198-B299-D03D4871D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omas, Dean (A&amp;F, Floreat)" refreshedDate="43889.650997222219" createdVersion="6" refreshedVersion="6" minRefreshableVersion="3" recordCount="1063" xr:uid="{23BD525D-4EE2-4BD8-AE3F-642CED207D87}">
  <cacheSource type="worksheet">
    <worksheetSource ref="A1:W1064" sheet="stats_no_init"/>
  </cacheSource>
  <cacheFields count="22">
    <cacheField name="location" numFmtId="0">
      <sharedItems/>
    </cacheField>
    <cacheField name="reference" numFmtId="0">
      <sharedItems count="9">
        <s v="2008CSR"/>
        <s v="2008HSR"/>
        <s v="WMG1"/>
        <s v="MADFIG"/>
        <s v="2015E"/>
        <s v="2015W"/>
        <s v="WMG2"/>
        <s v="2014C"/>
        <s v="2014SB"/>
      </sharedItems>
    </cacheField>
    <cacheField name="initial_grain" numFmtId="0">
      <sharedItems containsSemiMixedTypes="0" containsString="0" containsNumber="1" containsInteger="1" minValue="14" maxValue="245" count="9">
        <n v="14"/>
        <n v="29"/>
        <n v="110"/>
        <n v="46"/>
        <n v="186"/>
        <n v="133"/>
        <n v="43"/>
        <n v="245"/>
        <n v="161"/>
      </sharedItems>
    </cacheField>
    <cacheField name="sheep_density" numFmtId="0">
      <sharedItems containsSemiMixedTypes="0" containsString="0" containsNumber="1" minValue="1.98" maxValue="3.96"/>
    </cacheField>
    <cacheField name="tag" numFmtId="0">
      <sharedItems count="303">
        <s v="2008CSR-1016"/>
        <s v="2008CSR-1019"/>
        <s v="2008CSR-1045"/>
        <s v="2008CSR-1137"/>
        <s v="2008CSR-1203"/>
        <s v="2008CSR-1211"/>
        <s v="2008CSR-1231"/>
        <s v="2008CSR-1250"/>
        <s v="2008CSR-1251"/>
        <s v="2008CSR-1299"/>
        <s v="2008CSR-1343"/>
        <s v="2008CSR-1394"/>
        <s v="2008CSR-1475"/>
        <s v="2008CSR-1506"/>
        <s v="2008CSR-159"/>
        <s v="2008CSR-1646"/>
        <s v="2008CSR-1675"/>
        <s v="2008CSR-1711"/>
        <s v="2008CSR-1759"/>
        <s v="2008CSR-1781"/>
        <s v="2008CSR-18"/>
        <s v="2008CSR-2130"/>
        <s v="2008CSR-2152"/>
        <s v="2008CSR-2265"/>
        <s v="2008CSR-2366"/>
        <s v="2008CSR-2395"/>
        <s v="2008CSR-2415"/>
        <s v="2008CSR-269"/>
        <s v="2008CSR-31"/>
        <s v="2008CSR-336"/>
        <s v="2008CSR-362"/>
        <s v="2008CSR-4"/>
        <s v="2008CSR-797"/>
        <s v="2008CSR-82"/>
        <s v="2008HSR-1001"/>
        <s v="2008HSR-1027"/>
        <s v="2008HSR-117"/>
        <s v="2008HSR-1185"/>
        <s v="2008HSR-1273"/>
        <s v="2008HSR-1283"/>
        <s v="2008HSR-1337"/>
        <s v="2008HSR-1468"/>
        <s v="2008HSR-155"/>
        <s v="2008HSR-1604"/>
        <s v="2008HSR-1605"/>
        <s v="2008HSR-1625"/>
        <s v="2008HSR-1644"/>
        <s v="2008HSR-1674"/>
        <s v="2008HSR-1682"/>
        <s v="2008HSR-1726"/>
        <s v="2008HSR-1729"/>
        <s v="2008HSR-1762"/>
        <s v="2008HSR-1766"/>
        <s v="2008HSR-209"/>
        <s v="2008HSR-2181"/>
        <s v="2008HSR-2190"/>
        <s v="2008HSR-2192"/>
        <s v="2008HSR-2195"/>
        <s v="2008HSR-221"/>
        <s v="2008HSR-2228"/>
        <s v="2008HSR-2858"/>
        <s v="2008HSR-345"/>
        <s v="2008HSR-356"/>
        <s v="2008HSR-457"/>
        <s v="2008HSR-891"/>
        <s v="2008HSR-901"/>
        <s v="2008HSR-913"/>
        <s v="2008HSR-997"/>
        <s v="WMG1-1"/>
        <s v="WMG1-10"/>
        <s v="WMG1-11"/>
        <s v="WMG1-12"/>
        <s v="WMG1-13"/>
        <s v="WMG1-14"/>
        <s v="WMG1-15"/>
        <s v="WMG1-16"/>
        <s v="WMG1-17"/>
        <s v="WMG1-18"/>
        <s v="WMG1-19"/>
        <s v="WMG1-2"/>
        <s v="WMG1-20"/>
        <s v="WMG1-3"/>
        <s v="WMG1-31"/>
        <s v="WMG1-32"/>
        <s v="WMG1-33"/>
        <s v="WMG1-34"/>
        <s v="WMG1-35"/>
        <s v="WMG1-36"/>
        <s v="WMG1-37"/>
        <s v="WMG1-38"/>
        <s v="WMG1-39"/>
        <s v="WMG1-4"/>
        <s v="WMG1-40"/>
        <s v="WMG1-5"/>
        <s v="WMG1-6"/>
        <s v="WMG1-7"/>
        <s v="WMG1-8"/>
        <s v="WMG1-9"/>
        <s v="MADFIG-21"/>
        <s v="MADFIG-22"/>
        <s v="MADFIG-23"/>
        <s v="MADFIG-24"/>
        <s v="MADFIG-25"/>
        <s v="MADFIG-26"/>
        <s v="MADFIG-27"/>
        <s v="MADFIG-28"/>
        <s v="MADFIG-29"/>
        <s v="MADFIG-30"/>
        <s v="MADFIG-31"/>
        <s v="MADFIG-32"/>
        <s v="MADFIG-33"/>
        <s v="MADFIG-34"/>
        <s v="MADFIG-35"/>
        <s v="MADFIG-36"/>
        <s v="MADFIG-37"/>
        <s v="MADFIG-38"/>
        <s v="MADFIG-39"/>
        <s v="MADFIG-40"/>
        <s v="MADFIG-81"/>
        <s v="MADFIG-82"/>
        <s v="MADFIG-83"/>
        <s v="MADFIG-84"/>
        <s v="MADFIG-85"/>
        <s v="MADFIG-86"/>
        <s v="MADFIG-87"/>
        <s v="MADFIG-88"/>
        <s v="MADFIG-89"/>
        <s v="MADFIG-90"/>
        <s v="2015E-1054"/>
        <s v="2015E-1063"/>
        <s v="2015E-1236"/>
        <s v="2015E-1242"/>
        <s v="2015E-1267"/>
        <s v="2015E-1275"/>
        <s v="2015E-1276"/>
        <s v="2015E-1296"/>
        <s v="2015E-1300"/>
        <s v="2015E-1312"/>
        <s v="2015E-1335"/>
        <s v="2015E-1339"/>
        <s v="2015E-1362"/>
        <s v="2015E-149"/>
        <s v="2015E-207"/>
        <s v="2015E-22"/>
        <s v="2015E-441"/>
        <s v="2015E-646"/>
        <s v="2015E-877"/>
        <s v="2015E-955"/>
        <s v="2015W-1003"/>
        <s v="2015W-1032"/>
        <s v="2015W-1051"/>
        <s v="2015W-1077"/>
        <s v="2015W-1084"/>
        <s v="2015W-1096"/>
        <s v="2015W-1098"/>
        <s v="2015W-1202"/>
        <s v="2015W-195"/>
        <s v="2015W-410"/>
        <s v="2015W-457"/>
        <s v="2015W-490"/>
        <s v="2015W-525"/>
        <s v="2015W-536"/>
        <s v="2015W-709"/>
        <s v="2015W-844"/>
        <s v="2015W-922"/>
        <s v="2015W-941"/>
        <s v="2015W-945"/>
        <s v="2015W-969"/>
        <s v="WMG2-41"/>
        <s v="WMG2-42"/>
        <s v="WMG2-43"/>
        <s v="WMG2-44"/>
        <s v="WMG2-45"/>
        <s v="WMG2-46"/>
        <s v="WMG2-47"/>
        <s v="WMG2-48"/>
        <s v="WMG2-49"/>
        <s v="WMG2-50"/>
        <s v="WMG2-51"/>
        <s v="WMG2-52"/>
        <s v="WMG2-53"/>
        <s v="WMG2-54"/>
        <s v="WMG2-55"/>
        <s v="WMG2-56"/>
        <s v="WMG2-57"/>
        <s v="WMG2-58"/>
        <s v="WMG2-59"/>
        <s v="WMG2-60"/>
        <s v="WMG2-71"/>
        <s v="WMG2-72"/>
        <s v="WMG2-73"/>
        <s v="WMG2-74"/>
        <s v="WMG2-75"/>
        <s v="WMG2-76"/>
        <s v="WMG2-77"/>
        <s v="WMG2-78"/>
        <s v="WMG2-79"/>
        <s v="WMG2-80"/>
        <s v="2014C-1033"/>
        <s v="2014C-1087"/>
        <s v="2014C-1092"/>
        <s v="2014C-1251"/>
        <s v="2014C-1260"/>
        <s v="2014C-1300"/>
        <s v="2014C-138"/>
        <s v="2014C-1487"/>
        <s v="2014C-1493"/>
        <s v="2014C-1496"/>
        <s v="2014C-1607"/>
        <s v="2014C-1614"/>
        <s v="2014C-1640"/>
        <s v="2014C-1699"/>
        <s v="2014C-1784"/>
        <s v="2014C-1908"/>
        <s v="2014C-1965"/>
        <s v="2014C-2011"/>
        <s v="2014C-2018"/>
        <s v="2014C-2032"/>
        <s v="2014C-2093"/>
        <s v="2014C-2155"/>
        <s v="2014C-2329"/>
        <s v="2014C-2332"/>
        <s v="2014C-2342"/>
        <s v="2014C-2410"/>
        <s v="2014C-2459"/>
        <s v="2014C-2522"/>
        <s v="2014C-258"/>
        <s v="2014C-2655"/>
        <s v="2014C-2661"/>
        <s v="2014C-2663"/>
        <s v="2014C-2685"/>
        <s v="2014C-2719"/>
        <s v="2014C-2720"/>
        <s v="2014C-2774"/>
        <s v="2014C-2873"/>
        <s v="2014C-2888"/>
        <s v="2014C-2975"/>
        <s v="2014C-2987"/>
        <s v="2014C-299"/>
        <s v="2014C-37"/>
        <s v="2014C-379"/>
        <s v="2014C-382"/>
        <s v="2014C-387"/>
        <s v="2014C-481"/>
        <s v="2014C-50"/>
        <s v="2014C-648"/>
        <s v="2014C-73"/>
        <s v="2014C-733"/>
        <s v="2014C-760"/>
        <s v="2014C-78"/>
        <s v="2014C-914"/>
        <s v="2014SB-1048"/>
        <s v="2014SB-1205"/>
        <s v="2014SB-1224"/>
        <s v="2014SB-1234"/>
        <s v="2014SB-1248"/>
        <s v="2014SB-1252"/>
        <s v="2014SB-1277"/>
        <s v="2014SB-1283"/>
        <s v="2014SB-1424"/>
        <s v="2014SB-1492"/>
        <s v="2014SB-1639"/>
        <s v="2014SB-1686"/>
        <s v="2014SB-1712"/>
        <s v="2014SB-180"/>
        <s v="2014SB-2041"/>
        <s v="2014SB-2083"/>
        <s v="2014SB-2131"/>
        <s v="2014SB-2148"/>
        <s v="2014SB-2154"/>
        <s v="2014SB-2162"/>
        <s v="2014SB-2306"/>
        <s v="2014SB-2311"/>
        <s v="2014SB-2320"/>
        <s v="2014SB-2343"/>
        <s v="2014SB-2430"/>
        <s v="2014SB-2458"/>
        <s v="2014SB-2469"/>
        <s v="2014SB-2524"/>
        <s v="2014SB-2590"/>
        <s v="2014SB-2630"/>
        <s v="2014SB-2632"/>
        <s v="2014SB-2695"/>
        <s v="2014SB-2718"/>
        <s v="2014SB-2730"/>
        <s v="2014SB-2761"/>
        <s v="2014SB-2865"/>
        <s v="2014SB-2868"/>
        <s v="2014SB-2884"/>
        <s v="2014SB-2893"/>
        <s v="2014SB-356"/>
        <s v="2014SB-38"/>
        <s v="2014SB-439"/>
        <s v="2014SB-631"/>
        <s v="2014SB-67"/>
        <s v="2014SB-74"/>
        <s v="2014SB-752"/>
        <s v="2014SB-776"/>
        <s v="2014SB-783"/>
        <s v="2014SB-785"/>
        <s v="2014SB-809"/>
        <s v="2014SB-85"/>
        <s v="2014SB-928"/>
      </sharedItems>
    </cacheField>
    <cacheField name="start_date" numFmtId="14">
      <sharedItems containsSemiMixedTypes="0" containsNonDate="0" containsDate="1" containsString="0" minDate="2008-01-29T00:00:00" maxDate="2016-02-03T00:00:00"/>
    </cacheField>
    <cacheField name="initial_weight" numFmtId="0">
      <sharedItems containsSemiMixedTypes="0" containsString="0" containsNumber="1" minValue="48.2" maxValue="78" count="105">
        <n v="54"/>
        <n v="56.6"/>
        <n v="63.6"/>
        <n v="52.4"/>
        <n v="53.2"/>
        <n v="60.2"/>
        <n v="50.6"/>
        <n v="63.2"/>
        <n v="57.2"/>
        <n v="48.2"/>
        <n v="66.400000000000006"/>
        <n v="48.4"/>
        <n v="53"/>
        <n v="60"/>
        <n v="64.2"/>
        <n v="56.4"/>
        <n v="64"/>
        <n v="59.2"/>
        <n v="57.8"/>
        <n v="56.2"/>
        <n v="58"/>
        <n v="67"/>
        <n v="70.599999999999994"/>
        <n v="61.6"/>
        <n v="55.2"/>
        <n v="60.6"/>
        <n v="64.400000000000006"/>
        <n v="71"/>
        <n v="50.8"/>
        <n v="59.6"/>
        <n v="53.8"/>
        <n v="61.4"/>
        <n v="55"/>
        <n v="61"/>
        <n v="51.6"/>
        <n v="54.6"/>
        <n v="64.599999999999994"/>
        <n v="62.8"/>
        <n v="50.2"/>
        <n v="60.8"/>
        <n v="57.6"/>
        <n v="68.8"/>
        <n v="55.4"/>
        <n v="68"/>
        <n v="56"/>
        <n v="59"/>
        <n v="63.8"/>
        <n v="58.2"/>
        <n v="51"/>
        <n v="62.5"/>
        <n v="57.5"/>
        <n v="59.5"/>
        <n v="62"/>
        <n v="58.5"/>
        <n v="57"/>
        <n v="60.5"/>
        <n v="63.5"/>
        <n v="64.5"/>
        <n v="74"/>
        <n v="78"/>
        <n v="74.5"/>
        <n v="76.5"/>
        <n v="75.5"/>
        <n v="77.5"/>
        <n v="72.5"/>
        <n v="76"/>
        <n v="73"/>
        <n v="77"/>
        <n v="73.5"/>
        <n v="75"/>
        <n v="72"/>
        <n v="56.8"/>
        <n v="58.4"/>
        <n v="53.6"/>
        <n v="52.2"/>
        <n v="55.6"/>
        <n v="55.8"/>
        <n v="52.8"/>
        <n v="52.6"/>
        <n v="59.8"/>
        <n v="65"/>
        <n v="54.5"/>
        <n v="63"/>
        <n v="61.5"/>
        <n v="58.8"/>
        <n v="49.6"/>
        <n v="50"/>
        <n v="51.4"/>
        <n v="48.6"/>
        <n v="51.8"/>
        <n v="49.4"/>
        <n v="61.2"/>
        <n v="50.4"/>
        <n v="52"/>
        <n v="51.2"/>
        <n v="63.4"/>
        <n v="57.4"/>
        <n v="54.4"/>
        <n v="54.2"/>
        <n v="54.8"/>
        <n v="53.4"/>
        <n v="60.4"/>
        <n v="58.6"/>
        <n v="49"/>
        <n v="62.4"/>
      </sharedItems>
    </cacheField>
    <cacheField name="initial_CS" numFmtId="0">
      <sharedItems containsString="0" containsBlank="1" containsNumber="1" minValue="1.5" maxValue="5" count="12">
        <n v="2.5"/>
        <n v="3.25"/>
        <n v="2"/>
        <n v="2.25"/>
        <n v="3"/>
        <n v="1.75"/>
        <n v="3.5"/>
        <n v="2.75"/>
        <n v="1.5"/>
        <n v="4"/>
        <n v="5"/>
        <m/>
      </sharedItems>
    </cacheField>
    <cacheField name="weigh_date" numFmtId="14">
      <sharedItems containsSemiMixedTypes="0" containsNonDate="0" containsDate="1" containsString="0" minDate="2008-02-05T00:00:00" maxDate="2016-03-02T00:00:00"/>
    </cacheField>
    <cacheField name="liveweight" numFmtId="0">
      <sharedItems containsSemiMixedTypes="0" containsString="0" containsNumber="1" minValue="47.4" maxValue="82.6"/>
    </cacheField>
    <cacheField name="CS" numFmtId="0">
      <sharedItems containsString="0" containsBlank="1" containsNumber="1" minValue="1.5" maxValue="5"/>
    </cacheField>
    <cacheField name="days_exp" numFmtId="0">
      <sharedItems containsSemiMixedTypes="0" containsString="0" containsNumber="1" containsInteger="1" minValue="7" maxValue="56" count="14">
        <n v="7"/>
        <n v="13"/>
        <n v="14"/>
        <n v="15"/>
        <n v="16"/>
        <n v="21"/>
        <n v="27"/>
        <n v="28"/>
        <n v="29"/>
        <n v="35"/>
        <n v="42"/>
        <n v="44"/>
        <n v="49"/>
        <n v="56"/>
      </sharedItems>
    </cacheField>
    <cacheField name="lwt_gain_exp" numFmtId="0">
      <sharedItems containsSemiMixedTypes="0" containsString="0" containsNumber="1" minValue="-7" maxValue="14.600000000000001"/>
    </cacheField>
    <cacheField name="CS_gain_exp" numFmtId="0">
      <sharedItems containsString="0" containsBlank="1" containsNumber="1" minValue="-2" maxValue="2"/>
    </cacheField>
    <cacheField name="sheep_days_exp" numFmtId="1">
      <sharedItems containsSemiMixedTypes="0" containsString="0" containsNumber="1" minValue="13.86" maxValue="110.88" count="30">
        <n v="13.86"/>
        <n v="27.72"/>
        <n v="28.6"/>
        <n v="44.24"/>
        <n v="55.44"/>
        <n v="34.020000000000003"/>
        <n v="34.580000000000005"/>
        <n v="32.400000000000006"/>
        <n v="37.6"/>
        <n v="37.76"/>
        <n v="41.58"/>
        <n v="83.16"/>
        <n v="51.03"/>
        <n v="51.870000000000005"/>
        <n v="53.46"/>
        <n v="106.92"/>
        <n v="59.400000000000006"/>
        <n v="60.480000000000004"/>
        <n v="88.48"/>
        <n v="68.040000000000006"/>
        <n v="69.160000000000011"/>
        <n v="68.150000000000006"/>
        <n v="68.44"/>
        <n v="69.3"/>
        <n v="102.06"/>
        <n v="103.74000000000001"/>
        <n v="103.4"/>
        <n v="103.83999999999999"/>
        <n v="97.02"/>
        <n v="110.88"/>
      </sharedItems>
    </cacheField>
    <cacheField name="growth_rate_exp" numFmtId="1">
      <sharedItems containsSemiMixedTypes="0" containsString="0" containsNumber="1" minValue="-500" maxValue="1799.9999999999991"/>
    </cacheField>
    <cacheField name="MEI_exp" numFmtId="164">
      <sharedItems containsSemiMixedTypes="0" containsString="0" containsNumber="1" minValue="-13.096414999999999" maxValue="101.61248699999996"/>
    </cacheField>
    <cacheField name="days_wk" numFmtId="0">
      <sharedItems containsSemiMixedTypes="0" containsString="0" containsNumber="1" containsInteger="1" minValue="6" maxValue="16"/>
    </cacheField>
    <cacheField name="lwt_gain_wk" numFmtId="0">
      <sharedItems containsSemiMixedTypes="0" containsString="0" containsNumber="1" minValue="-7.7999999999999972" maxValue="18.599999999999994"/>
    </cacheField>
    <cacheField name="sheep_days_wk" numFmtId="164">
      <sharedItems containsSemiMixedTypes="0" containsString="0" containsNumber="1" minValue="11.879999999999999" maxValue="44.24" count="20">
        <n v="13.86"/>
        <n v="27.72"/>
        <n v="28.6"/>
        <n v="44.24"/>
        <n v="34.020000000000003"/>
        <n v="34.580000000000005"/>
        <n v="32.400000000000006"/>
        <n v="37.6"/>
        <n v="37.76"/>
        <n v="17.010000000000002"/>
        <n v="17.290000000000003"/>
        <n v="11.879999999999999"/>
        <n v="23.759999999999998"/>
        <n v="30.800000000000004"/>
        <n v="28.080000000000002"/>
        <n v="30.55"/>
        <n v="30.68"/>
        <n v="15.84"/>
        <n v="35.25"/>
        <n v="35.4"/>
      </sharedItems>
    </cacheField>
    <cacheField name="growth_rate_wk" numFmtId="1">
      <sharedItems containsSemiMixedTypes="0" containsString="0" containsNumber="1" minValue="-1114.2857142857138" maxValue="1799.9999999999991"/>
    </cacheField>
    <cacheField name="MEI_wk" numFmtId="164">
      <sharedItems containsSemiMixedTypes="0" containsString="0" containsNumber="1" minValue="-42.428672285714285" maxValue="101.6124869999999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omas, Dean (A&amp;F, Floreat)" refreshedDate="43921.669763541664" createdVersion="6" refreshedVersion="6" minRefreshableVersion="3" recordCount="1063" xr:uid="{0416D9FE-4B86-4BF1-8582-307CB8CCF567}">
  <cacheSource type="worksheet">
    <worksheetSource ref="A1:Y1064" sheet="stats_no_init"/>
  </cacheSource>
  <cacheFields count="24">
    <cacheField name="location" numFmtId="0">
      <sharedItems count="5">
        <s v="Tammin "/>
        <s v="Tammin"/>
        <s v="Warradarge"/>
        <s v="Merredin"/>
        <s v="Dandaragan"/>
      </sharedItems>
    </cacheField>
    <cacheField name="reference" numFmtId="0">
      <sharedItems count="9">
        <s v="2008CSR"/>
        <s v="2008HSR"/>
        <s v="WMG1"/>
        <s v="MADFIG"/>
        <s v="2015E"/>
        <s v="2015W"/>
        <s v="WMG2"/>
        <s v="2014C"/>
        <s v="2014SB"/>
      </sharedItems>
    </cacheField>
    <cacheField name="initial_grain" numFmtId="0">
      <sharedItems containsSemiMixedTypes="0" containsString="0" containsNumber="1" containsInteger="1" minValue="14" maxValue="245"/>
    </cacheField>
    <cacheField name="sheep_density" numFmtId="0">
      <sharedItems containsSemiMixedTypes="0" containsString="0" containsNumber="1" minValue="1.98" maxValue="3.96"/>
    </cacheField>
    <cacheField name="tag" numFmtId="0">
      <sharedItems/>
    </cacheField>
    <cacheField name="start_date" numFmtId="14">
      <sharedItems containsSemiMixedTypes="0" containsNonDate="0" containsDate="1" containsString="0" minDate="2008-01-29T00:00:00" maxDate="2016-02-03T00:00:00"/>
    </cacheField>
    <cacheField name="initial_weight" numFmtId="0">
      <sharedItems containsSemiMixedTypes="0" containsString="0" containsNumber="1" minValue="48.2" maxValue="78"/>
    </cacheField>
    <cacheField name="initial_CS" numFmtId="0">
      <sharedItems containsString="0" containsBlank="1" containsNumber="1" minValue="1.5" maxValue="5" count="12">
        <n v="2.5"/>
        <n v="3.25"/>
        <n v="2"/>
        <n v="2.25"/>
        <n v="3"/>
        <n v="1.75"/>
        <n v="3.5"/>
        <n v="2.75"/>
        <n v="1.5"/>
        <n v="4"/>
        <n v="5"/>
        <m/>
      </sharedItems>
    </cacheField>
    <cacheField name="weigh_date" numFmtId="14">
      <sharedItems containsSemiMixedTypes="0" containsNonDate="0" containsDate="1" containsString="0" minDate="2008-02-05T00:00:00" maxDate="2016-03-02T00:00:00"/>
    </cacheField>
    <cacheField name="liveweight" numFmtId="0">
      <sharedItems containsSemiMixedTypes="0" containsString="0" containsNumber="1" minValue="47.4" maxValue="82.6"/>
    </cacheField>
    <cacheField name="CS" numFmtId="0">
      <sharedItems containsString="0" containsBlank="1" containsNumber="1" minValue="1.5" maxValue="5"/>
    </cacheField>
    <cacheField name="days_exp" numFmtId="0">
      <sharedItems containsSemiMixedTypes="0" containsString="0" containsNumber="1" containsInteger="1" minValue="7" maxValue="56"/>
    </cacheField>
    <cacheField name="lwt_gain_exp" numFmtId="0">
      <sharedItems containsSemiMixedTypes="0" containsString="0" containsNumber="1" minValue="-7" maxValue="14.600000000000001"/>
    </cacheField>
    <cacheField name="CS_gain_exp" numFmtId="0">
      <sharedItems containsString="0" containsBlank="1" containsNumber="1" minValue="-2" maxValue="2"/>
    </cacheField>
    <cacheField name="sheep_days_exp" numFmtId="1">
      <sharedItems containsSemiMixedTypes="0" containsString="0" containsNumber="1" minValue="13.86" maxValue="110.88" count="30">
        <n v="13.86"/>
        <n v="27.72"/>
        <n v="28.6"/>
        <n v="44.24"/>
        <n v="55.44"/>
        <n v="34.020000000000003"/>
        <n v="34.580000000000005"/>
        <n v="32.400000000000006"/>
        <n v="37.6"/>
        <n v="37.76"/>
        <n v="41.58"/>
        <n v="83.16"/>
        <n v="51.03"/>
        <n v="51.870000000000005"/>
        <n v="53.46"/>
        <n v="106.92"/>
        <n v="59.400000000000006"/>
        <n v="60.480000000000004"/>
        <n v="88.48"/>
        <n v="68.040000000000006"/>
        <n v="69.160000000000011"/>
        <n v="68.150000000000006"/>
        <n v="68.44"/>
        <n v="69.3"/>
        <n v="102.06"/>
        <n v="103.74000000000001"/>
        <n v="103.4"/>
        <n v="103.83999999999999"/>
        <n v="97.02"/>
        <n v="110.88"/>
      </sharedItems>
    </cacheField>
    <cacheField name="growth_rate_exp" numFmtId="1">
      <sharedItems containsSemiMixedTypes="0" containsString="0" containsNumber="1" minValue="-500" maxValue="1799.9999999999991"/>
    </cacheField>
    <cacheField name="MEI_exp" numFmtId="164">
      <sharedItems containsSemiMixedTypes="0" containsString="0" containsNumber="1" minValue="-13.096414999999999" maxValue="101.61248699999996"/>
    </cacheField>
    <cacheField name="days_wk" numFmtId="0">
      <sharedItems containsSemiMixedTypes="0" containsString="0" containsNumber="1" containsInteger="1" minValue="6" maxValue="16"/>
    </cacheField>
    <cacheField name="lwt_gain_wk" numFmtId="0">
      <sharedItems containsSemiMixedTypes="0" containsString="0" containsNumber="1" minValue="-7.7999999999999972" maxValue="18.599999999999994"/>
    </cacheField>
    <cacheField name="sheep_days_wk" numFmtId="164">
      <sharedItems containsSemiMixedTypes="0" containsString="0" containsNumber="1" minValue="11.879999999999999" maxValue="44.24"/>
    </cacheField>
    <cacheField name="growth_rate_wk" numFmtId="1">
      <sharedItems containsSemiMixedTypes="0" containsString="0" containsNumber="1" minValue="-1114.2857142857138" maxValue="1799.9999999999991"/>
    </cacheField>
    <cacheField name="MEI_wk" numFmtId="164">
      <sharedItems containsSemiMixedTypes="0" containsString="0" containsNumber="1" minValue="-42.428672285714285" maxValue="101.61248699999996"/>
    </cacheField>
    <cacheField name="cov_MEI" numFmtId="0">
      <sharedItems containsSemiMixedTypes="0" containsString="0" containsNumber="1" minValue="7.6555" maxValue="22.175249999999998"/>
    </cacheField>
    <cacheField name="adj_MEI_wk" numFmtId="0">
      <sharedItems containsSemiMixedTypes="0" containsString="0" containsNumber="1" minValue="-44.728132638976604" maxValue="125.6080381150218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3">
  <r>
    <s v="Tammin "/>
    <x v="0"/>
    <x v="0"/>
    <n v="1.98"/>
    <x v="0"/>
    <d v="2008-01-29T00:00:00"/>
    <x v="0"/>
    <x v="0"/>
    <d v="2008-02-05T00:00:00"/>
    <n v="58.2"/>
    <m/>
    <x v="0"/>
    <n v="4.2000000000000028"/>
    <m/>
    <x v="0"/>
    <n v="600.00000000000045"/>
    <n v="41.065949000000018"/>
    <n v="7"/>
    <n v="4.2000000000000028"/>
    <x v="0"/>
    <n v="600.00000000000045"/>
    <n v="41.065949000000018"/>
  </r>
  <r>
    <s v="Tammin "/>
    <x v="0"/>
    <x v="0"/>
    <n v="1.98"/>
    <x v="1"/>
    <d v="2008-01-29T00:00:00"/>
    <x v="1"/>
    <x v="0"/>
    <d v="2008-02-05T00:00:00"/>
    <n v="62.4"/>
    <m/>
    <x v="0"/>
    <n v="5.7999999999999972"/>
    <m/>
    <x v="0"/>
    <n v="828.57142857142821"/>
    <n v="52.909426428571408"/>
    <n v="7"/>
    <n v="5.7999999999999972"/>
    <x v="0"/>
    <n v="828.57142857142821"/>
    <n v="52.909426428571408"/>
  </r>
  <r>
    <s v="Tammin "/>
    <x v="0"/>
    <x v="0"/>
    <n v="1.98"/>
    <x v="2"/>
    <d v="2008-01-29T00:00:00"/>
    <x v="1"/>
    <x v="1"/>
    <d v="2008-02-05T00:00:00"/>
    <n v="60.8"/>
    <m/>
    <x v="0"/>
    <n v="4.1999999999999957"/>
    <m/>
    <x v="0"/>
    <n v="599.99999999999943"/>
    <n v="41.505582999999973"/>
    <n v="7"/>
    <n v="4.1999999999999957"/>
    <x v="0"/>
    <n v="599.99999999999943"/>
    <n v="41.505582999999973"/>
  </r>
  <r>
    <s v="Tammin "/>
    <x v="0"/>
    <x v="0"/>
    <n v="1.98"/>
    <x v="3"/>
    <d v="2008-01-29T00:00:00"/>
    <x v="2"/>
    <x v="1"/>
    <d v="2008-02-05T00:00:00"/>
    <n v="68"/>
    <m/>
    <x v="0"/>
    <n v="4.3999999999999986"/>
    <m/>
    <x v="0"/>
    <n v="628.57142857142833"/>
    <n v="44.114693428571414"/>
    <n v="7"/>
    <n v="4.3999999999999986"/>
    <x v="0"/>
    <n v="628.57142857142833"/>
    <n v="44.114693428571414"/>
  </r>
  <r>
    <s v="Tammin "/>
    <x v="0"/>
    <x v="0"/>
    <n v="1.98"/>
    <x v="4"/>
    <d v="2008-01-29T00:00:00"/>
    <x v="3"/>
    <x v="2"/>
    <d v="2008-02-05T00:00:00"/>
    <n v="58"/>
    <m/>
    <x v="0"/>
    <n v="5.6000000000000014"/>
    <m/>
    <x v="0"/>
    <n v="800.00000000000011"/>
    <n v="50.773768000000004"/>
    <n v="7"/>
    <n v="5.6000000000000014"/>
    <x v="0"/>
    <n v="800.00000000000011"/>
    <n v="50.773768000000004"/>
  </r>
  <r>
    <s v="Tammin "/>
    <x v="0"/>
    <x v="0"/>
    <n v="1.98"/>
    <x v="5"/>
    <d v="2008-01-29T00:00:00"/>
    <x v="4"/>
    <x v="0"/>
    <d v="2008-02-05T00:00:00"/>
    <n v="57.2"/>
    <m/>
    <x v="0"/>
    <n v="4"/>
    <m/>
    <x v="0"/>
    <n v="571.42857142857144"/>
    <n v="39.50519657142857"/>
    <n v="7"/>
    <n v="4"/>
    <x v="0"/>
    <n v="571.42857142857144"/>
    <n v="39.50519657142857"/>
  </r>
  <r>
    <s v="Tammin "/>
    <x v="0"/>
    <x v="0"/>
    <n v="1.98"/>
    <x v="6"/>
    <d v="2008-01-29T00:00:00"/>
    <x v="5"/>
    <x v="3"/>
    <d v="2008-02-05T00:00:00"/>
    <n v="66"/>
    <m/>
    <x v="0"/>
    <n v="5.7999999999999972"/>
    <m/>
    <x v="0"/>
    <n v="828.57142857142821"/>
    <n v="53.518150428571403"/>
    <n v="7"/>
    <n v="5.7999999999999972"/>
    <x v="0"/>
    <n v="828.57142857142821"/>
    <n v="53.518150428571403"/>
  </r>
  <r>
    <s v="Tammin "/>
    <x v="0"/>
    <x v="0"/>
    <n v="1.98"/>
    <x v="7"/>
    <d v="2008-01-29T00:00:00"/>
    <x v="5"/>
    <x v="4"/>
    <d v="2008-02-05T00:00:00"/>
    <n v="64.2"/>
    <m/>
    <x v="0"/>
    <n v="4"/>
    <m/>
    <x v="0"/>
    <n v="571.4"/>
    <n v="40.700000000000003"/>
    <n v="7"/>
    <n v="4"/>
    <x v="0"/>
    <n v="571.42857142857144"/>
    <n v="40.688826571428564"/>
  </r>
  <r>
    <s v="Tammin "/>
    <x v="0"/>
    <x v="0"/>
    <n v="1.98"/>
    <x v="8"/>
    <d v="2008-01-29T00:00:00"/>
    <x v="6"/>
    <x v="5"/>
    <d v="2008-02-05T00:00:00"/>
    <n v="60"/>
    <m/>
    <x v="0"/>
    <n v="9.3999999999999986"/>
    <m/>
    <x v="0"/>
    <n v="1342.8571428571427"/>
    <n v="77.553534142857131"/>
    <n v="7"/>
    <n v="9.3999999999999986"/>
    <x v="0"/>
    <n v="1342.8571428571427"/>
    <n v="77.553534142857131"/>
  </r>
  <r>
    <s v="Tammin "/>
    <x v="0"/>
    <x v="0"/>
    <n v="1.98"/>
    <x v="9"/>
    <d v="2008-01-29T00:00:00"/>
    <x v="7"/>
    <x v="0"/>
    <d v="2008-02-05T00:00:00"/>
    <n v="68.599999999999994"/>
    <m/>
    <x v="0"/>
    <n v="5.3999999999999915"/>
    <m/>
    <x v="0"/>
    <n v="771.42857142857019"/>
    <n v="51.174459571428514"/>
    <n v="7"/>
    <n v="5.3999999999999915"/>
    <x v="0"/>
    <n v="771.42857142857019"/>
    <n v="51.174459571428514"/>
  </r>
  <r>
    <s v="Tammin "/>
    <x v="0"/>
    <x v="0"/>
    <n v="1.98"/>
    <x v="10"/>
    <d v="2008-01-29T00:00:00"/>
    <x v="8"/>
    <x v="6"/>
    <d v="2008-02-05T00:00:00"/>
    <n v="65.2"/>
    <m/>
    <x v="0"/>
    <n v="8"/>
    <m/>
    <x v="0"/>
    <n v="1142.8571428571429"/>
    <n v="68.69116514285713"/>
    <n v="7"/>
    <n v="8"/>
    <x v="0"/>
    <n v="1142.8571428571429"/>
    <n v="68.69116514285713"/>
  </r>
  <r>
    <s v="Tammin "/>
    <x v="0"/>
    <x v="0"/>
    <n v="1.98"/>
    <x v="11"/>
    <d v="2008-01-29T00:00:00"/>
    <x v="9"/>
    <x v="3"/>
    <d v="2008-02-05T00:00:00"/>
    <n v="55.8"/>
    <m/>
    <x v="0"/>
    <n v="7.5999999999999943"/>
    <m/>
    <x v="0"/>
    <n v="1085.7142857142849"/>
    <n v="64.318394285714248"/>
    <n v="7"/>
    <n v="7.5999999999999943"/>
    <x v="0"/>
    <n v="1085.7142857142849"/>
    <n v="64.318394285714248"/>
  </r>
  <r>
    <s v="Tammin "/>
    <x v="0"/>
    <x v="0"/>
    <n v="1.98"/>
    <x v="12"/>
    <d v="2008-01-29T00:00:00"/>
    <x v="10"/>
    <x v="0"/>
    <d v="2008-02-05T00:00:00"/>
    <n v="67.8"/>
    <m/>
    <x v="0"/>
    <n v="1.3999999999999915"/>
    <m/>
    <x v="0"/>
    <n v="199.99999999999878"/>
    <n v="23.205938999999937"/>
    <n v="7"/>
    <n v="1.3999999999999915"/>
    <x v="0"/>
    <n v="199.99999999999878"/>
    <n v="23.205938999999937"/>
  </r>
  <r>
    <s v="Tammin "/>
    <x v="0"/>
    <x v="0"/>
    <n v="1.98"/>
    <x v="13"/>
    <d v="2008-01-29T00:00:00"/>
    <x v="11"/>
    <x v="2"/>
    <d v="2008-02-05T00:00:00"/>
    <n v="49.4"/>
    <m/>
    <x v="0"/>
    <n v="1"/>
    <m/>
    <x v="0"/>
    <n v="142.85714285714286"/>
    <n v="17.311358142857141"/>
    <n v="7"/>
    <n v="1"/>
    <x v="0"/>
    <n v="142.85714285714286"/>
    <n v="17.311358142857141"/>
  </r>
  <r>
    <s v="Tammin "/>
    <x v="0"/>
    <x v="0"/>
    <n v="1.98"/>
    <x v="14"/>
    <d v="2008-01-29T00:00:00"/>
    <x v="12"/>
    <x v="2"/>
    <d v="2008-02-05T00:00:00"/>
    <n v="59"/>
    <m/>
    <x v="0"/>
    <n v="6"/>
    <m/>
    <x v="0"/>
    <n v="857.14285714285711"/>
    <n v="53.726182857142852"/>
    <n v="7"/>
    <n v="6"/>
    <x v="0"/>
    <n v="857.14285714285711"/>
    <n v="53.726182857142852"/>
  </r>
  <r>
    <s v="Tammin "/>
    <x v="0"/>
    <x v="0"/>
    <n v="1.98"/>
    <x v="15"/>
    <d v="2008-01-29T00:00:00"/>
    <x v="13"/>
    <x v="2"/>
    <d v="2008-02-05T00:00:00"/>
    <n v="65"/>
    <m/>
    <x v="0"/>
    <n v="5"/>
    <m/>
    <x v="0"/>
    <n v="714.28571428571433"/>
    <n v="47.782410714285717"/>
    <n v="7"/>
    <n v="5"/>
    <x v="0"/>
    <n v="714.28571428571433"/>
    <n v="47.782410714285717"/>
  </r>
  <r>
    <s v="Tammin "/>
    <x v="0"/>
    <x v="0"/>
    <n v="1.98"/>
    <x v="16"/>
    <d v="2008-01-29T00:00:00"/>
    <x v="14"/>
    <x v="4"/>
    <d v="2008-02-05T00:00:00"/>
    <n v="69.8"/>
    <m/>
    <x v="0"/>
    <n v="5.5999999999999943"/>
    <m/>
    <x v="0"/>
    <n v="799.9999999999992"/>
    <n v="52.769029999999958"/>
    <n v="7"/>
    <n v="5.5999999999999943"/>
    <x v="0"/>
    <n v="799.9999999999992"/>
    <n v="52.769029999999958"/>
  </r>
  <r>
    <s v="Tammin "/>
    <x v="0"/>
    <x v="0"/>
    <n v="1.98"/>
    <x v="17"/>
    <d v="2008-01-29T00:00:00"/>
    <x v="15"/>
    <x v="0"/>
    <d v="2008-02-05T00:00:00"/>
    <n v="63.8"/>
    <m/>
    <x v="0"/>
    <n v="7.3999999999999986"/>
    <m/>
    <x v="0"/>
    <n v="1057.1428571428569"/>
    <n v="64.279451857142845"/>
    <n v="7"/>
    <n v="7.3999999999999986"/>
    <x v="0"/>
    <n v="1057.1428571428569"/>
    <n v="64.279451857142845"/>
  </r>
  <r>
    <s v="Tammin "/>
    <x v="0"/>
    <x v="0"/>
    <n v="1.98"/>
    <x v="18"/>
    <d v="2008-01-29T00:00:00"/>
    <x v="16"/>
    <x v="4"/>
    <d v="2008-02-05T00:00:00"/>
    <n v="67.599999999999994"/>
    <m/>
    <x v="0"/>
    <n v="3.5999999999999943"/>
    <m/>
    <x v="0"/>
    <n v="514.28571428571342"/>
    <n v="38.480407714285676"/>
    <n v="7"/>
    <n v="3.5999999999999943"/>
    <x v="0"/>
    <n v="514.28571428571342"/>
    <n v="38.480407714285676"/>
  </r>
  <r>
    <s v="Tammin "/>
    <x v="0"/>
    <x v="0"/>
    <n v="1.98"/>
    <x v="19"/>
    <d v="2008-01-29T00:00:00"/>
    <x v="0"/>
    <x v="0"/>
    <d v="2008-02-05T00:00:00"/>
    <n v="57.8"/>
    <m/>
    <x v="0"/>
    <n v="3.7999999999999972"/>
    <m/>
    <x v="0"/>
    <n v="542.85714285714243"/>
    <n v="38.214988142857123"/>
    <n v="7"/>
    <n v="3.7999999999999972"/>
    <x v="0"/>
    <n v="542.85714285714243"/>
    <n v="38.214988142857123"/>
  </r>
  <r>
    <s v="Tammin "/>
    <x v="0"/>
    <x v="0"/>
    <n v="1.98"/>
    <x v="20"/>
    <d v="2008-01-29T00:00:00"/>
    <x v="17"/>
    <x v="5"/>
    <d v="2008-02-05T00:00:00"/>
    <n v="64"/>
    <m/>
    <x v="0"/>
    <n v="4.7999999999999972"/>
    <m/>
    <x v="0"/>
    <n v="685.71428571428532"/>
    <n v="46.221658285714255"/>
    <n v="7"/>
    <n v="4.7999999999999972"/>
    <x v="0"/>
    <n v="685.71428571428532"/>
    <n v="46.221658285714255"/>
  </r>
  <r>
    <s v="Tammin "/>
    <x v="0"/>
    <x v="0"/>
    <n v="1.98"/>
    <x v="21"/>
    <d v="2008-01-29T00:00:00"/>
    <x v="18"/>
    <x v="5"/>
    <d v="2008-02-05T00:00:00"/>
    <n v="61.4"/>
    <m/>
    <x v="0"/>
    <n v="3.6000000000000014"/>
    <m/>
    <x v="0"/>
    <n v="514.28571428571445"/>
    <n v="37.432049714285725"/>
    <n v="7"/>
    <n v="3.6000000000000014"/>
    <x v="0"/>
    <n v="514.28571428571445"/>
    <n v="37.432049714285725"/>
  </r>
  <r>
    <s v="Tammin "/>
    <x v="0"/>
    <x v="0"/>
    <n v="1.98"/>
    <x v="22"/>
    <d v="2008-01-29T00:00:00"/>
    <x v="19"/>
    <x v="7"/>
    <d v="2008-02-05T00:00:00"/>
    <n v="64.8"/>
    <m/>
    <x v="0"/>
    <n v="8.5999999999999943"/>
    <m/>
    <x v="0"/>
    <n v="1228.5714285714278"/>
    <n v="72.798516428571389"/>
    <n v="7"/>
    <n v="8.5999999999999943"/>
    <x v="0"/>
    <n v="1228.5714285714278"/>
    <n v="72.798516428571389"/>
  </r>
  <r>
    <s v="Tammin "/>
    <x v="0"/>
    <x v="0"/>
    <n v="1.98"/>
    <x v="23"/>
    <d v="2008-01-29T00:00:00"/>
    <x v="20"/>
    <x v="3"/>
    <d v="2008-02-05T00:00:00"/>
    <n v="64.2"/>
    <m/>
    <x v="0"/>
    <n v="6.2000000000000028"/>
    <m/>
    <x v="0"/>
    <n v="885.71428571428612"/>
    <n v="55.997113285714299"/>
    <n v="7"/>
    <n v="6.2000000000000028"/>
    <x v="0"/>
    <n v="885.71428571428612"/>
    <n v="55.997113285714299"/>
  </r>
  <r>
    <s v="Tammin "/>
    <x v="0"/>
    <x v="0"/>
    <n v="1.98"/>
    <x v="24"/>
    <d v="2008-01-29T00:00:00"/>
    <x v="21"/>
    <x v="3"/>
    <d v="2008-02-05T00:00:00"/>
    <n v="67.8"/>
    <m/>
    <x v="0"/>
    <n v="0.79999999999999716"/>
    <m/>
    <x v="0"/>
    <n v="114.28571428571388"/>
    <n v="19.030951714285692"/>
    <n v="7"/>
    <n v="0.79999999999999716"/>
    <x v="0"/>
    <n v="114.28571428571388"/>
    <n v="19.030951714285692"/>
  </r>
  <r>
    <s v="Tammin "/>
    <x v="0"/>
    <x v="0"/>
    <n v="1.98"/>
    <x v="25"/>
    <d v="2008-01-29T00:00:00"/>
    <x v="22"/>
    <x v="4"/>
    <d v="2008-02-05T00:00:00"/>
    <n v="68.2"/>
    <m/>
    <x v="0"/>
    <n v="-2.3999999999999915"/>
    <m/>
    <x v="0"/>
    <n v="-342.85714285714164"/>
    <n v="-3.1680111428570825"/>
    <n v="7"/>
    <n v="-2.3999999999999915"/>
    <x v="0"/>
    <n v="-342.85714285714164"/>
    <n v="-3.1680111428570825"/>
  </r>
  <r>
    <s v="Tammin "/>
    <x v="0"/>
    <x v="0"/>
    <n v="1.98"/>
    <x v="26"/>
    <d v="2008-01-29T00:00:00"/>
    <x v="23"/>
    <x v="0"/>
    <d v="2008-02-05T00:00:00"/>
    <n v="67"/>
    <m/>
    <x v="0"/>
    <n v="5.3999999999999986"/>
    <m/>
    <x v="0"/>
    <n v="771.42857142857122"/>
    <n v="50.903915571428563"/>
    <n v="7"/>
    <n v="5.3999999999999986"/>
    <x v="0"/>
    <n v="771.42857142857122"/>
    <n v="50.903915571428563"/>
  </r>
  <r>
    <s v="Tammin "/>
    <x v="0"/>
    <x v="0"/>
    <n v="1.98"/>
    <x v="27"/>
    <d v="2008-01-29T00:00:00"/>
    <x v="13"/>
    <x v="0"/>
    <d v="2008-02-05T00:00:00"/>
    <n v="63"/>
    <m/>
    <x v="0"/>
    <n v="3"/>
    <m/>
    <x v="0"/>
    <n v="428.57142857142856"/>
    <n v="33.527606428571424"/>
    <n v="7"/>
    <n v="3"/>
    <x v="0"/>
    <n v="428.57142857142856"/>
    <n v="33.527606428571424"/>
  </r>
  <r>
    <s v="Tammin "/>
    <x v="0"/>
    <x v="0"/>
    <n v="1.98"/>
    <x v="28"/>
    <d v="2008-01-29T00:00:00"/>
    <x v="20"/>
    <x v="4"/>
    <d v="2008-02-05T00:00:00"/>
    <n v="62"/>
    <m/>
    <x v="0"/>
    <n v="4"/>
    <m/>
    <x v="0"/>
    <n v="571.42857142857144"/>
    <n v="40.316828571428566"/>
    <n v="7"/>
    <n v="4"/>
    <x v="0"/>
    <n v="571.42857142857144"/>
    <n v="40.316828571428566"/>
  </r>
  <r>
    <s v="Tammin "/>
    <x v="0"/>
    <x v="0"/>
    <n v="1.98"/>
    <x v="29"/>
    <d v="2008-01-29T00:00:00"/>
    <x v="24"/>
    <x v="0"/>
    <d v="2008-02-05T00:00:00"/>
    <n v="62"/>
    <m/>
    <x v="0"/>
    <n v="6.7999999999999972"/>
    <m/>
    <x v="0"/>
    <n v="971.42857142857099"/>
    <n v="59.800102571428546"/>
    <n v="7"/>
    <n v="6.7999999999999972"/>
    <x v="0"/>
    <n v="971.42857142857099"/>
    <n v="59.800102571428546"/>
  </r>
  <r>
    <s v="Tammin "/>
    <x v="0"/>
    <x v="0"/>
    <n v="1.98"/>
    <x v="30"/>
    <d v="2008-01-29T00:00:00"/>
    <x v="25"/>
    <x v="2"/>
    <d v="2008-02-05T00:00:00"/>
    <n v="60.4"/>
    <m/>
    <x v="0"/>
    <n v="-0.20000000000000284"/>
    <m/>
    <x v="0"/>
    <n v="-28.571428571428978"/>
    <n v="10.82137357142855"/>
    <n v="7"/>
    <n v="-0.20000000000000284"/>
    <x v="0"/>
    <n v="-28.571428571428978"/>
    <n v="10.82137357142855"/>
  </r>
  <r>
    <s v="Tammin "/>
    <x v="0"/>
    <x v="0"/>
    <n v="1.98"/>
    <x v="31"/>
    <d v="2008-01-29T00:00:00"/>
    <x v="26"/>
    <x v="5"/>
    <d v="2008-02-05T00:00:00"/>
    <n v="64.400000000000006"/>
    <m/>
    <x v="0"/>
    <n v="0"/>
    <m/>
    <x v="0"/>
    <n v="0"/>
    <n v="12.889396"/>
    <n v="7"/>
    <n v="0"/>
    <x v="0"/>
    <n v="0"/>
    <n v="12.889396"/>
  </r>
  <r>
    <s v="Tammin "/>
    <x v="0"/>
    <x v="0"/>
    <n v="1.98"/>
    <x v="32"/>
    <d v="2008-01-29T00:00:00"/>
    <x v="0"/>
    <x v="5"/>
    <d v="2008-02-05T00:00:00"/>
    <n v="61"/>
    <m/>
    <x v="0"/>
    <n v="7"/>
    <m/>
    <x v="0"/>
    <n v="1000"/>
    <n v="61.022674999999992"/>
    <n v="7"/>
    <n v="7"/>
    <x v="0"/>
    <n v="1000"/>
    <n v="61.022674999999992"/>
  </r>
  <r>
    <s v="Tammin "/>
    <x v="0"/>
    <x v="0"/>
    <n v="1.98"/>
    <x v="33"/>
    <d v="2008-01-29T00:00:00"/>
    <x v="27"/>
    <x v="2"/>
    <d v="2008-02-05T00:00:00"/>
    <n v="69.400000000000006"/>
    <m/>
    <x v="0"/>
    <n v="-1.5999999999999943"/>
    <m/>
    <x v="0"/>
    <n v="-228.57142857142776"/>
    <n v="2.6015465714286119"/>
    <n v="7"/>
    <n v="-1.5999999999999943"/>
    <x v="0"/>
    <n v="-228.57142857142776"/>
    <n v="2.6015465714286119"/>
  </r>
  <r>
    <s v="Tammin"/>
    <x v="1"/>
    <x v="1"/>
    <n v="3.96"/>
    <x v="34"/>
    <d v="2008-01-29T00:00:00"/>
    <x v="28"/>
    <x v="5"/>
    <d v="2008-02-05T00:00:00"/>
    <n v="56.4"/>
    <m/>
    <x v="0"/>
    <n v="5.6000000000000014"/>
    <m/>
    <x v="1"/>
    <n v="800.00000000000011"/>
    <n v="50.503224000000003"/>
    <n v="7"/>
    <n v="5.6000000000000014"/>
    <x v="1"/>
    <n v="800.00000000000011"/>
    <n v="50.503224000000003"/>
  </r>
  <r>
    <s v="Tammin"/>
    <x v="1"/>
    <x v="1"/>
    <n v="3.96"/>
    <x v="35"/>
    <d v="2008-01-29T00:00:00"/>
    <x v="29"/>
    <x v="5"/>
    <d v="2008-02-05T00:00:00"/>
    <n v="64.599999999999994"/>
    <m/>
    <x v="0"/>
    <n v="4.9999999999999929"/>
    <m/>
    <x v="1"/>
    <n v="714.28571428571331"/>
    <n v="47.714774714285667"/>
    <n v="7"/>
    <n v="4.9999999999999929"/>
    <x v="1"/>
    <n v="714.28571428571331"/>
    <n v="47.714774714285667"/>
  </r>
  <r>
    <s v="Tammin"/>
    <x v="1"/>
    <x v="1"/>
    <n v="3.96"/>
    <x v="36"/>
    <d v="2008-01-29T00:00:00"/>
    <x v="30"/>
    <x v="2"/>
    <d v="2008-02-05T00:00:00"/>
    <n v="58.6"/>
    <m/>
    <x v="0"/>
    <n v="4.8000000000000043"/>
    <m/>
    <x v="1"/>
    <n v="685.71428571428623"/>
    <n v="45.308572285714305"/>
    <n v="7"/>
    <n v="4.8000000000000043"/>
    <x v="1"/>
    <n v="685.71428571428623"/>
    <n v="45.308572285714305"/>
  </r>
  <r>
    <s v="Tammin"/>
    <x v="1"/>
    <x v="1"/>
    <n v="3.96"/>
    <x v="37"/>
    <d v="2008-01-29T00:00:00"/>
    <x v="31"/>
    <x v="0"/>
    <d v="2008-02-05T00:00:00"/>
    <n v="66"/>
    <m/>
    <x v="0"/>
    <n v="4.6000000000000014"/>
    <m/>
    <x v="1"/>
    <n v="657.14285714285734"/>
    <n v="45.16817585714287"/>
    <n v="7"/>
    <n v="4.6000000000000014"/>
    <x v="1"/>
    <n v="657.14285714285734"/>
    <n v="45.16817585714287"/>
  </r>
  <r>
    <s v="Tammin"/>
    <x v="1"/>
    <x v="1"/>
    <n v="3.96"/>
    <x v="38"/>
    <d v="2008-01-29T00:00:00"/>
    <x v="32"/>
    <x v="8"/>
    <d v="2008-02-05T00:00:00"/>
    <n v="60.2"/>
    <m/>
    <x v="0"/>
    <n v="5.2000000000000028"/>
    <m/>
    <x v="1"/>
    <n v="742.85714285714323"/>
    <n v="48.362441142857158"/>
    <n v="7"/>
    <n v="5.2000000000000028"/>
    <x v="1"/>
    <n v="742.85714285714323"/>
    <n v="48.362441142857158"/>
  </r>
  <r>
    <s v="Tammin"/>
    <x v="1"/>
    <x v="1"/>
    <n v="3.96"/>
    <x v="39"/>
    <d v="2008-01-29T00:00:00"/>
    <x v="33"/>
    <x v="0"/>
    <d v="2008-02-05T00:00:00"/>
    <n v="62.2"/>
    <m/>
    <x v="0"/>
    <n v="1.2000000000000028"/>
    <m/>
    <x v="1"/>
    <n v="171.42857142857184"/>
    <n v="20.867372571428589"/>
    <n v="7"/>
    <n v="1.2000000000000028"/>
    <x v="1"/>
    <n v="171.42857142857184"/>
    <n v="20.867372571428589"/>
  </r>
  <r>
    <s v="Tammin"/>
    <x v="1"/>
    <x v="1"/>
    <n v="3.96"/>
    <x v="40"/>
    <d v="2008-01-29T00:00:00"/>
    <x v="34"/>
    <x v="3"/>
    <d v="2008-02-05T00:00:00"/>
    <n v="55.4"/>
    <m/>
    <x v="0"/>
    <n v="3.7999999999999972"/>
    <m/>
    <x v="1"/>
    <n v="542.85714285714243"/>
    <n v="37.809172142857122"/>
    <n v="7"/>
    <n v="3.7999999999999972"/>
    <x v="1"/>
    <n v="542.85714285714243"/>
    <n v="37.809172142857122"/>
  </r>
  <r>
    <s v="Tammin"/>
    <x v="1"/>
    <x v="1"/>
    <n v="3.96"/>
    <x v="41"/>
    <d v="2008-01-29T00:00:00"/>
    <x v="5"/>
    <x v="5"/>
    <d v="2008-02-05T00:00:00"/>
    <n v="66.8"/>
    <m/>
    <x v="0"/>
    <n v="6.5999999999999943"/>
    <m/>
    <x v="1"/>
    <n v="942.85714285714209"/>
    <n v="59.220072142857099"/>
    <n v="7"/>
    <n v="6.5999999999999943"/>
    <x v="1"/>
    <n v="942.85714285714209"/>
    <n v="59.220072142857099"/>
  </r>
  <r>
    <s v="Tammin"/>
    <x v="1"/>
    <x v="1"/>
    <n v="3.96"/>
    <x v="42"/>
    <d v="2008-01-29T00:00:00"/>
    <x v="34"/>
    <x v="5"/>
    <d v="2008-02-05T00:00:00"/>
    <n v="56.8"/>
    <m/>
    <x v="0"/>
    <n v="5.1999999999999957"/>
    <m/>
    <x v="1"/>
    <n v="742.85714285714221"/>
    <n v="47.787535142857109"/>
    <n v="7"/>
    <n v="5.1999999999999957"/>
    <x v="1"/>
    <n v="742.85714285714221"/>
    <n v="47.787535142857109"/>
  </r>
  <r>
    <s v="Tammin"/>
    <x v="1"/>
    <x v="1"/>
    <n v="3.96"/>
    <x v="43"/>
    <d v="2008-01-29T00:00:00"/>
    <x v="5"/>
    <x v="5"/>
    <d v="2008-02-05T00:00:00"/>
    <n v="65.599999999999994"/>
    <m/>
    <x v="0"/>
    <n v="5.3999999999999915"/>
    <m/>
    <x v="1"/>
    <n v="771.42857142857019"/>
    <n v="50.667189571428509"/>
    <n v="7"/>
    <n v="5.3999999999999915"/>
    <x v="1"/>
    <n v="771.42857142857019"/>
    <n v="50.667189571428509"/>
  </r>
  <r>
    <s v="Tammin"/>
    <x v="1"/>
    <x v="1"/>
    <n v="3.96"/>
    <x v="44"/>
    <d v="2008-01-29T00:00:00"/>
    <x v="35"/>
    <x v="3"/>
    <d v="2008-02-05T00:00:00"/>
    <n v="62"/>
    <m/>
    <x v="0"/>
    <n v="7.3999999999999986"/>
    <m/>
    <x v="1"/>
    <n v="1057.1428571428569"/>
    <n v="63.975089857142848"/>
    <n v="7"/>
    <n v="7.3999999999999986"/>
    <x v="1"/>
    <n v="1057.1428571428569"/>
    <n v="63.975089857142848"/>
  </r>
  <r>
    <s v="Tammin"/>
    <x v="1"/>
    <x v="1"/>
    <n v="3.96"/>
    <x v="45"/>
    <d v="2008-01-29T00:00:00"/>
    <x v="36"/>
    <x v="0"/>
    <d v="2008-02-05T00:00:00"/>
    <n v="70.599999999999994"/>
    <m/>
    <x v="0"/>
    <n v="6"/>
    <m/>
    <x v="1"/>
    <n v="857.14285714285711"/>
    <n v="55.687626857142853"/>
    <n v="7"/>
    <n v="6"/>
    <x v="1"/>
    <n v="857.14285714285711"/>
    <n v="55.687626857142853"/>
  </r>
  <r>
    <s v="Tammin"/>
    <x v="1"/>
    <x v="1"/>
    <n v="3.96"/>
    <x v="46"/>
    <d v="2008-01-29T00:00:00"/>
    <x v="37"/>
    <x v="0"/>
    <d v="2008-02-05T00:00:00"/>
    <n v="69.400000000000006"/>
    <m/>
    <x v="0"/>
    <n v="6.6000000000000085"/>
    <m/>
    <x v="1"/>
    <n v="942.85714285714403"/>
    <n v="59.659706142857196"/>
    <n v="7"/>
    <n v="6.6000000000000085"/>
    <x v="1"/>
    <n v="942.85714285714403"/>
    <n v="59.659706142857196"/>
  </r>
  <r>
    <s v="Tammin"/>
    <x v="1"/>
    <x v="1"/>
    <n v="3.96"/>
    <x v="47"/>
    <d v="2008-01-29T00:00:00"/>
    <x v="38"/>
    <x v="8"/>
    <d v="2008-02-05T00:00:00"/>
    <n v="52.8"/>
    <m/>
    <x v="0"/>
    <n v="2.5999999999999943"/>
    <m/>
    <x v="1"/>
    <n v="371.42857142857059"/>
    <n v="29.019563571428527"/>
    <n v="7"/>
    <n v="2.5999999999999943"/>
    <x v="1"/>
    <n v="371.42857142857059"/>
    <n v="29.019563571428527"/>
  </r>
  <r>
    <s v="Tammin"/>
    <x v="1"/>
    <x v="1"/>
    <n v="3.96"/>
    <x v="48"/>
    <d v="2008-01-29T00:00:00"/>
    <x v="39"/>
    <x v="3"/>
    <d v="2008-02-05T00:00:00"/>
    <n v="68.2"/>
    <m/>
    <x v="0"/>
    <n v="7.4000000000000057"/>
    <m/>
    <x v="1"/>
    <n v="1057.142857142858"/>
    <n v="65.023447857142898"/>
    <n v="7"/>
    <n v="7.4000000000000057"/>
    <x v="1"/>
    <n v="1057.142857142858"/>
    <n v="65.023447857142898"/>
  </r>
  <r>
    <s v="Tammin"/>
    <x v="1"/>
    <x v="1"/>
    <n v="3.96"/>
    <x v="49"/>
    <d v="2008-01-29T00:00:00"/>
    <x v="40"/>
    <x v="4"/>
    <d v="2008-02-05T00:00:00"/>
    <n v="63.4"/>
    <m/>
    <x v="0"/>
    <n v="5.7999999999999972"/>
    <m/>
    <x v="1"/>
    <n v="828.57142857142821"/>
    <n v="53.078516428571405"/>
    <n v="7"/>
    <n v="5.7999999999999972"/>
    <x v="1"/>
    <n v="828.57142857142821"/>
    <n v="53.078516428571405"/>
  </r>
  <r>
    <s v="Tammin"/>
    <x v="1"/>
    <x v="1"/>
    <n v="3.96"/>
    <x v="50"/>
    <d v="2008-01-29T00:00:00"/>
    <x v="41"/>
    <x v="6"/>
    <d v="2008-02-05T00:00:00"/>
    <n v="69.8"/>
    <m/>
    <x v="0"/>
    <n v="1"/>
    <m/>
    <x v="1"/>
    <n v="142.85714285714286"/>
    <n v="20.76079414285714"/>
    <n v="7"/>
    <n v="1"/>
    <x v="1"/>
    <n v="142.85714285714286"/>
    <n v="20.76079414285714"/>
  </r>
  <r>
    <s v="Tammin"/>
    <x v="1"/>
    <x v="1"/>
    <n v="3.96"/>
    <x v="51"/>
    <d v="2008-01-29T00:00:00"/>
    <x v="40"/>
    <x v="3"/>
    <d v="2008-02-05T00:00:00"/>
    <n v="66"/>
    <m/>
    <x v="0"/>
    <n v="8.3999999999999986"/>
    <m/>
    <x v="1"/>
    <n v="1199.9999999999998"/>
    <n v="71.609761999999989"/>
    <n v="7"/>
    <n v="8.3999999999999986"/>
    <x v="1"/>
    <n v="1199.9999999999998"/>
    <n v="71.609761999999989"/>
  </r>
  <r>
    <s v="Tammin"/>
    <x v="1"/>
    <x v="1"/>
    <n v="3.96"/>
    <x v="52"/>
    <d v="2008-01-29T00:00:00"/>
    <x v="42"/>
    <x v="5"/>
    <d v="2008-02-05T00:00:00"/>
    <n v="62.8"/>
    <m/>
    <x v="0"/>
    <n v="7.3999999999999986"/>
    <m/>
    <x v="1"/>
    <n v="1057.1428571428569"/>
    <n v="64.110361857142834"/>
    <n v="7"/>
    <n v="7.3999999999999986"/>
    <x v="1"/>
    <n v="1057.1428571428569"/>
    <n v="64.110361857142834"/>
  </r>
  <r>
    <s v="Tammin"/>
    <x v="1"/>
    <x v="1"/>
    <n v="3.96"/>
    <x v="53"/>
    <d v="2008-01-29T00:00:00"/>
    <x v="30"/>
    <x v="3"/>
    <d v="2008-02-05T00:00:00"/>
    <n v="58"/>
    <m/>
    <x v="0"/>
    <n v="4.2000000000000028"/>
    <m/>
    <x v="1"/>
    <n v="600.00000000000045"/>
    <n v="41.032131000000021"/>
    <n v="7"/>
    <n v="4.2000000000000028"/>
    <x v="1"/>
    <n v="600.00000000000045"/>
    <n v="41.032131000000021"/>
  </r>
  <r>
    <s v="Tammin"/>
    <x v="1"/>
    <x v="1"/>
    <n v="3.96"/>
    <x v="54"/>
    <d v="2008-01-29T00:00:00"/>
    <x v="17"/>
    <x v="3"/>
    <d v="2008-02-05T00:00:00"/>
    <n v="61.6"/>
    <m/>
    <x v="0"/>
    <n v="2.3999999999999986"/>
    <m/>
    <x v="1"/>
    <n v="342.85714285714266"/>
    <n v="29.115893142857132"/>
    <n v="7"/>
    <n v="2.3999999999999986"/>
    <x v="1"/>
    <n v="342.85714285714266"/>
    <n v="29.115893142857132"/>
  </r>
  <r>
    <s v="Tammin"/>
    <x v="1"/>
    <x v="1"/>
    <n v="3.96"/>
    <x v="55"/>
    <d v="2008-01-29T00:00:00"/>
    <x v="20"/>
    <x v="5"/>
    <d v="2008-02-05T00:00:00"/>
    <n v="70.599999999999994"/>
    <m/>
    <x v="0"/>
    <n v="12.599999999999994"/>
    <m/>
    <x v="1"/>
    <n v="1799.9999999999991"/>
    <n v="101.61248699999996"/>
    <n v="7"/>
    <n v="12.599999999999994"/>
    <x v="1"/>
    <n v="1799.9999999999991"/>
    <n v="101.61248699999996"/>
  </r>
  <r>
    <s v="Tammin"/>
    <x v="1"/>
    <x v="1"/>
    <n v="3.96"/>
    <x v="56"/>
    <d v="2008-01-29T00:00:00"/>
    <x v="43"/>
    <x v="4"/>
    <d v="2008-02-05T00:00:00"/>
    <n v="71.8"/>
    <m/>
    <x v="0"/>
    <n v="3.7999999999999972"/>
    <m/>
    <x v="1"/>
    <n v="542.85714285714243"/>
    <n v="40.582248142857125"/>
    <n v="7"/>
    <n v="3.7999999999999972"/>
    <x v="1"/>
    <n v="542.85714285714243"/>
    <n v="40.582248142857125"/>
  </r>
  <r>
    <s v="Tammin"/>
    <x v="1"/>
    <x v="1"/>
    <n v="3.96"/>
    <x v="57"/>
    <d v="2008-01-29T00:00:00"/>
    <x v="36"/>
    <x v="4"/>
    <d v="2008-02-05T00:00:00"/>
    <n v="62.8"/>
    <m/>
    <x v="0"/>
    <n v="-1.7999999999999972"/>
    <m/>
    <x v="1"/>
    <n v="-257.14285714285671"/>
    <n v="9.3890142857162573E-2"/>
    <n v="7"/>
    <n v="-1.7999999999999972"/>
    <x v="1"/>
    <n v="-257.14285714285671"/>
    <n v="9.3890142857162573E-2"/>
  </r>
  <r>
    <s v="Tammin"/>
    <x v="1"/>
    <x v="1"/>
    <n v="3.96"/>
    <x v="58"/>
    <d v="2008-01-29T00:00:00"/>
    <x v="44"/>
    <x v="2"/>
    <d v="2008-02-05T00:00:00"/>
    <n v="55.8"/>
    <m/>
    <x v="0"/>
    <n v="-0.20000000000000284"/>
    <m/>
    <x v="1"/>
    <n v="-28.571428571428978"/>
    <n v="10.043559571428551"/>
    <n v="7"/>
    <n v="-0.20000000000000284"/>
    <x v="1"/>
    <n v="-28.571428571428978"/>
    <n v="10.043559571428551"/>
  </r>
  <r>
    <s v="Tammin"/>
    <x v="1"/>
    <x v="1"/>
    <n v="3.96"/>
    <x v="59"/>
    <d v="2008-01-29T00:00:00"/>
    <x v="37"/>
    <x v="2"/>
    <d v="2008-02-05T00:00:00"/>
    <n v="66"/>
    <m/>
    <x v="0"/>
    <n v="3.2000000000000028"/>
    <m/>
    <x v="1"/>
    <n v="457.14285714285757"/>
    <n v="35.42653885714288"/>
    <n v="7"/>
    <n v="3.2000000000000028"/>
    <x v="1"/>
    <n v="457.14285714285757"/>
    <n v="35.42653885714288"/>
  </r>
  <r>
    <s v="Tammin"/>
    <x v="1"/>
    <x v="1"/>
    <n v="3.96"/>
    <x v="60"/>
    <d v="2008-01-29T00:00:00"/>
    <x v="45"/>
    <x v="3"/>
    <d v="2008-02-05T00:00:00"/>
    <n v="63.6"/>
    <m/>
    <x v="0"/>
    <n v="4.6000000000000014"/>
    <m/>
    <x v="1"/>
    <n v="657.14285714285734"/>
    <n v="44.762359857142869"/>
    <n v="7"/>
    <n v="4.6000000000000014"/>
    <x v="1"/>
    <n v="657.14285714285734"/>
    <n v="44.762359857142869"/>
  </r>
  <r>
    <s v="Tammin"/>
    <x v="1"/>
    <x v="1"/>
    <n v="3.96"/>
    <x v="61"/>
    <d v="2008-01-29T00:00:00"/>
    <x v="15"/>
    <x v="2"/>
    <d v="2008-02-05T00:00:00"/>
    <n v="61"/>
    <m/>
    <x v="0"/>
    <n v="4.6000000000000014"/>
    <m/>
    <x v="1"/>
    <n v="657.14285714285734"/>
    <n v="44.322725857142871"/>
    <n v="7"/>
    <n v="4.6000000000000014"/>
    <x v="1"/>
    <n v="657.14285714285734"/>
    <n v="44.322725857142871"/>
  </r>
  <r>
    <s v="Tammin"/>
    <x v="1"/>
    <x v="1"/>
    <n v="3.96"/>
    <x v="62"/>
    <d v="2008-01-29T00:00:00"/>
    <x v="20"/>
    <x v="3"/>
    <d v="2008-02-05T00:00:00"/>
    <n v="62.4"/>
    <m/>
    <x v="0"/>
    <n v="4.3999999999999986"/>
    <m/>
    <x v="1"/>
    <n v="628.57142857142833"/>
    <n v="43.167789428571417"/>
    <n v="7"/>
    <n v="4.3999999999999986"/>
    <x v="1"/>
    <n v="628.57142857142833"/>
    <n v="43.167789428571417"/>
  </r>
  <r>
    <s v="Tammin"/>
    <x v="1"/>
    <x v="1"/>
    <n v="3.96"/>
    <x v="63"/>
    <d v="2008-01-29T00:00:00"/>
    <x v="44"/>
    <x v="4"/>
    <d v="2008-02-05T00:00:00"/>
    <n v="63"/>
    <m/>
    <x v="0"/>
    <n v="7"/>
    <m/>
    <x v="1"/>
    <n v="1000"/>
    <n v="61.360855000000001"/>
    <n v="7"/>
    <n v="7"/>
    <x v="1"/>
    <n v="1000"/>
    <n v="61.360855000000001"/>
  </r>
  <r>
    <s v="Tammin"/>
    <x v="1"/>
    <x v="1"/>
    <n v="3.96"/>
    <x v="64"/>
    <d v="2008-01-29T00:00:00"/>
    <x v="46"/>
    <x v="5"/>
    <d v="2008-02-05T00:00:00"/>
    <n v="66"/>
    <m/>
    <x v="0"/>
    <n v="2.2000000000000028"/>
    <m/>
    <x v="1"/>
    <n v="314.28571428571468"/>
    <n v="28.468226714285734"/>
    <n v="7"/>
    <n v="2.2000000000000028"/>
    <x v="1"/>
    <n v="314.28571428571468"/>
    <n v="28.468226714285734"/>
  </r>
  <r>
    <s v="Tammin"/>
    <x v="1"/>
    <x v="1"/>
    <n v="3.96"/>
    <x v="65"/>
    <d v="2008-01-29T00:00:00"/>
    <x v="47"/>
    <x v="5"/>
    <d v="2008-02-05T00:00:00"/>
    <n v="63.2"/>
    <m/>
    <x v="0"/>
    <n v="5"/>
    <m/>
    <x v="1"/>
    <n v="714.28571428571433"/>
    <n v="47.478048714285713"/>
    <n v="7"/>
    <n v="5"/>
    <x v="1"/>
    <n v="714.28571428571433"/>
    <n v="47.478048714285713"/>
  </r>
  <r>
    <s v="Tammin"/>
    <x v="1"/>
    <x v="1"/>
    <n v="3.96"/>
    <x v="66"/>
    <d v="2008-01-29T00:00:00"/>
    <x v="48"/>
    <x v="2"/>
    <d v="2008-02-05T00:00:00"/>
    <n v="56"/>
    <m/>
    <x v="0"/>
    <n v="5"/>
    <m/>
    <x v="1"/>
    <n v="714.28571428571433"/>
    <n v="46.260600714285715"/>
    <n v="7"/>
    <n v="5"/>
    <x v="1"/>
    <n v="714.28571428571433"/>
    <n v="46.260600714285715"/>
  </r>
  <r>
    <s v="Tammin"/>
    <x v="1"/>
    <x v="1"/>
    <n v="3.96"/>
    <x v="67"/>
    <d v="2008-01-29T00:00:00"/>
    <x v="18"/>
    <x v="3"/>
    <d v="2008-02-05T00:00:00"/>
    <n v="61.6"/>
    <m/>
    <x v="0"/>
    <n v="3.8000000000000043"/>
    <m/>
    <x v="1"/>
    <n v="542.85714285714346"/>
    <n v="38.857530142857172"/>
    <n v="7"/>
    <n v="3.8000000000000043"/>
    <x v="1"/>
    <n v="542.85714285714346"/>
    <n v="38.857530142857172"/>
  </r>
  <r>
    <s v="Warradarge"/>
    <x v="2"/>
    <x v="2"/>
    <n v="2.2000000000000002"/>
    <x v="68"/>
    <d v="2015-12-08T00:00:00"/>
    <x v="13"/>
    <x v="6"/>
    <d v="2015-12-21T00:00:00"/>
    <n v="64"/>
    <n v="3.5"/>
    <x v="1"/>
    <n v="4"/>
    <n v="0"/>
    <x v="2"/>
    <n v="307.69230769230774"/>
    <n v="27.652810769230769"/>
    <n v="13"/>
    <n v="4"/>
    <x v="2"/>
    <n v="307.69230769230774"/>
    <n v="27.652810769230769"/>
  </r>
  <r>
    <s v="Warradarge"/>
    <x v="2"/>
    <x v="2"/>
    <n v="2.2000000000000002"/>
    <x v="69"/>
    <d v="2015-12-08T00:00:00"/>
    <x v="13"/>
    <x v="4"/>
    <d v="2015-12-21T00:00:00"/>
    <n v="64"/>
    <n v="3.5"/>
    <x v="1"/>
    <n v="4"/>
    <n v="0.5"/>
    <x v="2"/>
    <n v="307.69230769230774"/>
    <n v="27.652810769230769"/>
    <n v="13"/>
    <n v="4"/>
    <x v="2"/>
    <n v="307.69230769230774"/>
    <n v="27.652810769230769"/>
  </r>
  <r>
    <s v="Warradarge"/>
    <x v="2"/>
    <x v="2"/>
    <n v="2.2000000000000002"/>
    <x v="70"/>
    <d v="2015-12-08T00:00:00"/>
    <x v="49"/>
    <x v="6"/>
    <d v="2015-12-21T00:00:00"/>
    <n v="67"/>
    <n v="4"/>
    <x v="1"/>
    <n v="4.5"/>
    <n v="0.5"/>
    <x v="2"/>
    <n v="346.15384615384613"/>
    <n v="30.013962115384611"/>
    <n v="13"/>
    <n v="4.5"/>
    <x v="2"/>
    <n v="346.15384615384613"/>
    <n v="30.013962115384611"/>
  </r>
  <r>
    <s v="Warradarge"/>
    <x v="2"/>
    <x v="2"/>
    <n v="2.2000000000000002"/>
    <x v="71"/>
    <d v="2015-12-08T00:00:00"/>
    <x v="20"/>
    <x v="6"/>
    <d v="2015-12-21T00:00:00"/>
    <n v="62.5"/>
    <n v="3.5"/>
    <x v="1"/>
    <n v="4.5"/>
    <n v="0"/>
    <x v="2"/>
    <n v="346.15384615384613"/>
    <n v="29.253057115384614"/>
    <n v="13"/>
    <n v="4.5"/>
    <x v="2"/>
    <n v="346.15384615384613"/>
    <n v="29.253057115384614"/>
  </r>
  <r>
    <s v="Warradarge"/>
    <x v="2"/>
    <x v="2"/>
    <n v="2.2000000000000002"/>
    <x v="72"/>
    <d v="2015-12-08T00:00:00"/>
    <x v="50"/>
    <x v="4"/>
    <d v="2015-12-21T00:00:00"/>
    <n v="62.5"/>
    <n v="3"/>
    <x v="1"/>
    <n v="5"/>
    <n v="0"/>
    <x v="2"/>
    <n v="384.61538461538464"/>
    <n v="31.106938461538459"/>
    <n v="13"/>
    <n v="5"/>
    <x v="2"/>
    <n v="384.61538461538464"/>
    <n v="31.106938461538459"/>
  </r>
  <r>
    <s v="Warradarge"/>
    <x v="2"/>
    <x v="2"/>
    <n v="2.2000000000000002"/>
    <x v="73"/>
    <d v="2015-12-08T00:00:00"/>
    <x v="51"/>
    <x v="4"/>
    <d v="2015-12-21T00:00:00"/>
    <n v="58"/>
    <n v="3"/>
    <x v="1"/>
    <n v="-1.5"/>
    <n v="0"/>
    <x v="2"/>
    <n v="-115.38461538461539"/>
    <n v="6.2455759615384601"/>
    <n v="13"/>
    <n v="-1.5"/>
    <x v="2"/>
    <n v="-115.38461538461539"/>
    <n v="6.2455759615384601"/>
  </r>
  <r>
    <s v="Warradarge"/>
    <x v="2"/>
    <x v="2"/>
    <n v="2.2000000000000002"/>
    <x v="74"/>
    <d v="2015-12-08T00:00:00"/>
    <x v="52"/>
    <x v="4"/>
    <d v="2015-12-21T00:00:00"/>
    <n v="68"/>
    <n v="3.5"/>
    <x v="1"/>
    <n v="6"/>
    <n v="0.5"/>
    <x v="2"/>
    <n v="461.53846153846155"/>
    <n v="35.744696153846157"/>
    <n v="13"/>
    <n v="6"/>
    <x v="2"/>
    <n v="461.53846153846155"/>
    <n v="35.744696153846157"/>
  </r>
  <r>
    <s v="Warradarge"/>
    <x v="2"/>
    <x v="2"/>
    <n v="2.2000000000000002"/>
    <x v="75"/>
    <d v="2015-12-08T00:00:00"/>
    <x v="53"/>
    <x v="4"/>
    <d v="2015-12-21T00:00:00"/>
    <n v="62.5"/>
    <n v="3"/>
    <x v="1"/>
    <n v="4"/>
    <n v="0"/>
    <x v="2"/>
    <n v="307.69230769230774"/>
    <n v="27.399175769230766"/>
    <n v="13"/>
    <n v="4"/>
    <x v="2"/>
    <n v="307.69230769230774"/>
    <n v="27.399175769230766"/>
  </r>
  <r>
    <s v="Warradarge"/>
    <x v="2"/>
    <x v="2"/>
    <n v="2.2000000000000002"/>
    <x v="76"/>
    <d v="2015-12-08T00:00:00"/>
    <x v="45"/>
    <x v="4"/>
    <d v="2015-12-21T00:00:00"/>
    <n v="62.5"/>
    <n v="3.5"/>
    <x v="1"/>
    <n v="3.5"/>
    <n v="0.5"/>
    <x v="2"/>
    <n v="269.23076923076923"/>
    <n v="25.545294423076921"/>
    <n v="13"/>
    <n v="3.5"/>
    <x v="2"/>
    <n v="269.23076923076923"/>
    <n v="25.545294423076921"/>
  </r>
  <r>
    <s v="Warradarge"/>
    <x v="2"/>
    <x v="2"/>
    <n v="2.2000000000000002"/>
    <x v="77"/>
    <d v="2015-12-08T00:00:00"/>
    <x v="54"/>
    <x v="4"/>
    <d v="2015-12-21T00:00:00"/>
    <n v="62.5"/>
    <n v="3"/>
    <x v="1"/>
    <n v="5.5"/>
    <n v="0"/>
    <x v="2"/>
    <n v="423.07692307692309"/>
    <n v="32.960819807692303"/>
    <n v="13"/>
    <n v="5.5"/>
    <x v="2"/>
    <n v="423.07692307692309"/>
    <n v="32.960819807692303"/>
  </r>
  <r>
    <s v="Warradarge"/>
    <x v="2"/>
    <x v="2"/>
    <n v="2.2000000000000002"/>
    <x v="78"/>
    <d v="2015-12-08T00:00:00"/>
    <x v="55"/>
    <x v="4"/>
    <d v="2015-12-21T00:00:00"/>
    <n v="63.5"/>
    <n v="3"/>
    <x v="1"/>
    <n v="3"/>
    <n v="0"/>
    <x v="2"/>
    <n v="230.76923076923077"/>
    <n v="23.860503076923077"/>
    <n v="13"/>
    <n v="3"/>
    <x v="2"/>
    <n v="230.76923076923077"/>
    <n v="23.860503076923077"/>
  </r>
  <r>
    <s v="Warradarge"/>
    <x v="2"/>
    <x v="2"/>
    <n v="2.2000000000000002"/>
    <x v="79"/>
    <d v="2015-12-08T00:00:00"/>
    <x v="55"/>
    <x v="4"/>
    <d v="2015-12-21T00:00:00"/>
    <n v="67"/>
    <n v="3.5"/>
    <x v="1"/>
    <n v="6.5"/>
    <n v="0.5"/>
    <x v="2"/>
    <n v="500"/>
    <n v="37.4294875"/>
    <n v="13"/>
    <n v="6.5"/>
    <x v="2"/>
    <n v="500"/>
    <n v="37.4294875"/>
  </r>
  <r>
    <s v="Warradarge"/>
    <x v="2"/>
    <x v="2"/>
    <n v="2.2000000000000002"/>
    <x v="80"/>
    <d v="2015-12-08T00:00:00"/>
    <x v="51"/>
    <x v="0"/>
    <d v="2015-12-21T00:00:00"/>
    <n v="59"/>
    <n v="3"/>
    <x v="1"/>
    <n v="-0.5"/>
    <n v="0.5"/>
    <x v="2"/>
    <n v="-38.461538461538467"/>
    <n v="10.122428653846153"/>
    <n v="13"/>
    <n v="-0.5"/>
    <x v="2"/>
    <n v="-38.461538461538467"/>
    <n v="10.122428653846153"/>
  </r>
  <r>
    <s v="Warradarge"/>
    <x v="2"/>
    <x v="2"/>
    <n v="2.2000000000000002"/>
    <x v="81"/>
    <d v="2015-12-08T00:00:00"/>
    <x v="20"/>
    <x v="4"/>
    <d v="2015-12-21T00:00:00"/>
    <n v="60.5"/>
    <n v="3"/>
    <x v="1"/>
    <n v="2.5"/>
    <n v="0"/>
    <x v="2"/>
    <n v="192.30769230769232"/>
    <n v="21.499351730769227"/>
    <n v="13"/>
    <n v="2.5"/>
    <x v="2"/>
    <n v="192.30769230769232"/>
    <n v="21.499351730769227"/>
  </r>
  <r>
    <s v="Warradarge"/>
    <x v="2"/>
    <x v="2"/>
    <n v="2.2000000000000002"/>
    <x v="82"/>
    <d v="2015-12-08T00:00:00"/>
    <x v="56"/>
    <x v="4"/>
    <d v="2015-12-21T00:00:00"/>
    <n v="69"/>
    <n v="3.5"/>
    <x v="1"/>
    <n v="5.5"/>
    <n v="0.5"/>
    <x v="2"/>
    <n v="423.07692307692309"/>
    <n v="34.059904807692305"/>
    <n v="13"/>
    <n v="5.5"/>
    <x v="2"/>
    <n v="423.07692307692309"/>
    <n v="34.059904807692305"/>
  </r>
  <r>
    <s v="Warradarge"/>
    <x v="2"/>
    <x v="2"/>
    <n v="2.2000000000000002"/>
    <x v="83"/>
    <d v="2015-12-08T00:00:00"/>
    <x v="55"/>
    <x v="4"/>
    <d v="2015-12-21T00:00:00"/>
    <n v="66"/>
    <n v="3.5"/>
    <x v="1"/>
    <n v="5.5"/>
    <n v="0.5"/>
    <x v="2"/>
    <n v="423.07692307692309"/>
    <n v="33.552634807692307"/>
    <n v="13"/>
    <n v="5.5"/>
    <x v="2"/>
    <n v="423.07692307692309"/>
    <n v="33.552634807692307"/>
  </r>
  <r>
    <s v="Warradarge"/>
    <x v="2"/>
    <x v="2"/>
    <n v="2.2000000000000002"/>
    <x v="84"/>
    <d v="2015-12-08T00:00:00"/>
    <x v="53"/>
    <x v="4"/>
    <d v="2015-12-21T00:00:00"/>
    <n v="64.5"/>
    <n v="3.5"/>
    <x v="1"/>
    <n v="6"/>
    <n v="0.5"/>
    <x v="2"/>
    <n v="461.53846153846155"/>
    <n v="35.152881153846153"/>
    <n v="13"/>
    <n v="6"/>
    <x v="2"/>
    <n v="461.53846153846155"/>
    <n v="35.152881153846153"/>
  </r>
  <r>
    <s v="Warradarge"/>
    <x v="2"/>
    <x v="2"/>
    <n v="2.2000000000000002"/>
    <x v="85"/>
    <d v="2015-12-08T00:00:00"/>
    <x v="13"/>
    <x v="4"/>
    <d v="2015-12-21T00:00:00"/>
    <n v="65"/>
    <n v="3.5"/>
    <x v="1"/>
    <n v="5"/>
    <n v="0.5"/>
    <x v="2"/>
    <n v="384.61538461538464"/>
    <n v="31.529663461538462"/>
    <n v="13"/>
    <n v="5"/>
    <x v="2"/>
    <n v="384.61538461538464"/>
    <n v="31.529663461538462"/>
  </r>
  <r>
    <s v="Warradarge"/>
    <x v="2"/>
    <x v="2"/>
    <n v="2.2000000000000002"/>
    <x v="86"/>
    <d v="2015-12-08T00:00:00"/>
    <x v="51"/>
    <x v="4"/>
    <d v="2015-12-21T00:00:00"/>
    <n v="65.5"/>
    <n v="3"/>
    <x v="1"/>
    <n v="6"/>
    <n v="0"/>
    <x v="2"/>
    <n v="461.53846153846155"/>
    <n v="35.321971153846157"/>
    <n v="13"/>
    <n v="6"/>
    <x v="2"/>
    <n v="461.53846153846155"/>
    <n v="35.321971153846157"/>
  </r>
  <r>
    <s v="Warradarge"/>
    <x v="2"/>
    <x v="2"/>
    <n v="2.2000000000000002"/>
    <x v="87"/>
    <d v="2015-12-08T00:00:00"/>
    <x v="52"/>
    <x v="4"/>
    <d v="2015-12-21T00:00:00"/>
    <n v="68"/>
    <n v="3.5"/>
    <x v="1"/>
    <n v="6"/>
    <n v="0.5"/>
    <x v="2"/>
    <n v="461.53846153846155"/>
    <n v="35.744696153846157"/>
    <n v="13"/>
    <n v="6"/>
    <x v="2"/>
    <n v="461.53846153846155"/>
    <n v="35.744696153846157"/>
  </r>
  <r>
    <s v="Warradarge"/>
    <x v="2"/>
    <x v="2"/>
    <n v="2.2000000000000002"/>
    <x v="88"/>
    <d v="2015-12-08T00:00:00"/>
    <x v="55"/>
    <x v="4"/>
    <d v="2015-12-21T00:00:00"/>
    <n v="66"/>
    <n v="3.5"/>
    <x v="1"/>
    <n v="5.5"/>
    <n v="0.5"/>
    <x v="2"/>
    <n v="423.07692307692309"/>
    <n v="33.552634807692307"/>
    <n v="13"/>
    <n v="5.5"/>
    <x v="2"/>
    <n v="423.07692307692309"/>
    <n v="33.552634807692307"/>
  </r>
  <r>
    <s v="Warradarge"/>
    <x v="2"/>
    <x v="2"/>
    <n v="2.2000000000000002"/>
    <x v="89"/>
    <d v="2015-12-08T00:00:00"/>
    <x v="49"/>
    <x v="4"/>
    <d v="2015-12-21T00:00:00"/>
    <n v="67"/>
    <n v="3.5"/>
    <x v="1"/>
    <n v="4.5"/>
    <n v="0.5"/>
    <x v="2"/>
    <n v="346.15384615384613"/>
    <n v="30.013962115384611"/>
    <n v="13"/>
    <n v="4.5"/>
    <x v="2"/>
    <n v="346.15384615384613"/>
    <n v="30.013962115384611"/>
  </r>
  <r>
    <s v="Warradarge"/>
    <x v="2"/>
    <x v="2"/>
    <n v="2.2000000000000002"/>
    <x v="90"/>
    <d v="2015-12-08T00:00:00"/>
    <x v="55"/>
    <x v="4"/>
    <d v="2015-12-21T00:00:00"/>
    <n v="66.5"/>
    <n v="3.5"/>
    <x v="1"/>
    <n v="6"/>
    <n v="0.5"/>
    <x v="2"/>
    <n v="461.53846153846155"/>
    <n v="35.491061153846154"/>
    <n v="13"/>
    <n v="6"/>
    <x v="2"/>
    <n v="461.53846153846155"/>
    <n v="35.491061153846154"/>
  </r>
  <r>
    <s v="Warradarge"/>
    <x v="2"/>
    <x v="2"/>
    <n v="2.2000000000000002"/>
    <x v="91"/>
    <d v="2015-12-08T00:00:00"/>
    <x v="13"/>
    <x v="4"/>
    <d v="2015-12-21T00:00:00"/>
    <n v="61"/>
    <n v="3"/>
    <x v="1"/>
    <n v="1"/>
    <n v="0"/>
    <x v="2"/>
    <n v="76.923076923076934"/>
    <n v="16.022252692307692"/>
    <n v="13"/>
    <n v="1"/>
    <x v="2"/>
    <n v="76.923076923076934"/>
    <n v="16.022252692307692"/>
  </r>
  <r>
    <s v="Warradarge"/>
    <x v="2"/>
    <x v="2"/>
    <n v="2.2000000000000002"/>
    <x v="92"/>
    <d v="2015-12-08T00:00:00"/>
    <x v="45"/>
    <x v="4"/>
    <d v="2015-12-21T00:00:00"/>
    <n v="62.5"/>
    <n v="3.5"/>
    <x v="1"/>
    <n v="3.5"/>
    <n v="0.5"/>
    <x v="2"/>
    <n v="269.23076923076923"/>
    <n v="25.545294423076921"/>
    <n v="13"/>
    <n v="3.5"/>
    <x v="2"/>
    <n v="269.23076923076923"/>
    <n v="25.545294423076921"/>
  </r>
  <r>
    <s v="Warradarge"/>
    <x v="2"/>
    <x v="2"/>
    <n v="2.2000000000000002"/>
    <x v="93"/>
    <d v="2015-12-08T00:00:00"/>
    <x v="56"/>
    <x v="6"/>
    <d v="2015-12-21T00:00:00"/>
    <n v="71"/>
    <n v="4"/>
    <x v="1"/>
    <n v="7.5"/>
    <n v="0.5"/>
    <x v="2"/>
    <n v="576.92307692307691"/>
    <n v="41.813610192307692"/>
    <n v="13"/>
    <n v="7.5"/>
    <x v="2"/>
    <n v="576.92307692307691"/>
    <n v="41.813610192307692"/>
  </r>
  <r>
    <s v="Warradarge"/>
    <x v="2"/>
    <x v="2"/>
    <n v="2.2000000000000002"/>
    <x v="94"/>
    <d v="2015-12-08T00:00:00"/>
    <x v="51"/>
    <x v="4"/>
    <d v="2015-12-21T00:00:00"/>
    <n v="65.5"/>
    <n v="3.5"/>
    <x v="1"/>
    <n v="6"/>
    <n v="0.5"/>
    <x v="2"/>
    <n v="461.53846153846155"/>
    <n v="35.321971153846157"/>
    <n v="13"/>
    <n v="6"/>
    <x v="2"/>
    <n v="461.53846153846155"/>
    <n v="35.321971153846157"/>
  </r>
  <r>
    <s v="Warradarge"/>
    <x v="2"/>
    <x v="2"/>
    <n v="2.2000000000000002"/>
    <x v="95"/>
    <d v="2015-12-08T00:00:00"/>
    <x v="53"/>
    <x v="6"/>
    <d v="2015-12-21T00:00:00"/>
    <n v="59.5"/>
    <n v="3.5"/>
    <x v="1"/>
    <n v="1"/>
    <n v="0"/>
    <x v="2"/>
    <n v="76.923076923076934"/>
    <n v="15.768617692307693"/>
    <n v="13"/>
    <n v="1"/>
    <x v="2"/>
    <n v="76.923076923076934"/>
    <n v="15.768617692307693"/>
  </r>
  <r>
    <s v="Warradarge"/>
    <x v="2"/>
    <x v="2"/>
    <n v="2.2000000000000002"/>
    <x v="96"/>
    <d v="2015-12-08T00:00:00"/>
    <x v="57"/>
    <x v="6"/>
    <d v="2015-12-21T00:00:00"/>
    <n v="70"/>
    <n v="4"/>
    <x v="1"/>
    <n v="5.5"/>
    <n v="0.5"/>
    <x v="2"/>
    <n v="423.07692307692309"/>
    <n v="34.228994807692303"/>
    <n v="13"/>
    <n v="5.5"/>
    <x v="2"/>
    <n v="423.07692307692309"/>
    <n v="34.228994807692303"/>
  </r>
  <r>
    <s v="Warradarge"/>
    <x v="2"/>
    <x v="2"/>
    <n v="2.2000000000000002"/>
    <x v="97"/>
    <d v="2015-12-08T00:00:00"/>
    <x v="54"/>
    <x v="6"/>
    <d v="2015-12-21T00:00:00"/>
    <n v="60.5"/>
    <n v="3.5"/>
    <x v="1"/>
    <n v="3.5"/>
    <n v="0"/>
    <x v="2"/>
    <n v="269.23076923076923"/>
    <n v="25.20711442307692"/>
    <n v="13"/>
    <n v="3.5"/>
    <x v="2"/>
    <n v="269.23076923076923"/>
    <n v="25.20711442307692"/>
  </r>
  <r>
    <s v="Merredin"/>
    <x v="3"/>
    <x v="3"/>
    <n v="3.16"/>
    <x v="98"/>
    <d v="2016-01-05T00:00:00"/>
    <x v="58"/>
    <x v="9"/>
    <d v="2016-01-19T00:00:00"/>
    <n v="78"/>
    <n v="5"/>
    <x v="2"/>
    <n v="4"/>
    <n v="1"/>
    <x v="3"/>
    <n v="285.71428571428572"/>
    <n v="28.936554285714283"/>
    <n v="14"/>
    <n v="4"/>
    <x v="3"/>
    <n v="285.71428571428572"/>
    <n v="28.936554285714283"/>
  </r>
  <r>
    <s v="Merredin"/>
    <x v="3"/>
    <x v="3"/>
    <n v="3.16"/>
    <x v="99"/>
    <d v="2016-01-05T00:00:00"/>
    <x v="59"/>
    <x v="10"/>
    <d v="2016-01-19T00:00:00"/>
    <n v="77"/>
    <n v="5"/>
    <x v="2"/>
    <n v="-1"/>
    <n v="0"/>
    <x v="3"/>
    <n v="-71.428571428571431"/>
    <n v="11.583046428571429"/>
    <n v="14"/>
    <n v="-1"/>
    <x v="3"/>
    <n v="-71.428571428571431"/>
    <n v="11.583046428571429"/>
  </r>
  <r>
    <s v="Merredin"/>
    <x v="3"/>
    <x v="3"/>
    <n v="3.16"/>
    <x v="100"/>
    <d v="2016-01-05T00:00:00"/>
    <x v="60"/>
    <x v="10"/>
    <d v="2016-01-19T00:00:00"/>
    <n v="74"/>
    <n v="4"/>
    <x v="2"/>
    <n v="-0.5"/>
    <n v="-1"/>
    <x v="3"/>
    <n v="-35.714285714285715"/>
    <n v="12.794218214285713"/>
    <n v="14"/>
    <n v="-0.5"/>
    <x v="3"/>
    <n v="-35.714285714285715"/>
    <n v="12.794218214285713"/>
  </r>
  <r>
    <s v="Merredin"/>
    <x v="3"/>
    <x v="3"/>
    <n v="3.16"/>
    <x v="101"/>
    <d v="2016-01-05T00:00:00"/>
    <x v="61"/>
    <x v="9"/>
    <d v="2016-01-19T00:00:00"/>
    <n v="78"/>
    <n v="4"/>
    <x v="2"/>
    <n v="1.5"/>
    <n v="0"/>
    <x v="3"/>
    <n v="107.14285714285714"/>
    <n v="20.344345357142856"/>
    <n v="14"/>
    <n v="1.5"/>
    <x v="3"/>
    <n v="107.14285714285714"/>
    <n v="20.344345357142856"/>
  </r>
  <r>
    <s v="Merredin"/>
    <x v="3"/>
    <x v="3"/>
    <n v="3.16"/>
    <x v="102"/>
    <d v="2016-01-05T00:00:00"/>
    <x v="62"/>
    <x v="4"/>
    <d v="2016-01-19T00:00:00"/>
    <n v="75"/>
    <n v="3"/>
    <x v="2"/>
    <n v="-0.5"/>
    <n v="0"/>
    <x v="3"/>
    <n v="-35.714285714285715"/>
    <n v="12.963308214285712"/>
    <n v="14"/>
    <n v="-0.5"/>
    <x v="3"/>
    <n v="-35.714285714285715"/>
    <n v="12.963308214285712"/>
  </r>
  <r>
    <s v="Merredin"/>
    <x v="3"/>
    <x v="3"/>
    <n v="3.16"/>
    <x v="103"/>
    <d v="2016-01-05T00:00:00"/>
    <x v="59"/>
    <x v="4"/>
    <d v="2016-01-19T00:00:00"/>
    <n v="81"/>
    <n v="3"/>
    <x v="2"/>
    <n v="3"/>
    <n v="0"/>
    <x v="3"/>
    <n v="214.28571428571428"/>
    <n v="26.006940714285712"/>
    <n v="14"/>
    <n v="3"/>
    <x v="3"/>
    <n v="214.28571428571428"/>
    <n v="26.006940714285712"/>
  </r>
  <r>
    <s v="Merredin"/>
    <x v="3"/>
    <x v="3"/>
    <n v="3.16"/>
    <x v="104"/>
    <d v="2016-01-05T00:00:00"/>
    <x v="63"/>
    <x v="4"/>
    <d v="2016-01-19T00:00:00"/>
    <n v="77.5"/>
    <n v="4"/>
    <x v="2"/>
    <n v="0"/>
    <n v="1"/>
    <x v="3"/>
    <n v="0"/>
    <n v="15.104474999999999"/>
    <n v="14"/>
    <n v="0"/>
    <x v="3"/>
    <n v="0"/>
    <n v="15.104474999999999"/>
  </r>
  <r>
    <s v="Merredin"/>
    <x v="3"/>
    <x v="3"/>
    <n v="3.16"/>
    <x v="105"/>
    <d v="2016-01-05T00:00:00"/>
    <x v="64"/>
    <x v="9"/>
    <d v="2016-01-19T00:00:00"/>
    <n v="73"/>
    <n v="3.5"/>
    <x v="2"/>
    <n v="0.5"/>
    <n v="-0.5"/>
    <x v="3"/>
    <n v="35.714285714285715"/>
    <n v="16.062011785714283"/>
    <n v="14"/>
    <n v="0.5"/>
    <x v="3"/>
    <n v="35.714285714285715"/>
    <n v="16.062011785714283"/>
  </r>
  <r>
    <s v="Merredin"/>
    <x v="3"/>
    <x v="3"/>
    <n v="3.16"/>
    <x v="106"/>
    <d v="2016-01-05T00:00:00"/>
    <x v="63"/>
    <x v="9"/>
    <d v="2016-01-19T00:00:00"/>
    <n v="77"/>
    <n v="4"/>
    <x v="2"/>
    <n v="-0.5"/>
    <n v="0"/>
    <x v="3"/>
    <n v="-35.714285714285715"/>
    <n v="13.301488214285714"/>
    <n v="14"/>
    <n v="-0.5"/>
    <x v="3"/>
    <n v="-35.714285714285715"/>
    <n v="13.301488214285714"/>
  </r>
  <r>
    <s v="Merredin"/>
    <x v="3"/>
    <x v="3"/>
    <n v="3.16"/>
    <x v="107"/>
    <d v="2016-01-05T00:00:00"/>
    <x v="65"/>
    <x v="4"/>
    <d v="2016-01-19T00:00:00"/>
    <n v="73"/>
    <n v="3"/>
    <x v="2"/>
    <n v="-3"/>
    <n v="0"/>
    <x v="3"/>
    <n v="-214.28571428571428"/>
    <n v="4.0329192857142857"/>
    <n v="14"/>
    <n v="-3"/>
    <x v="3"/>
    <n v="-214.28571428571428"/>
    <n v="4.0329192857142857"/>
  </r>
  <r>
    <s v="Merredin"/>
    <x v="3"/>
    <x v="3"/>
    <n v="3.16"/>
    <x v="108"/>
    <d v="2016-01-05T00:00:00"/>
    <x v="66"/>
    <x v="4"/>
    <d v="2016-01-19T00:00:00"/>
    <n v="72.5"/>
    <n v="3"/>
    <x v="2"/>
    <n v="-0.5"/>
    <n v="0"/>
    <x v="3"/>
    <n v="-35.714285714285715"/>
    <n v="12.540583214285713"/>
    <n v="14"/>
    <n v="-0.5"/>
    <x v="3"/>
    <n v="-35.714285714285715"/>
    <n v="12.540583214285713"/>
  </r>
  <r>
    <s v="Merredin"/>
    <x v="3"/>
    <x v="3"/>
    <n v="3.16"/>
    <x v="109"/>
    <d v="2016-01-05T00:00:00"/>
    <x v="67"/>
    <x v="9"/>
    <d v="2016-01-19T00:00:00"/>
    <n v="75"/>
    <n v="4"/>
    <x v="2"/>
    <n v="-2"/>
    <n v="0"/>
    <x v="3"/>
    <n v="-142.85714285714286"/>
    <n v="7.807982857142858"/>
    <n v="14"/>
    <n v="-2"/>
    <x v="3"/>
    <n v="-142.85714285714286"/>
    <n v="7.807982857142858"/>
  </r>
  <r>
    <s v="Merredin"/>
    <x v="3"/>
    <x v="3"/>
    <n v="3.16"/>
    <x v="110"/>
    <d v="2016-01-05T00:00:00"/>
    <x v="64"/>
    <x v="4"/>
    <d v="2016-01-19T00:00:00"/>
    <n v="71.5"/>
    <n v="3"/>
    <x v="2"/>
    <n v="-1"/>
    <n v="0"/>
    <x v="3"/>
    <n v="-71.428571428571431"/>
    <n v="10.653051428571429"/>
    <n v="14"/>
    <n v="-1"/>
    <x v="3"/>
    <n v="-71.428571428571431"/>
    <n v="10.653051428571429"/>
  </r>
  <r>
    <s v="Merredin"/>
    <x v="3"/>
    <x v="3"/>
    <n v="3.16"/>
    <x v="111"/>
    <d v="2016-01-05T00:00:00"/>
    <x v="68"/>
    <x v="10"/>
    <d v="2016-01-19T00:00:00"/>
    <n v="71.5"/>
    <n v="4"/>
    <x v="2"/>
    <n v="-2"/>
    <n v="-1"/>
    <x v="3"/>
    <n v="-142.85714285714286"/>
    <n v="7.2161678571428576"/>
    <n v="14"/>
    <n v="-2"/>
    <x v="3"/>
    <n v="-142.85714285714286"/>
    <n v="7.2161678571428576"/>
  </r>
  <r>
    <s v="Merredin"/>
    <x v="3"/>
    <x v="3"/>
    <n v="3.16"/>
    <x v="112"/>
    <d v="2016-01-05T00:00:00"/>
    <x v="58"/>
    <x v="10"/>
    <d v="2016-01-19T00:00:00"/>
    <n v="72"/>
    <n v="5"/>
    <x v="2"/>
    <n v="-2"/>
    <n v="0"/>
    <x v="3"/>
    <n v="-142.85714285714286"/>
    <n v="7.3007128571428579"/>
    <n v="14"/>
    <n v="-2"/>
    <x v="3"/>
    <n v="-142.85714285714286"/>
    <n v="7.3007128571428579"/>
  </r>
  <r>
    <s v="Merredin"/>
    <x v="3"/>
    <x v="3"/>
    <n v="3.16"/>
    <x v="113"/>
    <d v="2016-01-05T00:00:00"/>
    <x v="69"/>
    <x v="9"/>
    <d v="2016-01-19T00:00:00"/>
    <n v="72"/>
    <n v="4"/>
    <x v="2"/>
    <n v="-3"/>
    <n v="0"/>
    <x v="3"/>
    <n v="-214.28571428571428"/>
    <n v="3.8638292857142869"/>
    <n v="14"/>
    <n v="-3"/>
    <x v="3"/>
    <n v="-214.28571428571428"/>
    <n v="3.8638292857142869"/>
  </r>
  <r>
    <s v="Merredin"/>
    <x v="3"/>
    <x v="3"/>
    <n v="3.16"/>
    <x v="114"/>
    <d v="2016-01-05T00:00:00"/>
    <x v="69"/>
    <x v="4"/>
    <d v="2016-01-19T00:00:00"/>
    <n v="73"/>
    <n v="3"/>
    <x v="2"/>
    <n v="-2"/>
    <n v="0"/>
    <x v="3"/>
    <n v="-142.85714285714286"/>
    <n v="7.4698028571428567"/>
    <n v="14"/>
    <n v="-2"/>
    <x v="3"/>
    <n v="-142.85714285714286"/>
    <n v="7.4698028571428567"/>
  </r>
  <r>
    <s v="Merredin"/>
    <x v="3"/>
    <x v="3"/>
    <n v="3.16"/>
    <x v="115"/>
    <d v="2016-01-05T00:00:00"/>
    <x v="60"/>
    <x v="9"/>
    <d v="2016-01-19T00:00:00"/>
    <n v="74"/>
    <n v="4"/>
    <x v="2"/>
    <n v="-0.5"/>
    <n v="0"/>
    <x v="3"/>
    <n v="-35.714285714285715"/>
    <n v="12.794218214285713"/>
    <n v="14"/>
    <n v="-0.5"/>
    <x v="3"/>
    <n v="-35.714285714285715"/>
    <n v="12.794218214285713"/>
  </r>
  <r>
    <s v="Merredin"/>
    <x v="3"/>
    <x v="3"/>
    <n v="3.16"/>
    <x v="116"/>
    <d v="2016-01-05T00:00:00"/>
    <x v="59"/>
    <x v="9"/>
    <d v="2016-01-19T00:00:00"/>
    <n v="76"/>
    <n v="5"/>
    <x v="2"/>
    <n v="-2"/>
    <n v="1"/>
    <x v="3"/>
    <n v="-142.85714285714286"/>
    <n v="7.9770728571428569"/>
    <n v="14"/>
    <n v="-2"/>
    <x v="3"/>
    <n v="-142.85714285714286"/>
    <n v="7.9770728571428569"/>
  </r>
  <r>
    <s v="Merredin"/>
    <x v="3"/>
    <x v="3"/>
    <n v="3.16"/>
    <x v="117"/>
    <d v="2016-01-05T00:00:00"/>
    <x v="58"/>
    <x v="4"/>
    <d v="2016-01-19T00:00:00"/>
    <n v="74.5"/>
    <n v="3"/>
    <x v="2"/>
    <n v="0.5"/>
    <n v="0"/>
    <x v="3"/>
    <n v="35.714285714285715"/>
    <n v="16.315646785714286"/>
    <n v="14"/>
    <n v="0.5"/>
    <x v="3"/>
    <n v="35.714285714285715"/>
    <n v="16.315646785714286"/>
  </r>
  <r>
    <s v="Merredin"/>
    <x v="3"/>
    <x v="3"/>
    <n v="3.16"/>
    <x v="118"/>
    <d v="2016-01-05T00:00:00"/>
    <x v="68"/>
    <x v="10"/>
    <d v="2016-01-19T00:00:00"/>
    <n v="70.5"/>
    <n v="3"/>
    <x v="2"/>
    <n v="-3"/>
    <n v="-2"/>
    <x v="3"/>
    <n v="-214.28571428571428"/>
    <n v="3.6101942857142859"/>
    <n v="14"/>
    <n v="-3"/>
    <x v="3"/>
    <n v="-214.28571428571428"/>
    <n v="3.6101942857142859"/>
  </r>
  <r>
    <s v="Merredin"/>
    <x v="3"/>
    <x v="3"/>
    <n v="3.16"/>
    <x v="119"/>
    <d v="2016-01-05T00:00:00"/>
    <x v="63"/>
    <x v="10"/>
    <d v="2016-01-19T00:00:00"/>
    <n v="78.5"/>
    <n v="4"/>
    <x v="2"/>
    <n v="1"/>
    <n v="-1"/>
    <x v="3"/>
    <n v="71.428571428571431"/>
    <n v="18.710448571428572"/>
    <n v="14"/>
    <n v="1"/>
    <x v="3"/>
    <n v="71.428571428571431"/>
    <n v="18.710448571428572"/>
  </r>
  <r>
    <s v="Merredin"/>
    <x v="3"/>
    <x v="3"/>
    <n v="3.16"/>
    <x v="120"/>
    <d v="2016-01-05T00:00:00"/>
    <x v="69"/>
    <x v="4"/>
    <d v="2016-01-19T00:00:00"/>
    <n v="74"/>
    <n v="3"/>
    <x v="2"/>
    <n v="-1"/>
    <n v="0"/>
    <x v="3"/>
    <n v="-71.428571428571431"/>
    <n v="11.075776428571428"/>
    <n v="14"/>
    <n v="-1"/>
    <x v="3"/>
    <n v="-71.428571428571431"/>
    <n v="11.075776428571428"/>
  </r>
  <r>
    <s v="Merredin"/>
    <x v="3"/>
    <x v="3"/>
    <n v="3.16"/>
    <x v="121"/>
    <d v="2016-01-05T00:00:00"/>
    <x v="59"/>
    <x v="10"/>
    <d v="2016-01-19T00:00:00"/>
    <n v="76.5"/>
    <n v="4"/>
    <x v="2"/>
    <n v="-1.5"/>
    <n v="-1"/>
    <x v="3"/>
    <n v="-107.14285714285714"/>
    <n v="9.7800596428571431"/>
    <n v="14"/>
    <n v="-1.5"/>
    <x v="3"/>
    <n v="-107.14285714285714"/>
    <n v="9.7800596428571431"/>
  </r>
  <r>
    <s v="Merredin"/>
    <x v="3"/>
    <x v="3"/>
    <n v="3.16"/>
    <x v="122"/>
    <d v="2016-01-05T00:00:00"/>
    <x v="70"/>
    <x v="10"/>
    <d v="2016-01-19T00:00:00"/>
    <n v="71.5"/>
    <n v="5"/>
    <x v="2"/>
    <n v="-0.5"/>
    <n v="0"/>
    <x v="3"/>
    <n v="-35.714285714285715"/>
    <n v="12.371493214285714"/>
    <n v="14"/>
    <n v="-0.5"/>
    <x v="3"/>
    <n v="-35.714285714285715"/>
    <n v="12.371493214285714"/>
  </r>
  <r>
    <s v="Merredin"/>
    <x v="3"/>
    <x v="3"/>
    <n v="3.16"/>
    <x v="123"/>
    <d v="2016-01-05T00:00:00"/>
    <x v="59"/>
    <x v="4"/>
    <d v="2016-01-19T00:00:00"/>
    <n v="77"/>
    <n v="4"/>
    <x v="2"/>
    <n v="-1"/>
    <n v="1"/>
    <x v="3"/>
    <n v="-71.428571428571431"/>
    <n v="11.583046428571429"/>
    <n v="14"/>
    <n v="-1"/>
    <x v="3"/>
    <n v="-71.428571428571431"/>
    <n v="11.583046428571429"/>
  </r>
  <r>
    <s v="Merredin"/>
    <x v="3"/>
    <x v="3"/>
    <n v="3.16"/>
    <x v="124"/>
    <d v="2016-01-05T00:00:00"/>
    <x v="69"/>
    <x v="10"/>
    <d v="2016-01-19T00:00:00"/>
    <n v="76"/>
    <n v="4"/>
    <x v="2"/>
    <n v="1"/>
    <n v="-1"/>
    <x v="3"/>
    <n v="71.428571428571431"/>
    <n v="18.287723571428572"/>
    <n v="14"/>
    <n v="1"/>
    <x v="3"/>
    <n v="71.428571428571431"/>
    <n v="18.287723571428572"/>
  </r>
  <r>
    <s v="Merredin"/>
    <x v="3"/>
    <x v="3"/>
    <n v="3.16"/>
    <x v="125"/>
    <d v="2016-01-05T00:00:00"/>
    <x v="66"/>
    <x v="4"/>
    <d v="2016-01-19T00:00:00"/>
    <n v="75"/>
    <n v="3"/>
    <x v="2"/>
    <n v="2"/>
    <n v="0"/>
    <x v="3"/>
    <n v="142.85714285714286"/>
    <n v="21.555517142857141"/>
    <n v="14"/>
    <n v="2"/>
    <x v="3"/>
    <n v="142.85714285714286"/>
    <n v="21.555517142857141"/>
  </r>
  <r>
    <s v="Merredin"/>
    <x v="3"/>
    <x v="3"/>
    <n v="3.16"/>
    <x v="126"/>
    <d v="2016-01-05T00:00:00"/>
    <x v="63"/>
    <x v="10"/>
    <d v="2016-01-19T00:00:00"/>
    <n v="76"/>
    <n v="3"/>
    <x v="2"/>
    <n v="-1.5"/>
    <n v="-2"/>
    <x v="3"/>
    <n v="-107.14285714285714"/>
    <n v="9.6955146428571428"/>
    <n v="14"/>
    <n v="-1.5"/>
    <x v="3"/>
    <n v="-107.14285714285714"/>
    <n v="9.6955146428571428"/>
  </r>
  <r>
    <s v="Merredin"/>
    <x v="3"/>
    <x v="3"/>
    <n v="3.16"/>
    <x v="127"/>
    <d v="2016-01-05T00:00:00"/>
    <x v="62"/>
    <x v="10"/>
    <d v="2016-01-19T00:00:00"/>
    <n v="78.5"/>
    <n v="5"/>
    <x v="2"/>
    <n v="3"/>
    <n v="0"/>
    <x v="3"/>
    <n v="214.28571428571428"/>
    <n v="25.584215714285712"/>
    <n v="14"/>
    <n v="3"/>
    <x v="3"/>
    <n v="214.28571428571428"/>
    <n v="25.584215714285712"/>
  </r>
  <r>
    <s v="Tammin "/>
    <x v="0"/>
    <x v="0"/>
    <n v="1.98"/>
    <x v="0"/>
    <d v="2008-01-29T00:00:00"/>
    <x v="0"/>
    <x v="0"/>
    <d v="2008-02-12T00:00:00"/>
    <n v="56.2"/>
    <n v="2.5"/>
    <x v="2"/>
    <n v="2.2000000000000028"/>
    <n v="0"/>
    <x v="1"/>
    <n v="157.14285714285734"/>
    <n v="19.064001857142866"/>
    <n v="7"/>
    <n v="-2"/>
    <x v="0"/>
    <n v="-285.71428571428572"/>
    <n v="-2.7688552857142845"/>
  </r>
  <r>
    <s v="Tammin "/>
    <x v="0"/>
    <x v="0"/>
    <n v="1.98"/>
    <x v="1"/>
    <d v="2008-01-29T00:00:00"/>
    <x v="1"/>
    <x v="0"/>
    <d v="2008-02-12T00:00:00"/>
    <n v="62.4"/>
    <n v="2.5"/>
    <x v="2"/>
    <n v="5.7999999999999972"/>
    <n v="0"/>
    <x v="1"/>
    <n v="414.28571428571411"/>
    <n v="32.485140714285706"/>
    <n v="7"/>
    <n v="0"/>
    <x v="0"/>
    <n v="0"/>
    <n v="12.060855"/>
  </r>
  <r>
    <s v="Tammin "/>
    <x v="0"/>
    <x v="0"/>
    <n v="1.98"/>
    <x v="2"/>
    <d v="2008-01-29T00:00:00"/>
    <x v="1"/>
    <x v="1"/>
    <d v="2008-02-12T00:00:00"/>
    <n v="65.8"/>
    <n v="3.25"/>
    <x v="2"/>
    <n v="9.1999999999999957"/>
    <n v="0"/>
    <x v="1"/>
    <n v="657.14285714285677"/>
    <n v="44.745450857142842"/>
    <n v="7"/>
    <n v="5"/>
    <x v="0"/>
    <n v="714.28571428571433"/>
    <n v="47.562593714285711"/>
  </r>
  <r>
    <s v="Tammin "/>
    <x v="0"/>
    <x v="0"/>
    <n v="1.98"/>
    <x v="3"/>
    <d v="2008-01-29T00:00:00"/>
    <x v="2"/>
    <x v="1"/>
    <d v="2008-02-12T00:00:00"/>
    <n v="67.400000000000006"/>
    <n v="3.25"/>
    <x v="2"/>
    <n v="3.8000000000000043"/>
    <n v="0"/>
    <x v="1"/>
    <n v="271.42857142857173"/>
    <n v="26.456823571428586"/>
    <n v="7"/>
    <n v="-0.59999999999999432"/>
    <x v="0"/>
    <n v="-85.714285714284898"/>
    <n v="8.8496807142857534"/>
  </r>
  <r>
    <s v="Tammin "/>
    <x v="0"/>
    <x v="0"/>
    <n v="1.98"/>
    <x v="4"/>
    <d v="2008-01-29T00:00:00"/>
    <x v="3"/>
    <x v="2"/>
    <d v="2008-02-12T00:00:00"/>
    <n v="59.2"/>
    <n v="2"/>
    <x v="2"/>
    <n v="6.8000000000000043"/>
    <n v="0"/>
    <x v="1"/>
    <n v="485.71428571428606"/>
    <n v="35.380936285714299"/>
    <n v="7"/>
    <n v="1.2000000000000028"/>
    <x v="0"/>
    <n v="171.42857142857184"/>
    <n v="19.886650571428589"/>
  </r>
  <r>
    <s v="Tammin "/>
    <x v="0"/>
    <x v="0"/>
    <n v="1.98"/>
    <x v="5"/>
    <d v="2008-01-29T00:00:00"/>
    <x v="4"/>
    <x v="0"/>
    <d v="2008-02-12T00:00:00"/>
    <n v="58"/>
    <n v="2.5"/>
    <x v="2"/>
    <n v="4.7999999999999972"/>
    <n v="0"/>
    <x v="1"/>
    <n v="342.85714285714266"/>
    <n v="28.304261142857129"/>
    <n v="7"/>
    <n v="0.79999999999999716"/>
    <x v="0"/>
    <n v="114.28571428571388"/>
    <n v="17.035689714285695"/>
  </r>
  <r>
    <s v="Tammin "/>
    <x v="0"/>
    <x v="0"/>
    <n v="1.98"/>
    <x v="6"/>
    <d v="2008-01-29T00:00:00"/>
    <x v="5"/>
    <x v="3"/>
    <d v="2008-02-12T00:00:00"/>
    <n v="67"/>
    <n v="2.25"/>
    <x v="2"/>
    <n v="6.7999999999999972"/>
    <n v="0"/>
    <x v="1"/>
    <n v="485.7142857142855"/>
    <n v="36.699838285714272"/>
    <n v="7"/>
    <n v="1"/>
    <x v="0"/>
    <n v="142.85714285714286"/>
    <n v="19.796981142857142"/>
  </r>
  <r>
    <s v="Tammin "/>
    <x v="0"/>
    <x v="0"/>
    <n v="1.98"/>
    <x v="7"/>
    <d v="2008-01-29T00:00:00"/>
    <x v="5"/>
    <x v="4"/>
    <d v="2008-02-12T00:00:00"/>
    <n v="65.2"/>
    <n v="3"/>
    <x v="2"/>
    <n v="5"/>
    <n v="0"/>
    <x v="1"/>
    <n v="357.14285714285717"/>
    <n v="30.20908585714286"/>
    <n v="7"/>
    <n v="1"/>
    <x v="0"/>
    <n v="142.85714285714286"/>
    <n v="19.644800142857143"/>
  </r>
  <r>
    <s v="Tammin "/>
    <x v="0"/>
    <x v="0"/>
    <n v="1.98"/>
    <x v="8"/>
    <d v="2008-01-29T00:00:00"/>
    <x v="6"/>
    <x v="5"/>
    <d v="2008-02-12T00:00:00"/>
    <n v="59"/>
    <n v="2"/>
    <x v="2"/>
    <n v="8.3999999999999986"/>
    <n v="0.25"/>
    <x v="1"/>
    <n v="599.99999999999989"/>
    <n v="40.84613199999999"/>
    <n v="7"/>
    <n v="-1"/>
    <x v="0"/>
    <n v="-142.85714285714286"/>
    <n v="4.2232748571428571"/>
  </r>
  <r>
    <s v="Tammin "/>
    <x v="0"/>
    <x v="0"/>
    <n v="1.98"/>
    <x v="9"/>
    <d v="2008-01-29T00:00:00"/>
    <x v="7"/>
    <x v="0"/>
    <d v="2008-02-12T00:00:00"/>
    <n v="70.2"/>
    <n v="2.5"/>
    <x v="2"/>
    <n v="7"/>
    <n v="0"/>
    <x v="1"/>
    <n v="500"/>
    <n v="37.928303"/>
    <n v="7"/>
    <n v="1.6000000000000085"/>
    <x v="0"/>
    <n v="228.57142857142978"/>
    <n v="24.546874428571485"/>
  </r>
  <r>
    <s v="Tammin "/>
    <x v="0"/>
    <x v="0"/>
    <n v="1.98"/>
    <x v="10"/>
    <d v="2008-01-29T00:00:00"/>
    <x v="8"/>
    <x v="6"/>
    <d v="2008-02-12T00:00:00"/>
    <n v="62.6"/>
    <n v="3.5"/>
    <x v="2"/>
    <n v="5.3999999999999986"/>
    <n v="0"/>
    <x v="1"/>
    <n v="385.71428571428561"/>
    <n v="31.144205285714282"/>
    <n v="7"/>
    <n v="-2.6000000000000014"/>
    <x v="0"/>
    <n v="-371.42857142857162"/>
    <n v="-6.1829375714285781"/>
  </r>
  <r>
    <s v="Tammin "/>
    <x v="0"/>
    <x v="0"/>
    <n v="1.98"/>
    <x v="11"/>
    <d v="2008-01-29T00:00:00"/>
    <x v="9"/>
    <x v="3"/>
    <d v="2008-02-12T00:00:00"/>
    <n v="55.6"/>
    <n v="2.25"/>
    <x v="2"/>
    <n v="7.3999999999999986"/>
    <n v="0"/>
    <x v="1"/>
    <n v="528.57142857142844"/>
    <n v="36.834342428571425"/>
    <n v="7"/>
    <n v="-0.19999999999999574"/>
    <x v="0"/>
    <n v="-28.571428571427962"/>
    <n v="9.3671995714286016"/>
  </r>
  <r>
    <s v="Tammin "/>
    <x v="0"/>
    <x v="0"/>
    <n v="1.98"/>
    <x v="12"/>
    <d v="2008-01-29T00:00:00"/>
    <x v="10"/>
    <x v="0"/>
    <d v="2008-02-12T00:00:00"/>
    <n v="69.8"/>
    <n v="2.5"/>
    <x v="2"/>
    <n v="3.3999999999999915"/>
    <n v="0"/>
    <x v="1"/>
    <n v="242.85714285714224"/>
    <n v="25.487886142857111"/>
    <n v="7"/>
    <n v="2"/>
    <x v="0"/>
    <n v="285.71428571428572"/>
    <n v="27.60074328571428"/>
  </r>
  <r>
    <s v="Tammin "/>
    <x v="0"/>
    <x v="0"/>
    <n v="1.98"/>
    <x v="13"/>
    <d v="2008-01-29T00:00:00"/>
    <x v="11"/>
    <x v="2"/>
    <d v="2008-02-12T00:00:00"/>
    <n v="51.8"/>
    <n v="2"/>
    <x v="2"/>
    <n v="3.3999999999999986"/>
    <n v="0"/>
    <x v="1"/>
    <n v="242.85714285714275"/>
    <n v="22.444266142857135"/>
    <n v="7"/>
    <n v="2.3999999999999986"/>
    <x v="0"/>
    <n v="342.85714285714266"/>
    <n v="27.374266142857127"/>
  </r>
  <r>
    <s v="Tammin "/>
    <x v="0"/>
    <x v="0"/>
    <n v="1.98"/>
    <x v="14"/>
    <d v="2008-01-29T00:00:00"/>
    <x v="12"/>
    <x v="2"/>
    <d v="2008-02-12T00:00:00"/>
    <n v="59.4"/>
    <n v="2.25"/>
    <x v="2"/>
    <n v="6.3999999999999986"/>
    <n v="0.25"/>
    <x v="1"/>
    <n v="457.142857142857"/>
    <n v="34.04000085714285"/>
    <n v="7"/>
    <n v="0.39999999999999858"/>
    <x v="0"/>
    <n v="57.14285714285694"/>
    <n v="14.320000857142848"/>
  </r>
  <r>
    <s v="Tammin "/>
    <x v="0"/>
    <x v="0"/>
    <n v="1.98"/>
    <x v="15"/>
    <d v="2008-01-29T00:00:00"/>
    <x v="13"/>
    <x v="2"/>
    <d v="2008-02-12T00:00:00"/>
    <n v="66.2"/>
    <n v="2"/>
    <x v="2"/>
    <n v="6.2000000000000028"/>
    <n v="0"/>
    <x v="1"/>
    <n v="442.85714285714306"/>
    <n v="34.50243614285715"/>
    <n v="7"/>
    <n v="1.2000000000000028"/>
    <x v="0"/>
    <n v="171.42857142857184"/>
    <n v="21.121007571428592"/>
  </r>
  <r>
    <s v="Tammin "/>
    <x v="0"/>
    <x v="0"/>
    <n v="1.98"/>
    <x v="16"/>
    <d v="2008-01-29T00:00:00"/>
    <x v="14"/>
    <x v="4"/>
    <d v="2008-02-12T00:00:00"/>
    <n v="70.400000000000006"/>
    <n v="3"/>
    <x v="2"/>
    <n v="6.2000000000000028"/>
    <n v="0"/>
    <x v="1"/>
    <n v="442.85714285714306"/>
    <n v="35.212614142857149"/>
    <n v="7"/>
    <n v="0.60000000000000853"/>
    <x v="0"/>
    <n v="85.71428571428693"/>
    <n v="17.605471285714348"/>
  </r>
  <r>
    <s v="Tammin "/>
    <x v="0"/>
    <x v="0"/>
    <n v="1.98"/>
    <x v="17"/>
    <d v="2008-01-29T00:00:00"/>
    <x v="15"/>
    <x v="0"/>
    <d v="2008-02-12T00:00:00"/>
    <n v="62.6"/>
    <n v="2.5"/>
    <x v="2"/>
    <n v="6.2000000000000028"/>
    <n v="0"/>
    <x v="1"/>
    <n v="442.85714285714306"/>
    <n v="33.893712142857154"/>
    <n v="7"/>
    <n v="-1.1999999999999957"/>
    <x v="0"/>
    <n v="-171.42857142857082"/>
    <n v="3.6094264285714583"/>
  </r>
  <r>
    <s v="Tammin "/>
    <x v="0"/>
    <x v="0"/>
    <n v="1.98"/>
    <x v="18"/>
    <d v="2008-01-29T00:00:00"/>
    <x v="16"/>
    <x v="4"/>
    <d v="2008-02-12T00:00:00"/>
    <n v="69.8"/>
    <n v="3"/>
    <x v="2"/>
    <n v="5.7999999999999972"/>
    <n v="0"/>
    <x v="1"/>
    <n v="414.28571428571411"/>
    <n v="33.7364067142857"/>
    <n v="7"/>
    <n v="2.2000000000000028"/>
    <x v="0"/>
    <n v="314.28571428571468"/>
    <n v="28.806406714285732"/>
  </r>
  <r>
    <s v="Tammin "/>
    <x v="0"/>
    <x v="0"/>
    <n v="1.98"/>
    <x v="19"/>
    <d v="2008-01-29T00:00:00"/>
    <x v="0"/>
    <x v="0"/>
    <d v="2008-02-12T00:00:00"/>
    <n v="57"/>
    <n v="2.5"/>
    <x v="2"/>
    <n v="3"/>
    <n v="0"/>
    <x v="1"/>
    <n v="214.28571428571428"/>
    <n v="21.948780714285711"/>
    <n v="7"/>
    <n v="-0.79999999999999716"/>
    <x v="0"/>
    <n v="-114.28571428571388"/>
    <n v="5.7502092857143055"/>
  </r>
  <r>
    <s v="Tammin "/>
    <x v="0"/>
    <x v="0"/>
    <n v="1.98"/>
    <x v="20"/>
    <d v="2008-01-29T00:00:00"/>
    <x v="17"/>
    <x v="5"/>
    <d v="2008-02-12T00:00:00"/>
    <n v="64.400000000000006"/>
    <n v="1.75"/>
    <x v="2"/>
    <n v="5.2000000000000028"/>
    <n v="0"/>
    <x v="1"/>
    <n v="371.42857142857162"/>
    <n v="30.761190571428578"/>
    <n v="7"/>
    <n v="0.40000000000000568"/>
    <x v="0"/>
    <n v="57.142857142857956"/>
    <n v="15.266904857142897"/>
  </r>
  <r>
    <s v="Tammin "/>
    <x v="0"/>
    <x v="0"/>
    <n v="1.98"/>
    <x v="21"/>
    <d v="2008-01-29T00:00:00"/>
    <x v="18"/>
    <x v="5"/>
    <d v="2008-02-12T00:00:00"/>
    <n v="63.4"/>
    <n v="1.75"/>
    <x v="2"/>
    <n v="5.6000000000000014"/>
    <n v="0"/>
    <x v="1"/>
    <n v="400.00000000000006"/>
    <n v="31.966854000000001"/>
    <n v="7"/>
    <n v="2"/>
    <x v="0"/>
    <n v="285.71428571428572"/>
    <n v="26.332568285714281"/>
  </r>
  <r>
    <s v="Tammin "/>
    <x v="0"/>
    <x v="0"/>
    <n v="1.98"/>
    <x v="22"/>
    <d v="2008-01-29T00:00:00"/>
    <x v="19"/>
    <x v="7"/>
    <d v="2008-02-12T00:00:00"/>
    <n v="63.6"/>
    <n v="2.75"/>
    <x v="2"/>
    <n v="7.3999999999999986"/>
    <n v="0"/>
    <x v="1"/>
    <n v="528.57142857142844"/>
    <n v="38.187062428571423"/>
    <n v="7"/>
    <n v="-1.1999999999999957"/>
    <x v="0"/>
    <n v="-171.42857142857082"/>
    <n v="3.6770624285714586"/>
  </r>
  <r>
    <s v="Tammin "/>
    <x v="0"/>
    <x v="0"/>
    <n v="1.98"/>
    <x v="23"/>
    <d v="2008-01-29T00:00:00"/>
    <x v="20"/>
    <x v="3"/>
    <d v="2008-02-12T00:00:00"/>
    <n v="65.2"/>
    <n v="2.25"/>
    <x v="2"/>
    <n v="7.2000000000000028"/>
    <n v="0"/>
    <x v="1"/>
    <n v="514.28571428571445"/>
    <n v="37.770229714285719"/>
    <n v="7"/>
    <n v="1"/>
    <x v="0"/>
    <n v="142.85714285714286"/>
    <n v="19.458801142857141"/>
  </r>
  <r>
    <s v="Tammin "/>
    <x v="0"/>
    <x v="0"/>
    <n v="1.98"/>
    <x v="24"/>
    <d v="2008-01-29T00:00:00"/>
    <x v="21"/>
    <x v="3"/>
    <d v="2008-02-12T00:00:00"/>
    <n v="68.599999999999994"/>
    <n v="2.25"/>
    <x v="2"/>
    <n v="1.5999999999999943"/>
    <n v="0"/>
    <x v="1"/>
    <n v="114.28571428571388"/>
    <n v="19.098587714285692"/>
    <n v="7"/>
    <n v="0.79999999999999716"/>
    <x v="0"/>
    <n v="114.28571428571388"/>
    <n v="19.098587714285692"/>
  </r>
  <r>
    <s v="Tammin "/>
    <x v="0"/>
    <x v="0"/>
    <n v="1.98"/>
    <x v="25"/>
    <d v="2008-01-29T00:00:00"/>
    <x v="22"/>
    <x v="4"/>
    <d v="2008-02-12T00:00:00"/>
    <n v="74.2"/>
    <n v="3"/>
    <x v="2"/>
    <n v="3.6000000000000085"/>
    <n v="0"/>
    <x v="1"/>
    <n v="257.14285714285774"/>
    <n v="26.919258857142886"/>
    <n v="7"/>
    <n v="6"/>
    <x v="0"/>
    <n v="857.14285714285711"/>
    <n v="56.499258857142856"/>
  </r>
  <r>
    <s v="Tammin "/>
    <x v="0"/>
    <x v="0"/>
    <n v="1.98"/>
    <x v="26"/>
    <d v="2008-01-29T00:00:00"/>
    <x v="23"/>
    <x v="0"/>
    <d v="2008-02-12T00:00:00"/>
    <n v="64"/>
    <n v="2.5"/>
    <x v="2"/>
    <n v="2.3999999999999986"/>
    <n v="0"/>
    <x v="1"/>
    <n v="171.42857142857133"/>
    <n v="21.070280571428562"/>
    <n v="7"/>
    <n v="-3"/>
    <x v="0"/>
    <n v="-428.57142857142856"/>
    <n v="-8.5097194285714277"/>
  </r>
  <r>
    <s v="Tammin "/>
    <x v="0"/>
    <x v="0"/>
    <n v="1.98"/>
    <x v="27"/>
    <d v="2008-01-29T00:00:00"/>
    <x v="13"/>
    <x v="0"/>
    <d v="2008-02-12T00:00:00"/>
    <n v="63.8"/>
    <n v="2.25"/>
    <x v="2"/>
    <n v="3.7999999999999972"/>
    <n v="-0.25"/>
    <x v="1"/>
    <n v="271.42857142857122"/>
    <n v="25.848099571428563"/>
    <n v="7"/>
    <n v="0.79999999999999716"/>
    <x v="0"/>
    <n v="114.28571428571388"/>
    <n v="18.100956714285694"/>
  </r>
  <r>
    <s v="Tammin "/>
    <x v="0"/>
    <x v="0"/>
    <n v="1.98"/>
    <x v="28"/>
    <d v="2008-01-29T00:00:00"/>
    <x v="20"/>
    <x v="4"/>
    <d v="2008-02-12T00:00:00"/>
    <n v="62.8"/>
    <n v="3"/>
    <x v="2"/>
    <n v="4.7999999999999972"/>
    <n v="0"/>
    <x v="1"/>
    <n v="342.85714285714266"/>
    <n v="29.115893142857129"/>
    <n v="7"/>
    <n v="0.79999999999999716"/>
    <x v="0"/>
    <n v="114.28571428571388"/>
    <n v="17.847321714285691"/>
  </r>
  <r>
    <s v="Tammin "/>
    <x v="0"/>
    <x v="0"/>
    <n v="1.98"/>
    <x v="29"/>
    <d v="2008-01-29T00:00:00"/>
    <x v="24"/>
    <x v="0"/>
    <d v="2008-02-12T00:00:00"/>
    <n v="61.4"/>
    <n v="2.5"/>
    <x v="2"/>
    <n v="6.1999999999999957"/>
    <n v="0"/>
    <x v="1"/>
    <n v="442.85714285714255"/>
    <n v="33.690804142857125"/>
    <n v="7"/>
    <n v="-0.60000000000000142"/>
    <x v="0"/>
    <n v="-85.714285714285921"/>
    <n v="7.6322327142857036"/>
  </r>
  <r>
    <s v="Tammin "/>
    <x v="0"/>
    <x v="0"/>
    <n v="1.98"/>
    <x v="30"/>
    <d v="2008-01-29T00:00:00"/>
    <x v="25"/>
    <x v="2"/>
    <d v="2008-02-12T00:00:00"/>
    <n v="63.8"/>
    <n v="2"/>
    <x v="2"/>
    <n v="3.1999999999999957"/>
    <n v="0"/>
    <x v="1"/>
    <n v="228.57142857142827"/>
    <n v="23.785969428571413"/>
    <n v="7"/>
    <n v="3.3999999999999986"/>
    <x v="0"/>
    <n v="485.7142857142855"/>
    <n v="36.463112285714274"/>
  </r>
  <r>
    <s v="Tammin "/>
    <x v="0"/>
    <x v="0"/>
    <n v="1.98"/>
    <x v="31"/>
    <d v="2008-01-29T00:00:00"/>
    <x v="26"/>
    <x v="5"/>
    <d v="2008-02-12T00:00:00"/>
    <n v="64.8"/>
    <n v="1.75"/>
    <x v="2"/>
    <n v="0.39999999999999147"/>
    <n v="0"/>
    <x v="1"/>
    <n v="28.571428571427962"/>
    <n v="14.331785428571397"/>
    <n v="7"/>
    <n v="0.39999999999999147"/>
    <x v="0"/>
    <n v="57.142857142855924"/>
    <n v="15.740356857142796"/>
  </r>
  <r>
    <s v="Tammin "/>
    <x v="0"/>
    <x v="0"/>
    <n v="1.98"/>
    <x v="32"/>
    <d v="2008-01-29T00:00:00"/>
    <x v="0"/>
    <x v="5"/>
    <d v="2008-02-12T00:00:00"/>
    <n v="59.2"/>
    <n v="1.75"/>
    <x v="2"/>
    <n v="5.2000000000000028"/>
    <n v="0"/>
    <x v="1"/>
    <n v="371.42857142857162"/>
    <n v="29.881922571428579"/>
    <n v="7"/>
    <n v="-1.7999999999999972"/>
    <x v="0"/>
    <n v="-257.14285714285671"/>
    <n v="-1.1066488571428366"/>
  </r>
  <r>
    <s v="Tammin "/>
    <x v="0"/>
    <x v="0"/>
    <n v="1.98"/>
    <x v="33"/>
    <d v="2008-01-29T00:00:00"/>
    <x v="27"/>
    <x v="2"/>
    <d v="2008-02-12T00:00:00"/>
    <n v="70"/>
    <n v="2.25"/>
    <x v="2"/>
    <n v="-1"/>
    <n v="0.25"/>
    <x v="1"/>
    <n v="-71.428571428571431"/>
    <n v="10.399416428571429"/>
    <n v="7"/>
    <n v="0.59999999999999432"/>
    <x v="0"/>
    <n v="85.714285714284898"/>
    <n v="18.146559285714247"/>
  </r>
  <r>
    <s v="Tammin"/>
    <x v="1"/>
    <x v="1"/>
    <n v="3.96"/>
    <x v="34"/>
    <d v="2008-01-29T00:00:00"/>
    <x v="28"/>
    <x v="5"/>
    <d v="2008-02-12T00:00:00"/>
    <n v="57.2"/>
    <n v="1.75"/>
    <x v="2"/>
    <n v="6.4000000000000057"/>
    <n v="0"/>
    <x v="4"/>
    <n v="457.14285714285757"/>
    <n v="33.668002857142881"/>
    <n v="7"/>
    <n v="0.80000000000000426"/>
    <x v="1"/>
    <n v="114.28571428571489"/>
    <n v="16.765145714285744"/>
  </r>
  <r>
    <s v="Tammin"/>
    <x v="1"/>
    <x v="1"/>
    <n v="3.96"/>
    <x v="35"/>
    <d v="2008-01-29T00:00:00"/>
    <x v="29"/>
    <x v="5"/>
    <d v="2008-02-12T00:00:00"/>
    <n v="66.8"/>
    <n v="1.75"/>
    <x v="2"/>
    <n v="7.1999999999999957"/>
    <n v="0"/>
    <x v="4"/>
    <n v="514.28571428571399"/>
    <n v="38.040773714285699"/>
    <n v="7"/>
    <n v="2.2000000000000028"/>
    <x v="1"/>
    <n v="314.28571428571468"/>
    <n v="28.180773714285735"/>
  </r>
  <r>
    <s v="Tammin"/>
    <x v="1"/>
    <x v="1"/>
    <n v="3.96"/>
    <x v="36"/>
    <d v="2008-01-29T00:00:00"/>
    <x v="30"/>
    <x v="2"/>
    <d v="2008-02-12T00:00:00"/>
    <n v="57.4"/>
    <n v="2.25"/>
    <x v="2"/>
    <n v="3.6000000000000014"/>
    <n v="0.25"/>
    <x v="4"/>
    <n v="257.14285714285722"/>
    <n v="24.078546857142861"/>
    <n v="7"/>
    <n v="-1.2000000000000028"/>
    <x v="1"/>
    <n v="-171.42857142857184"/>
    <n v="2.9499754285714062"/>
  </r>
  <r>
    <s v="Tammin"/>
    <x v="1"/>
    <x v="1"/>
    <n v="3.96"/>
    <x v="37"/>
    <d v="2008-01-29T00:00:00"/>
    <x v="31"/>
    <x v="0"/>
    <d v="2008-02-12T00:00:00"/>
    <n v="65.400000000000006"/>
    <n v="2.5"/>
    <x v="2"/>
    <n v="4.0000000000000071"/>
    <n v="0"/>
    <x v="4"/>
    <n v="285.71428571428618"/>
    <n v="26.806020285714311"/>
    <n v="7"/>
    <n v="-0.59999999999999432"/>
    <x v="1"/>
    <n v="-85.714285714284898"/>
    <n v="8.4945917142857557"/>
  </r>
  <r>
    <s v="Tammin"/>
    <x v="1"/>
    <x v="1"/>
    <n v="3.96"/>
    <x v="38"/>
    <d v="2008-01-29T00:00:00"/>
    <x v="32"/>
    <x v="8"/>
    <d v="2008-02-12T00:00:00"/>
    <n v="63.6"/>
    <n v="1.5"/>
    <x v="2"/>
    <n v="8.6000000000000014"/>
    <n v="0"/>
    <x v="4"/>
    <n v="614.28571428571445"/>
    <n v="42.311322714285716"/>
    <n v="7"/>
    <n v="3.3999999999999986"/>
    <x v="1"/>
    <n v="485.7142857142855"/>
    <n v="35.972751285714274"/>
  </r>
  <r>
    <s v="Tammin"/>
    <x v="1"/>
    <x v="1"/>
    <n v="3.96"/>
    <x v="39"/>
    <d v="2008-01-29T00:00:00"/>
    <x v="33"/>
    <x v="0"/>
    <d v="2008-02-12T00:00:00"/>
    <n v="66.2"/>
    <n v="2.5"/>
    <x v="2"/>
    <n v="5.2000000000000028"/>
    <n v="0"/>
    <x v="4"/>
    <n v="371.42857142857162"/>
    <n v="31.065552571428576"/>
    <n v="7"/>
    <n v="4"/>
    <x v="1"/>
    <n v="571.42857142857144"/>
    <n v="40.925552571428568"/>
  </r>
  <r>
    <s v="Tammin"/>
    <x v="1"/>
    <x v="1"/>
    <n v="3.96"/>
    <x v="40"/>
    <d v="2008-01-29T00:00:00"/>
    <x v="34"/>
    <x v="3"/>
    <d v="2008-02-12T00:00:00"/>
    <n v="58.6"/>
    <n v="2.25"/>
    <x v="2"/>
    <n v="7"/>
    <n v="0"/>
    <x v="4"/>
    <n v="500"/>
    <n v="35.966858999999999"/>
    <n v="7"/>
    <n v="3.2000000000000028"/>
    <x v="1"/>
    <n v="457.14285714285757"/>
    <n v="33.854001857142876"/>
  </r>
  <r>
    <s v="Tammin"/>
    <x v="1"/>
    <x v="1"/>
    <n v="3.96"/>
    <x v="41"/>
    <d v="2008-01-29T00:00:00"/>
    <x v="5"/>
    <x v="5"/>
    <d v="2008-02-12T00:00:00"/>
    <n v="70.400000000000006"/>
    <n v="1.75"/>
    <x v="2"/>
    <n v="10.200000000000003"/>
    <n v="0"/>
    <x v="4"/>
    <n v="728.57142857142878"/>
    <n v="48.960148428571436"/>
    <n v="7"/>
    <n v="3.6000000000000085"/>
    <x v="1"/>
    <n v="514.28571428571547"/>
    <n v="38.395862714285769"/>
  </r>
  <r>
    <s v="Tammin"/>
    <x v="1"/>
    <x v="1"/>
    <n v="3.96"/>
    <x v="42"/>
    <d v="2008-01-29T00:00:00"/>
    <x v="34"/>
    <x v="5"/>
    <d v="2008-02-12T00:00:00"/>
    <n v="58.6"/>
    <n v="2"/>
    <x v="2"/>
    <n v="7"/>
    <n v="0.25"/>
    <x v="4"/>
    <n v="500"/>
    <n v="35.966858999999999"/>
    <n v="7"/>
    <n v="1.8000000000000043"/>
    <x v="1"/>
    <n v="257.14285714285774"/>
    <n v="23.994001857142884"/>
  </r>
  <r>
    <s v="Tammin"/>
    <x v="1"/>
    <x v="1"/>
    <n v="3.96"/>
    <x v="43"/>
    <d v="2008-01-29T00:00:00"/>
    <x v="5"/>
    <x v="5"/>
    <d v="2008-02-12T00:00:00"/>
    <n v="65.400000000000006"/>
    <n v="1.75"/>
    <x v="2"/>
    <n v="5.2000000000000028"/>
    <n v="0"/>
    <x v="4"/>
    <n v="371.42857142857162"/>
    <n v="30.930280571428579"/>
    <n v="7"/>
    <n v="-0.19999999999998863"/>
    <x v="1"/>
    <n v="-28.571428571426946"/>
    <n v="11.210280571428651"/>
  </r>
  <r>
    <s v="Tammin"/>
    <x v="1"/>
    <x v="1"/>
    <n v="3.96"/>
    <x v="44"/>
    <d v="2008-01-29T00:00:00"/>
    <x v="35"/>
    <x v="3"/>
    <d v="2008-02-12T00:00:00"/>
    <n v="58.6"/>
    <n v="2.25"/>
    <x v="2"/>
    <n v="4"/>
    <n v="0"/>
    <x v="4"/>
    <n v="285.71428571428572"/>
    <n v="25.656208285714285"/>
    <n v="7"/>
    <n v="-3.3999999999999986"/>
    <x v="1"/>
    <n v="-485.7142857142855"/>
    <n v="-12.375220285714274"/>
  </r>
  <r>
    <s v="Tammin"/>
    <x v="1"/>
    <x v="1"/>
    <n v="3.96"/>
    <x v="45"/>
    <d v="2008-01-29T00:00:00"/>
    <x v="36"/>
    <x v="0"/>
    <d v="2008-02-12T00:00:00"/>
    <n v="71"/>
    <n v="2.5"/>
    <x v="2"/>
    <n v="6.4000000000000057"/>
    <n v="0"/>
    <x v="4"/>
    <n v="457.14285714285757"/>
    <n v="36.001444857142879"/>
    <n v="7"/>
    <n v="0.40000000000000568"/>
    <x v="1"/>
    <n v="57.142857142857956"/>
    <n v="16.281444857142894"/>
  </r>
  <r>
    <s v="Tammin"/>
    <x v="1"/>
    <x v="1"/>
    <n v="3.96"/>
    <x v="46"/>
    <d v="2008-01-29T00:00:00"/>
    <x v="37"/>
    <x v="0"/>
    <d v="2008-02-12T00:00:00"/>
    <n v="71.8"/>
    <n v="2.5"/>
    <x v="2"/>
    <n v="9"/>
    <n v="0"/>
    <x v="4"/>
    <n v="642.85714285714289"/>
    <n v="45.072614142857141"/>
    <n v="7"/>
    <n v="2.3999999999999915"/>
    <x v="1"/>
    <n v="342.85714285714164"/>
    <n v="30.282614142857085"/>
  </r>
  <r>
    <s v="Tammin"/>
    <x v="1"/>
    <x v="1"/>
    <n v="3.96"/>
    <x v="47"/>
    <d v="2008-01-29T00:00:00"/>
    <x v="38"/>
    <x v="8"/>
    <d v="2008-02-12T00:00:00"/>
    <n v="58"/>
    <n v="1.5"/>
    <x v="2"/>
    <n v="7.7999999999999972"/>
    <n v="0"/>
    <x v="4"/>
    <n v="557.14285714285688"/>
    <n v="38.614911857142843"/>
    <n v="7"/>
    <n v="5.2000000000000028"/>
    <x v="1"/>
    <n v="742.85714285714323"/>
    <n v="47.770626142857154"/>
  </r>
  <r>
    <s v="Tammin"/>
    <x v="1"/>
    <x v="1"/>
    <n v="3.96"/>
    <x v="48"/>
    <d v="2008-01-29T00:00:00"/>
    <x v="39"/>
    <x v="3"/>
    <d v="2008-02-12T00:00:00"/>
    <n v="73.599999999999994"/>
    <n v="2.25"/>
    <x v="2"/>
    <n v="12.799999999999997"/>
    <n v="0"/>
    <x v="4"/>
    <n v="914.28571428571399"/>
    <n v="58.4371337142857"/>
    <n v="7"/>
    <n v="5.3999999999999915"/>
    <x v="1"/>
    <n v="771.42857142857019"/>
    <n v="51.394276571428513"/>
  </r>
  <r>
    <s v="Tammin"/>
    <x v="1"/>
    <x v="1"/>
    <n v="3.96"/>
    <x v="49"/>
    <d v="2008-01-29T00:00:00"/>
    <x v="40"/>
    <x v="4"/>
    <d v="2008-02-12T00:00:00"/>
    <n v="67.400000000000006"/>
    <n v="3"/>
    <x v="2"/>
    <n v="9.8000000000000043"/>
    <n v="0"/>
    <x v="4"/>
    <n v="700.00000000000034"/>
    <n v="47.078125000000014"/>
    <n v="7"/>
    <n v="4.0000000000000071"/>
    <x v="1"/>
    <n v="571.42857142857235"/>
    <n v="40.739553571428615"/>
  </r>
  <r>
    <s v="Tammin"/>
    <x v="1"/>
    <x v="1"/>
    <n v="3.96"/>
    <x v="50"/>
    <d v="2008-01-29T00:00:00"/>
    <x v="41"/>
    <x v="6"/>
    <d v="2008-02-12T00:00:00"/>
    <n v="70.2"/>
    <n v="3.5"/>
    <x v="2"/>
    <n v="1.4000000000000057"/>
    <n v="0"/>
    <x v="4"/>
    <n v="100.00000000000041"/>
    <n v="18.68175500000002"/>
    <n v="7"/>
    <n v="0.40000000000000568"/>
    <x v="1"/>
    <n v="57.142857142857956"/>
    <n v="16.568897857142897"/>
  </r>
  <r>
    <s v="Tammin"/>
    <x v="1"/>
    <x v="1"/>
    <n v="3.96"/>
    <x v="51"/>
    <d v="2008-01-29T00:00:00"/>
    <x v="40"/>
    <x v="3"/>
    <d v="2008-02-12T00:00:00"/>
    <n v="69.400000000000006"/>
    <n v="2.25"/>
    <x v="2"/>
    <n v="11.800000000000004"/>
    <n v="0"/>
    <x v="4"/>
    <n v="842.85714285714323"/>
    <n v="54.290072142857156"/>
    <n v="7"/>
    <n v="3.4000000000000057"/>
    <x v="1"/>
    <n v="485.71428571428652"/>
    <n v="36.682929285714323"/>
  </r>
  <r>
    <s v="Tammin"/>
    <x v="1"/>
    <x v="1"/>
    <n v="3.96"/>
    <x v="52"/>
    <d v="2008-01-29T00:00:00"/>
    <x v="42"/>
    <x v="5"/>
    <d v="2008-02-12T00:00:00"/>
    <n v="64.8"/>
    <n v="1.75"/>
    <x v="2"/>
    <n v="9.3999999999999986"/>
    <n v="0"/>
    <x v="4"/>
    <n v="671.42857142857133"/>
    <n v="45.263737571428564"/>
    <n v="7"/>
    <n v="2"/>
    <x v="1"/>
    <n v="285.71428571428572"/>
    <n v="26.248023285714282"/>
  </r>
  <r>
    <s v="Tammin"/>
    <x v="1"/>
    <x v="1"/>
    <n v="3.96"/>
    <x v="53"/>
    <d v="2008-01-29T00:00:00"/>
    <x v="30"/>
    <x v="3"/>
    <d v="2008-02-12T00:00:00"/>
    <n v="63.4"/>
    <n v="2.25"/>
    <x v="2"/>
    <n v="9.6000000000000014"/>
    <n v="0"/>
    <x v="4"/>
    <n v="685.71428571428578"/>
    <n v="45.714388285714286"/>
    <n v="7"/>
    <n v="5.3999999999999986"/>
    <x v="1"/>
    <n v="771.42857142857122"/>
    <n v="49.940102571428561"/>
  </r>
  <r>
    <s v="Tammin"/>
    <x v="1"/>
    <x v="1"/>
    <n v="3.96"/>
    <x v="54"/>
    <d v="2008-01-29T00:00:00"/>
    <x v="17"/>
    <x v="3"/>
    <d v="2008-02-12T00:00:00"/>
    <n v="66.400000000000006"/>
    <n v="2.5"/>
    <x v="2"/>
    <n v="7.2000000000000028"/>
    <n v="0.25"/>
    <x v="4"/>
    <n v="514.28571428571445"/>
    <n v="37.973137714285727"/>
    <n v="7"/>
    <n v="4.8000000000000043"/>
    <x v="1"/>
    <n v="685.71428571428623"/>
    <n v="46.424566285714306"/>
  </r>
  <r>
    <s v="Tammin"/>
    <x v="1"/>
    <x v="1"/>
    <n v="3.96"/>
    <x v="55"/>
    <d v="2008-01-29T00:00:00"/>
    <x v="20"/>
    <x v="5"/>
    <d v="2008-02-12T00:00:00"/>
    <n v="65.599999999999994"/>
    <n v="1.75"/>
    <x v="2"/>
    <n v="7.5999999999999943"/>
    <n v="0"/>
    <x v="4"/>
    <n v="542.85714285714243"/>
    <n v="39.212619142857122"/>
    <n v="7"/>
    <n v="-5"/>
    <x v="1"/>
    <n v="-714.28571428571433"/>
    <n v="-22.764523714285716"/>
  </r>
  <r>
    <s v="Tammin"/>
    <x v="1"/>
    <x v="1"/>
    <n v="3.96"/>
    <x v="56"/>
    <d v="2008-01-29T00:00:00"/>
    <x v="43"/>
    <x v="4"/>
    <d v="2008-02-12T00:00:00"/>
    <n v="75.2"/>
    <n v="3"/>
    <x v="2"/>
    <n v="7.2000000000000028"/>
    <n v="0"/>
    <x v="4"/>
    <n v="514.28571428571445"/>
    <n v="39.461129714285718"/>
    <n v="7"/>
    <n v="3.4000000000000057"/>
    <x v="1"/>
    <n v="485.71428571428652"/>
    <n v="38.052558285714326"/>
  </r>
  <r>
    <s v="Tammin"/>
    <x v="1"/>
    <x v="1"/>
    <n v="3.96"/>
    <x v="57"/>
    <d v="2008-01-29T00:00:00"/>
    <x v="36"/>
    <x v="4"/>
    <d v="2008-02-12T00:00:00"/>
    <n v="70.8"/>
    <n v="3"/>
    <x v="2"/>
    <n v="6.2000000000000028"/>
    <n v="0"/>
    <x v="4"/>
    <n v="442.85714285714306"/>
    <n v="35.280250142857149"/>
    <n v="7"/>
    <n v="8"/>
    <x v="1"/>
    <n v="1142.8571428571429"/>
    <n v="69.790250142857133"/>
  </r>
  <r>
    <s v="Tammin"/>
    <x v="1"/>
    <x v="1"/>
    <n v="3.96"/>
    <x v="58"/>
    <d v="2008-01-29T00:00:00"/>
    <x v="44"/>
    <x v="2"/>
    <d v="2008-02-12T00:00:00"/>
    <n v="59"/>
    <n v="2.25"/>
    <x v="2"/>
    <n v="3"/>
    <n v="0.25"/>
    <x v="4"/>
    <n v="214.28571428571428"/>
    <n v="22.286960714285712"/>
    <n v="7"/>
    <n v="3.2000000000000028"/>
    <x v="1"/>
    <n v="457.14285714285757"/>
    <n v="34.259817857142878"/>
  </r>
  <r>
    <s v="Tammin"/>
    <x v="1"/>
    <x v="1"/>
    <n v="3.96"/>
    <x v="59"/>
    <d v="2008-01-29T00:00:00"/>
    <x v="37"/>
    <x v="2"/>
    <d v="2008-02-12T00:00:00"/>
    <n v="68.599999999999994"/>
    <n v="2"/>
    <x v="2"/>
    <n v="5.7999999999999972"/>
    <n v="0"/>
    <x v="4"/>
    <n v="414.28571428571411"/>
    <n v="33.533498714285699"/>
    <n v="7"/>
    <n v="2.5999999999999943"/>
    <x v="1"/>
    <n v="371.42857142857059"/>
    <n v="31.420641571428526"/>
  </r>
  <r>
    <s v="Tammin"/>
    <x v="1"/>
    <x v="1"/>
    <n v="3.96"/>
    <x v="60"/>
    <d v="2008-01-29T00:00:00"/>
    <x v="45"/>
    <x v="3"/>
    <d v="2008-02-12T00:00:00"/>
    <n v="71.400000000000006"/>
    <n v="2.25"/>
    <x v="2"/>
    <n v="12.400000000000006"/>
    <n v="0"/>
    <x v="4"/>
    <n v="885.71428571428612"/>
    <n v="56.6903822857143"/>
    <n v="7"/>
    <n v="7.8000000000000043"/>
    <x v="1"/>
    <n v="1114.2857142857149"/>
    <n v="67.958953714285741"/>
  </r>
  <r>
    <s v="Tammin"/>
    <x v="1"/>
    <x v="1"/>
    <n v="3.96"/>
    <x v="61"/>
    <d v="2008-01-29T00:00:00"/>
    <x v="15"/>
    <x v="2"/>
    <d v="2008-02-12T00:00:00"/>
    <n v="63.6"/>
    <n v="2"/>
    <x v="2"/>
    <n v="7.2000000000000028"/>
    <n v="0"/>
    <x v="4"/>
    <n v="514.28571428571445"/>
    <n v="37.499685714285718"/>
    <n v="7"/>
    <n v="2.6000000000000014"/>
    <x v="1"/>
    <n v="371.42857142857162"/>
    <n v="30.456828571428577"/>
  </r>
  <r>
    <s v="Tammin"/>
    <x v="1"/>
    <x v="1"/>
    <n v="3.96"/>
    <x v="62"/>
    <d v="2008-01-29T00:00:00"/>
    <x v="20"/>
    <x v="3"/>
    <d v="2008-02-12T00:00:00"/>
    <n v="64.400000000000006"/>
    <n v="2.5"/>
    <x v="2"/>
    <n v="6.4000000000000057"/>
    <n v="0.25"/>
    <x v="4"/>
    <n v="457.14285714285757"/>
    <n v="34.885450857142878"/>
    <n v="7"/>
    <n v="2.0000000000000071"/>
    <x v="1"/>
    <n v="285.71428571428675"/>
    <n v="26.434022285714335"/>
  </r>
  <r>
    <s v="Tammin"/>
    <x v="1"/>
    <x v="1"/>
    <n v="3.96"/>
    <x v="63"/>
    <d v="2008-01-29T00:00:00"/>
    <x v="44"/>
    <x v="4"/>
    <d v="2008-02-12T00:00:00"/>
    <n v="64.2"/>
    <n v="2.75"/>
    <x v="2"/>
    <n v="8.2000000000000028"/>
    <n v="-0.25"/>
    <x v="4"/>
    <n v="585.71428571428601"/>
    <n v="41.038023285714296"/>
    <n v="7"/>
    <n v="1.2000000000000028"/>
    <x v="1"/>
    <n v="171.42857142857184"/>
    <n v="20.613737571428594"/>
  </r>
  <r>
    <s v="Tammin"/>
    <x v="1"/>
    <x v="1"/>
    <n v="3.96"/>
    <x v="64"/>
    <d v="2008-01-29T00:00:00"/>
    <x v="46"/>
    <x v="5"/>
    <d v="2008-02-12T00:00:00"/>
    <n v="68.2"/>
    <n v="1.75"/>
    <x v="2"/>
    <n v="4.4000000000000057"/>
    <n v="0"/>
    <x v="4"/>
    <n v="314.28571428571468"/>
    <n v="28.65422571428573"/>
    <n v="7"/>
    <n v="2.2000000000000028"/>
    <x v="1"/>
    <n v="314.28571428571468"/>
    <n v="28.65422571428573"/>
  </r>
  <r>
    <s v="Tammin"/>
    <x v="1"/>
    <x v="1"/>
    <n v="3.96"/>
    <x v="65"/>
    <d v="2008-01-29T00:00:00"/>
    <x v="47"/>
    <x v="5"/>
    <d v="2008-02-12T00:00:00"/>
    <n v="68.2"/>
    <n v="2"/>
    <x v="2"/>
    <n v="10"/>
    <n v="0.25"/>
    <x v="4"/>
    <n v="714.28571428571433"/>
    <n v="47.90077371428572"/>
    <n v="7"/>
    <n v="5"/>
    <x v="1"/>
    <n v="714.28571428571433"/>
    <n v="47.90077371428572"/>
  </r>
  <r>
    <s v="Tammin"/>
    <x v="1"/>
    <x v="1"/>
    <n v="3.96"/>
    <x v="66"/>
    <d v="2008-01-29T00:00:00"/>
    <x v="48"/>
    <x v="2"/>
    <d v="2008-02-12T00:00:00"/>
    <n v="57"/>
    <n v="2"/>
    <x v="2"/>
    <n v="6"/>
    <n v="0"/>
    <x v="4"/>
    <n v="428.57142857142856"/>
    <n v="32.259431428571425"/>
    <n v="7"/>
    <n v="1"/>
    <x v="1"/>
    <n v="142.85714285714286"/>
    <n v="18.173717142857143"/>
  </r>
  <r>
    <s v="Tammin"/>
    <x v="1"/>
    <x v="1"/>
    <n v="3.96"/>
    <x v="67"/>
    <d v="2008-01-29T00:00:00"/>
    <x v="18"/>
    <x v="3"/>
    <d v="2008-02-12T00:00:00"/>
    <n v="65"/>
    <n v="2.25"/>
    <x v="2"/>
    <n v="7.2000000000000028"/>
    <n v="0"/>
    <x v="4"/>
    <n v="514.28571428571445"/>
    <n v="37.736411714285722"/>
    <n v="7"/>
    <n v="3.3999999999999986"/>
    <x v="1"/>
    <n v="485.7142857142855"/>
    <n v="36.327840285714274"/>
  </r>
  <r>
    <s v="Tammin"/>
    <x v="4"/>
    <x v="4"/>
    <n v="2.4300000000000002"/>
    <x v="128"/>
    <d v="2015-02-10T00:00:00"/>
    <x v="35"/>
    <x v="4"/>
    <d v="2015-02-24T00:00:00"/>
    <n v="59"/>
    <n v="3.5"/>
    <x v="2"/>
    <n v="4.3999999999999986"/>
    <n v="0.5"/>
    <x v="5"/>
    <n v="314.28571428571416"/>
    <n v="27.098597714285706"/>
    <n v="14"/>
    <n v="4.3999999999999986"/>
    <x v="4"/>
    <n v="314.28571428571416"/>
    <n v="27.098597714285706"/>
  </r>
  <r>
    <s v="Tammin"/>
    <x v="4"/>
    <x v="4"/>
    <n v="2.4300000000000002"/>
    <x v="129"/>
    <d v="2015-02-10T00:00:00"/>
    <x v="71"/>
    <x v="6"/>
    <d v="2015-02-24T00:00:00"/>
    <n v="55"/>
    <n v="3.5"/>
    <x v="2"/>
    <n v="-1.7999999999999972"/>
    <n v="0"/>
    <x v="5"/>
    <n v="-128.57142857142836"/>
    <n v="5.1135595714285813"/>
    <n v="14"/>
    <n v="-1.7999999999999972"/>
    <x v="4"/>
    <n v="-128.57142857142836"/>
    <n v="5.1135595714285813"/>
  </r>
  <r>
    <s v="Tammin"/>
    <x v="4"/>
    <x v="4"/>
    <n v="2.4300000000000002"/>
    <x v="130"/>
    <d v="2015-02-10T00:00:00"/>
    <x v="35"/>
    <x v="0"/>
    <d v="2015-02-24T00:00:00"/>
    <n v="59"/>
    <n v="3"/>
    <x v="2"/>
    <n v="4.3999999999999986"/>
    <n v="0.5"/>
    <x v="5"/>
    <n v="314.28571428571416"/>
    <n v="27.098597714285706"/>
    <n v="14"/>
    <n v="4.3999999999999986"/>
    <x v="4"/>
    <n v="314.28571428571416"/>
    <n v="27.098597714285706"/>
  </r>
  <r>
    <s v="Tammin"/>
    <x v="4"/>
    <x v="4"/>
    <n v="2.4300000000000002"/>
    <x v="131"/>
    <d v="2015-02-10T00:00:00"/>
    <x v="40"/>
    <x v="9"/>
    <d v="2015-02-24T00:00:00"/>
    <n v="63.5"/>
    <n v="4"/>
    <x v="2"/>
    <n v="5.8999999999999986"/>
    <n v="0"/>
    <x v="5"/>
    <n v="421.42857142857133"/>
    <n v="33.01482807142856"/>
    <n v="14"/>
    <n v="5.8999999999999986"/>
    <x v="4"/>
    <n v="421.42857142857133"/>
    <n v="33.01482807142856"/>
  </r>
  <r>
    <s v="Tammin"/>
    <x v="4"/>
    <x v="4"/>
    <n v="2.4300000000000002"/>
    <x v="132"/>
    <d v="2015-02-10T00:00:00"/>
    <x v="72"/>
    <x v="0"/>
    <d v="2015-02-24T00:00:00"/>
    <n v="59"/>
    <n v="4"/>
    <x v="2"/>
    <n v="0.60000000000000142"/>
    <n v="1.5"/>
    <x v="5"/>
    <n v="42.857142857142961"/>
    <n v="14.038440142857148"/>
    <n v="14"/>
    <n v="0.60000000000000142"/>
    <x v="4"/>
    <n v="42.857142857142961"/>
    <n v="14.038440142857148"/>
  </r>
  <r>
    <s v="Tammin"/>
    <x v="4"/>
    <x v="4"/>
    <n v="2.4300000000000002"/>
    <x v="133"/>
    <d v="2015-02-10T00:00:00"/>
    <x v="44"/>
    <x v="4"/>
    <d v="2015-02-24T00:00:00"/>
    <n v="57.5"/>
    <n v="3.5"/>
    <x v="2"/>
    <n v="1.5"/>
    <n v="0.5"/>
    <x v="5"/>
    <n v="107.14285714285714"/>
    <n v="16.878000357142856"/>
    <n v="14"/>
    <n v="1.5"/>
    <x v="4"/>
    <n v="107.14285714285714"/>
    <n v="16.878000357142856"/>
  </r>
  <r>
    <s v="Tammin"/>
    <x v="4"/>
    <x v="4"/>
    <n v="2.4300000000000002"/>
    <x v="134"/>
    <d v="2015-02-10T00:00:00"/>
    <x v="71"/>
    <x v="6"/>
    <d v="2015-02-24T00:00:00"/>
    <n v="61"/>
    <n v="4"/>
    <x v="2"/>
    <n v="4.2000000000000028"/>
    <n v="0.5"/>
    <x v="5"/>
    <n v="300.00000000000023"/>
    <n v="26.74940100000001"/>
    <n v="14"/>
    <n v="4.2000000000000028"/>
    <x v="4"/>
    <n v="300.00000000000023"/>
    <n v="26.74940100000001"/>
  </r>
  <r>
    <s v="Tammin"/>
    <x v="4"/>
    <x v="4"/>
    <n v="2.4300000000000002"/>
    <x v="135"/>
    <d v="2015-02-10T00:00:00"/>
    <x v="18"/>
    <x v="4"/>
    <d v="2015-02-24T00:00:00"/>
    <n v="60.5"/>
    <n v="4"/>
    <x v="2"/>
    <n v="2.7000000000000028"/>
    <n v="1"/>
    <x v="5"/>
    <n v="192.85714285714306"/>
    <n v="21.50953064285715"/>
    <n v="14"/>
    <n v="2.7000000000000028"/>
    <x v="4"/>
    <n v="192.85714285714306"/>
    <n v="21.50953064285715"/>
  </r>
  <r>
    <s v="Tammin"/>
    <x v="4"/>
    <x v="4"/>
    <n v="2.4300000000000002"/>
    <x v="136"/>
    <d v="2015-02-10T00:00:00"/>
    <x v="3"/>
    <x v="0"/>
    <d v="2015-02-24T00:00:00"/>
    <n v="59.5"/>
    <n v="3.5"/>
    <x v="2"/>
    <n v="7.1000000000000014"/>
    <n v="1"/>
    <x v="5"/>
    <n v="507.14285714285722"/>
    <n v="36.462728357142865"/>
    <n v="14"/>
    <n v="7.1000000000000014"/>
    <x v="4"/>
    <n v="507.14285714285722"/>
    <n v="36.462728357142865"/>
  </r>
  <r>
    <s v="Tammin"/>
    <x v="4"/>
    <x v="4"/>
    <n v="2.4300000000000002"/>
    <x v="137"/>
    <d v="2015-02-10T00:00:00"/>
    <x v="8"/>
    <x v="4"/>
    <d v="2015-02-24T00:00:00"/>
    <n v="60.5"/>
    <n v="3.5"/>
    <x v="2"/>
    <n v="3.2999999999999972"/>
    <n v="0.5"/>
    <x v="5"/>
    <n v="235.71428571428552"/>
    <n v="23.571660785714272"/>
    <n v="14"/>
    <n v="3.2999999999999972"/>
    <x v="4"/>
    <n v="235.71428571428552"/>
    <n v="23.571660785714272"/>
  </r>
  <r>
    <s v="Tammin"/>
    <x v="4"/>
    <x v="4"/>
    <n v="2.4300000000000002"/>
    <x v="138"/>
    <d v="2015-02-10T00:00:00"/>
    <x v="73"/>
    <x v="0"/>
    <d v="2015-02-24T00:00:00"/>
    <n v="55"/>
    <n v="3.5"/>
    <x v="2"/>
    <n v="1.3999999999999986"/>
    <n v="1"/>
    <x v="5"/>
    <n v="99.999999999999901"/>
    <n v="16.111586999999993"/>
    <n v="14"/>
    <n v="1.3999999999999986"/>
    <x v="4"/>
    <n v="99.999999999999901"/>
    <n v="16.111586999999993"/>
  </r>
  <r>
    <s v="Tammin"/>
    <x v="4"/>
    <x v="4"/>
    <n v="2.4300000000000002"/>
    <x v="139"/>
    <d v="2015-02-10T00:00:00"/>
    <x v="44"/>
    <x v="4"/>
    <d v="2015-02-24T00:00:00"/>
    <n v="56.5"/>
    <n v="4"/>
    <x v="2"/>
    <n v="0.5"/>
    <n v="1"/>
    <x v="5"/>
    <n v="35.714285714285715"/>
    <n v="13.272026785714285"/>
    <n v="14"/>
    <n v="0.5"/>
    <x v="4"/>
    <n v="35.714285714285715"/>
    <n v="13.272026785714285"/>
  </r>
  <r>
    <s v="Tammin"/>
    <x v="4"/>
    <x v="4"/>
    <n v="2.4300000000000002"/>
    <x v="140"/>
    <d v="2015-02-10T00:00:00"/>
    <x v="30"/>
    <x v="6"/>
    <d v="2015-02-24T00:00:00"/>
    <n v="58.5"/>
    <n v="3.5"/>
    <x v="2"/>
    <n v="4.7000000000000028"/>
    <n v="0"/>
    <x v="5"/>
    <n v="335.71428571428589"/>
    <n v="28.045117785714297"/>
    <n v="14"/>
    <n v="4.7000000000000028"/>
    <x v="4"/>
    <n v="335.71428571428589"/>
    <n v="28.045117785714297"/>
  </r>
  <r>
    <s v="Tammin"/>
    <x v="4"/>
    <x v="4"/>
    <n v="2.4300000000000002"/>
    <x v="141"/>
    <d v="2015-02-10T00:00:00"/>
    <x v="74"/>
    <x v="6"/>
    <d v="2015-02-24T00:00:00"/>
    <n v="57"/>
    <n v="4"/>
    <x v="2"/>
    <n v="4.7999999999999972"/>
    <n v="0.5"/>
    <x v="5"/>
    <n v="342.85714285714266"/>
    <n v="28.135171142857132"/>
    <n v="14"/>
    <n v="4.7999999999999972"/>
    <x v="4"/>
    <n v="342.85714285714266"/>
    <n v="28.135171142857132"/>
  </r>
  <r>
    <s v="Tammin"/>
    <x v="4"/>
    <x v="4"/>
    <n v="2.4300000000000002"/>
    <x v="142"/>
    <d v="2015-02-10T00:00:00"/>
    <x v="47"/>
    <x v="6"/>
    <d v="2015-02-24T00:00:00"/>
    <n v="64"/>
    <n v="4"/>
    <x v="2"/>
    <n v="5.7999999999999972"/>
    <n v="0.5"/>
    <x v="5"/>
    <n v="414.28571428571411"/>
    <n v="32.755684714285699"/>
    <n v="14"/>
    <n v="5.7999999999999972"/>
    <x v="4"/>
    <n v="414.28571428571411"/>
    <n v="32.755684714285699"/>
  </r>
  <r>
    <s v="Tammin"/>
    <x v="4"/>
    <x v="4"/>
    <n v="2.4300000000000002"/>
    <x v="143"/>
    <d v="2015-02-10T00:00:00"/>
    <x v="75"/>
    <x v="4"/>
    <d v="2015-02-24T00:00:00"/>
    <n v="61.5"/>
    <n v="4"/>
    <x v="2"/>
    <n v="5.8999999999999986"/>
    <n v="1"/>
    <x v="5"/>
    <n v="421.42857142857133"/>
    <n v="32.676648071428559"/>
    <n v="14"/>
    <n v="5.8999999999999986"/>
    <x v="4"/>
    <n v="421.42857142857133"/>
    <n v="32.676648071428559"/>
  </r>
  <r>
    <s v="Tammin"/>
    <x v="4"/>
    <x v="4"/>
    <n v="2.4300000000000002"/>
    <x v="144"/>
    <d v="2015-02-10T00:00:00"/>
    <x v="15"/>
    <x v="4"/>
    <d v="2015-02-24T00:00:00"/>
    <n v="56"/>
    <n v="3.5"/>
    <x v="2"/>
    <n v="-0.39999999999999858"/>
    <n v="0.5"/>
    <x v="5"/>
    <n v="-28.57142857142847"/>
    <n v="10.094286571428576"/>
    <n v="14"/>
    <n v="-0.39999999999999858"/>
    <x v="4"/>
    <n v="-28.57142857142847"/>
    <n v="10.094286571428576"/>
  </r>
  <r>
    <s v="Tammin"/>
    <x v="4"/>
    <x v="4"/>
    <n v="2.4300000000000002"/>
    <x v="145"/>
    <d v="2015-02-10T00:00:00"/>
    <x v="13"/>
    <x v="6"/>
    <d v="2015-02-24T00:00:00"/>
    <n v="53"/>
    <n v="4"/>
    <x v="2"/>
    <n v="-7"/>
    <n v="0.5"/>
    <x v="5"/>
    <n v="-500"/>
    <n v="-13.096414999999999"/>
    <n v="14"/>
    <n v="-7"/>
    <x v="4"/>
    <n v="-500"/>
    <n v="-13.096414999999999"/>
  </r>
  <r>
    <s v="Tammin"/>
    <x v="4"/>
    <x v="4"/>
    <n v="2.4300000000000002"/>
    <x v="146"/>
    <d v="2015-02-10T00:00:00"/>
    <x v="76"/>
    <x v="4"/>
    <d v="2015-02-24T00:00:00"/>
    <n v="60.5"/>
    <n v="3.5"/>
    <x v="2"/>
    <n v="4.7000000000000028"/>
    <n v="0.5"/>
    <x v="5"/>
    <n v="335.71428571428589"/>
    <n v="28.383297785714294"/>
    <n v="14"/>
    <n v="4.7000000000000028"/>
    <x v="4"/>
    <n v="335.71428571428589"/>
    <n v="28.383297785714294"/>
  </r>
  <r>
    <s v="Tammin"/>
    <x v="4"/>
    <x v="4"/>
    <n v="2.4300000000000002"/>
    <x v="147"/>
    <d v="2015-02-10T00:00:00"/>
    <x v="77"/>
    <x v="6"/>
    <d v="2015-02-24T00:00:00"/>
    <n v="56"/>
    <n v="3.5"/>
    <x v="2"/>
    <n v="3.2000000000000028"/>
    <n v="0"/>
    <x v="5"/>
    <n v="228.57142857142878"/>
    <n v="22.46706742857144"/>
    <n v="14"/>
    <n v="3.2000000000000028"/>
    <x v="4"/>
    <n v="228.57142857142878"/>
    <n v="22.46706742857144"/>
  </r>
  <r>
    <s v="Tammin"/>
    <x v="5"/>
    <x v="5"/>
    <n v="2.4700000000000002"/>
    <x v="148"/>
    <d v="2015-02-10T00:00:00"/>
    <x v="72"/>
    <x v="0"/>
    <d v="2015-02-24T00:00:00"/>
    <n v="63"/>
    <n v="3.5"/>
    <x v="2"/>
    <n v="4.6000000000000014"/>
    <n v="1"/>
    <x v="6"/>
    <n v="328.57142857142867"/>
    <n v="28.462334428571431"/>
    <n v="14"/>
    <n v="4.6000000000000014"/>
    <x v="5"/>
    <n v="328.57142857142867"/>
    <n v="28.462334428571431"/>
  </r>
  <r>
    <s v="Tammin"/>
    <x v="5"/>
    <x v="5"/>
    <n v="2.4700000000000002"/>
    <x v="149"/>
    <d v="2015-02-10T00:00:00"/>
    <x v="78"/>
    <x v="0"/>
    <d v="2015-02-24T00:00:00"/>
    <n v="56.5"/>
    <n v="3.5"/>
    <x v="2"/>
    <n v="3.8999999999999986"/>
    <n v="1"/>
    <x v="6"/>
    <n v="278.57142857142844"/>
    <n v="24.957430928571419"/>
    <n v="14"/>
    <n v="3.8999999999999986"/>
    <x v="5"/>
    <n v="278.57142857142844"/>
    <n v="24.957430928571419"/>
  </r>
  <r>
    <s v="Tammin"/>
    <x v="5"/>
    <x v="5"/>
    <n v="2.4700000000000002"/>
    <x v="150"/>
    <d v="2015-02-10T00:00:00"/>
    <x v="73"/>
    <x v="4"/>
    <d v="2015-02-24T00:00:00"/>
    <n v="52.5"/>
    <n v="2.5"/>
    <x v="2"/>
    <n v="-1.1000000000000014"/>
    <n v="-0.5"/>
    <x v="6"/>
    <n v="-78.571428571428669"/>
    <n v="7.0966530714285661"/>
    <n v="14"/>
    <n v="-1.1000000000000014"/>
    <x v="5"/>
    <n v="-78.571428571428669"/>
    <n v="7.0966530714285661"/>
  </r>
  <r>
    <s v="Tammin"/>
    <x v="5"/>
    <x v="5"/>
    <n v="2.4700000000000002"/>
    <x v="151"/>
    <d v="2015-02-10T00:00:00"/>
    <x v="75"/>
    <x v="4"/>
    <d v="2015-02-24T00:00:00"/>
    <n v="60"/>
    <n v="3.5"/>
    <x v="2"/>
    <n v="4.3999999999999986"/>
    <n v="0.5"/>
    <x v="6"/>
    <n v="314.28571428571416"/>
    <n v="27.267687714285707"/>
    <n v="14"/>
    <n v="4.3999999999999986"/>
    <x v="5"/>
    <n v="314.28571428571416"/>
    <n v="27.267687714285707"/>
  </r>
  <r>
    <s v="Tammin"/>
    <x v="5"/>
    <x v="5"/>
    <n v="2.4700000000000002"/>
    <x v="152"/>
    <d v="2015-02-10T00:00:00"/>
    <x v="79"/>
    <x v="9"/>
    <d v="2015-02-24T00:00:00"/>
    <n v="66"/>
    <n v="3.5"/>
    <x v="2"/>
    <n v="6.2000000000000028"/>
    <n v="-0.5"/>
    <x v="6"/>
    <n v="442.85714285714306"/>
    <n v="34.468618142857153"/>
    <n v="14"/>
    <n v="6.2000000000000028"/>
    <x v="5"/>
    <n v="442.85714285714306"/>
    <n v="34.468618142857153"/>
  </r>
  <r>
    <s v="Tammin"/>
    <x v="5"/>
    <x v="5"/>
    <n v="2.4700000000000002"/>
    <x v="153"/>
    <d v="2015-02-10T00:00:00"/>
    <x v="30"/>
    <x v="0"/>
    <d v="2015-02-24T00:00:00"/>
    <n v="59"/>
    <n v="3.5"/>
    <x v="2"/>
    <n v="5.2000000000000028"/>
    <n v="1"/>
    <x v="6"/>
    <n v="371.42857142857162"/>
    <n v="29.848104571428578"/>
    <n v="14"/>
    <n v="5.2000000000000028"/>
    <x v="5"/>
    <n v="371.42857142857162"/>
    <n v="29.848104571428578"/>
  </r>
  <r>
    <s v="Tammin"/>
    <x v="5"/>
    <x v="5"/>
    <n v="2.4700000000000002"/>
    <x v="154"/>
    <d v="2015-02-10T00:00:00"/>
    <x v="42"/>
    <x v="6"/>
    <d v="2015-02-24T00:00:00"/>
    <n v="58"/>
    <n v="4"/>
    <x v="2"/>
    <n v="2.6000000000000014"/>
    <n v="0.5"/>
    <x v="6"/>
    <n v="185.71428571428581"/>
    <n v="20.743117285714291"/>
    <n v="14"/>
    <n v="2.6000000000000014"/>
    <x v="5"/>
    <n v="185.71428571428581"/>
    <n v="20.743117285714291"/>
  </r>
  <r>
    <s v="Tammin"/>
    <x v="5"/>
    <x v="5"/>
    <n v="2.4700000000000002"/>
    <x v="155"/>
    <d v="2015-02-10T00:00:00"/>
    <x v="54"/>
    <x v="6"/>
    <d v="2015-02-24T00:00:00"/>
    <n v="58"/>
    <n v="4"/>
    <x v="2"/>
    <n v="1"/>
    <n v="0.5"/>
    <x v="6"/>
    <n v="71.428571428571431"/>
    <n v="15.244103571428569"/>
    <n v="14"/>
    <n v="1"/>
    <x v="5"/>
    <n v="71.428571428571431"/>
    <n v="15.244103571428569"/>
  </r>
  <r>
    <s v="Tammin"/>
    <x v="5"/>
    <x v="5"/>
    <n v="2.4700000000000002"/>
    <x v="156"/>
    <d v="2015-02-10T00:00:00"/>
    <x v="20"/>
    <x v="0"/>
    <d v="2015-02-24T00:00:00"/>
    <n v="61.5"/>
    <n v="3"/>
    <x v="2"/>
    <n v="3.5"/>
    <n v="0.5"/>
    <x v="6"/>
    <n v="250"/>
    <n v="24.428127499999999"/>
    <n v="14"/>
    <n v="3.5"/>
    <x v="5"/>
    <n v="250"/>
    <n v="24.428127499999999"/>
  </r>
  <r>
    <s v="Tammin"/>
    <x v="5"/>
    <x v="5"/>
    <n v="2.4700000000000002"/>
    <x v="157"/>
    <d v="2015-02-10T00:00:00"/>
    <x v="40"/>
    <x v="4"/>
    <d v="2015-02-24T00:00:00"/>
    <n v="59.5"/>
    <n v="4"/>
    <x v="2"/>
    <n v="1.8999999999999986"/>
    <n v="1"/>
    <x v="6"/>
    <n v="135.71428571428561"/>
    <n v="18.590933785714277"/>
    <n v="14"/>
    <n v="1.8999999999999986"/>
    <x v="5"/>
    <n v="135.71428571428561"/>
    <n v="18.590933785714277"/>
  </r>
  <r>
    <s v="Tammin"/>
    <x v="5"/>
    <x v="5"/>
    <n v="2.4700000000000002"/>
    <x v="158"/>
    <d v="2015-02-10T00:00:00"/>
    <x v="42"/>
    <x v="4"/>
    <d v="2015-02-24T00:00:00"/>
    <n v="54.5"/>
    <n v="3"/>
    <x v="2"/>
    <n v="-0.89999999999999858"/>
    <n v="0"/>
    <x v="6"/>
    <n v="-64.285714285714178"/>
    <n v="8.1222097857142899"/>
    <n v="14"/>
    <n v="-0.89999999999999858"/>
    <x v="5"/>
    <n v="-64.285714285714178"/>
    <n v="8.1222097857142899"/>
  </r>
  <r>
    <s v="Tammin"/>
    <x v="5"/>
    <x v="5"/>
    <n v="2.4700000000000002"/>
    <x v="159"/>
    <d v="2015-02-10T00:00:00"/>
    <x v="20"/>
    <x v="4"/>
    <d v="2015-02-24T00:00:00"/>
    <n v="61"/>
    <n v="3"/>
    <x v="2"/>
    <n v="3"/>
    <n v="0"/>
    <x v="6"/>
    <n v="214.28571428571428"/>
    <n v="22.625140714285713"/>
    <n v="14"/>
    <n v="3"/>
    <x v="5"/>
    <n v="214.28571428571428"/>
    <n v="22.625140714285713"/>
  </r>
  <r>
    <s v="Tammin"/>
    <x v="5"/>
    <x v="5"/>
    <n v="2.4700000000000002"/>
    <x v="160"/>
    <d v="2015-02-10T00:00:00"/>
    <x v="74"/>
    <x v="0"/>
    <d v="2015-02-24T00:00:00"/>
    <n v="57.5"/>
    <n v="3.5"/>
    <x v="2"/>
    <n v="5.2999999999999972"/>
    <n v="1"/>
    <x v="6"/>
    <n v="378.57142857142838"/>
    <n v="29.938157928571421"/>
    <n v="14"/>
    <n v="5.2999999999999972"/>
    <x v="5"/>
    <n v="378.57142857142838"/>
    <n v="29.938157928571421"/>
  </r>
  <r>
    <s v="Tammin"/>
    <x v="5"/>
    <x v="5"/>
    <n v="2.4700000000000002"/>
    <x v="161"/>
    <d v="2015-02-10T00:00:00"/>
    <x v="73"/>
    <x v="4"/>
    <d v="2015-02-24T00:00:00"/>
    <n v="57.5"/>
    <n v="4"/>
    <x v="2"/>
    <n v="3.8999999999999986"/>
    <n v="1"/>
    <x v="6"/>
    <n v="278.57142857142844"/>
    <n v="25.126520928571416"/>
    <n v="14"/>
    <n v="3.8999999999999986"/>
    <x v="5"/>
    <n v="278.57142857142844"/>
    <n v="25.126520928571416"/>
  </r>
  <r>
    <s v="Tammin"/>
    <x v="5"/>
    <x v="5"/>
    <n v="2.4700000000000002"/>
    <x v="162"/>
    <d v="2015-02-10T00:00:00"/>
    <x v="13"/>
    <x v="6"/>
    <d v="2015-02-24T00:00:00"/>
    <n v="61.5"/>
    <n v="4"/>
    <x v="2"/>
    <n v="1.5"/>
    <n v="0.5"/>
    <x v="6"/>
    <n v="107.14285714285714"/>
    <n v="17.554360357142855"/>
    <n v="14"/>
    <n v="1.5"/>
    <x v="5"/>
    <n v="107.14285714285714"/>
    <n v="17.554360357142855"/>
  </r>
  <r>
    <s v="Tammin"/>
    <x v="5"/>
    <x v="5"/>
    <n v="2.4700000000000002"/>
    <x v="163"/>
    <d v="2015-02-10T00:00:00"/>
    <x v="78"/>
    <x v="0"/>
    <d v="2015-02-24T00:00:00"/>
    <n v="53.5"/>
    <n v="4"/>
    <x v="2"/>
    <n v="0.89999999999999858"/>
    <n v="1.5"/>
    <x v="6"/>
    <n v="64.285714285714178"/>
    <n v="14.139510214285707"/>
    <n v="14"/>
    <n v="0.89999999999999858"/>
    <x v="5"/>
    <n v="64.285714285714178"/>
    <n v="14.139510214285707"/>
  </r>
  <r>
    <s v="Tammin"/>
    <x v="5"/>
    <x v="5"/>
    <n v="2.4700000000000002"/>
    <x v="164"/>
    <d v="2015-02-10T00:00:00"/>
    <x v="8"/>
    <x v="4"/>
    <d v="2015-02-24T00:00:00"/>
    <n v="64"/>
    <n v="4"/>
    <x v="2"/>
    <n v="6.7999999999999972"/>
    <n v="1"/>
    <x v="6"/>
    <n v="485.7142857142855"/>
    <n v="36.192568285714273"/>
    <n v="14"/>
    <n v="6.7999999999999972"/>
    <x v="5"/>
    <n v="485.7142857142855"/>
    <n v="36.192568285714273"/>
  </r>
  <r>
    <s v="Tammin"/>
    <x v="5"/>
    <x v="5"/>
    <n v="2.4700000000000002"/>
    <x v="165"/>
    <d v="2015-02-10T00:00:00"/>
    <x v="8"/>
    <x v="6"/>
    <d v="2015-02-24T00:00:00"/>
    <n v="60"/>
    <n v="3.5"/>
    <x v="2"/>
    <n v="2.7999999999999972"/>
    <n v="0"/>
    <x v="6"/>
    <n v="199.9999999999998"/>
    <n v="21.76867399999999"/>
    <n v="14"/>
    <n v="2.7999999999999972"/>
    <x v="5"/>
    <n v="199.9999999999998"/>
    <n v="21.76867399999999"/>
  </r>
  <r>
    <s v="Tammin"/>
    <x v="5"/>
    <x v="5"/>
    <n v="2.4700000000000002"/>
    <x v="166"/>
    <d v="2015-02-10T00:00:00"/>
    <x v="35"/>
    <x v="4"/>
    <d v="2015-02-24T00:00:00"/>
    <n v="55.5"/>
    <n v="3"/>
    <x v="2"/>
    <n v="0.89999999999999858"/>
    <n v="0"/>
    <x v="6"/>
    <n v="64.285714285714178"/>
    <n v="14.477690214285708"/>
    <n v="14"/>
    <n v="0.89999999999999858"/>
    <x v="5"/>
    <n v="64.285714285714178"/>
    <n v="14.477690214285708"/>
  </r>
  <r>
    <s v="Tammin"/>
    <x v="5"/>
    <x v="5"/>
    <n v="2.4700000000000002"/>
    <x v="167"/>
    <d v="2015-02-10T00:00:00"/>
    <x v="24"/>
    <x v="4"/>
    <d v="2015-02-24T00:00:00"/>
    <n v="52.5"/>
    <n v="3"/>
    <x v="2"/>
    <n v="-2.7000000000000028"/>
    <n v="0"/>
    <x v="6"/>
    <n v="-192.85714285714306"/>
    <n v="1.5976393571428478"/>
    <n v="14"/>
    <n v="-2.7000000000000028"/>
    <x v="5"/>
    <n v="-192.85714285714306"/>
    <n v="1.5976393571428478"/>
  </r>
  <r>
    <s v="Dandaragan"/>
    <x v="6"/>
    <x v="6"/>
    <n v="2.16"/>
    <x v="168"/>
    <d v="2016-02-02T00:00:00"/>
    <x v="80"/>
    <x v="0"/>
    <d v="2016-02-17T00:00:00"/>
    <n v="68"/>
    <n v="2.5"/>
    <x v="3"/>
    <n v="3"/>
    <n v="0"/>
    <x v="7"/>
    <n v="200"/>
    <n v="23.104484999999997"/>
    <n v="15"/>
    <n v="3"/>
    <x v="6"/>
    <n v="200"/>
    <n v="23.104484999999997"/>
  </r>
  <r>
    <s v="Dandaragan"/>
    <x v="6"/>
    <x v="6"/>
    <n v="2.16"/>
    <x v="169"/>
    <d v="2016-02-02T00:00:00"/>
    <x v="81"/>
    <x v="0"/>
    <d v="2016-02-17T00:00:00"/>
    <n v="59.5"/>
    <n v="2.5"/>
    <x v="3"/>
    <n v="5"/>
    <n v="0"/>
    <x v="7"/>
    <n v="333.33333333333331"/>
    <n v="28.07146333333333"/>
    <n v="15"/>
    <n v="5"/>
    <x v="6"/>
    <n v="333.33333333333331"/>
    <n v="28.07146333333333"/>
  </r>
  <r>
    <s v="Dandaragan"/>
    <x v="6"/>
    <x v="6"/>
    <n v="2.16"/>
    <x v="170"/>
    <d v="2016-02-02T00:00:00"/>
    <x v="51"/>
    <x v="4"/>
    <d v="2016-02-17T00:00:00"/>
    <n v="60"/>
    <n v="2.5"/>
    <x v="3"/>
    <n v="0.5"/>
    <n v="-0.5"/>
    <x v="7"/>
    <n v="33.333333333333336"/>
    <n v="13.746460833333332"/>
    <n v="15"/>
    <n v="0.5"/>
    <x v="6"/>
    <n v="33.333333333333336"/>
    <n v="13.746460833333332"/>
  </r>
  <r>
    <s v="Dandaragan"/>
    <x v="6"/>
    <x v="6"/>
    <n v="2.16"/>
    <x v="171"/>
    <d v="2016-02-02T00:00:00"/>
    <x v="49"/>
    <x v="4"/>
    <d v="2016-02-17T00:00:00"/>
    <n v="67"/>
    <n v="3"/>
    <x v="3"/>
    <n v="4.5"/>
    <n v="0"/>
    <x v="7"/>
    <n v="300"/>
    <n v="27.738577499999998"/>
    <n v="15"/>
    <n v="4.5"/>
    <x v="6"/>
    <n v="300"/>
    <n v="27.738577499999998"/>
  </r>
  <r>
    <s v="Dandaragan"/>
    <x v="6"/>
    <x v="6"/>
    <n v="2.16"/>
    <x v="172"/>
    <d v="2016-02-02T00:00:00"/>
    <x v="44"/>
    <x v="0"/>
    <d v="2016-02-17T00:00:00"/>
    <n v="57"/>
    <n v="2.75"/>
    <x v="3"/>
    <n v="1"/>
    <n v="0.25"/>
    <x v="7"/>
    <n v="66.666666666666671"/>
    <n v="14.840251666666667"/>
    <n v="15"/>
    <n v="1"/>
    <x v="6"/>
    <n v="66.666666666666671"/>
    <n v="14.840251666666667"/>
  </r>
  <r>
    <s v="Dandaragan"/>
    <x v="6"/>
    <x v="6"/>
    <n v="2.16"/>
    <x v="173"/>
    <d v="2016-02-02T00:00:00"/>
    <x v="82"/>
    <x v="4"/>
    <d v="2016-02-17T00:00:00"/>
    <n v="64.5"/>
    <n v="3"/>
    <x v="3"/>
    <n v="1.5"/>
    <n v="0"/>
    <x v="7"/>
    <n v="100"/>
    <n v="17.709487500000002"/>
    <n v="15"/>
    <n v="1.5"/>
    <x v="6"/>
    <n v="100"/>
    <n v="17.709487500000002"/>
  </r>
  <r>
    <s v="Dandaragan"/>
    <x v="6"/>
    <x v="6"/>
    <n v="2.16"/>
    <x v="174"/>
    <d v="2016-02-02T00:00:00"/>
    <x v="50"/>
    <x v="0"/>
    <d v="2016-02-17T00:00:00"/>
    <n v="58"/>
    <n v="2.5"/>
    <x v="3"/>
    <n v="0.5"/>
    <n v="0"/>
    <x v="7"/>
    <n v="33.333333333333336"/>
    <n v="13.408280833333333"/>
    <n v="15"/>
    <n v="0.5"/>
    <x v="6"/>
    <n v="33.333333333333336"/>
    <n v="13.408280833333333"/>
  </r>
  <r>
    <s v="Dandaragan"/>
    <x v="6"/>
    <x v="6"/>
    <n v="2.16"/>
    <x v="175"/>
    <d v="2016-02-02T00:00:00"/>
    <x v="55"/>
    <x v="4"/>
    <d v="2016-02-17T00:00:00"/>
    <n v="63"/>
    <n v="3"/>
    <x v="3"/>
    <n v="2.5"/>
    <n v="0"/>
    <x v="7"/>
    <n v="166.66666666666666"/>
    <n v="20.657974166666662"/>
    <n v="15"/>
    <n v="2.5"/>
    <x v="6"/>
    <n v="166.66666666666666"/>
    <n v="20.657974166666662"/>
  </r>
  <r>
    <s v="Dandaragan"/>
    <x v="6"/>
    <x v="6"/>
    <n v="2.16"/>
    <x v="176"/>
    <d v="2016-02-02T00:00:00"/>
    <x v="83"/>
    <x v="0"/>
    <d v="2016-02-17T00:00:00"/>
    <n v="66"/>
    <n v="3"/>
    <x v="3"/>
    <n v="4.5"/>
    <n v="0.5"/>
    <x v="7"/>
    <n v="300"/>
    <n v="27.569487500000001"/>
    <n v="15"/>
    <n v="4.5"/>
    <x v="6"/>
    <n v="300"/>
    <n v="27.569487500000001"/>
  </r>
  <r>
    <s v="Dandaragan"/>
    <x v="6"/>
    <x v="6"/>
    <n v="2.16"/>
    <x v="177"/>
    <d v="2016-02-02T00:00:00"/>
    <x v="80"/>
    <x v="0"/>
    <d v="2016-02-17T00:00:00"/>
    <n v="67.5"/>
    <n v="3"/>
    <x v="3"/>
    <n v="2.5"/>
    <n v="0.5"/>
    <x v="7"/>
    <n v="166.66666666666666"/>
    <n v="21.418879166666663"/>
    <n v="15"/>
    <n v="2.5"/>
    <x v="6"/>
    <n v="166.66666666666666"/>
    <n v="21.418879166666663"/>
  </r>
  <r>
    <s v="Dandaragan"/>
    <x v="6"/>
    <x v="6"/>
    <n v="2.16"/>
    <x v="178"/>
    <d v="2016-02-02T00:00:00"/>
    <x v="80"/>
    <x v="4"/>
    <d v="2016-02-17T00:00:00"/>
    <n v="66"/>
    <n v="3"/>
    <x v="3"/>
    <n v="1"/>
    <n v="0"/>
    <x v="7"/>
    <n v="66.666666666666671"/>
    <n v="16.362061666666666"/>
    <n v="15"/>
    <n v="1"/>
    <x v="6"/>
    <n v="66.666666666666671"/>
    <n v="16.362061666666666"/>
  </r>
  <r>
    <s v="Dandaragan"/>
    <x v="6"/>
    <x v="6"/>
    <n v="2.16"/>
    <x v="179"/>
    <d v="2016-02-02T00:00:00"/>
    <x v="13"/>
    <x v="4"/>
    <d v="2016-02-17T00:00:00"/>
    <n v="63"/>
    <n v="3.25"/>
    <x v="3"/>
    <n v="3"/>
    <n v="0.25"/>
    <x v="7"/>
    <n v="200"/>
    <n v="22.259034999999997"/>
    <n v="15"/>
    <n v="3"/>
    <x v="6"/>
    <n v="200"/>
    <n v="22.259034999999997"/>
  </r>
  <r>
    <s v="Dandaragan"/>
    <x v="6"/>
    <x v="6"/>
    <n v="2.16"/>
    <x v="180"/>
    <d v="2016-02-02T00:00:00"/>
    <x v="16"/>
    <x v="4"/>
    <d v="2016-02-17T00:00:00"/>
    <n v="66"/>
    <n v="3"/>
    <x v="3"/>
    <n v="2"/>
    <n v="0"/>
    <x v="7"/>
    <n v="133.33333333333334"/>
    <n v="19.564183333333332"/>
    <n v="15"/>
    <n v="2"/>
    <x v="6"/>
    <n v="133.33333333333334"/>
    <n v="19.564183333333332"/>
  </r>
  <r>
    <s v="Dandaragan"/>
    <x v="6"/>
    <x v="6"/>
    <n v="2.16"/>
    <x v="181"/>
    <d v="2016-02-02T00:00:00"/>
    <x v="83"/>
    <x v="0"/>
    <d v="2016-02-17T00:00:00"/>
    <n v="62"/>
    <n v="2.5"/>
    <x v="3"/>
    <n v="0.5"/>
    <n v="0"/>
    <x v="7"/>
    <n v="33.333333333333336"/>
    <n v="14.084640833333331"/>
    <n v="15"/>
    <n v="0.5"/>
    <x v="6"/>
    <n v="33.333333333333336"/>
    <n v="14.084640833333331"/>
  </r>
  <r>
    <s v="Dandaragan"/>
    <x v="6"/>
    <x v="6"/>
    <n v="2.16"/>
    <x v="182"/>
    <d v="2016-02-02T00:00:00"/>
    <x v="82"/>
    <x v="4"/>
    <d v="2016-02-17T00:00:00"/>
    <n v="64.5"/>
    <n v="3"/>
    <x v="3"/>
    <n v="1.5"/>
    <n v="0"/>
    <x v="7"/>
    <n v="100"/>
    <n v="17.709487500000002"/>
    <n v="15"/>
    <n v="1.5"/>
    <x v="6"/>
    <n v="100"/>
    <n v="17.709487500000002"/>
  </r>
  <r>
    <s v="Dandaragan"/>
    <x v="6"/>
    <x v="6"/>
    <n v="2.16"/>
    <x v="183"/>
    <d v="2016-02-02T00:00:00"/>
    <x v="82"/>
    <x v="4"/>
    <d v="2016-02-17T00:00:00"/>
    <n v="65.5"/>
    <n v="2.5"/>
    <x v="3"/>
    <n v="2.5"/>
    <n v="-0.5"/>
    <x v="7"/>
    <n v="166.66666666666666"/>
    <n v="21.080699166666662"/>
    <n v="15"/>
    <n v="2.5"/>
    <x v="6"/>
    <n v="166.66666666666666"/>
    <n v="21.080699166666662"/>
  </r>
  <r>
    <s v="Dandaragan"/>
    <x v="6"/>
    <x v="6"/>
    <n v="2.16"/>
    <x v="184"/>
    <d v="2016-02-02T00:00:00"/>
    <x v="13"/>
    <x v="0"/>
    <d v="2016-02-17T00:00:00"/>
    <n v="65.5"/>
    <n v="2.75"/>
    <x v="3"/>
    <n v="5.5"/>
    <n v="0.25"/>
    <x v="7"/>
    <n v="366.66666666666663"/>
    <n v="30.687064166666666"/>
    <n v="15"/>
    <n v="5.5"/>
    <x v="6"/>
    <n v="366.66666666666663"/>
    <n v="30.687064166666666"/>
  </r>
  <r>
    <s v="Dandaragan"/>
    <x v="6"/>
    <x v="6"/>
    <n v="2.16"/>
    <x v="185"/>
    <d v="2016-02-02T00:00:00"/>
    <x v="53"/>
    <x v="0"/>
    <d v="2016-02-17T00:00:00"/>
    <n v="59"/>
    <n v="2.5"/>
    <x v="3"/>
    <n v="0.5"/>
    <n v="0"/>
    <x v="7"/>
    <n v="33.333333333333336"/>
    <n v="13.577370833333331"/>
    <n v="15"/>
    <n v="0.5"/>
    <x v="6"/>
    <n v="33.333333333333336"/>
    <n v="13.577370833333331"/>
  </r>
  <r>
    <s v="Dandaragan"/>
    <x v="6"/>
    <x v="6"/>
    <n v="2.16"/>
    <x v="186"/>
    <d v="2016-02-02T00:00:00"/>
    <x v="80"/>
    <x v="0"/>
    <d v="2016-02-17T00:00:00"/>
    <n v="69"/>
    <n v="3"/>
    <x v="3"/>
    <n v="4"/>
    <n v="0.5"/>
    <x v="7"/>
    <n v="266.66666666666669"/>
    <n v="26.475696666666664"/>
    <n v="15"/>
    <n v="4"/>
    <x v="6"/>
    <n v="266.66666666666669"/>
    <n v="26.475696666666664"/>
  </r>
  <r>
    <s v="Dandaragan"/>
    <x v="6"/>
    <x v="6"/>
    <n v="2.16"/>
    <x v="187"/>
    <d v="2016-02-02T00:00:00"/>
    <x v="82"/>
    <x v="0"/>
    <d v="2016-02-17T00:00:00"/>
    <n v="66.5"/>
    <n v="3"/>
    <x v="3"/>
    <n v="3.5"/>
    <n v="0.5"/>
    <x v="7"/>
    <n v="233.33333333333334"/>
    <n v="24.451910833333329"/>
    <n v="15"/>
    <n v="3.5"/>
    <x v="6"/>
    <n v="233.33333333333334"/>
    <n v="24.451910833333329"/>
  </r>
  <r>
    <s v="Dandaragan"/>
    <x v="6"/>
    <x v="6"/>
    <n v="2.16"/>
    <x v="188"/>
    <d v="2016-02-02T00:00:00"/>
    <x v="54"/>
    <x v="0"/>
    <d v="2016-02-17T00:00:00"/>
    <n v="60"/>
    <n v="2.75"/>
    <x v="3"/>
    <n v="3"/>
    <n v="0.25"/>
    <x v="7"/>
    <n v="200"/>
    <n v="21.751764999999999"/>
    <n v="15"/>
    <n v="3"/>
    <x v="6"/>
    <n v="200"/>
    <n v="21.751764999999999"/>
  </r>
  <r>
    <s v="Dandaragan"/>
    <x v="6"/>
    <x v="6"/>
    <n v="2.16"/>
    <x v="189"/>
    <d v="2016-02-02T00:00:00"/>
    <x v="13"/>
    <x v="0"/>
    <d v="2016-02-17T00:00:00"/>
    <n v="60"/>
    <n v="2.5"/>
    <x v="3"/>
    <n v="0"/>
    <n v="0"/>
    <x v="7"/>
    <n v="0"/>
    <n v="12.145399999999999"/>
    <n v="15"/>
    <n v="0"/>
    <x v="6"/>
    <n v="0"/>
    <n v="12.145399999999999"/>
  </r>
  <r>
    <s v="Dandaragan"/>
    <x v="6"/>
    <x v="6"/>
    <n v="2.16"/>
    <x v="190"/>
    <d v="2016-02-02T00:00:00"/>
    <x v="16"/>
    <x v="4"/>
    <d v="2016-02-17T00:00:00"/>
    <n v="66.5"/>
    <n v="3"/>
    <x v="3"/>
    <n v="2.5"/>
    <n v="0"/>
    <x v="7"/>
    <n v="166.66666666666666"/>
    <n v="21.249789166666666"/>
    <n v="15"/>
    <n v="2.5"/>
    <x v="6"/>
    <n v="166.66666666666666"/>
    <n v="21.249789166666666"/>
  </r>
  <r>
    <s v="Dandaragan"/>
    <x v="6"/>
    <x v="6"/>
    <n v="2.16"/>
    <x v="191"/>
    <d v="2016-02-02T00:00:00"/>
    <x v="52"/>
    <x v="0"/>
    <d v="2016-02-17T00:00:00"/>
    <n v="65.5"/>
    <n v="3"/>
    <x v="3"/>
    <n v="3.5"/>
    <n v="0.5"/>
    <x v="7"/>
    <n v="233.33333333333334"/>
    <n v="24.282820833333332"/>
    <n v="15"/>
    <n v="3.5"/>
    <x v="6"/>
    <n v="233.33333333333334"/>
    <n v="24.282820833333332"/>
  </r>
  <r>
    <s v="Dandaragan"/>
    <x v="6"/>
    <x v="6"/>
    <n v="2.16"/>
    <x v="192"/>
    <d v="2016-02-02T00:00:00"/>
    <x v="32"/>
    <x v="0"/>
    <d v="2016-02-17T00:00:00"/>
    <n v="58.5"/>
    <n v="2.5"/>
    <x v="3"/>
    <n v="3.5"/>
    <n v="0"/>
    <x v="7"/>
    <n v="233.33333333333334"/>
    <n v="23.099190833333331"/>
    <n v="15"/>
    <n v="3.5"/>
    <x v="6"/>
    <n v="233.33333333333334"/>
    <n v="23.099190833333331"/>
  </r>
  <r>
    <s v="Dandaragan"/>
    <x v="6"/>
    <x v="6"/>
    <n v="2.16"/>
    <x v="193"/>
    <d v="2016-02-02T00:00:00"/>
    <x v="16"/>
    <x v="4"/>
    <d v="2016-02-17T00:00:00"/>
    <n v="65.5"/>
    <n v="3"/>
    <x v="3"/>
    <n v="1.5"/>
    <n v="0"/>
    <x v="7"/>
    <n v="100"/>
    <n v="17.878577499999999"/>
    <n v="15"/>
    <n v="1.5"/>
    <x v="6"/>
    <n v="100"/>
    <n v="17.878577499999999"/>
  </r>
  <r>
    <s v="Dandaragan"/>
    <x v="6"/>
    <x v="6"/>
    <n v="2.16"/>
    <x v="194"/>
    <d v="2016-02-02T00:00:00"/>
    <x v="45"/>
    <x v="0"/>
    <d v="2016-02-17T00:00:00"/>
    <n v="63"/>
    <n v="3"/>
    <x v="3"/>
    <n v="4"/>
    <n v="0.5"/>
    <x v="7"/>
    <n v="266.66666666666669"/>
    <n v="25.461156666666668"/>
    <n v="15"/>
    <n v="4"/>
    <x v="6"/>
    <n v="266.66666666666669"/>
    <n v="25.461156666666668"/>
  </r>
  <r>
    <s v="Dandaragan"/>
    <x v="6"/>
    <x v="6"/>
    <n v="2.16"/>
    <x v="195"/>
    <d v="2016-02-02T00:00:00"/>
    <x v="57"/>
    <x v="0"/>
    <d v="2016-02-17T00:00:00"/>
    <n v="67"/>
    <n v="3"/>
    <x v="3"/>
    <n v="2.5"/>
    <n v="0.5"/>
    <x v="7"/>
    <n v="166.66666666666666"/>
    <n v="21.334334166666665"/>
    <n v="15"/>
    <n v="2.5"/>
    <x v="6"/>
    <n v="166.66666666666666"/>
    <n v="21.334334166666665"/>
  </r>
  <r>
    <s v="Dandaragan"/>
    <x v="6"/>
    <x v="6"/>
    <n v="2.16"/>
    <x v="196"/>
    <d v="2016-02-02T00:00:00"/>
    <x v="44"/>
    <x v="0"/>
    <d v="2016-02-17T00:00:00"/>
    <n v="60.5"/>
    <n v="3"/>
    <x v="3"/>
    <n v="4.5"/>
    <n v="0.5"/>
    <x v="7"/>
    <n v="300"/>
    <n v="26.639492499999999"/>
    <n v="15"/>
    <n v="4.5"/>
    <x v="6"/>
    <n v="300"/>
    <n v="26.639492499999999"/>
  </r>
  <r>
    <s v="Dandaragan"/>
    <x v="6"/>
    <x v="6"/>
    <n v="2.16"/>
    <x v="197"/>
    <d v="2016-02-02T00:00:00"/>
    <x v="80"/>
    <x v="4"/>
    <d v="2016-02-17T00:00:00"/>
    <n v="68"/>
    <n v="3.25"/>
    <x v="3"/>
    <n v="3"/>
    <n v="0.25"/>
    <x v="7"/>
    <n v="200"/>
    <n v="23.104484999999997"/>
    <n v="15"/>
    <n v="3"/>
    <x v="6"/>
    <n v="200"/>
    <n v="23.104484999999997"/>
  </r>
  <r>
    <s v="Tammin"/>
    <x v="7"/>
    <x v="7"/>
    <n v="2.35"/>
    <x v="198"/>
    <d v="2014-02-17T00:00:00"/>
    <x v="76"/>
    <x v="11"/>
    <d v="2014-03-05T00:00:00"/>
    <n v="56.6"/>
    <m/>
    <x v="4"/>
    <n v="0.80000000000000426"/>
    <m/>
    <x v="8"/>
    <n v="50.00000000000027"/>
    <n v="13.967858000000014"/>
    <n v="16"/>
    <n v="0.80000000000000426"/>
    <x v="7"/>
    <n v="50.00000000000027"/>
    <n v="13.967858000000014"/>
  </r>
  <r>
    <s v="Tammin"/>
    <x v="7"/>
    <x v="7"/>
    <n v="2.35"/>
    <x v="199"/>
    <d v="2014-02-17T00:00:00"/>
    <x v="19"/>
    <x v="11"/>
    <d v="2014-03-05T00:00:00"/>
    <n v="60"/>
    <m/>
    <x v="4"/>
    <n v="3.7999999999999972"/>
    <m/>
    <x v="8"/>
    <n v="237.49999999999983"/>
    <n v="23.532878999999991"/>
    <n v="16"/>
    <n v="3.7999999999999972"/>
    <x v="7"/>
    <n v="237.49999999999983"/>
    <n v="23.532878999999991"/>
  </r>
  <r>
    <s v="Tammin"/>
    <x v="7"/>
    <x v="7"/>
    <n v="2.35"/>
    <x v="200"/>
    <d v="2014-02-17T00:00:00"/>
    <x v="0"/>
    <x v="11"/>
    <d v="2014-03-05T00:00:00"/>
    <n v="54.6"/>
    <m/>
    <x v="4"/>
    <n v="0.60000000000000142"/>
    <m/>
    <x v="8"/>
    <n v="37.500000000000085"/>
    <n v="13.030337000000003"/>
    <n v="16"/>
    <n v="0.60000000000000142"/>
    <x v="7"/>
    <n v="37.500000000000085"/>
    <n v="13.030337000000003"/>
  </r>
  <r>
    <s v="Tammin"/>
    <x v="7"/>
    <x v="7"/>
    <n v="2.35"/>
    <x v="201"/>
    <d v="2014-02-17T00:00:00"/>
    <x v="20"/>
    <x v="11"/>
    <d v="2014-03-05T00:00:00"/>
    <n v="55"/>
    <m/>
    <x v="4"/>
    <n v="-3"/>
    <m/>
    <x v="8"/>
    <n v="-187.5"/>
    <n v="2.3098350000000014"/>
    <n v="16"/>
    <n v="-3"/>
    <x v="7"/>
    <n v="-187.5"/>
    <n v="2.3098350000000014"/>
  </r>
  <r>
    <s v="Tammin"/>
    <x v="7"/>
    <x v="7"/>
    <n v="2.35"/>
    <x v="202"/>
    <d v="2014-02-17T00:00:00"/>
    <x v="84"/>
    <x v="11"/>
    <d v="2014-03-05T00:00:00"/>
    <n v="58.4"/>
    <m/>
    <x v="4"/>
    <n v="-0.39999999999999858"/>
    <m/>
    <x v="8"/>
    <n v="-24.999999999999911"/>
    <n v="10.676174000000003"/>
    <n v="16"/>
    <n v="-0.39999999999999858"/>
    <x v="7"/>
    <n v="-24.999999999999911"/>
    <n v="10.676174000000003"/>
  </r>
  <r>
    <s v="Tammin"/>
    <x v="7"/>
    <x v="7"/>
    <n v="2.35"/>
    <x v="203"/>
    <d v="2014-02-17T00:00:00"/>
    <x v="74"/>
    <x v="11"/>
    <d v="2014-03-05T00:00:00"/>
    <n v="54"/>
    <m/>
    <x v="4"/>
    <n v="1.7999999999999972"/>
    <m/>
    <x v="8"/>
    <n v="112.49999999999983"/>
    <n v="16.524928999999993"/>
    <n v="16"/>
    <n v="1.7999999999999972"/>
    <x v="7"/>
    <n v="112.49999999999983"/>
    <n v="16.524928999999993"/>
  </r>
  <r>
    <s v="Tammin"/>
    <x v="7"/>
    <x v="7"/>
    <n v="2.35"/>
    <x v="204"/>
    <d v="2014-02-17T00:00:00"/>
    <x v="35"/>
    <x v="11"/>
    <d v="2014-03-05T00:00:00"/>
    <n v="55.6"/>
    <m/>
    <x v="4"/>
    <n v="1"/>
    <m/>
    <x v="8"/>
    <n v="62.5"/>
    <n v="14.398108999999998"/>
    <n v="16"/>
    <n v="1"/>
    <x v="7"/>
    <n v="62.5"/>
    <n v="14.398108999999998"/>
  </r>
  <r>
    <s v="Tammin"/>
    <x v="7"/>
    <x v="7"/>
    <n v="2.35"/>
    <x v="205"/>
    <d v="2014-02-17T00:00:00"/>
    <x v="35"/>
    <x v="11"/>
    <d v="2014-03-05T00:00:00"/>
    <n v="55.8"/>
    <m/>
    <x v="4"/>
    <n v="1.1999999999999957"/>
    <m/>
    <x v="8"/>
    <n v="74.99999999999973"/>
    <n v="15.031267999999987"/>
    <n v="16"/>
    <n v="1.1999999999999957"/>
    <x v="7"/>
    <n v="74.99999999999973"/>
    <n v="15.031267999999987"/>
  </r>
  <r>
    <s v="Tammin"/>
    <x v="7"/>
    <x v="7"/>
    <n v="2.35"/>
    <x v="206"/>
    <d v="2014-02-17T00:00:00"/>
    <x v="0"/>
    <x v="11"/>
    <d v="2014-03-05T00:00:00"/>
    <n v="55.8"/>
    <m/>
    <x v="4"/>
    <n v="1.7999999999999972"/>
    <m/>
    <x v="8"/>
    <n v="112.49999999999983"/>
    <n v="16.829290999999991"/>
    <n v="16"/>
    <n v="1.7999999999999972"/>
    <x v="7"/>
    <n v="112.49999999999983"/>
    <n v="16.829290999999991"/>
  </r>
  <r>
    <s v="Tammin"/>
    <x v="7"/>
    <x v="7"/>
    <n v="2.35"/>
    <x v="207"/>
    <d v="2014-02-17T00:00:00"/>
    <x v="8"/>
    <x v="11"/>
    <d v="2014-03-05T00:00:00"/>
    <n v="58"/>
    <m/>
    <x v="4"/>
    <n v="0.79999999999999716"/>
    <m/>
    <x v="8"/>
    <n v="49.999999999999822"/>
    <n v="14.20458399999999"/>
    <n v="16"/>
    <n v="0.79999999999999716"/>
    <x v="7"/>
    <n v="49.999999999999822"/>
    <n v="14.20458399999999"/>
  </r>
  <r>
    <s v="Tammin"/>
    <x v="7"/>
    <x v="7"/>
    <n v="2.35"/>
    <x v="208"/>
    <d v="2014-02-17T00:00:00"/>
    <x v="14"/>
    <x v="11"/>
    <d v="2014-03-05T00:00:00"/>
    <n v="66"/>
    <m/>
    <x v="4"/>
    <n v="1.7999999999999972"/>
    <m/>
    <x v="8"/>
    <n v="112.49999999999983"/>
    <n v="18.55400899999999"/>
    <n v="16"/>
    <n v="1.7999999999999972"/>
    <x v="7"/>
    <n v="112.49999999999983"/>
    <n v="18.55400899999999"/>
  </r>
  <r>
    <s v="Tammin"/>
    <x v="7"/>
    <x v="7"/>
    <n v="2.35"/>
    <x v="209"/>
    <d v="2014-02-17T00:00:00"/>
    <x v="11"/>
    <x v="11"/>
    <d v="2014-03-05T00:00:00"/>
    <n v="52.6"/>
    <m/>
    <x v="4"/>
    <n v="4.2000000000000028"/>
    <m/>
    <x v="8"/>
    <n v="262.50000000000017"/>
    <n v="23.480295000000005"/>
    <n v="16"/>
    <n v="4.2000000000000028"/>
    <x v="7"/>
    <n v="262.50000000000017"/>
    <n v="23.480295000000005"/>
  </r>
  <r>
    <s v="Tammin"/>
    <x v="7"/>
    <x v="7"/>
    <n v="2.35"/>
    <x v="210"/>
    <d v="2014-02-17T00:00:00"/>
    <x v="32"/>
    <x v="11"/>
    <d v="2014-03-05T00:00:00"/>
    <n v="52.6"/>
    <m/>
    <x v="4"/>
    <n v="-2.3999999999999986"/>
    <m/>
    <x v="8"/>
    <n v="-149.99999999999991"/>
    <n v="3.7020420000000032"/>
    <n v="16"/>
    <n v="-2.3999999999999986"/>
    <x v="7"/>
    <n v="-149.99999999999991"/>
    <n v="3.7020420000000032"/>
  </r>
  <r>
    <s v="Tammin"/>
    <x v="7"/>
    <x v="7"/>
    <n v="2.35"/>
    <x v="211"/>
    <d v="2014-02-17T00:00:00"/>
    <x v="6"/>
    <x v="11"/>
    <d v="2014-03-05T00:00:00"/>
    <n v="53.2"/>
    <m/>
    <x v="4"/>
    <n v="2.6000000000000014"/>
    <m/>
    <x v="8"/>
    <n v="162.50000000000009"/>
    <n v="18.787021000000003"/>
    <n v="16"/>
    <n v="2.6000000000000014"/>
    <x v="7"/>
    <n v="162.50000000000009"/>
    <n v="18.787021000000003"/>
  </r>
  <r>
    <s v="Tammin"/>
    <x v="7"/>
    <x v="7"/>
    <n v="2.35"/>
    <x v="212"/>
    <d v="2014-02-17T00:00:00"/>
    <x v="34"/>
    <x v="11"/>
    <d v="2014-03-05T00:00:00"/>
    <n v="53.6"/>
    <m/>
    <x v="4"/>
    <n v="2"/>
    <m/>
    <x v="8"/>
    <n v="125"/>
    <n v="17.056633999999999"/>
    <n v="16"/>
    <n v="2"/>
    <x v="7"/>
    <n v="125"/>
    <n v="17.056633999999999"/>
  </r>
  <r>
    <s v="Tammin"/>
    <x v="7"/>
    <x v="7"/>
    <n v="2.35"/>
    <x v="213"/>
    <d v="2014-02-17T00:00:00"/>
    <x v="85"/>
    <x v="11"/>
    <d v="2014-03-05T00:00:00"/>
    <n v="54.4"/>
    <m/>
    <x v="4"/>
    <n v="4.7999999999999972"/>
    <m/>
    <x v="8"/>
    <n v="299.99999999999983"/>
    <n v="25.582679999999989"/>
    <n v="16"/>
    <n v="4.7999999999999972"/>
    <x v="7"/>
    <n v="299.99999999999983"/>
    <n v="25.582679999999989"/>
  </r>
  <r>
    <s v="Tammin"/>
    <x v="7"/>
    <x v="7"/>
    <n v="2.35"/>
    <x v="214"/>
    <d v="2014-02-17T00:00:00"/>
    <x v="3"/>
    <x v="11"/>
    <d v="2014-03-05T00:00:00"/>
    <n v="56"/>
    <m/>
    <x v="4"/>
    <n v="3.6000000000000014"/>
    <m/>
    <x v="8"/>
    <n v="225.00000000000009"/>
    <n v="22.257178000000003"/>
    <n v="16"/>
    <n v="3.6000000000000014"/>
    <x v="7"/>
    <n v="225.00000000000009"/>
    <n v="22.257178000000003"/>
  </r>
  <r>
    <s v="Tammin"/>
    <x v="7"/>
    <x v="7"/>
    <n v="2.35"/>
    <x v="215"/>
    <d v="2014-02-17T00:00:00"/>
    <x v="6"/>
    <x v="11"/>
    <d v="2014-03-05T00:00:00"/>
    <n v="53"/>
    <m/>
    <x v="4"/>
    <n v="2.3999999999999986"/>
    <m/>
    <x v="8"/>
    <n v="149.99999999999991"/>
    <n v="18.153861999999993"/>
    <n v="16"/>
    <n v="2.3999999999999986"/>
    <x v="7"/>
    <n v="149.99999999999991"/>
    <n v="18.153861999999993"/>
  </r>
  <r>
    <s v="Tammin"/>
    <x v="7"/>
    <x v="7"/>
    <n v="2.35"/>
    <x v="216"/>
    <d v="2014-02-17T00:00:00"/>
    <x v="86"/>
    <x v="11"/>
    <d v="2014-03-05T00:00:00"/>
    <n v="51.2"/>
    <m/>
    <x v="4"/>
    <n v="1.2000000000000028"/>
    <m/>
    <x v="8"/>
    <n v="75.000000000000171"/>
    <n v="14.253454000000009"/>
    <n v="16"/>
    <n v="1.2000000000000028"/>
    <x v="7"/>
    <n v="75.000000000000171"/>
    <n v="14.253454000000009"/>
  </r>
  <r>
    <s v="Tammin"/>
    <x v="7"/>
    <x v="7"/>
    <n v="2.35"/>
    <x v="217"/>
    <d v="2014-02-17T00:00:00"/>
    <x v="42"/>
    <x v="11"/>
    <d v="2014-03-05T00:00:00"/>
    <n v="57"/>
    <m/>
    <x v="4"/>
    <n v="1.6000000000000014"/>
    <m/>
    <x v="8"/>
    <n v="100.00000000000009"/>
    <n v="16.432858000000003"/>
    <n v="16"/>
    <n v="1.6000000000000014"/>
    <x v="7"/>
    <n v="100.00000000000009"/>
    <n v="16.432858000000003"/>
  </r>
  <r>
    <s v="Tammin"/>
    <x v="7"/>
    <x v="7"/>
    <n v="2.35"/>
    <x v="218"/>
    <d v="2014-02-17T00:00:00"/>
    <x v="19"/>
    <x v="11"/>
    <d v="2014-03-05T00:00:00"/>
    <n v="61"/>
    <m/>
    <x v="4"/>
    <n v="4.7999999999999972"/>
    <m/>
    <x v="8"/>
    <n v="299.99999999999983"/>
    <n v="26.69867399999999"/>
    <n v="16"/>
    <n v="4.7999999999999972"/>
    <x v="7"/>
    <n v="299.99999999999983"/>
    <n v="26.69867399999999"/>
  </r>
  <r>
    <s v="Tammin"/>
    <x v="7"/>
    <x v="7"/>
    <n v="2.35"/>
    <x v="219"/>
    <d v="2014-02-17T00:00:00"/>
    <x v="48"/>
    <x v="11"/>
    <d v="2014-03-05T00:00:00"/>
    <n v="47.4"/>
    <m/>
    <x v="4"/>
    <n v="-3.6000000000000014"/>
    <m/>
    <x v="8"/>
    <n v="-225.00000000000009"/>
    <n v="-0.77327200000000218"/>
    <n v="16"/>
    <n v="-3.6000000000000014"/>
    <x v="7"/>
    <n v="-225.00000000000009"/>
    <n v="-0.77327200000000218"/>
  </r>
  <r>
    <s v="Tammin"/>
    <x v="7"/>
    <x v="7"/>
    <n v="2.35"/>
    <x v="220"/>
    <d v="2014-02-17T00:00:00"/>
    <x v="87"/>
    <x v="11"/>
    <d v="2014-03-05T00:00:00"/>
    <n v="52.8"/>
    <m/>
    <x v="4"/>
    <n v="1.3999999999999986"/>
    <m/>
    <x v="8"/>
    <n v="87.499999999999915"/>
    <n v="15.123338999999994"/>
    <n v="16"/>
    <n v="1.3999999999999986"/>
    <x v="7"/>
    <n v="87.499999999999915"/>
    <n v="15.123338999999994"/>
  </r>
  <r>
    <s v="Tammin"/>
    <x v="7"/>
    <x v="7"/>
    <n v="2.35"/>
    <x v="221"/>
    <d v="2014-02-17T00:00:00"/>
    <x v="88"/>
    <x v="11"/>
    <d v="2014-03-05T00:00:00"/>
    <n v="48.6"/>
    <m/>
    <x v="4"/>
    <n v="0"/>
    <m/>
    <x v="8"/>
    <n v="0"/>
    <n v="10.217774"/>
    <n v="16"/>
    <n v="0"/>
    <x v="7"/>
    <n v="0"/>
    <n v="10.217774"/>
  </r>
  <r>
    <s v="Tammin"/>
    <x v="7"/>
    <x v="7"/>
    <n v="2.35"/>
    <x v="222"/>
    <d v="2014-02-17T00:00:00"/>
    <x v="88"/>
    <x v="11"/>
    <d v="2014-03-05T00:00:00"/>
    <n v="47.8"/>
    <m/>
    <x v="4"/>
    <n v="-0.80000000000000426"/>
    <m/>
    <x v="8"/>
    <n v="-50.00000000000027"/>
    <n v="7.6851379999999869"/>
    <n v="16"/>
    <n v="-0.80000000000000426"/>
    <x v="7"/>
    <n v="-50.00000000000027"/>
    <n v="7.6851379999999869"/>
  </r>
  <r>
    <s v="Tammin"/>
    <x v="7"/>
    <x v="7"/>
    <n v="2.35"/>
    <x v="223"/>
    <d v="2014-02-17T00:00:00"/>
    <x v="37"/>
    <x v="11"/>
    <d v="2014-03-05T00:00:00"/>
    <n v="64"/>
    <m/>
    <x v="4"/>
    <n v="1.2000000000000028"/>
    <m/>
    <x v="8"/>
    <n v="75.000000000000171"/>
    <n v="16.417806000000006"/>
    <n v="16"/>
    <n v="1.2000000000000028"/>
    <x v="7"/>
    <n v="75.000000000000171"/>
    <n v="16.417806000000006"/>
  </r>
  <r>
    <s v="Tammin"/>
    <x v="7"/>
    <x v="7"/>
    <n v="2.35"/>
    <x v="224"/>
    <d v="2014-02-17T00:00:00"/>
    <x v="32"/>
    <x v="11"/>
    <d v="2014-03-05T00:00:00"/>
    <n v="55.2"/>
    <m/>
    <x v="4"/>
    <n v="0.20000000000000284"/>
    <m/>
    <x v="8"/>
    <n v="12.500000000000178"/>
    <n v="11.933109000000007"/>
    <n v="16"/>
    <n v="0.20000000000000284"/>
    <x v="7"/>
    <n v="12.500000000000178"/>
    <n v="11.933109000000007"/>
  </r>
  <r>
    <s v="Tammin"/>
    <x v="7"/>
    <x v="7"/>
    <n v="2.35"/>
    <x v="225"/>
    <d v="2014-02-17T00:00:00"/>
    <x v="7"/>
    <x v="11"/>
    <d v="2014-03-05T00:00:00"/>
    <n v="61.4"/>
    <m/>
    <x v="4"/>
    <n v="-1.8000000000000043"/>
    <m/>
    <x v="8"/>
    <n v="-112.50000000000027"/>
    <n v="6.9880569999999853"/>
    <n v="16"/>
    <n v="-1.8000000000000043"/>
    <x v="7"/>
    <n v="-112.50000000000027"/>
    <n v="6.9880569999999853"/>
  </r>
  <r>
    <s v="Tammin"/>
    <x v="7"/>
    <x v="7"/>
    <n v="2.35"/>
    <x v="226"/>
    <d v="2014-02-17T00:00:00"/>
    <x v="89"/>
    <x v="11"/>
    <d v="2014-03-05T00:00:00"/>
    <n v="51.4"/>
    <m/>
    <x v="4"/>
    <n v="-0.39999999999999858"/>
    <m/>
    <x v="8"/>
    <n v="-24.999999999999911"/>
    <n v="9.4925440000000023"/>
    <n v="16"/>
    <n v="-0.39999999999999858"/>
    <x v="7"/>
    <n v="-24.999999999999911"/>
    <n v="9.4925440000000023"/>
  </r>
  <r>
    <s v="Tammin"/>
    <x v="7"/>
    <x v="7"/>
    <n v="2.35"/>
    <x v="227"/>
    <d v="2014-02-17T00:00:00"/>
    <x v="19"/>
    <x v="11"/>
    <d v="2014-03-05T00:00:00"/>
    <n v="53.6"/>
    <m/>
    <x v="4"/>
    <n v="-2.6000000000000014"/>
    <m/>
    <x v="8"/>
    <n v="-162.50000000000009"/>
    <n v="3.2717909999999968"/>
    <n v="16"/>
    <n v="-2.6000000000000014"/>
    <x v="7"/>
    <n v="-162.50000000000009"/>
    <n v="3.2717909999999968"/>
  </r>
  <r>
    <s v="Tammin"/>
    <x v="7"/>
    <x v="7"/>
    <n v="2.35"/>
    <x v="228"/>
    <d v="2014-02-17T00:00:00"/>
    <x v="29"/>
    <x v="11"/>
    <d v="2014-03-05T00:00:00"/>
    <n v="59.2"/>
    <m/>
    <x v="4"/>
    <n v="-0.39999999999999858"/>
    <m/>
    <x v="8"/>
    <n v="-24.999999999999911"/>
    <n v="10.811446000000004"/>
    <n v="16"/>
    <n v="-0.39999999999999858"/>
    <x v="7"/>
    <n v="-24.999999999999911"/>
    <n v="10.811446000000004"/>
  </r>
  <r>
    <s v="Tammin"/>
    <x v="7"/>
    <x v="7"/>
    <n v="2.35"/>
    <x v="229"/>
    <d v="2014-02-17T00:00:00"/>
    <x v="90"/>
    <x v="11"/>
    <d v="2014-03-05T00:00:00"/>
    <n v="49.6"/>
    <m/>
    <x v="4"/>
    <n v="0.20000000000000284"/>
    <m/>
    <x v="8"/>
    <n v="12.500000000000178"/>
    <n v="10.986205000000007"/>
    <n v="16"/>
    <n v="0.20000000000000284"/>
    <x v="7"/>
    <n v="12.500000000000178"/>
    <n v="10.986205000000007"/>
  </r>
  <r>
    <s v="Tammin"/>
    <x v="7"/>
    <x v="7"/>
    <n v="2.35"/>
    <x v="230"/>
    <d v="2014-02-17T00:00:00"/>
    <x v="77"/>
    <x v="11"/>
    <d v="2014-03-05T00:00:00"/>
    <n v="56.8"/>
    <m/>
    <x v="4"/>
    <n v="4"/>
    <m/>
    <x v="8"/>
    <n v="250"/>
    <n v="23.591131999999998"/>
    <n v="16"/>
    <n v="4"/>
    <x v="7"/>
    <n v="250"/>
    <n v="23.591131999999998"/>
  </r>
  <r>
    <s v="Tammin"/>
    <x v="7"/>
    <x v="7"/>
    <n v="2.35"/>
    <x v="231"/>
    <d v="2014-02-17T00:00:00"/>
    <x v="91"/>
    <x v="11"/>
    <d v="2014-03-05T00:00:00"/>
    <n v="57.8"/>
    <m/>
    <x v="4"/>
    <n v="-3.4000000000000057"/>
    <m/>
    <x v="8"/>
    <n v="-212.50000000000034"/>
    <n v="1.5846049999999838"/>
    <n v="16"/>
    <n v="-3.4000000000000057"/>
    <x v="7"/>
    <n v="-212.50000000000034"/>
    <n v="1.5846049999999838"/>
  </r>
  <r>
    <s v="Tammin"/>
    <x v="7"/>
    <x v="7"/>
    <n v="2.35"/>
    <x v="232"/>
    <d v="2014-02-17T00:00:00"/>
    <x v="6"/>
    <x v="11"/>
    <d v="2014-03-05T00:00:00"/>
    <n v="50.2"/>
    <m/>
    <x v="4"/>
    <n v="-0.39999999999999858"/>
    <m/>
    <x v="8"/>
    <n v="-24.999999999999911"/>
    <n v="9.2896360000000051"/>
    <n v="16"/>
    <n v="-0.39999999999999858"/>
    <x v="7"/>
    <n v="-24.999999999999911"/>
    <n v="9.2896360000000051"/>
  </r>
  <r>
    <s v="Tammin"/>
    <x v="7"/>
    <x v="7"/>
    <n v="2.35"/>
    <x v="233"/>
    <d v="2014-02-17T00:00:00"/>
    <x v="92"/>
    <x v="11"/>
    <d v="2014-03-05T00:00:00"/>
    <n v="51.8"/>
    <m/>
    <x v="4"/>
    <n v="1.3999999999999986"/>
    <m/>
    <x v="8"/>
    <n v="87.499999999999915"/>
    <n v="14.954248999999994"/>
    <n v="16"/>
    <n v="1.3999999999999986"/>
    <x v="7"/>
    <n v="87.499999999999915"/>
    <n v="14.954248999999994"/>
  </r>
  <r>
    <s v="Tammin"/>
    <x v="7"/>
    <x v="7"/>
    <n v="2.35"/>
    <x v="234"/>
    <d v="2014-02-17T00:00:00"/>
    <x v="15"/>
    <x v="11"/>
    <d v="2014-03-05T00:00:00"/>
    <n v="60"/>
    <m/>
    <x v="4"/>
    <n v="3.6000000000000014"/>
    <m/>
    <x v="8"/>
    <n v="225.00000000000009"/>
    <n v="22.933538000000002"/>
    <n v="16"/>
    <n v="3.6000000000000014"/>
    <x v="7"/>
    <n v="225.00000000000009"/>
    <n v="22.933538000000002"/>
  </r>
  <r>
    <s v="Tammin"/>
    <x v="7"/>
    <x v="7"/>
    <n v="2.35"/>
    <x v="235"/>
    <d v="2014-02-17T00:00:00"/>
    <x v="47"/>
    <x v="11"/>
    <d v="2014-03-05T00:00:00"/>
    <n v="56.8"/>
    <m/>
    <x v="4"/>
    <n v="-1.4000000000000057"/>
    <m/>
    <x v="8"/>
    <n v="-87.500000000000355"/>
    <n v="7.4089249999999813"/>
    <n v="16"/>
    <n v="-1.4000000000000057"/>
    <x v="7"/>
    <n v="-87.500000000000355"/>
    <n v="7.4089249999999813"/>
  </r>
  <r>
    <s v="Tammin"/>
    <x v="7"/>
    <x v="7"/>
    <n v="2.35"/>
    <x v="236"/>
    <d v="2014-02-17T00:00:00"/>
    <x v="30"/>
    <x v="11"/>
    <d v="2014-03-05T00:00:00"/>
    <n v="51.6"/>
    <m/>
    <x v="4"/>
    <n v="-2.1999999999999957"/>
    <m/>
    <x v="8"/>
    <n v="-137.49999999999974"/>
    <n v="4.1322930000000131"/>
    <n v="16"/>
    <n v="-2.1999999999999957"/>
    <x v="7"/>
    <n v="-137.49999999999974"/>
    <n v="4.1322930000000131"/>
  </r>
  <r>
    <s v="Tammin"/>
    <x v="7"/>
    <x v="7"/>
    <n v="2.35"/>
    <x v="237"/>
    <d v="2014-02-17T00:00:00"/>
    <x v="17"/>
    <x v="11"/>
    <d v="2014-03-05T00:00:00"/>
    <n v="58.8"/>
    <m/>
    <x v="4"/>
    <n v="-0.40000000000000568"/>
    <m/>
    <x v="8"/>
    <n v="-25.000000000000355"/>
    <n v="10.743809999999982"/>
    <n v="16"/>
    <n v="-0.40000000000000568"/>
    <x v="7"/>
    <n v="-25.000000000000355"/>
    <n v="10.743809999999982"/>
  </r>
  <r>
    <s v="Tammin"/>
    <x v="7"/>
    <x v="7"/>
    <n v="2.35"/>
    <x v="238"/>
    <d v="2014-02-17T00:00:00"/>
    <x v="93"/>
    <x v="11"/>
    <d v="2014-03-05T00:00:00"/>
    <n v="53"/>
    <m/>
    <x v="4"/>
    <n v="1"/>
    <m/>
    <x v="8"/>
    <n v="62.5"/>
    <n v="13.958475"/>
    <n v="16"/>
    <n v="1"/>
    <x v="7"/>
    <n v="62.5"/>
    <n v="13.958475"/>
  </r>
  <r>
    <s v="Tammin"/>
    <x v="7"/>
    <x v="7"/>
    <n v="2.35"/>
    <x v="239"/>
    <d v="2014-02-17T00:00:00"/>
    <x v="25"/>
    <x v="11"/>
    <d v="2014-03-05T00:00:00"/>
    <n v="56.2"/>
    <m/>
    <x v="4"/>
    <n v="-4.3999999999999986"/>
    <m/>
    <x v="8"/>
    <n v="-274.99999999999989"/>
    <n v="-1.6826439999999945"/>
    <n v="16"/>
    <n v="-4.3999999999999986"/>
    <x v="7"/>
    <n v="-274.99999999999989"/>
    <n v="-1.6826439999999945"/>
  </r>
  <r>
    <s v="Tammin"/>
    <x v="7"/>
    <x v="7"/>
    <n v="2.35"/>
    <x v="240"/>
    <d v="2014-02-17T00:00:00"/>
    <x v="94"/>
    <x v="11"/>
    <d v="2014-03-05T00:00:00"/>
    <n v="49.4"/>
    <m/>
    <x v="4"/>
    <n v="-1.8000000000000043"/>
    <m/>
    <x v="8"/>
    <n v="-112.50000000000027"/>
    <n v="4.9589769999999866"/>
    <n v="16"/>
    <n v="-1.8000000000000043"/>
    <x v="7"/>
    <n v="-112.50000000000027"/>
    <n v="4.9589769999999866"/>
  </r>
  <r>
    <s v="Tammin"/>
    <x v="7"/>
    <x v="7"/>
    <n v="2.35"/>
    <x v="241"/>
    <d v="2014-02-17T00:00:00"/>
    <x v="95"/>
    <x v="11"/>
    <d v="2014-03-05T00:00:00"/>
    <n v="64"/>
    <m/>
    <x v="4"/>
    <n v="0.60000000000000142"/>
    <m/>
    <x v="8"/>
    <n v="37.500000000000085"/>
    <n v="14.619783000000004"/>
    <n v="16"/>
    <n v="0.60000000000000142"/>
    <x v="7"/>
    <n v="37.500000000000085"/>
    <n v="14.619783000000004"/>
  </r>
  <r>
    <s v="Tammin"/>
    <x v="7"/>
    <x v="7"/>
    <n v="2.35"/>
    <x v="242"/>
    <d v="2014-02-17T00:00:00"/>
    <x v="96"/>
    <x v="11"/>
    <d v="2014-03-05T00:00:00"/>
    <n v="55.4"/>
    <m/>
    <x v="4"/>
    <n v="-2"/>
    <m/>
    <x v="8"/>
    <n v="-125"/>
    <n v="5.3741760000000003"/>
    <n v="16"/>
    <n v="-2"/>
    <x v="7"/>
    <n v="-125"/>
    <n v="5.3741760000000003"/>
  </r>
  <r>
    <s v="Tammin"/>
    <x v="7"/>
    <x v="7"/>
    <n v="2.35"/>
    <x v="243"/>
    <d v="2014-02-17T00:00:00"/>
    <x v="71"/>
    <x v="11"/>
    <d v="2014-03-05T00:00:00"/>
    <n v="59.2"/>
    <m/>
    <x v="4"/>
    <n v="2.4000000000000057"/>
    <m/>
    <x v="8"/>
    <n v="150.00000000000034"/>
    <n v="19.202220000000015"/>
    <n v="16"/>
    <n v="2.4000000000000057"/>
    <x v="7"/>
    <n v="150.00000000000034"/>
    <n v="19.202220000000015"/>
  </r>
  <r>
    <s v="Tammin"/>
    <x v="7"/>
    <x v="7"/>
    <n v="2.35"/>
    <x v="244"/>
    <d v="2014-02-17T00:00:00"/>
    <x v="97"/>
    <x v="11"/>
    <d v="2014-03-05T00:00:00"/>
    <n v="55.6"/>
    <m/>
    <x v="4"/>
    <n v="1.2000000000000028"/>
    <m/>
    <x v="8"/>
    <n v="75.000000000000171"/>
    <n v="14.997450000000008"/>
    <n v="16"/>
    <n v="1.2000000000000028"/>
    <x v="7"/>
    <n v="75.000000000000171"/>
    <n v="14.997450000000008"/>
  </r>
  <r>
    <s v="Tammin"/>
    <x v="7"/>
    <x v="7"/>
    <n v="2.35"/>
    <x v="245"/>
    <d v="2014-02-17T00:00:00"/>
    <x v="3"/>
    <x v="11"/>
    <d v="2014-03-05T00:00:00"/>
    <n v="55"/>
    <m/>
    <x v="4"/>
    <n v="2.6000000000000014"/>
    <m/>
    <x v="8"/>
    <n v="162.50000000000009"/>
    <n v="19.091383000000004"/>
    <n v="16"/>
    <n v="2.6000000000000014"/>
    <x v="7"/>
    <n v="162.50000000000009"/>
    <n v="19.091383000000004"/>
  </r>
  <r>
    <s v="Tammin"/>
    <x v="7"/>
    <x v="7"/>
    <n v="2.35"/>
    <x v="246"/>
    <d v="2014-02-17T00:00:00"/>
    <x v="77"/>
    <x v="11"/>
    <d v="2014-03-05T00:00:00"/>
    <n v="50.6"/>
    <m/>
    <x v="4"/>
    <n v="-2.1999999999999957"/>
    <m/>
    <x v="8"/>
    <n v="-137.49999999999974"/>
    <n v="3.9632030000000142"/>
    <n v="16"/>
    <n v="-2.1999999999999957"/>
    <x v="7"/>
    <n v="-137.49999999999974"/>
    <n v="3.9632030000000142"/>
  </r>
  <r>
    <s v="Tammin"/>
    <x v="7"/>
    <x v="7"/>
    <n v="2.35"/>
    <x v="247"/>
    <d v="2014-02-17T00:00:00"/>
    <x v="97"/>
    <x v="11"/>
    <d v="2014-03-05T00:00:00"/>
    <n v="58.2"/>
    <m/>
    <x v="4"/>
    <n v="3.8000000000000043"/>
    <m/>
    <x v="8"/>
    <n v="237.50000000000026"/>
    <n v="23.228517000000011"/>
    <n v="16"/>
    <n v="3.8000000000000043"/>
    <x v="7"/>
    <n v="237.50000000000026"/>
    <n v="23.228517000000011"/>
  </r>
  <r>
    <s v="Tammin"/>
    <x v="7"/>
    <x v="7"/>
    <n v="2.35"/>
    <x v="248"/>
    <d v="2014-02-17T00:00:00"/>
    <x v="54"/>
    <x v="11"/>
    <d v="2014-03-05T00:00:00"/>
    <n v="53"/>
    <m/>
    <x v="4"/>
    <n v="-4"/>
    <m/>
    <x v="8"/>
    <n v="-250"/>
    <n v="-1.0250500000000002"/>
    <n v="16"/>
    <n v="-4"/>
    <x v="7"/>
    <n v="-250"/>
    <n v="-1.0250500000000002"/>
  </r>
  <r>
    <s v="Tammin"/>
    <x v="7"/>
    <x v="7"/>
    <n v="2.35"/>
    <x v="249"/>
    <d v="2014-02-17T00:00:00"/>
    <x v="98"/>
    <x v="11"/>
    <d v="2014-03-05T00:00:00"/>
    <n v="55.6"/>
    <m/>
    <x v="4"/>
    <n v="1.3999999999999986"/>
    <m/>
    <x v="8"/>
    <n v="87.499999999999915"/>
    <n v="15.596790999999996"/>
    <n v="16"/>
    <n v="1.3999999999999986"/>
    <x v="7"/>
    <n v="87.499999999999915"/>
    <n v="15.596790999999996"/>
  </r>
  <r>
    <s v="Tammin"/>
    <x v="7"/>
    <x v="7"/>
    <n v="2.35"/>
    <x v="250"/>
    <d v="2014-02-17T00:00:00"/>
    <x v="97"/>
    <x v="11"/>
    <d v="2014-03-05T00:00:00"/>
    <n v="54.2"/>
    <m/>
    <x v="4"/>
    <n v="-0.19999999999999574"/>
    <m/>
    <x v="8"/>
    <n v="-12.499999999999734"/>
    <n v="10.565337000000012"/>
    <n v="16"/>
    <n v="-0.19999999999999574"/>
    <x v="7"/>
    <n v="-12.499999999999734"/>
    <n v="10.565337000000012"/>
  </r>
  <r>
    <s v="Tammin"/>
    <x v="8"/>
    <x v="8"/>
    <n v="2.36"/>
    <x v="251"/>
    <d v="2014-02-17T00:00:00"/>
    <x v="4"/>
    <x v="11"/>
    <d v="2014-03-05T00:00:00"/>
    <n v="58.6"/>
    <m/>
    <x v="4"/>
    <n v="5.3999999999999986"/>
    <m/>
    <x v="9"/>
    <n v="337.49999999999989"/>
    <n v="28.090880999999996"/>
    <n v="16"/>
    <n v="5.3999999999999986"/>
    <x v="8"/>
    <n v="337.49999999999989"/>
    <n v="28.090880999999996"/>
  </r>
  <r>
    <s v="Tammin"/>
    <x v="8"/>
    <x v="8"/>
    <n v="2.36"/>
    <x v="252"/>
    <d v="2014-02-17T00:00:00"/>
    <x v="97"/>
    <x v="11"/>
    <d v="2014-03-05T00:00:00"/>
    <n v="59.8"/>
    <m/>
    <x v="4"/>
    <n v="5.3999999999999986"/>
    <m/>
    <x v="9"/>
    <n v="337.49999999999989"/>
    <n v="28.293788999999993"/>
    <n v="16"/>
    <n v="5.3999999999999986"/>
    <x v="8"/>
    <n v="337.49999999999989"/>
    <n v="28.293788999999993"/>
  </r>
  <r>
    <s v="Tammin"/>
    <x v="8"/>
    <x v="8"/>
    <n v="2.36"/>
    <x v="253"/>
    <d v="2014-02-17T00:00:00"/>
    <x v="4"/>
    <x v="11"/>
    <d v="2014-03-05T00:00:00"/>
    <n v="60"/>
    <m/>
    <x v="4"/>
    <n v="6.7999999999999972"/>
    <m/>
    <x v="9"/>
    <n v="424.99999999999983"/>
    <n v="32.52299399999999"/>
    <n v="16"/>
    <n v="6.7999999999999972"/>
    <x v="8"/>
    <n v="424.99999999999983"/>
    <n v="32.52299399999999"/>
  </r>
  <r>
    <s v="Tammin"/>
    <x v="8"/>
    <x v="8"/>
    <n v="2.36"/>
    <x v="254"/>
    <d v="2014-02-17T00:00:00"/>
    <x v="3"/>
    <x v="11"/>
    <d v="2014-03-05T00:00:00"/>
    <n v="57.8"/>
    <m/>
    <x v="4"/>
    <n v="5.3999999999999986"/>
    <m/>
    <x v="9"/>
    <n v="337.49999999999989"/>
    <n v="27.955608999999995"/>
    <n v="16"/>
    <n v="5.3999999999999986"/>
    <x v="8"/>
    <n v="337.49999999999989"/>
    <n v="27.955608999999995"/>
  </r>
  <r>
    <s v="Tammin"/>
    <x v="8"/>
    <x v="8"/>
    <n v="2.36"/>
    <x v="255"/>
    <d v="2014-02-17T00:00:00"/>
    <x v="99"/>
    <x v="11"/>
    <d v="2014-03-05T00:00:00"/>
    <n v="62.8"/>
    <m/>
    <x v="4"/>
    <n v="8"/>
    <m/>
    <x v="9"/>
    <n v="500"/>
    <n v="36.592492"/>
    <n v="16"/>
    <n v="8"/>
    <x v="8"/>
    <n v="500"/>
    <n v="36.592492"/>
  </r>
  <r>
    <s v="Tammin"/>
    <x v="8"/>
    <x v="8"/>
    <n v="2.36"/>
    <x v="256"/>
    <d v="2014-02-17T00:00:00"/>
    <x v="35"/>
    <x v="11"/>
    <d v="2014-03-05T00:00:00"/>
    <n v="61.8"/>
    <m/>
    <x v="4"/>
    <n v="7.1999999999999957"/>
    <m/>
    <x v="9"/>
    <n v="449.99999999999972"/>
    <n v="34.026037999999986"/>
    <n v="16"/>
    <n v="7.1999999999999957"/>
    <x v="8"/>
    <n v="449.99999999999972"/>
    <n v="34.026037999999986"/>
  </r>
  <r>
    <s v="Tammin"/>
    <x v="8"/>
    <x v="8"/>
    <n v="2.36"/>
    <x v="257"/>
    <d v="2014-02-17T00:00:00"/>
    <x v="6"/>
    <x v="11"/>
    <d v="2014-03-05T00:00:00"/>
    <n v="57.4"/>
    <m/>
    <x v="4"/>
    <n v="6.7999999999999972"/>
    <m/>
    <x v="9"/>
    <n v="424.99999999999983"/>
    <n v="32.083359999999992"/>
    <n v="16"/>
    <n v="6.7999999999999972"/>
    <x v="8"/>
    <n v="424.99999999999983"/>
    <n v="32.083359999999992"/>
  </r>
  <r>
    <s v="Tammin"/>
    <x v="8"/>
    <x v="8"/>
    <n v="2.36"/>
    <x v="258"/>
    <d v="2014-02-17T00:00:00"/>
    <x v="35"/>
    <x v="11"/>
    <d v="2014-03-05T00:00:00"/>
    <n v="60.8"/>
    <m/>
    <x v="4"/>
    <n v="6.1999999999999957"/>
    <m/>
    <x v="9"/>
    <n v="387.49999999999972"/>
    <n v="30.86024299999999"/>
    <n v="16"/>
    <n v="6.1999999999999957"/>
    <x v="8"/>
    <n v="387.49999999999972"/>
    <n v="30.86024299999999"/>
  </r>
  <r>
    <s v="Tammin"/>
    <x v="8"/>
    <x v="8"/>
    <n v="2.36"/>
    <x v="259"/>
    <d v="2014-02-17T00:00:00"/>
    <x v="48"/>
    <x v="11"/>
    <d v="2014-03-05T00:00:00"/>
    <n v="57"/>
    <m/>
    <x v="4"/>
    <n v="6"/>
    <m/>
    <x v="9"/>
    <n v="375"/>
    <n v="29.618359999999996"/>
    <n v="16"/>
    <n v="6"/>
    <x v="8"/>
    <n v="375"/>
    <n v="29.618359999999996"/>
  </r>
  <r>
    <s v="Tammin"/>
    <x v="8"/>
    <x v="8"/>
    <n v="2.36"/>
    <x v="260"/>
    <d v="2014-02-17T00:00:00"/>
    <x v="77"/>
    <x v="11"/>
    <d v="2014-03-05T00:00:00"/>
    <n v="57.6"/>
    <m/>
    <x v="4"/>
    <n v="4.8000000000000043"/>
    <m/>
    <x v="9"/>
    <n v="300.00000000000028"/>
    <n v="26.123768000000013"/>
    <n v="16"/>
    <n v="4.8000000000000043"/>
    <x v="8"/>
    <n v="300.00000000000028"/>
    <n v="26.123768000000013"/>
  </r>
  <r>
    <s v="Tammin"/>
    <x v="8"/>
    <x v="8"/>
    <n v="2.36"/>
    <x v="261"/>
    <d v="2014-02-17T00:00:00"/>
    <x v="19"/>
    <x v="11"/>
    <d v="2014-03-05T00:00:00"/>
    <n v="64.400000000000006"/>
    <m/>
    <x v="4"/>
    <n v="8.2000000000000028"/>
    <m/>
    <x v="9"/>
    <n v="512.50000000000023"/>
    <n v="37.462377000000004"/>
    <n v="16"/>
    <n v="8.2000000000000028"/>
    <x v="8"/>
    <n v="512.50000000000023"/>
    <n v="37.462377000000004"/>
  </r>
  <r>
    <s v="Tammin"/>
    <x v="8"/>
    <x v="8"/>
    <n v="2.36"/>
    <x v="262"/>
    <d v="2014-02-17T00:00:00"/>
    <x v="100"/>
    <x v="11"/>
    <d v="2014-03-05T00:00:00"/>
    <n v="58"/>
    <m/>
    <x v="4"/>
    <n v="4.6000000000000014"/>
    <m/>
    <x v="9"/>
    <n v="287.50000000000011"/>
    <n v="25.592063000000003"/>
    <n v="16"/>
    <n v="4.6000000000000014"/>
    <x v="8"/>
    <n v="287.50000000000011"/>
    <n v="25.592063000000003"/>
  </r>
  <r>
    <s v="Tammin"/>
    <x v="8"/>
    <x v="8"/>
    <n v="2.36"/>
    <x v="263"/>
    <d v="2014-02-17T00:00:00"/>
    <x v="42"/>
    <x v="11"/>
    <d v="2014-03-05T00:00:00"/>
    <n v="58.6"/>
    <m/>
    <x v="4"/>
    <n v="3.2000000000000028"/>
    <m/>
    <x v="9"/>
    <n v="200.00000000000017"/>
    <n v="21.49813000000001"/>
    <n v="16"/>
    <n v="3.2000000000000028"/>
    <x v="8"/>
    <n v="200.00000000000017"/>
    <n v="21.49813000000001"/>
  </r>
  <r>
    <s v="Tammin"/>
    <x v="8"/>
    <x v="8"/>
    <n v="2.36"/>
    <x v="264"/>
    <d v="2014-02-17T00:00:00"/>
    <x v="91"/>
    <x v="11"/>
    <d v="2014-03-05T00:00:00"/>
    <n v="67.2"/>
    <m/>
    <x v="4"/>
    <n v="6"/>
    <m/>
    <x v="9"/>
    <n v="375"/>
    <n v="31.343077999999998"/>
    <n v="16"/>
    <n v="6"/>
    <x v="8"/>
    <n v="375"/>
    <n v="31.343077999999998"/>
  </r>
  <r>
    <s v="Tammin"/>
    <x v="8"/>
    <x v="8"/>
    <n v="2.36"/>
    <x v="265"/>
    <d v="2014-02-17T00:00:00"/>
    <x v="48"/>
    <x v="11"/>
    <d v="2014-03-05T00:00:00"/>
    <n v="53"/>
    <m/>
    <x v="4"/>
    <n v="2"/>
    <m/>
    <x v="9"/>
    <n v="125"/>
    <n v="16.955179999999999"/>
    <n v="16"/>
    <n v="2"/>
    <x v="8"/>
    <n v="125"/>
    <n v="16.955179999999999"/>
  </r>
  <r>
    <s v="Tammin"/>
    <x v="8"/>
    <x v="8"/>
    <n v="2.36"/>
    <x v="266"/>
    <d v="2014-02-17T00:00:00"/>
    <x v="87"/>
    <x v="11"/>
    <d v="2014-03-05T00:00:00"/>
    <n v="55.6"/>
    <m/>
    <x v="4"/>
    <n v="4.2000000000000028"/>
    <m/>
    <x v="9"/>
    <n v="262.50000000000017"/>
    <n v="23.987565000000007"/>
    <n v="16"/>
    <n v="4.2000000000000028"/>
    <x v="8"/>
    <n v="262.50000000000017"/>
    <n v="23.987565000000007"/>
  </r>
  <r>
    <s v="Tammin"/>
    <x v="8"/>
    <x v="8"/>
    <n v="2.36"/>
    <x v="267"/>
    <d v="2014-02-17T00:00:00"/>
    <x v="98"/>
    <x v="11"/>
    <d v="2014-03-05T00:00:00"/>
    <n v="60"/>
    <m/>
    <x v="4"/>
    <n v="5.7999999999999972"/>
    <m/>
    <x v="9"/>
    <n v="362.49999999999983"/>
    <n v="29.526288999999991"/>
    <n v="16"/>
    <n v="5.7999999999999972"/>
    <x v="8"/>
    <n v="362.49999999999983"/>
    <n v="29.526288999999991"/>
  </r>
  <r>
    <s v="Tammin"/>
    <x v="8"/>
    <x v="8"/>
    <n v="2.36"/>
    <x v="268"/>
    <d v="2014-02-17T00:00:00"/>
    <x v="44"/>
    <x v="11"/>
    <d v="2014-03-05T00:00:00"/>
    <n v="60"/>
    <m/>
    <x v="4"/>
    <n v="4"/>
    <m/>
    <x v="9"/>
    <n v="250"/>
    <n v="24.132219999999997"/>
    <n v="16"/>
    <n v="4"/>
    <x v="8"/>
    <n v="250"/>
    <n v="24.132219999999997"/>
  </r>
  <r>
    <s v="Tammin"/>
    <x v="8"/>
    <x v="8"/>
    <n v="2.36"/>
    <x v="269"/>
    <d v="2014-02-17T00:00:00"/>
    <x v="7"/>
    <x v="11"/>
    <d v="2014-03-05T00:00:00"/>
    <n v="69.2"/>
    <m/>
    <x v="4"/>
    <n v="6"/>
    <m/>
    <x v="9"/>
    <n v="375"/>
    <n v="31.681257999999996"/>
    <n v="16"/>
    <n v="6"/>
    <x v="8"/>
    <n v="375"/>
    <n v="31.681257999999996"/>
  </r>
  <r>
    <s v="Tammin"/>
    <x v="8"/>
    <x v="8"/>
    <n v="2.36"/>
    <x v="270"/>
    <d v="2014-02-17T00:00:00"/>
    <x v="75"/>
    <x v="11"/>
    <d v="2014-03-05T00:00:00"/>
    <n v="62"/>
    <m/>
    <x v="4"/>
    <n v="6.3999999999999986"/>
    <m/>
    <x v="9"/>
    <n v="399.99999999999989"/>
    <n v="31.662491999999993"/>
    <n v="16"/>
    <n v="6.3999999999999986"/>
    <x v="8"/>
    <n v="399.99999999999989"/>
    <n v="31.662491999999993"/>
  </r>
  <r>
    <s v="Tammin"/>
    <x v="8"/>
    <x v="8"/>
    <n v="2.36"/>
    <x v="271"/>
    <d v="2014-02-17T00:00:00"/>
    <x v="72"/>
    <x v="11"/>
    <d v="2014-03-05T00:00:00"/>
    <n v="62.6"/>
    <m/>
    <x v="4"/>
    <n v="4.2000000000000028"/>
    <m/>
    <x v="9"/>
    <n v="262.50000000000017"/>
    <n v="25.171195000000004"/>
    <n v="16"/>
    <n v="4.2000000000000028"/>
    <x v="8"/>
    <n v="262.50000000000017"/>
    <n v="25.171195000000004"/>
  </r>
  <r>
    <s v="Tammin"/>
    <x v="8"/>
    <x v="8"/>
    <n v="2.36"/>
    <x v="272"/>
    <d v="2014-02-17T00:00:00"/>
    <x v="100"/>
    <x v="11"/>
    <d v="2014-03-05T00:00:00"/>
    <n v="55.8"/>
    <m/>
    <x v="4"/>
    <n v="2.3999999999999986"/>
    <m/>
    <x v="9"/>
    <n v="149.99999999999991"/>
    <n v="18.627313999999995"/>
    <n v="16"/>
    <n v="2.3999999999999986"/>
    <x v="8"/>
    <n v="149.99999999999991"/>
    <n v="18.627313999999995"/>
  </r>
  <r>
    <s v="Tammin"/>
    <x v="8"/>
    <x v="8"/>
    <n v="2.36"/>
    <x v="273"/>
    <d v="2014-02-17T00:00:00"/>
    <x v="87"/>
    <x v="11"/>
    <d v="2014-03-05T00:00:00"/>
    <n v="57.8"/>
    <m/>
    <x v="4"/>
    <n v="6.3999999999999986"/>
    <m/>
    <x v="9"/>
    <n v="399.99999999999989"/>
    <n v="30.952313999999994"/>
    <n v="16"/>
    <n v="6.3999999999999986"/>
    <x v="8"/>
    <n v="399.99999999999989"/>
    <n v="30.952313999999994"/>
  </r>
  <r>
    <s v="Tammin"/>
    <x v="8"/>
    <x v="8"/>
    <n v="2.36"/>
    <x v="274"/>
    <d v="2014-02-17T00:00:00"/>
    <x v="34"/>
    <x v="11"/>
    <d v="2014-03-05T00:00:00"/>
    <n v="57.6"/>
    <m/>
    <x v="4"/>
    <n v="6"/>
    <m/>
    <x v="9"/>
    <n v="375"/>
    <n v="29.719814"/>
    <n v="16"/>
    <n v="6"/>
    <x v="8"/>
    <n v="375"/>
    <n v="29.719814"/>
  </r>
  <r>
    <s v="Tammin"/>
    <x v="8"/>
    <x v="8"/>
    <n v="2.36"/>
    <x v="275"/>
    <d v="2014-02-17T00:00:00"/>
    <x v="76"/>
    <x v="11"/>
    <d v="2014-03-05T00:00:00"/>
    <n v="59.8"/>
    <m/>
    <x v="4"/>
    <n v="4"/>
    <m/>
    <x v="9"/>
    <n v="250"/>
    <n v="24.098402"/>
    <n v="16"/>
    <n v="4"/>
    <x v="8"/>
    <n v="250"/>
    <n v="24.098402"/>
  </r>
  <r>
    <s v="Tammin"/>
    <x v="8"/>
    <x v="8"/>
    <n v="2.36"/>
    <x v="276"/>
    <d v="2014-02-17T00:00:00"/>
    <x v="75"/>
    <x v="11"/>
    <d v="2014-03-05T00:00:00"/>
    <n v="63.4"/>
    <m/>
    <x v="4"/>
    <n v="7.7999999999999972"/>
    <m/>
    <x v="9"/>
    <n v="487.49999999999983"/>
    <n v="36.094604999999987"/>
    <n v="16"/>
    <n v="7.7999999999999972"/>
    <x v="8"/>
    <n v="487.49999999999983"/>
    <n v="36.094604999999987"/>
  </r>
  <r>
    <s v="Tammin"/>
    <x v="8"/>
    <x v="8"/>
    <n v="2.36"/>
    <x v="277"/>
    <d v="2014-02-17T00:00:00"/>
    <x v="73"/>
    <x v="11"/>
    <d v="2014-03-05T00:00:00"/>
    <n v="56.6"/>
    <m/>
    <x v="4"/>
    <n v="3"/>
    <m/>
    <x v="9"/>
    <n v="187.5"/>
    <n v="20.560608999999999"/>
    <n v="16"/>
    <n v="3"/>
    <x v="8"/>
    <n v="187.5"/>
    <n v="20.560608999999999"/>
  </r>
  <r>
    <s v="Tammin"/>
    <x v="8"/>
    <x v="8"/>
    <n v="2.36"/>
    <x v="278"/>
    <d v="2014-02-17T00:00:00"/>
    <x v="40"/>
    <x v="11"/>
    <d v="2014-03-05T00:00:00"/>
    <n v="62.2"/>
    <m/>
    <x v="4"/>
    <n v="4.6000000000000014"/>
    <m/>
    <x v="9"/>
    <n v="287.50000000000011"/>
    <n v="26.302241000000002"/>
    <n v="16"/>
    <n v="4.6000000000000014"/>
    <x v="8"/>
    <n v="287.50000000000011"/>
    <n v="26.302241000000002"/>
  </r>
  <r>
    <s v="Tammin"/>
    <x v="8"/>
    <x v="8"/>
    <n v="2.36"/>
    <x v="279"/>
    <d v="2014-02-17T00:00:00"/>
    <x v="92"/>
    <x v="11"/>
    <d v="2014-03-05T00:00:00"/>
    <n v="52.4"/>
    <m/>
    <x v="4"/>
    <n v="2"/>
    <m/>
    <x v="9"/>
    <n v="125"/>
    <n v="16.853725999999998"/>
    <n v="16"/>
    <n v="2"/>
    <x v="8"/>
    <n v="125"/>
    <n v="16.853725999999998"/>
  </r>
  <r>
    <s v="Tammin"/>
    <x v="8"/>
    <x v="8"/>
    <n v="2.36"/>
    <x v="280"/>
    <d v="2014-02-17T00:00:00"/>
    <x v="85"/>
    <x v="11"/>
    <d v="2014-03-05T00:00:00"/>
    <n v="52.8"/>
    <m/>
    <x v="4"/>
    <n v="3.1999999999999957"/>
    <m/>
    <x v="9"/>
    <n v="199.99999999999974"/>
    <n v="20.517407999999989"/>
    <n v="16"/>
    <n v="3.1999999999999957"/>
    <x v="8"/>
    <n v="199.99999999999974"/>
    <n v="20.517407999999989"/>
  </r>
  <r>
    <s v="Tammin"/>
    <x v="8"/>
    <x v="8"/>
    <n v="2.36"/>
    <x v="281"/>
    <d v="2014-02-17T00:00:00"/>
    <x v="90"/>
    <x v="11"/>
    <d v="2014-03-05T00:00:00"/>
    <n v="55.2"/>
    <m/>
    <x v="4"/>
    <n v="5.8000000000000043"/>
    <m/>
    <x v="9"/>
    <n v="362.50000000000028"/>
    <n v="28.71465700000001"/>
    <n v="16"/>
    <n v="5.8000000000000043"/>
    <x v="8"/>
    <n v="362.50000000000028"/>
    <n v="28.71465700000001"/>
  </r>
  <r>
    <s v="Tammin"/>
    <x v="8"/>
    <x v="8"/>
    <n v="2.36"/>
    <x v="282"/>
    <d v="2014-02-17T00:00:00"/>
    <x v="101"/>
    <x v="11"/>
    <d v="2014-03-05T00:00:00"/>
    <n v="63.8"/>
    <m/>
    <x v="4"/>
    <n v="3.3999999999999986"/>
    <m/>
    <x v="9"/>
    <n v="212.49999999999991"/>
    <n v="22.976738999999995"/>
    <n v="16"/>
    <n v="3.3999999999999986"/>
    <x v="8"/>
    <n v="212.49999999999991"/>
    <n v="22.976738999999995"/>
  </r>
  <r>
    <s v="Tammin"/>
    <x v="8"/>
    <x v="8"/>
    <n v="2.36"/>
    <x v="283"/>
    <d v="2014-02-17T00:00:00"/>
    <x v="20"/>
    <x v="11"/>
    <d v="2014-03-05T00:00:00"/>
    <n v="65.8"/>
    <m/>
    <x v="4"/>
    <n v="7.7999999999999972"/>
    <m/>
    <x v="9"/>
    <n v="487.49999999999983"/>
    <n v="36.500420999999989"/>
    <n v="16"/>
    <n v="7.7999999999999972"/>
    <x v="8"/>
    <n v="487.49999999999983"/>
    <n v="36.500420999999989"/>
  </r>
  <r>
    <s v="Tammin"/>
    <x v="8"/>
    <x v="8"/>
    <n v="2.36"/>
    <x v="284"/>
    <d v="2014-02-17T00:00:00"/>
    <x v="78"/>
    <x v="11"/>
    <d v="2014-03-05T00:00:00"/>
    <n v="53.6"/>
    <m/>
    <x v="4"/>
    <n v="1"/>
    <m/>
    <x v="9"/>
    <n v="62.5"/>
    <n v="14.059929"/>
    <n v="16"/>
    <n v="1"/>
    <x v="8"/>
    <n v="62.5"/>
    <n v="14.059929"/>
  </r>
  <r>
    <s v="Tammin"/>
    <x v="8"/>
    <x v="8"/>
    <n v="2.36"/>
    <x v="285"/>
    <d v="2014-02-17T00:00:00"/>
    <x v="1"/>
    <x v="11"/>
    <d v="2014-03-05T00:00:00"/>
    <n v="62.4"/>
    <m/>
    <x v="4"/>
    <n v="5.7999999999999972"/>
    <m/>
    <x v="9"/>
    <n v="362.49999999999983"/>
    <n v="29.932104999999989"/>
    <n v="16"/>
    <n v="5.7999999999999972"/>
    <x v="8"/>
    <n v="362.49999999999983"/>
    <n v="29.932104999999989"/>
  </r>
  <r>
    <s v="Tammin"/>
    <x v="8"/>
    <x v="8"/>
    <n v="2.36"/>
    <x v="286"/>
    <d v="2014-02-17T00:00:00"/>
    <x v="102"/>
    <x v="11"/>
    <d v="2014-03-05T00:00:00"/>
    <n v="66.2"/>
    <m/>
    <x v="4"/>
    <n v="7.6000000000000014"/>
    <m/>
    <x v="9"/>
    <n v="475.00000000000011"/>
    <n v="35.968716000000001"/>
    <n v="16"/>
    <n v="7.6000000000000014"/>
    <x v="8"/>
    <n v="475.00000000000011"/>
    <n v="35.968716000000001"/>
  </r>
  <r>
    <s v="Tammin"/>
    <x v="8"/>
    <x v="8"/>
    <n v="2.36"/>
    <x v="287"/>
    <d v="2014-02-17T00:00:00"/>
    <x v="1"/>
    <x v="11"/>
    <d v="2014-03-05T00:00:00"/>
    <n v="60.8"/>
    <m/>
    <x v="4"/>
    <n v="4.1999999999999957"/>
    <m/>
    <x v="9"/>
    <n v="262.49999999999972"/>
    <n v="24.866832999999986"/>
    <n v="16"/>
    <n v="4.1999999999999957"/>
    <x v="8"/>
    <n v="262.49999999999972"/>
    <n v="24.866832999999986"/>
  </r>
  <r>
    <s v="Tammin"/>
    <x v="8"/>
    <x v="8"/>
    <n v="2.36"/>
    <x v="288"/>
    <d v="2014-02-17T00:00:00"/>
    <x v="16"/>
    <x v="11"/>
    <d v="2014-03-05T00:00:00"/>
    <n v="69.599999999999994"/>
    <m/>
    <x v="4"/>
    <n v="5.5999999999999943"/>
    <m/>
    <x v="9"/>
    <n v="349.99999999999966"/>
    <n v="30.550211999999981"/>
    <n v="16"/>
    <n v="5.5999999999999943"/>
    <x v="8"/>
    <n v="349.99999999999966"/>
    <n v="30.550211999999981"/>
  </r>
  <r>
    <s v="Tammin"/>
    <x v="8"/>
    <x v="8"/>
    <n v="2.36"/>
    <x v="289"/>
    <d v="2014-02-17T00:00:00"/>
    <x v="87"/>
    <x v="11"/>
    <d v="2014-03-05T00:00:00"/>
    <n v="57.4"/>
    <m/>
    <x v="4"/>
    <n v="6"/>
    <m/>
    <x v="9"/>
    <n v="375"/>
    <n v="29.685995999999996"/>
    <n v="16"/>
    <n v="6"/>
    <x v="8"/>
    <n v="375"/>
    <n v="29.685995999999996"/>
  </r>
  <r>
    <s v="Tammin"/>
    <x v="8"/>
    <x v="8"/>
    <n v="2.36"/>
    <x v="290"/>
    <d v="2014-02-17T00:00:00"/>
    <x v="103"/>
    <x v="11"/>
    <d v="2014-03-05T00:00:00"/>
    <n v="51"/>
    <m/>
    <x v="4"/>
    <n v="2"/>
    <m/>
    <x v="9"/>
    <n v="125"/>
    <n v="16.616999999999997"/>
    <n v="16"/>
    <n v="2"/>
    <x v="8"/>
    <n v="125"/>
    <n v="16.616999999999997"/>
  </r>
  <r>
    <s v="Tammin"/>
    <x v="8"/>
    <x v="8"/>
    <n v="2.36"/>
    <x v="291"/>
    <d v="2014-02-17T00:00:00"/>
    <x v="12"/>
    <x v="11"/>
    <d v="2014-03-05T00:00:00"/>
    <n v="57.6"/>
    <m/>
    <x v="4"/>
    <n v="4.6000000000000014"/>
    <m/>
    <x v="9"/>
    <n v="287.50000000000011"/>
    <n v="25.524427000000003"/>
    <n v="16"/>
    <n v="4.6000000000000014"/>
    <x v="8"/>
    <n v="287.50000000000011"/>
    <n v="25.524427000000003"/>
  </r>
  <r>
    <s v="Tammin"/>
    <x v="8"/>
    <x v="8"/>
    <n v="2.36"/>
    <x v="292"/>
    <d v="2014-02-17T00:00:00"/>
    <x v="30"/>
    <x v="11"/>
    <d v="2014-03-05T00:00:00"/>
    <n v="57.8"/>
    <m/>
    <x v="4"/>
    <n v="4"/>
    <m/>
    <x v="9"/>
    <n v="250"/>
    <n v="23.760221999999999"/>
    <n v="16"/>
    <n v="4"/>
    <x v="8"/>
    <n v="250"/>
    <n v="23.760221999999999"/>
  </r>
  <r>
    <s v="Tammin"/>
    <x v="8"/>
    <x v="8"/>
    <n v="2.36"/>
    <x v="293"/>
    <d v="2014-02-17T00:00:00"/>
    <x v="74"/>
    <x v="11"/>
    <d v="2014-03-05T00:00:00"/>
    <n v="59"/>
    <m/>
    <x v="4"/>
    <n v="6.7999999999999972"/>
    <m/>
    <x v="9"/>
    <n v="424.99999999999983"/>
    <n v="32.353903999999986"/>
    <n v="16"/>
    <n v="6.7999999999999972"/>
    <x v="8"/>
    <n v="424.99999999999983"/>
    <n v="32.353903999999986"/>
  </r>
  <r>
    <s v="Tammin"/>
    <x v="8"/>
    <x v="8"/>
    <n v="2.36"/>
    <x v="294"/>
    <d v="2014-02-17T00:00:00"/>
    <x v="24"/>
    <x v="11"/>
    <d v="2014-03-05T00:00:00"/>
    <n v="58.8"/>
    <m/>
    <x v="4"/>
    <n v="3.5999999999999943"/>
    <m/>
    <x v="9"/>
    <n v="224.99999999999966"/>
    <n v="22.730629999999984"/>
    <n v="16"/>
    <n v="3.5999999999999943"/>
    <x v="8"/>
    <n v="224.99999999999966"/>
    <n v="22.730629999999984"/>
  </r>
  <r>
    <s v="Tammin"/>
    <x v="8"/>
    <x v="8"/>
    <n v="2.36"/>
    <x v="295"/>
    <d v="2014-02-17T00:00:00"/>
    <x v="34"/>
    <x v="11"/>
    <d v="2014-03-05T00:00:00"/>
    <n v="59"/>
    <m/>
    <x v="4"/>
    <n v="7.3999999999999986"/>
    <m/>
    <x v="9"/>
    <n v="462.49999999999989"/>
    <n v="34.151926999999993"/>
    <n v="16"/>
    <n v="7.3999999999999986"/>
    <x v="8"/>
    <n v="462.49999999999989"/>
    <n v="34.151926999999993"/>
  </r>
  <r>
    <s v="Tammin"/>
    <x v="8"/>
    <x v="8"/>
    <n v="2.36"/>
    <x v="296"/>
    <d v="2014-02-17T00:00:00"/>
    <x v="34"/>
    <x v="11"/>
    <d v="2014-03-05T00:00:00"/>
    <n v="52.8"/>
    <m/>
    <x v="4"/>
    <n v="1.1999999999999957"/>
    <m/>
    <x v="9"/>
    <n v="74.99999999999973"/>
    <n v="14.523997999999988"/>
    <n v="16"/>
    <n v="1.1999999999999957"/>
    <x v="8"/>
    <n v="74.99999999999973"/>
    <n v="14.523997999999988"/>
  </r>
  <r>
    <s v="Tammin"/>
    <x v="8"/>
    <x v="8"/>
    <n v="2.36"/>
    <x v="297"/>
    <d v="2014-02-17T00:00:00"/>
    <x v="74"/>
    <x v="11"/>
    <d v="2014-03-05T00:00:00"/>
    <n v="57"/>
    <m/>
    <x v="4"/>
    <n v="4.7999999999999972"/>
    <m/>
    <x v="9"/>
    <n v="299.99999999999983"/>
    <n v="26.022313999999991"/>
    <n v="16"/>
    <n v="4.7999999999999972"/>
    <x v="8"/>
    <n v="299.99999999999983"/>
    <n v="26.022313999999991"/>
  </r>
  <r>
    <s v="Tammin"/>
    <x v="8"/>
    <x v="8"/>
    <n v="2.36"/>
    <x v="298"/>
    <d v="2014-02-17T00:00:00"/>
    <x v="42"/>
    <x v="11"/>
    <d v="2014-03-05T00:00:00"/>
    <n v="55.6"/>
    <m/>
    <x v="4"/>
    <n v="0.20000000000000284"/>
    <m/>
    <x v="9"/>
    <n v="12.500000000000178"/>
    <n v="12.000745000000007"/>
    <n v="16"/>
    <n v="0.20000000000000284"/>
    <x v="8"/>
    <n v="12.500000000000178"/>
    <n v="12.000745000000007"/>
  </r>
  <r>
    <s v="Tammin"/>
    <x v="8"/>
    <x v="8"/>
    <n v="2.36"/>
    <x v="299"/>
    <d v="2014-02-17T00:00:00"/>
    <x v="18"/>
    <x v="11"/>
    <d v="2014-03-05T00:00:00"/>
    <n v="61"/>
    <m/>
    <x v="4"/>
    <n v="3.2000000000000028"/>
    <m/>
    <x v="9"/>
    <n v="200.00000000000017"/>
    <n v="21.903946000000008"/>
    <n v="16"/>
    <n v="3.2000000000000028"/>
    <x v="8"/>
    <n v="200.00000000000017"/>
    <n v="21.903946000000008"/>
  </r>
  <r>
    <s v="Tammin"/>
    <x v="8"/>
    <x v="8"/>
    <n v="2.36"/>
    <x v="300"/>
    <d v="2014-02-17T00:00:00"/>
    <x v="104"/>
    <x v="11"/>
    <d v="2014-03-05T00:00:00"/>
    <n v="66.400000000000006"/>
    <m/>
    <x v="4"/>
    <n v="4.0000000000000071"/>
    <m/>
    <x v="9"/>
    <n v="250.00000000000045"/>
    <n v="25.214396000000022"/>
    <n v="16"/>
    <n v="4.0000000000000071"/>
    <x v="8"/>
    <n v="250.00000000000045"/>
    <n v="25.214396000000022"/>
  </r>
  <r>
    <s v="Tammin"/>
    <x v="8"/>
    <x v="8"/>
    <n v="2.36"/>
    <x v="301"/>
    <d v="2014-02-17T00:00:00"/>
    <x v="38"/>
    <x v="11"/>
    <d v="2014-03-05T00:00:00"/>
    <n v="53.8"/>
    <m/>
    <x v="4"/>
    <n v="3.5999999999999943"/>
    <m/>
    <x v="9"/>
    <n v="224.99999999999966"/>
    <n v="21.885179999999984"/>
    <n v="16"/>
    <n v="3.5999999999999943"/>
    <x v="8"/>
    <n v="224.99999999999966"/>
    <n v="21.885179999999984"/>
  </r>
  <r>
    <s v="Tammin"/>
    <x v="8"/>
    <x v="8"/>
    <n v="2.36"/>
    <x v="302"/>
    <d v="2014-02-17T00:00:00"/>
    <x v="74"/>
    <x v="11"/>
    <d v="2014-03-05T00:00:00"/>
    <n v="58"/>
    <m/>
    <x v="4"/>
    <n v="5.7999999999999972"/>
    <m/>
    <x v="9"/>
    <n v="362.49999999999983"/>
    <n v="29.18810899999999"/>
    <n v="16"/>
    <n v="5.7999999999999972"/>
    <x v="8"/>
    <n v="362.49999999999983"/>
    <n v="29.18810899999999"/>
  </r>
  <r>
    <s v="Tammin "/>
    <x v="0"/>
    <x v="0"/>
    <n v="1.98"/>
    <x v="0"/>
    <d v="2008-01-29T00:00:00"/>
    <x v="0"/>
    <x v="0"/>
    <d v="2008-02-19T00:00:00"/>
    <n v="58.2"/>
    <n v="2.5"/>
    <x v="5"/>
    <n v="4.2000000000000028"/>
    <n v="0"/>
    <x v="10"/>
    <n v="200.00000000000011"/>
    <n v="21.345949000000005"/>
    <n v="7"/>
    <n v="2"/>
    <x v="0"/>
    <n v="285.71428571428572"/>
    <n v="25.571663285714283"/>
  </r>
  <r>
    <s v="Tammin "/>
    <x v="0"/>
    <x v="0"/>
    <n v="1.98"/>
    <x v="1"/>
    <d v="2008-01-29T00:00:00"/>
    <x v="1"/>
    <x v="0"/>
    <d v="2008-02-19T00:00:00"/>
    <n v="62.2"/>
    <n v="2.5"/>
    <x v="5"/>
    <n v="5.6000000000000014"/>
    <n v="0"/>
    <x v="10"/>
    <n v="266.66666666666674"/>
    <n v="25.190612666666667"/>
    <n v="7"/>
    <n v="-0.19999999999999574"/>
    <x v="0"/>
    <n v="-28.571428571427962"/>
    <n v="10.635374571428601"/>
  </r>
  <r>
    <s v="Tammin "/>
    <x v="0"/>
    <x v="0"/>
    <n v="1.98"/>
    <x v="2"/>
    <d v="2008-01-29T00:00:00"/>
    <x v="1"/>
    <x v="1"/>
    <d v="2008-02-19T00:00:00"/>
    <n v="59.6"/>
    <n v="3.25"/>
    <x v="5"/>
    <n v="3"/>
    <n v="0"/>
    <x v="10"/>
    <n v="142.85714285714286"/>
    <n v="18.86698614285714"/>
    <n v="7"/>
    <n v="-6.1999999999999957"/>
    <x v="0"/>
    <n v="-885.7142857142851"/>
    <n v="-31.841585285714253"/>
  </r>
  <r>
    <s v="Tammin "/>
    <x v="0"/>
    <x v="0"/>
    <n v="1.98"/>
    <x v="3"/>
    <d v="2008-01-29T00:00:00"/>
    <x v="2"/>
    <x v="1"/>
    <d v="2008-02-19T00:00:00"/>
    <n v="67"/>
    <n v="3.25"/>
    <x v="5"/>
    <n v="3.3999999999999986"/>
    <n v="0"/>
    <x v="10"/>
    <n v="161.90476190476184"/>
    <n v="21.023481761904755"/>
    <n v="7"/>
    <n v="-0.40000000000000568"/>
    <x v="0"/>
    <n v="-57.142857142857956"/>
    <n v="10.224434142857103"/>
  </r>
  <r>
    <s v="Tammin "/>
    <x v="0"/>
    <x v="0"/>
    <n v="1.98"/>
    <x v="4"/>
    <d v="2008-01-29T00:00:00"/>
    <x v="3"/>
    <x v="2"/>
    <d v="2008-02-19T00:00:00"/>
    <n v="56"/>
    <n v="2"/>
    <x v="5"/>
    <n v="3.6000000000000014"/>
    <n v="0"/>
    <x v="10"/>
    <n v="171.42857142857147"/>
    <n v="19.616106571428574"/>
    <n v="7"/>
    <n v="-3.2000000000000028"/>
    <x v="0"/>
    <n v="-457.14285714285757"/>
    <n v="-11.372464857142878"/>
  </r>
  <r>
    <s v="Tammin "/>
    <x v="0"/>
    <x v="0"/>
    <n v="1.98"/>
    <x v="5"/>
    <d v="2008-01-29T00:00:00"/>
    <x v="4"/>
    <x v="0"/>
    <d v="2008-02-19T00:00:00"/>
    <n v="57.6"/>
    <n v="2.5"/>
    <x v="5"/>
    <n v="4.3999999999999986"/>
    <n v="0"/>
    <x v="10"/>
    <n v="209.52380952380943"/>
    <n v="21.697109809523806"/>
    <n v="7"/>
    <n v="-0.39999999999999858"/>
    <x v="0"/>
    <n v="-57.14285714285694"/>
    <n v="8.550443142857155"/>
  </r>
  <r>
    <s v="Tammin "/>
    <x v="0"/>
    <x v="0"/>
    <n v="1.98"/>
    <x v="6"/>
    <d v="2008-01-29T00:00:00"/>
    <x v="5"/>
    <x v="3"/>
    <d v="2008-02-19T00:00:00"/>
    <n v="66.599999999999994"/>
    <n v="2.25"/>
    <x v="5"/>
    <n v="6.3999999999999915"/>
    <n v="0"/>
    <x v="10"/>
    <n v="304.76190476190436"/>
    <n v="27.745067904761882"/>
    <n v="7"/>
    <n v="-0.40000000000000568"/>
    <x v="0"/>
    <n v="-57.142857142857956"/>
    <n v="9.9031631428571032"/>
  </r>
  <r>
    <s v="Tammin "/>
    <x v="0"/>
    <x v="0"/>
    <n v="1.98"/>
    <x v="7"/>
    <d v="2008-01-29T00:00:00"/>
    <x v="5"/>
    <x v="4"/>
    <d v="2008-02-19T00:00:00"/>
    <n v="66.599999999999994"/>
    <n v="3"/>
    <x v="5"/>
    <n v="6.3999999999999915"/>
    <n v="0"/>
    <x v="10"/>
    <n v="304.76190476190436"/>
    <n v="27.745067904761882"/>
    <n v="7"/>
    <n v="1.3999999999999915"/>
    <x v="0"/>
    <n v="199.99999999999878"/>
    <n v="22.580305999999936"/>
  </r>
  <r>
    <s v="Tammin "/>
    <x v="0"/>
    <x v="0"/>
    <n v="1.98"/>
    <x v="8"/>
    <d v="2008-01-29T00:00:00"/>
    <x v="6"/>
    <x v="5"/>
    <d v="2008-02-19T00:00:00"/>
    <n v="60.2"/>
    <n v="1.75"/>
    <x v="5"/>
    <n v="9.6000000000000014"/>
    <n v="0"/>
    <x v="10"/>
    <n v="457.14285714285717"/>
    <n v="33.904728857142857"/>
    <n v="7"/>
    <n v="1.2000000000000028"/>
    <x v="0"/>
    <n v="171.42857142857184"/>
    <n v="19.819014571428593"/>
  </r>
  <r>
    <s v="Tammin "/>
    <x v="0"/>
    <x v="0"/>
    <n v="1.98"/>
    <x v="9"/>
    <d v="2008-01-29T00:00:00"/>
    <x v="7"/>
    <x v="0"/>
    <d v="2008-02-19T00:00:00"/>
    <n v="69"/>
    <n v="2.5"/>
    <x v="5"/>
    <n v="5.7999999999999972"/>
    <n v="0"/>
    <x v="10"/>
    <n v="276.19047619047603"/>
    <n v="26.793039476190465"/>
    <n v="7"/>
    <n v="-1.2000000000000028"/>
    <x v="0"/>
    <n v="-171.42857142857184"/>
    <n v="4.7254204285714074"/>
  </r>
  <r>
    <s v="Tammin "/>
    <x v="0"/>
    <x v="0"/>
    <n v="1.98"/>
    <x v="10"/>
    <d v="2008-01-29T00:00:00"/>
    <x v="8"/>
    <x v="6"/>
    <d v="2008-02-19T00:00:00"/>
    <n v="68.400000000000006"/>
    <n v="3.5"/>
    <x v="5"/>
    <n v="11.200000000000003"/>
    <n v="0"/>
    <x v="10"/>
    <n v="533.33333333333348"/>
    <n v="38.912185333333341"/>
    <n v="7"/>
    <n v="5.8000000000000043"/>
    <x v="0"/>
    <n v="828.57142857142912"/>
    <n v="53.46742342857145"/>
  </r>
  <r>
    <s v="Tammin "/>
    <x v="0"/>
    <x v="0"/>
    <n v="1.98"/>
    <x v="11"/>
    <d v="2008-01-29T00:00:00"/>
    <x v="9"/>
    <x v="3"/>
    <d v="2008-02-19T00:00:00"/>
    <n v="56"/>
    <n v="2.25"/>
    <x v="5"/>
    <n v="7.7999999999999972"/>
    <n v="0"/>
    <x v="10"/>
    <n v="371.42857142857127"/>
    <n v="29.121017571428563"/>
    <n v="7"/>
    <n v="0.39999999999999858"/>
    <x v="0"/>
    <n v="57.14285714285694"/>
    <n v="13.626731857142847"/>
  </r>
  <r>
    <s v="Tammin "/>
    <x v="0"/>
    <x v="0"/>
    <n v="1.98"/>
    <x v="12"/>
    <d v="2008-01-29T00:00:00"/>
    <x v="10"/>
    <x v="0"/>
    <d v="2008-02-19T00:00:00"/>
    <n v="73"/>
    <n v="2.5"/>
    <x v="5"/>
    <n v="6.5999999999999943"/>
    <n v="0"/>
    <x v="10"/>
    <n v="314.28571428571399"/>
    <n v="29.279858714285698"/>
    <n v="7"/>
    <n v="3.2000000000000028"/>
    <x v="0"/>
    <n v="457.14285714285757"/>
    <n v="36.322715857142882"/>
  </r>
  <r>
    <s v="Tammin "/>
    <x v="0"/>
    <x v="0"/>
    <n v="1.98"/>
    <x v="13"/>
    <d v="2008-01-29T00:00:00"/>
    <x v="11"/>
    <x v="2"/>
    <d v="2008-02-19T00:00:00"/>
    <n v="52.4"/>
    <n v="2"/>
    <x v="5"/>
    <n v="4"/>
    <n v="0"/>
    <x v="10"/>
    <n v="190.47619047619045"/>
    <n v="19.912612190476189"/>
    <n v="7"/>
    <n v="0.60000000000000142"/>
    <x v="0"/>
    <n v="85.714285714285921"/>
    <n v="14.747850285714296"/>
  </r>
  <r>
    <s v="Tammin "/>
    <x v="0"/>
    <x v="0"/>
    <n v="1.98"/>
    <x v="14"/>
    <d v="2008-01-29T00:00:00"/>
    <x v="12"/>
    <x v="2"/>
    <d v="2008-02-19T00:00:00"/>
    <n v="61"/>
    <n v="2"/>
    <x v="5"/>
    <n v="8"/>
    <n v="0"/>
    <x v="10"/>
    <n v="380.95238095238091"/>
    <n v="30.419082380952378"/>
    <n v="7"/>
    <n v="1.6000000000000014"/>
    <x v="0"/>
    <n v="228.57142857142878"/>
    <n v="22.906701428571438"/>
  </r>
  <r>
    <s v="Tammin "/>
    <x v="0"/>
    <x v="0"/>
    <n v="1.98"/>
    <x v="15"/>
    <d v="2008-01-29T00:00:00"/>
    <x v="13"/>
    <x v="2"/>
    <d v="2008-02-19T00:00:00"/>
    <n v="65"/>
    <n v="2"/>
    <x v="5"/>
    <n v="5"/>
    <n v="0"/>
    <x v="10"/>
    <n v="238.09523809523807"/>
    <n v="24.306220238095236"/>
    <n v="7"/>
    <n v="-1.2000000000000028"/>
    <x v="0"/>
    <n v="-171.42857142857184"/>
    <n v="4.1166964285714087"/>
  </r>
  <r>
    <s v="Tammin "/>
    <x v="0"/>
    <x v="0"/>
    <n v="1.98"/>
    <x v="16"/>
    <d v="2008-01-29T00:00:00"/>
    <x v="14"/>
    <x v="4"/>
    <d v="2008-02-19T00:00:00"/>
    <n v="68"/>
    <n v="3"/>
    <x v="5"/>
    <n v="3.7999999999999972"/>
    <n v="0"/>
    <x v="10"/>
    <n v="180.95238095238082"/>
    <n v="22.097801380952372"/>
    <n v="7"/>
    <n v="-2.4000000000000057"/>
    <x v="0"/>
    <n v="-342.85714285714369"/>
    <n v="-3.7260081428571841"/>
  </r>
  <r>
    <s v="Tammin "/>
    <x v="0"/>
    <x v="0"/>
    <n v="1.98"/>
    <x v="17"/>
    <d v="2008-01-29T00:00:00"/>
    <x v="15"/>
    <x v="0"/>
    <d v="2008-02-19T00:00:00"/>
    <n v="61.8"/>
    <n v="2.5"/>
    <x v="5"/>
    <n v="5.3999999999999986"/>
    <n v="0"/>
    <x v="10"/>
    <n v="257.14285714285705"/>
    <n v="24.670361857142851"/>
    <n v="7"/>
    <n v="-0.80000000000000426"/>
    <x v="0"/>
    <n v="-114.28571428571489"/>
    <n v="6.3589332857142544"/>
  </r>
  <r>
    <s v="Tammin "/>
    <x v="0"/>
    <x v="0"/>
    <n v="1.98"/>
    <x v="18"/>
    <d v="2008-01-29T00:00:00"/>
    <x v="16"/>
    <x v="4"/>
    <d v="2008-02-19T00:00:00"/>
    <n v="68.8"/>
    <n v="3"/>
    <x v="5"/>
    <n v="4.7999999999999972"/>
    <n v="0"/>
    <x v="10"/>
    <n v="228.57142857142841"/>
    <n v="24.496147428571422"/>
    <n v="7"/>
    <n v="-1"/>
    <x v="0"/>
    <n v="-142.85714285714286"/>
    <n v="6.1847188571428591"/>
  </r>
  <r>
    <s v="Tammin "/>
    <x v="0"/>
    <x v="0"/>
    <n v="1.98"/>
    <x v="19"/>
    <d v="2008-01-29T00:00:00"/>
    <x v="0"/>
    <x v="0"/>
    <d v="2008-02-19T00:00:00"/>
    <n v="56.6"/>
    <n v="2.5"/>
    <x v="5"/>
    <n v="2.6000000000000014"/>
    <n v="0"/>
    <x v="10"/>
    <n v="123.80952380952388"/>
    <n v="17.454486523809528"/>
    <n v="7"/>
    <n v="-0.39999999999999858"/>
    <x v="0"/>
    <n v="-57.14285714285694"/>
    <n v="8.5335341428571532"/>
  </r>
  <r>
    <s v="Tammin "/>
    <x v="0"/>
    <x v="0"/>
    <n v="1.98"/>
    <x v="20"/>
    <d v="2008-01-29T00:00:00"/>
    <x v="17"/>
    <x v="5"/>
    <d v="2008-02-19T00:00:00"/>
    <n v="66.8"/>
    <n v="1.75"/>
    <x v="5"/>
    <n v="7.5999999999999943"/>
    <n v="0"/>
    <x v="10"/>
    <n v="361.90476190476164"/>
    <n v="30.494574761904744"/>
    <n v="7"/>
    <n v="2.3999999999999915"/>
    <x v="0"/>
    <n v="342.85714285714164"/>
    <n v="29.55552714285708"/>
  </r>
  <r>
    <s v="Tammin "/>
    <x v="0"/>
    <x v="0"/>
    <n v="1.98"/>
    <x v="21"/>
    <d v="2008-01-29T00:00:00"/>
    <x v="18"/>
    <x v="5"/>
    <d v="2008-02-19T00:00:00"/>
    <n v="62.2"/>
    <n v="1.75"/>
    <x v="5"/>
    <n v="4.4000000000000057"/>
    <n v="0"/>
    <x v="10"/>
    <n v="209.5238095238098"/>
    <n v="22.474923809523823"/>
    <n v="7"/>
    <n v="-1.1999999999999957"/>
    <x v="0"/>
    <n v="-171.42857142857082"/>
    <n v="3.6939714285714569"/>
  </r>
  <r>
    <s v="Tammin "/>
    <x v="0"/>
    <x v="0"/>
    <n v="1.98"/>
    <x v="22"/>
    <d v="2008-01-29T00:00:00"/>
    <x v="19"/>
    <x v="7"/>
    <d v="2008-02-19T00:00:00"/>
    <n v="64.2"/>
    <n v="2.75"/>
    <x v="5"/>
    <n v="8"/>
    <n v="0"/>
    <x v="10"/>
    <n v="380.95238095238091"/>
    <n v="30.960170380952377"/>
    <n v="7"/>
    <n v="0.60000000000000142"/>
    <x v="0"/>
    <n v="85.714285714285921"/>
    <n v="16.404932285714295"/>
  </r>
  <r>
    <s v="Tammin "/>
    <x v="0"/>
    <x v="0"/>
    <n v="1.98"/>
    <x v="23"/>
    <d v="2008-01-29T00:00:00"/>
    <x v="20"/>
    <x v="3"/>
    <d v="2008-02-19T00:00:00"/>
    <n v="68"/>
    <n v="2.25"/>
    <x v="5"/>
    <n v="10"/>
    <n v="0"/>
    <x v="10"/>
    <n v="476.19047619047615"/>
    <n v="36.128860476190475"/>
    <n v="7"/>
    <n v="2.7999999999999972"/>
    <x v="0"/>
    <n v="399.9999999999996"/>
    <n v="32.372669999999978"/>
  </r>
  <r>
    <s v="Tammin "/>
    <x v="0"/>
    <x v="0"/>
    <n v="1.98"/>
    <x v="24"/>
    <d v="2008-01-29T00:00:00"/>
    <x v="21"/>
    <x v="3"/>
    <d v="2008-02-19T00:00:00"/>
    <n v="69"/>
    <n v="2.25"/>
    <x v="5"/>
    <n v="2"/>
    <n v="0"/>
    <x v="10"/>
    <n v="95.238095238095227"/>
    <n v="18.193358095238096"/>
    <n v="7"/>
    <n v="0.40000000000000568"/>
    <x v="0"/>
    <n v="57.142857142857956"/>
    <n v="16.315262857142898"/>
  </r>
  <r>
    <s v="Tammin "/>
    <x v="0"/>
    <x v="0"/>
    <n v="1.98"/>
    <x v="25"/>
    <d v="2008-01-29T00:00:00"/>
    <x v="22"/>
    <x v="4"/>
    <d v="2008-02-19T00:00:00"/>
    <n v="75.400000000000006"/>
    <n v="3"/>
    <x v="5"/>
    <n v="4.8000000000000114"/>
    <n v="0"/>
    <x v="10"/>
    <n v="228.57142857142912"/>
    <n v="25.612141428571455"/>
    <n v="7"/>
    <n v="1.2000000000000028"/>
    <x v="0"/>
    <n v="171.42857142857184"/>
    <n v="22.794998571428593"/>
  </r>
  <r>
    <s v="Tammin "/>
    <x v="0"/>
    <x v="0"/>
    <n v="1.98"/>
    <x v="26"/>
    <d v="2008-01-29T00:00:00"/>
    <x v="23"/>
    <x v="0"/>
    <d v="2008-02-19T00:00:00"/>
    <n v="68.599999999999994"/>
    <n v="2.5"/>
    <x v="5"/>
    <n v="6.9999999999999929"/>
    <n v="0"/>
    <x v="10"/>
    <n v="333.33333333333297"/>
    <n v="29.441092333333316"/>
    <n v="7"/>
    <n v="4.5999999999999943"/>
    <x v="0"/>
    <n v="657.14285714285631"/>
    <n v="45.404901857142818"/>
  </r>
  <r>
    <s v="Tammin "/>
    <x v="0"/>
    <x v="0"/>
    <n v="1.98"/>
    <x v="27"/>
    <d v="2008-01-29T00:00:00"/>
    <x v="13"/>
    <x v="0"/>
    <d v="2008-02-19T00:00:00"/>
    <n v="66.400000000000006"/>
    <n v="2.25"/>
    <x v="5"/>
    <n v="6.4000000000000057"/>
    <n v="-0.25"/>
    <x v="10"/>
    <n v="304.76190476190499"/>
    <n v="27.711249904761917"/>
    <n v="7"/>
    <n v="2.6000000000000085"/>
    <x v="0"/>
    <n v="371.42857142857264"/>
    <n v="30.997916571428632"/>
  </r>
  <r>
    <s v="Tammin "/>
    <x v="0"/>
    <x v="0"/>
    <n v="1.98"/>
    <x v="28"/>
    <d v="2008-01-29T00:00:00"/>
    <x v="20"/>
    <x v="4"/>
    <d v="2008-02-19T00:00:00"/>
    <n v="61.8"/>
    <n v="3"/>
    <x v="5"/>
    <n v="3.7999999999999972"/>
    <n v="0"/>
    <x v="10"/>
    <n v="180.95238095238082"/>
    <n v="21.049443380952372"/>
    <n v="7"/>
    <n v="-1"/>
    <x v="0"/>
    <n v="-142.85714285714286"/>
    <n v="5.0856338571428568"/>
  </r>
  <r>
    <s v="Tammin "/>
    <x v="0"/>
    <x v="0"/>
    <n v="1.98"/>
    <x v="29"/>
    <d v="2008-01-29T00:00:00"/>
    <x v="24"/>
    <x v="0"/>
    <d v="2008-02-19T00:00:00"/>
    <n v="60.4"/>
    <n v="2.5"/>
    <x v="5"/>
    <n v="5.1999999999999957"/>
    <n v="0"/>
    <x v="10"/>
    <n v="247.61904761904739"/>
    <n v="23.981021047619038"/>
    <n v="7"/>
    <n v="-1"/>
    <x v="0"/>
    <n v="-142.85714285714286"/>
    <n v="4.7305448571428572"/>
  </r>
  <r>
    <s v="Tammin "/>
    <x v="0"/>
    <x v="0"/>
    <n v="1.98"/>
    <x v="30"/>
    <d v="2008-01-29T00:00:00"/>
    <x v="25"/>
    <x v="2"/>
    <d v="2008-02-19T00:00:00"/>
    <n v="64"/>
    <n v="2"/>
    <x v="5"/>
    <n v="3.3999999999999986"/>
    <n v="0"/>
    <x v="10"/>
    <n v="161.90476190476184"/>
    <n v="20.516211761904756"/>
    <n v="7"/>
    <n v="0.20000000000000284"/>
    <x v="0"/>
    <n v="28.571428571428978"/>
    <n v="13.942878428571447"/>
  </r>
  <r>
    <s v="Tammin "/>
    <x v="0"/>
    <x v="0"/>
    <n v="1.98"/>
    <x v="31"/>
    <d v="2008-01-29T00:00:00"/>
    <x v="26"/>
    <x v="5"/>
    <d v="2008-02-19T00:00:00"/>
    <n v="65.599999999999994"/>
    <n v="1.75"/>
    <x v="5"/>
    <n v="1.1999999999999886"/>
    <n v="0"/>
    <x v="10"/>
    <n v="57.142857142856599"/>
    <n v="15.80799285714283"/>
    <n v="7"/>
    <n v="0.79999999999999716"/>
    <x v="0"/>
    <n v="114.28571428571388"/>
    <n v="18.625135714285694"/>
  </r>
  <r>
    <s v="Tammin "/>
    <x v="0"/>
    <x v="0"/>
    <n v="1.98"/>
    <x v="32"/>
    <d v="2008-01-29T00:00:00"/>
    <x v="0"/>
    <x v="5"/>
    <d v="2008-02-19T00:00:00"/>
    <n v="60.4"/>
    <n v="1.75"/>
    <x v="5"/>
    <n v="6.3999999999999986"/>
    <n v="0"/>
    <x v="10"/>
    <n v="304.7619047619047"/>
    <n v="26.696709904761899"/>
    <n v="7"/>
    <n v="1.1999999999999957"/>
    <x v="0"/>
    <n v="171.42857142857082"/>
    <n v="20.123376571428544"/>
  </r>
  <r>
    <s v="Tammin "/>
    <x v="0"/>
    <x v="0"/>
    <n v="1.98"/>
    <x v="33"/>
    <d v="2008-01-29T00:00:00"/>
    <x v="27"/>
    <x v="2"/>
    <d v="2008-02-19T00:00:00"/>
    <n v="70.599999999999994"/>
    <n v="2"/>
    <x v="5"/>
    <n v="-0.40000000000000568"/>
    <n v="0"/>
    <x v="10"/>
    <n v="-19.047619047619321"/>
    <n v="13.032524380952365"/>
    <n v="7"/>
    <n v="0.59999999999999432"/>
    <x v="0"/>
    <n v="85.714285714284898"/>
    <n v="18.197286285714242"/>
  </r>
  <r>
    <s v="Tammin"/>
    <x v="1"/>
    <x v="1"/>
    <n v="3.96"/>
    <x v="34"/>
    <d v="2008-01-29T00:00:00"/>
    <x v="28"/>
    <x v="5"/>
    <d v="2008-02-19T00:00:00"/>
    <n v="53.4"/>
    <n v="1.75"/>
    <x v="5"/>
    <n v="2.6000000000000014"/>
    <n v="0"/>
    <x v="11"/>
    <n v="123.80952380952388"/>
    <n v="16.913398523809526"/>
    <n v="7"/>
    <n v="-3.8000000000000043"/>
    <x v="1"/>
    <n v="-542.85714285714346"/>
    <n v="-15.953268142857173"/>
  </r>
  <r>
    <s v="Tammin"/>
    <x v="1"/>
    <x v="1"/>
    <n v="3.96"/>
    <x v="35"/>
    <d v="2008-01-29T00:00:00"/>
    <x v="29"/>
    <x v="5"/>
    <d v="2008-02-19T00:00:00"/>
    <n v="62.2"/>
    <n v="1.75"/>
    <x v="5"/>
    <n v="2.6000000000000014"/>
    <n v="0"/>
    <x v="11"/>
    <n v="123.80952380952388"/>
    <n v="18.401390523809528"/>
    <n v="7"/>
    <n v="-4.5999999999999943"/>
    <x v="1"/>
    <n v="-657.14285714285631"/>
    <n v="-20.099561857142817"/>
  </r>
  <r>
    <s v="Tammin"/>
    <x v="1"/>
    <x v="1"/>
    <n v="3.96"/>
    <x v="36"/>
    <d v="2008-01-29T00:00:00"/>
    <x v="30"/>
    <x v="2"/>
    <d v="2008-02-19T00:00:00"/>
    <n v="63"/>
    <n v="2"/>
    <x v="5"/>
    <n v="9.2000000000000028"/>
    <n v="0"/>
    <x v="11"/>
    <n v="438.09523809523819"/>
    <n v="33.472951238095241"/>
    <n v="7"/>
    <n v="5.6000000000000014"/>
    <x v="1"/>
    <n v="800.00000000000011"/>
    <n v="51.314856000000006"/>
  </r>
  <r>
    <s v="Tammin"/>
    <x v="1"/>
    <x v="1"/>
    <n v="3.96"/>
    <x v="37"/>
    <d v="2008-01-29T00:00:00"/>
    <x v="31"/>
    <x v="0"/>
    <d v="2008-02-19T00:00:00"/>
    <n v="66.2"/>
    <n v="2.5"/>
    <x v="5"/>
    <n v="4.8000000000000043"/>
    <n v="0"/>
    <x v="11"/>
    <n v="228.57142857142878"/>
    <n v="24.056513428571439"/>
    <n v="7"/>
    <n v="0.79999999999999716"/>
    <x v="1"/>
    <n v="114.28571428571388"/>
    <n v="18.422227714285693"/>
  </r>
  <r>
    <s v="Tammin"/>
    <x v="1"/>
    <x v="1"/>
    <n v="3.96"/>
    <x v="38"/>
    <d v="2008-01-29T00:00:00"/>
    <x v="32"/>
    <x v="8"/>
    <d v="2008-02-19T00:00:00"/>
    <n v="61"/>
    <n v="1.5"/>
    <x v="5"/>
    <n v="6"/>
    <n v="0"/>
    <x v="11"/>
    <n v="285.71428571428572"/>
    <n v="25.892934285714283"/>
    <n v="7"/>
    <n v="-2.6000000000000014"/>
    <x v="1"/>
    <n v="-371.42857142857162"/>
    <n v="-6.5042085714285793"/>
  </r>
  <r>
    <s v="Tammin"/>
    <x v="1"/>
    <x v="1"/>
    <n v="3.96"/>
    <x v="39"/>
    <d v="2008-01-29T00:00:00"/>
    <x v="33"/>
    <x v="0"/>
    <d v="2008-02-19T00:00:00"/>
    <n v="62.8"/>
    <n v="2.5"/>
    <x v="5"/>
    <n v="1.7999999999999972"/>
    <n v="0"/>
    <x v="11"/>
    <n v="85.71428571428558"/>
    <n v="16.69238528571428"/>
    <n v="7"/>
    <n v="-3.4000000000000057"/>
    <x v="1"/>
    <n v="-485.71428571428652"/>
    <n v="-11.479043285714324"/>
  </r>
  <r>
    <s v="Tammin"/>
    <x v="1"/>
    <x v="1"/>
    <n v="3.96"/>
    <x v="40"/>
    <d v="2008-01-29T00:00:00"/>
    <x v="34"/>
    <x v="3"/>
    <d v="2008-02-19T00:00:00"/>
    <n v="55.8"/>
    <n v="2.25"/>
    <x v="5"/>
    <n v="4.1999999999999957"/>
    <n v="0"/>
    <x v="11"/>
    <n v="199.9999999999998"/>
    <n v="20.940132999999989"/>
    <n v="7"/>
    <n v="-2.8000000000000043"/>
    <x v="1"/>
    <n v="-400.00000000000063"/>
    <n v="-8.6398670000000308"/>
  </r>
  <r>
    <s v="Tammin"/>
    <x v="1"/>
    <x v="1"/>
    <n v="3.96"/>
    <x v="41"/>
    <d v="2008-01-29T00:00:00"/>
    <x v="5"/>
    <x v="5"/>
    <d v="2008-02-19T00:00:00"/>
    <n v="64.2"/>
    <n v="1.75"/>
    <x v="5"/>
    <n v="4"/>
    <n v="0"/>
    <x v="11"/>
    <n v="190.47619047619045"/>
    <n v="21.907874190476189"/>
    <n v="7"/>
    <n v="-6.2000000000000028"/>
    <x v="1"/>
    <n v="-885.71428571428612"/>
    <n v="-31.148316285714301"/>
  </r>
  <r>
    <s v="Tammin"/>
    <x v="1"/>
    <x v="1"/>
    <n v="3.96"/>
    <x v="42"/>
    <d v="2008-01-29T00:00:00"/>
    <x v="34"/>
    <x v="5"/>
    <d v="2008-02-19T00:00:00"/>
    <n v="55.6"/>
    <n v="1.75"/>
    <x v="5"/>
    <n v="4"/>
    <n v="0"/>
    <x v="11"/>
    <n v="190.47619047619045"/>
    <n v="20.453700190476191"/>
    <n v="7"/>
    <n v="-3"/>
    <x v="1"/>
    <n v="-428.57142857142856"/>
    <n v="-10.065347428571426"/>
  </r>
  <r>
    <s v="Tammin"/>
    <x v="1"/>
    <x v="1"/>
    <n v="3.96"/>
    <x v="43"/>
    <d v="2008-01-29T00:00:00"/>
    <x v="5"/>
    <x v="5"/>
    <d v="2008-02-19T00:00:00"/>
    <n v="69"/>
    <n v="1.75"/>
    <x v="5"/>
    <n v="8.7999999999999972"/>
    <n v="0"/>
    <x v="11"/>
    <n v="419.04761904761887"/>
    <n v="33.582261619047607"/>
    <n v="7"/>
    <n v="3.5999999999999943"/>
    <x v="1"/>
    <n v="514.28571428571342"/>
    <n v="38.277499714285668"/>
  </r>
  <r>
    <s v="Tammin"/>
    <x v="1"/>
    <x v="1"/>
    <n v="3.96"/>
    <x v="44"/>
    <d v="2008-01-29T00:00:00"/>
    <x v="35"/>
    <x v="3"/>
    <d v="2008-02-19T00:00:00"/>
    <n v="57.4"/>
    <n v="2.25"/>
    <x v="5"/>
    <n v="2.7999999999999972"/>
    <n v="0"/>
    <x v="11"/>
    <n v="133.3333333333332"/>
    <n v="18.042373333333327"/>
    <n v="7"/>
    <n v="-1.2000000000000028"/>
    <x v="1"/>
    <n v="-171.42857142857184"/>
    <n v="3.0176114285714082"/>
  </r>
  <r>
    <s v="Tammin"/>
    <x v="1"/>
    <x v="1"/>
    <n v="3.96"/>
    <x v="45"/>
    <d v="2008-01-29T00:00:00"/>
    <x v="36"/>
    <x v="0"/>
    <d v="2008-02-19T00:00:00"/>
    <n v="71.8"/>
    <n v="2.5"/>
    <x v="5"/>
    <n v="7.2000000000000028"/>
    <n v="0"/>
    <x v="11"/>
    <n v="342.85714285714295"/>
    <n v="30.434795142857144"/>
    <n v="7"/>
    <n v="0.79999999999999716"/>
    <x v="1"/>
    <n v="114.28571428571388"/>
    <n v="19.166223714285692"/>
  </r>
  <r>
    <s v="Tammin"/>
    <x v="1"/>
    <x v="1"/>
    <n v="3.96"/>
    <x v="46"/>
    <d v="2008-01-29T00:00:00"/>
    <x v="37"/>
    <x v="0"/>
    <d v="2008-02-19T00:00:00"/>
    <n v="70"/>
    <n v="2.5"/>
    <x v="5"/>
    <n v="7.2000000000000028"/>
    <n v="0"/>
    <x v="11"/>
    <n v="342.85714285714295"/>
    <n v="30.13043314285715"/>
    <n v="7"/>
    <n v="-1.7999999999999972"/>
    <x v="1"/>
    <n v="-257.14285714285671"/>
    <n v="0.55043314285716427"/>
  </r>
  <r>
    <s v="Tammin"/>
    <x v="1"/>
    <x v="1"/>
    <n v="3.96"/>
    <x v="47"/>
    <d v="2008-01-29T00:00:00"/>
    <x v="38"/>
    <x v="8"/>
    <d v="2008-02-19T00:00:00"/>
    <n v="55.4"/>
    <n v="1.5"/>
    <x v="5"/>
    <n v="5.1999999999999957"/>
    <n v="0"/>
    <x v="11"/>
    <n v="247.61904761904739"/>
    <n v="23.135571047619038"/>
    <n v="7"/>
    <n v="-2.6000000000000014"/>
    <x v="1"/>
    <n v="-371.42857142857162"/>
    <n v="-7.383476571428579"/>
  </r>
  <r>
    <s v="Tammin"/>
    <x v="1"/>
    <x v="1"/>
    <n v="3.96"/>
    <x v="48"/>
    <d v="2008-01-29T00:00:00"/>
    <x v="39"/>
    <x v="3"/>
    <d v="2008-02-19T00:00:00"/>
    <n v="70"/>
    <n v="2.25"/>
    <x v="5"/>
    <n v="9.2000000000000028"/>
    <n v="0"/>
    <x v="11"/>
    <n v="438.09523809523819"/>
    <n v="34.656581238095242"/>
    <n v="7"/>
    <n v="-3.5999999999999943"/>
    <x v="1"/>
    <n v="-514.28571428571342"/>
    <n v="-12.295799714285673"/>
  </r>
  <r>
    <s v="Tammin"/>
    <x v="1"/>
    <x v="1"/>
    <n v="3.96"/>
    <x v="49"/>
    <d v="2008-01-29T00:00:00"/>
    <x v="40"/>
    <x v="4"/>
    <d v="2008-02-19T00:00:00"/>
    <n v="67.599999999999994"/>
    <n v="3"/>
    <x v="5"/>
    <n v="9.9999999999999929"/>
    <n v="0"/>
    <x v="11"/>
    <n v="476.19047619047581"/>
    <n v="36.061224476190453"/>
    <n v="7"/>
    <n v="0.19999999999998863"/>
    <x v="1"/>
    <n v="28.571428571426946"/>
    <n v="13.993605428571346"/>
  </r>
  <r>
    <s v="Tammin"/>
    <x v="1"/>
    <x v="1"/>
    <n v="3.96"/>
    <x v="50"/>
    <d v="2008-01-29T00:00:00"/>
    <x v="41"/>
    <x v="6"/>
    <d v="2008-02-19T00:00:00"/>
    <n v="76"/>
    <n v="3.5"/>
    <x v="5"/>
    <n v="7.2000000000000028"/>
    <n v="0"/>
    <x v="11"/>
    <n v="342.85714285714295"/>
    <n v="31.144973142857147"/>
    <n v="7"/>
    <n v="5.7999999999999972"/>
    <x v="1"/>
    <n v="828.57142857142821"/>
    <n v="55.090687428571407"/>
  </r>
  <r>
    <s v="Tammin"/>
    <x v="1"/>
    <x v="1"/>
    <n v="3.96"/>
    <x v="51"/>
    <d v="2008-01-29T00:00:00"/>
    <x v="40"/>
    <x v="3"/>
    <d v="2008-02-19T00:00:00"/>
    <n v="67.400000000000006"/>
    <n v="2.25"/>
    <x v="5"/>
    <n v="9.8000000000000043"/>
    <n v="0"/>
    <x v="11"/>
    <n v="466.66666666666691"/>
    <n v="35.574791666666677"/>
    <n v="7"/>
    <n v="-2"/>
    <x v="1"/>
    <n v="-285.71428571428572"/>
    <n v="-1.5175892857142834"/>
  </r>
  <r>
    <s v="Tammin"/>
    <x v="1"/>
    <x v="1"/>
    <n v="3.96"/>
    <x v="52"/>
    <d v="2008-01-29T00:00:00"/>
    <x v="42"/>
    <x v="5"/>
    <d v="2008-02-19T00:00:00"/>
    <n v="61.4"/>
    <n v="1.75"/>
    <x v="5"/>
    <n v="6"/>
    <n v="0"/>
    <x v="11"/>
    <n v="285.71428571428572"/>
    <n v="25.960570285714283"/>
    <n v="7"/>
    <n v="-3.3999999999999986"/>
    <x v="1"/>
    <n v="-485.7142857142855"/>
    <n v="-12.070858285714275"/>
  </r>
  <r>
    <s v="Tammin"/>
    <x v="1"/>
    <x v="1"/>
    <n v="3.96"/>
    <x v="53"/>
    <d v="2008-01-29T00:00:00"/>
    <x v="30"/>
    <x v="3"/>
    <d v="2008-02-19T00:00:00"/>
    <n v="61"/>
    <n v="2.25"/>
    <x v="5"/>
    <n v="7.2000000000000028"/>
    <n v="0"/>
    <x v="11"/>
    <n v="342.85714285714295"/>
    <n v="28.608623142857148"/>
    <n v="7"/>
    <n v="-2.3999999999999986"/>
    <x v="1"/>
    <n v="-342.85714285714266"/>
    <n v="-5.1970911428571309"/>
  </r>
  <r>
    <s v="Tammin"/>
    <x v="1"/>
    <x v="1"/>
    <n v="3.96"/>
    <x v="54"/>
    <d v="2008-01-29T00:00:00"/>
    <x v="17"/>
    <x v="3"/>
    <d v="2008-02-19T00:00:00"/>
    <n v="63.8"/>
    <n v="1.75"/>
    <x v="5"/>
    <n v="4.5999999999999943"/>
    <n v="-0.5"/>
    <x v="11"/>
    <n v="219.04761904761878"/>
    <n v="23.198082619047604"/>
    <n v="7"/>
    <n v="-2.6000000000000085"/>
    <x v="1"/>
    <n v="-371.42857142857264"/>
    <n v="-5.9123935714286322"/>
  </r>
  <r>
    <s v="Tammin"/>
    <x v="1"/>
    <x v="1"/>
    <n v="3.96"/>
    <x v="55"/>
    <d v="2008-01-29T00:00:00"/>
    <x v="20"/>
    <x v="5"/>
    <d v="2008-02-19T00:00:00"/>
    <n v="71.599999999999994"/>
    <n v="3"/>
    <x v="5"/>
    <n v="13.599999999999994"/>
    <n v="1.25"/>
    <x v="11"/>
    <n v="647.61904761904736"/>
    <n v="44.88465104761903"/>
    <n v="7"/>
    <n v="6"/>
    <x v="1"/>
    <n v="857.14285714285711"/>
    <n v="55.214174857142851"/>
  </r>
  <r>
    <s v="Tammin"/>
    <x v="1"/>
    <x v="1"/>
    <n v="3.96"/>
    <x v="56"/>
    <d v="2008-01-29T00:00:00"/>
    <x v="43"/>
    <x v="4"/>
    <d v="2008-02-19T00:00:00"/>
    <n v="69"/>
    <n v="3"/>
    <x v="5"/>
    <n v="1"/>
    <n v="0"/>
    <x v="11"/>
    <n v="47.619047619047613"/>
    <n v="15.930284047619047"/>
    <n v="7"/>
    <n v="-6.2000000000000028"/>
    <x v="1"/>
    <n v="-885.71428571428612"/>
    <n v="-30.083049285714303"/>
  </r>
  <r>
    <s v="Tammin"/>
    <x v="1"/>
    <x v="1"/>
    <n v="3.96"/>
    <x v="57"/>
    <d v="2008-01-29T00:00:00"/>
    <x v="36"/>
    <x v="4"/>
    <d v="2008-02-19T00:00:00"/>
    <n v="63"/>
    <n v="2.5"/>
    <x v="5"/>
    <n v="-1.5999999999999943"/>
    <n v="-0.5"/>
    <x v="11"/>
    <n v="-76.19047619047592"/>
    <n v="9.0317515238095361"/>
    <n v="7"/>
    <n v="-7.7999999999999972"/>
    <x v="1"/>
    <n v="-1114.2857142857138"/>
    <n v="-42.146343714285678"/>
  </r>
  <r>
    <s v="Tammin"/>
    <x v="1"/>
    <x v="1"/>
    <n v="3.96"/>
    <x v="58"/>
    <d v="2008-01-29T00:00:00"/>
    <x v="44"/>
    <x v="2"/>
    <d v="2008-02-19T00:00:00"/>
    <n v="57.2"/>
    <n v="2"/>
    <x v="5"/>
    <n v="1.2000000000000028"/>
    <n v="0"/>
    <x v="11"/>
    <n v="57.142857142857281"/>
    <n v="14.387636857142864"/>
    <n v="7"/>
    <n v="-1.7999999999999972"/>
    <x v="1"/>
    <n v="-257.14285714285671"/>
    <n v="-1.1066488571428366"/>
  </r>
  <r>
    <s v="Tammin"/>
    <x v="1"/>
    <x v="1"/>
    <n v="3.96"/>
    <x v="59"/>
    <d v="2008-01-29T00:00:00"/>
    <x v="37"/>
    <x v="2"/>
    <d v="2008-02-19T00:00:00"/>
    <n v="66.2"/>
    <n v="2"/>
    <x v="5"/>
    <n v="3.4000000000000057"/>
    <n v="0"/>
    <x v="11"/>
    <n v="161.90476190476215"/>
    <n v="20.888209761904776"/>
    <n v="7"/>
    <n v="-2.3999999999999915"/>
    <x v="1"/>
    <n v="-342.85714285714164"/>
    <n v="-3.9965521428570838"/>
  </r>
  <r>
    <s v="Tammin"/>
    <x v="1"/>
    <x v="1"/>
    <n v="3.96"/>
    <x v="60"/>
    <d v="2008-01-29T00:00:00"/>
    <x v="45"/>
    <x v="3"/>
    <d v="2008-02-19T00:00:00"/>
    <n v="64.400000000000006"/>
    <n v="2.25"/>
    <x v="5"/>
    <n v="5.4000000000000057"/>
    <n v="0"/>
    <x v="11"/>
    <n v="257.14285714285739"/>
    <n v="25.10999585714287"/>
    <n v="7"/>
    <n v="-7"/>
    <x v="1"/>
    <n v="-1000"/>
    <n v="-36.867146999999996"/>
  </r>
  <r>
    <s v="Tammin"/>
    <x v="1"/>
    <x v="1"/>
    <n v="3.96"/>
    <x v="61"/>
    <d v="2008-01-29T00:00:00"/>
    <x v="15"/>
    <x v="2"/>
    <d v="2008-02-19T00:00:00"/>
    <n v="65.400000000000006"/>
    <n v="2"/>
    <x v="5"/>
    <n v="9.0000000000000071"/>
    <n v="0"/>
    <x v="11"/>
    <n v="428.57142857142895"/>
    <n v="33.426152428571442"/>
    <n v="7"/>
    <n v="1.8000000000000043"/>
    <x v="1"/>
    <n v="257.14285714285774"/>
    <n v="24.974723857142884"/>
  </r>
  <r>
    <s v="Tammin"/>
    <x v="1"/>
    <x v="1"/>
    <n v="3.96"/>
    <x v="62"/>
    <d v="2008-01-29T00:00:00"/>
    <x v="20"/>
    <x v="3"/>
    <d v="2008-02-19T00:00:00"/>
    <n v="62.2"/>
    <n v="2.25"/>
    <x v="5"/>
    <n v="4.2000000000000028"/>
    <n v="0"/>
    <x v="11"/>
    <n v="200.00000000000011"/>
    <n v="22.022309000000007"/>
    <n v="7"/>
    <n v="-2.2000000000000028"/>
    <x v="1"/>
    <n v="-314.28571428571468"/>
    <n v="-3.3319767142857319"/>
  </r>
  <r>
    <s v="Tammin"/>
    <x v="1"/>
    <x v="1"/>
    <n v="3.96"/>
    <x v="63"/>
    <d v="2008-01-29T00:00:00"/>
    <x v="44"/>
    <x v="4"/>
    <d v="2008-02-19T00:00:00"/>
    <n v="67.400000000000006"/>
    <n v="3"/>
    <x v="5"/>
    <n v="11.400000000000006"/>
    <n v="0"/>
    <x v="11"/>
    <n v="542.85714285714312"/>
    <n v="39.195710142857152"/>
    <n v="7"/>
    <n v="3.2000000000000028"/>
    <x v="1"/>
    <n v="457.14285714285757"/>
    <n v="34.969995857142877"/>
  </r>
  <r>
    <s v="Tammin"/>
    <x v="1"/>
    <x v="1"/>
    <n v="3.96"/>
    <x v="64"/>
    <d v="2008-01-29T00:00:00"/>
    <x v="46"/>
    <x v="5"/>
    <d v="2008-02-19T00:00:00"/>
    <n v="64.8"/>
    <n v="1.75"/>
    <x v="5"/>
    <n v="1"/>
    <n v="0"/>
    <x v="11"/>
    <n v="47.619047619047613"/>
    <n v="15.220106047619048"/>
    <n v="7"/>
    <n v="-3.4000000000000057"/>
    <x v="1"/>
    <n v="-485.71428571428652"/>
    <n v="-11.073227285714324"/>
  </r>
  <r>
    <s v="Tammin"/>
    <x v="1"/>
    <x v="1"/>
    <n v="3.96"/>
    <x v="65"/>
    <d v="2008-01-29T00:00:00"/>
    <x v="47"/>
    <x v="5"/>
    <d v="2008-02-19T00:00:00"/>
    <n v="64.2"/>
    <n v="1.75"/>
    <x v="5"/>
    <n v="6"/>
    <n v="0"/>
    <x v="11"/>
    <n v="285.71428571428572"/>
    <n v="26.434022285714285"/>
    <n v="7"/>
    <n v="-4"/>
    <x v="1"/>
    <n v="-571.42857142857144"/>
    <n v="-15.823120571428568"/>
  </r>
  <r>
    <s v="Tammin"/>
    <x v="1"/>
    <x v="1"/>
    <n v="3.96"/>
    <x v="66"/>
    <d v="2008-01-29T00:00:00"/>
    <x v="48"/>
    <x v="2"/>
    <d v="2008-02-19T00:00:00"/>
    <n v="55.2"/>
    <n v="2"/>
    <x v="5"/>
    <n v="4.2000000000000028"/>
    <n v="0"/>
    <x v="11"/>
    <n v="200.00000000000011"/>
    <n v="20.838679000000006"/>
    <n v="7"/>
    <n v="-1.7999999999999972"/>
    <x v="1"/>
    <n v="-257.14285714285671"/>
    <n v="-1.698463857142837"/>
  </r>
  <r>
    <s v="Tammin"/>
    <x v="1"/>
    <x v="1"/>
    <n v="3.96"/>
    <x v="67"/>
    <d v="2008-01-29T00:00:00"/>
    <x v="18"/>
    <x v="3"/>
    <d v="2008-02-19T00:00:00"/>
    <n v="63"/>
    <n v="2.25"/>
    <x v="5"/>
    <n v="5.2000000000000028"/>
    <n v="0"/>
    <x v="11"/>
    <n v="247.61904761904776"/>
    <n v="24.420655047619054"/>
    <n v="7"/>
    <n v="-2"/>
    <x v="1"/>
    <n v="-285.71428571428572"/>
    <n v="-1.8726782857142847"/>
  </r>
  <r>
    <s v="Tammin"/>
    <x v="4"/>
    <x v="4"/>
    <n v="2.4300000000000002"/>
    <x v="128"/>
    <d v="2015-02-10T00:00:00"/>
    <x v="35"/>
    <x v="4"/>
    <d v="2015-03-03T00:00:00"/>
    <n v="56"/>
    <n v="3.5"/>
    <x v="5"/>
    <n v="1.3999999999999986"/>
    <n v="0.5"/>
    <x v="12"/>
    <n v="66.6666666666666"/>
    <n v="14.637343666666663"/>
    <n v="7"/>
    <n v="-3"/>
    <x v="9"/>
    <n v="-428.57142857142856"/>
    <n v="-9.7778944285714271"/>
  </r>
  <r>
    <s v="Tammin"/>
    <x v="4"/>
    <x v="4"/>
    <n v="2.4300000000000002"/>
    <x v="129"/>
    <d v="2015-02-10T00:00:00"/>
    <x v="71"/>
    <x v="6"/>
    <d v="2015-03-03T00:00:00"/>
    <n v="55.5"/>
    <n v="4"/>
    <x v="5"/>
    <n v="-1.2999999999999972"/>
    <n v="0.5"/>
    <x v="12"/>
    <n v="-61.90476190476177"/>
    <n v="8.4424987380952441"/>
    <n v="7"/>
    <n v="0.5"/>
    <x v="9"/>
    <n v="71.428571428571431"/>
    <n v="15.015832071428569"/>
  </r>
  <r>
    <s v="Tammin"/>
    <x v="4"/>
    <x v="4"/>
    <n v="2.4300000000000002"/>
    <x v="130"/>
    <d v="2015-02-10T00:00:00"/>
    <x v="35"/>
    <x v="0"/>
    <d v="2015-03-03T00:00:00"/>
    <n v="57.5"/>
    <n v="3"/>
    <x v="5"/>
    <n v="2.8999999999999986"/>
    <n v="0.5"/>
    <x v="12"/>
    <n v="138.09523809523802"/>
    <n v="18.285589738095233"/>
    <n v="7"/>
    <n v="-1.5"/>
    <x v="9"/>
    <n v="-214.28571428571428"/>
    <n v="0.91320878571428565"/>
  </r>
  <r>
    <s v="Tammin"/>
    <x v="4"/>
    <x v="4"/>
    <n v="2.4300000000000002"/>
    <x v="131"/>
    <d v="2015-02-10T00:00:00"/>
    <x v="40"/>
    <x v="9"/>
    <d v="2015-03-03T00:00:00"/>
    <n v="61"/>
    <n v="4.5"/>
    <x v="5"/>
    <n v="3.3999999999999986"/>
    <n v="0.5"/>
    <x v="12"/>
    <n v="161.90476190476184"/>
    <n v="20.008941761904758"/>
    <n v="7"/>
    <n v="-2.5"/>
    <x v="9"/>
    <n v="-357.14285714285717"/>
    <n v="-5.5801058571428594"/>
  </r>
  <r>
    <s v="Tammin"/>
    <x v="4"/>
    <x v="4"/>
    <n v="2.4300000000000002"/>
    <x v="132"/>
    <d v="2015-02-10T00:00:00"/>
    <x v="72"/>
    <x v="0"/>
    <d v="2015-03-03T00:00:00"/>
    <n v="57.5"/>
    <n v="4"/>
    <x v="5"/>
    <n v="-0.89999999999999858"/>
    <n v="1.5"/>
    <x v="12"/>
    <n v="-42.85714285714279"/>
    <n v="9.6859083571428606"/>
    <n v="7"/>
    <n v="-1.5"/>
    <x v="9"/>
    <n v="-214.28571428571428"/>
    <n v="1.2344797857142868"/>
  </r>
  <r>
    <s v="Tammin"/>
    <x v="4"/>
    <x v="4"/>
    <n v="2.4300000000000002"/>
    <x v="133"/>
    <d v="2015-02-10T00:00:00"/>
    <x v="44"/>
    <x v="4"/>
    <d v="2015-03-03T00:00:00"/>
    <n v="57"/>
    <n v="3.5"/>
    <x v="5"/>
    <n v="1"/>
    <n v="0.5"/>
    <x v="12"/>
    <n v="47.619047619047613"/>
    <n v="13.901204047619046"/>
    <n v="7"/>
    <n v="-0.5"/>
    <x v="9"/>
    <n v="-71.428571428571431"/>
    <n v="8.0321564285714295"/>
  </r>
  <r>
    <s v="Tammin"/>
    <x v="4"/>
    <x v="4"/>
    <n v="2.4300000000000002"/>
    <x v="134"/>
    <d v="2015-02-10T00:00:00"/>
    <x v="71"/>
    <x v="6"/>
    <d v="2015-03-03T00:00:00"/>
    <n v="60.5"/>
    <n v="4"/>
    <x v="5"/>
    <n v="3.7000000000000028"/>
    <n v="0.5"/>
    <x v="12"/>
    <n v="176.19047619047632"/>
    <n v="20.603318976190479"/>
    <n v="7"/>
    <n v="-0.5"/>
    <x v="9"/>
    <n v="-71.428571428571431"/>
    <n v="8.3956999285714282"/>
  </r>
  <r>
    <s v="Tammin"/>
    <x v="4"/>
    <x v="4"/>
    <n v="2.4300000000000002"/>
    <x v="135"/>
    <d v="2015-02-10T00:00:00"/>
    <x v="18"/>
    <x v="4"/>
    <d v="2015-03-03T00:00:00"/>
    <n v="58.5"/>
    <n v="4.5"/>
    <x v="5"/>
    <n v="0.70000000000000284"/>
    <n v="1.5"/>
    <x v="12"/>
    <n v="33.333333333333471"/>
    <n v="13.475916833333338"/>
    <n v="7"/>
    <n v="-2"/>
    <x v="9"/>
    <n v="-285.71428571428572"/>
    <n v="-2.2531307857142853"/>
  </r>
  <r>
    <s v="Tammin"/>
    <x v="4"/>
    <x v="4"/>
    <n v="2.4300000000000002"/>
    <x v="136"/>
    <d v="2015-02-10T00:00:00"/>
    <x v="3"/>
    <x v="0"/>
    <d v="2015-03-03T00:00:00"/>
    <n v="59"/>
    <n v="4.5"/>
    <x v="5"/>
    <n v="6.6000000000000014"/>
    <n v="2"/>
    <x v="12"/>
    <n v="314.28571428571433"/>
    <n v="26.912598714285714"/>
    <n v="7"/>
    <n v="-0.5"/>
    <x v="9"/>
    <n v="-71.428571428571431"/>
    <n v="7.896884428571429"/>
  </r>
  <r>
    <s v="Tammin"/>
    <x v="4"/>
    <x v="4"/>
    <n v="2.4300000000000002"/>
    <x v="137"/>
    <d v="2015-02-10T00:00:00"/>
    <x v="8"/>
    <x v="4"/>
    <d v="2015-03-03T00:00:00"/>
    <n v="58"/>
    <n v="3.5"/>
    <x v="5"/>
    <n v="0.79999999999999716"/>
    <n v="0.5"/>
    <x v="12"/>
    <n v="38.09523809523796"/>
    <n v="13.61767923809523"/>
    <n v="7"/>
    <n v="-2.5"/>
    <x v="9"/>
    <n v="-357.14285714285717"/>
    <n v="-5.8675588571428587"/>
  </r>
  <r>
    <s v="Tammin"/>
    <x v="4"/>
    <x v="4"/>
    <n v="2.4300000000000002"/>
    <x v="138"/>
    <d v="2015-02-10T00:00:00"/>
    <x v="73"/>
    <x v="0"/>
    <d v="2015-03-03T00:00:00"/>
    <n v="54.5"/>
    <n v="3.5"/>
    <x v="5"/>
    <n v="0.89999999999999858"/>
    <n v="1"/>
    <x v="12"/>
    <n v="42.85714285714279"/>
    <n v="13.252171642857139"/>
    <n v="7"/>
    <n v="-0.5"/>
    <x v="9"/>
    <n v="-71.428571428571431"/>
    <n v="7.6178859285714289"/>
  </r>
  <r>
    <s v="Tammin"/>
    <x v="4"/>
    <x v="4"/>
    <n v="2.4300000000000002"/>
    <x v="139"/>
    <d v="2015-02-10T00:00:00"/>
    <x v="44"/>
    <x v="4"/>
    <d v="2015-03-03T00:00:00"/>
    <n v="55.5"/>
    <n v="3.5"/>
    <x v="5"/>
    <n v="-0.5"/>
    <n v="0.5"/>
    <x v="12"/>
    <n v="-23.809523809523807"/>
    <n v="10.252957976190475"/>
    <n v="7"/>
    <n v="-1"/>
    <x v="9"/>
    <n v="-142.85714285714286"/>
    <n v="4.3839103571428568"/>
  </r>
  <r>
    <s v="Tammin"/>
    <x v="4"/>
    <x v="4"/>
    <n v="2.4300000000000002"/>
    <x v="140"/>
    <d v="2015-02-10T00:00:00"/>
    <x v="30"/>
    <x v="6"/>
    <d v="2015-03-03T00:00:00"/>
    <n v="57.5"/>
    <n v="4.5"/>
    <x v="5"/>
    <n v="3.7000000000000028"/>
    <n v="1"/>
    <x v="12"/>
    <n v="176.19047619047632"/>
    <n v="20.096048976190481"/>
    <n v="7"/>
    <n v="-1"/>
    <x v="9"/>
    <n v="-142.85714285714286"/>
    <n v="4.3670013571428568"/>
  </r>
  <r>
    <s v="Tammin"/>
    <x v="4"/>
    <x v="4"/>
    <n v="2.4300000000000002"/>
    <x v="141"/>
    <d v="2015-02-10T00:00:00"/>
    <x v="74"/>
    <x v="6"/>
    <d v="2015-03-03T00:00:00"/>
    <n v="54.5"/>
    <n v="5"/>
    <x v="5"/>
    <n v="2.2999999999999972"/>
    <n v="1.5"/>
    <x v="12"/>
    <n v="109.52380952380939"/>
    <n v="16.420475309523802"/>
    <n v="7"/>
    <n v="-2.5"/>
    <x v="9"/>
    <n v="-357.14285714285717"/>
    <n v="-6.5861913571428587"/>
  </r>
  <r>
    <s v="Tammin"/>
    <x v="4"/>
    <x v="4"/>
    <n v="2.4300000000000002"/>
    <x v="142"/>
    <d v="2015-02-10T00:00:00"/>
    <x v="47"/>
    <x v="6"/>
    <d v="2015-03-03T00:00:00"/>
    <n v="60"/>
    <n v="4"/>
    <x v="5"/>
    <n v="1.7999999999999972"/>
    <n v="0.5"/>
    <x v="12"/>
    <n v="85.71428571428558"/>
    <n v="16.218933285714279"/>
    <n v="7"/>
    <n v="-4"/>
    <x v="9"/>
    <n v="-571.42857142857144"/>
    <n v="-16.178209571428567"/>
  </r>
  <r>
    <s v="Tammin"/>
    <x v="4"/>
    <x v="4"/>
    <n v="2.4300000000000002"/>
    <x v="143"/>
    <d v="2015-02-10T00:00:00"/>
    <x v="75"/>
    <x v="4"/>
    <d v="2015-03-03T00:00:00"/>
    <n v="58.5"/>
    <n v="4.5"/>
    <x v="5"/>
    <n v="2.8999999999999986"/>
    <n v="1.5"/>
    <x v="12"/>
    <n v="138.09523809523802"/>
    <n v="18.454679738095233"/>
    <n v="7"/>
    <n v="-3"/>
    <x v="9"/>
    <n v="-428.57142857142856"/>
    <n v="-9.4819869285714269"/>
  </r>
  <r>
    <s v="Tammin"/>
    <x v="4"/>
    <x v="4"/>
    <n v="2.4300000000000002"/>
    <x v="144"/>
    <d v="2015-02-10T00:00:00"/>
    <x v="15"/>
    <x v="4"/>
    <d v="2015-03-03T00:00:00"/>
    <n v="55"/>
    <n v="4"/>
    <x v="5"/>
    <n v="-1.3999999999999986"/>
    <n v="1"/>
    <x v="12"/>
    <n v="-66.6666666666666"/>
    <n v="8.131646333333336"/>
    <n v="7"/>
    <n v="-1"/>
    <x v="9"/>
    <n v="-142.85714285714286"/>
    <n v="4.3754558571428577"/>
  </r>
  <r>
    <s v="Tammin"/>
    <x v="4"/>
    <x v="4"/>
    <n v="2.4300000000000002"/>
    <x v="145"/>
    <d v="2015-02-10T00:00:00"/>
    <x v="13"/>
    <x v="6"/>
    <d v="2015-03-03T00:00:00"/>
    <n v="57.5"/>
    <n v="4.5"/>
    <x v="5"/>
    <n v="-2.5"/>
    <n v="1"/>
    <x v="12"/>
    <n v="-119.04761904761904"/>
    <n v="6.0649898809523801"/>
    <n v="7"/>
    <n v="4.5"/>
    <x v="9"/>
    <n v="642.85714285714289"/>
    <n v="43.626894642857138"/>
  </r>
  <r>
    <s v="Tammin"/>
    <x v="4"/>
    <x v="4"/>
    <n v="2.4300000000000002"/>
    <x v="146"/>
    <d v="2015-02-10T00:00:00"/>
    <x v="76"/>
    <x v="4"/>
    <d v="2015-03-03T00:00:00"/>
    <n v="60.5"/>
    <n v="3.5"/>
    <x v="5"/>
    <n v="4.7000000000000028"/>
    <n v="0.5"/>
    <x v="12"/>
    <n v="223.80952380952397"/>
    <n v="22.866393023809529"/>
    <n v="7"/>
    <n v="0"/>
    <x v="9"/>
    <n v="0"/>
    <n v="11.832583499999998"/>
  </r>
  <r>
    <s v="Tammin"/>
    <x v="4"/>
    <x v="4"/>
    <n v="2.4300000000000002"/>
    <x v="147"/>
    <d v="2015-02-10T00:00:00"/>
    <x v="77"/>
    <x v="6"/>
    <d v="2015-03-03T00:00:00"/>
    <n v="54.5"/>
    <n v="4.5"/>
    <x v="5"/>
    <n v="1.7000000000000028"/>
    <n v="1"/>
    <x v="12"/>
    <n v="80.952380952381077"/>
    <n v="15.062630880952387"/>
    <n v="7"/>
    <n v="-1.5"/>
    <x v="9"/>
    <n v="-214.28571428571428"/>
    <n v="0.50739278571428592"/>
  </r>
  <r>
    <s v="Tammin"/>
    <x v="5"/>
    <x v="5"/>
    <n v="2.4700000000000002"/>
    <x v="148"/>
    <d v="2015-02-10T00:00:00"/>
    <x v="72"/>
    <x v="0"/>
    <d v="2015-03-03T00:00:00"/>
    <n v="62"/>
    <n v="3"/>
    <x v="5"/>
    <n v="3.6000000000000014"/>
    <n v="0.5"/>
    <x v="13"/>
    <n v="171.42857142857147"/>
    <n v="20.630646571428574"/>
    <n v="7"/>
    <n v="-1"/>
    <x v="10"/>
    <n v="-142.85714285714286"/>
    <n v="5.1363608571428587"/>
  </r>
  <r>
    <s v="Tammin"/>
    <x v="5"/>
    <x v="5"/>
    <n v="2.4700000000000002"/>
    <x v="149"/>
    <d v="2015-02-10T00:00:00"/>
    <x v="78"/>
    <x v="0"/>
    <d v="2015-03-03T00:00:00"/>
    <n v="56"/>
    <n v="3.5"/>
    <x v="5"/>
    <n v="3.3999999999999986"/>
    <n v="1"/>
    <x v="13"/>
    <n v="161.90476190476184"/>
    <n v="19.163491761904758"/>
    <n v="7"/>
    <n v="-0.5"/>
    <x v="10"/>
    <n v="-71.428571428571431"/>
    <n v="7.6601584285714281"/>
  </r>
  <r>
    <s v="Tammin"/>
    <x v="5"/>
    <x v="5"/>
    <n v="2.4700000000000002"/>
    <x v="150"/>
    <d v="2015-02-10T00:00:00"/>
    <x v="73"/>
    <x v="4"/>
    <d v="2015-03-03T00:00:00"/>
    <n v="53"/>
    <n v="3"/>
    <x v="5"/>
    <n v="-0.60000000000000142"/>
    <n v="0"/>
    <x v="13"/>
    <n v="-28.57142857142864"/>
    <n v="9.6039255714285687"/>
    <n v="7"/>
    <n v="0.5"/>
    <x v="10"/>
    <n v="71.428571428571431"/>
    <n v="14.53392557142857"/>
  </r>
  <r>
    <s v="Tammin"/>
    <x v="5"/>
    <x v="5"/>
    <n v="2.4700000000000002"/>
    <x v="151"/>
    <d v="2015-02-10T00:00:00"/>
    <x v="75"/>
    <x v="4"/>
    <d v="2015-03-03T00:00:00"/>
    <n v="62.5"/>
    <n v="4.5"/>
    <x v="5"/>
    <n v="6.8999999999999986"/>
    <n v="1.5"/>
    <x v="13"/>
    <n v="328.5714285714285"/>
    <n v="28.183335928571424"/>
    <n v="7"/>
    <n v="2.5"/>
    <x v="10"/>
    <n v="357.14285714285717"/>
    <n v="29.591907357142858"/>
  </r>
  <r>
    <s v="Tammin"/>
    <x v="5"/>
    <x v="5"/>
    <n v="2.4700000000000002"/>
    <x v="152"/>
    <d v="2015-02-10T00:00:00"/>
    <x v="79"/>
    <x v="9"/>
    <d v="2015-03-03T00:00:00"/>
    <n v="65"/>
    <n v="4.5"/>
    <x v="5"/>
    <n v="5.2000000000000028"/>
    <n v="0.5"/>
    <x v="13"/>
    <n v="247.61904761904776"/>
    <n v="24.758835047619051"/>
    <n v="7"/>
    <n v="-1"/>
    <x v="10"/>
    <n v="-142.85714285714286"/>
    <n v="5.5083588571428566"/>
  </r>
  <r>
    <s v="Tammin"/>
    <x v="5"/>
    <x v="5"/>
    <n v="2.4700000000000002"/>
    <x v="153"/>
    <d v="2015-02-10T00:00:00"/>
    <x v="30"/>
    <x v="0"/>
    <d v="2015-03-03T00:00:00"/>
    <n v="60"/>
    <n v="4.5"/>
    <x v="5"/>
    <n v="6.2000000000000028"/>
    <n v="2"/>
    <x v="13"/>
    <n v="295.23809523809535"/>
    <n v="26.176459095238098"/>
    <n v="7"/>
    <n v="1"/>
    <x v="10"/>
    <n v="142.85714285714286"/>
    <n v="18.664078142857139"/>
  </r>
  <r>
    <s v="Tammin"/>
    <x v="5"/>
    <x v="5"/>
    <n v="2.4700000000000002"/>
    <x v="154"/>
    <d v="2015-02-10T00:00:00"/>
    <x v="42"/>
    <x v="6"/>
    <d v="2015-03-03T00:00:00"/>
    <n v="59"/>
    <n v="4.5"/>
    <x v="5"/>
    <n v="3.6000000000000014"/>
    <n v="1"/>
    <x v="13"/>
    <n v="171.42857142857147"/>
    <n v="20.123376571428572"/>
    <n v="7"/>
    <n v="1"/>
    <x v="10"/>
    <n v="142.85714285714286"/>
    <n v="18.714805142857141"/>
  </r>
  <r>
    <s v="Tammin"/>
    <x v="5"/>
    <x v="5"/>
    <n v="2.4700000000000002"/>
    <x v="155"/>
    <d v="2015-02-10T00:00:00"/>
    <x v="54"/>
    <x v="6"/>
    <d v="2015-03-03T00:00:00"/>
    <n v="57.5"/>
    <n v="4.5"/>
    <x v="5"/>
    <n v="0.5"/>
    <n v="1"/>
    <x v="13"/>
    <n v="23.809523809523807"/>
    <n v="12.854212023809524"/>
    <n v="7"/>
    <n v="-0.5"/>
    <x v="10"/>
    <n v="-71.428571428571431"/>
    <n v="8.1589739285714291"/>
  </r>
  <r>
    <s v="Tammin"/>
    <x v="5"/>
    <x v="5"/>
    <n v="2.4700000000000002"/>
    <x v="156"/>
    <d v="2015-02-10T00:00:00"/>
    <x v="20"/>
    <x v="0"/>
    <d v="2015-03-03T00:00:00"/>
    <n v="60.5"/>
    <n v="3"/>
    <x v="5"/>
    <n v="2.5"/>
    <n v="0.5"/>
    <x v="13"/>
    <n v="119.04761904761904"/>
    <n v="17.887630119047618"/>
    <n v="7"/>
    <n v="-1"/>
    <x v="10"/>
    <n v="-142.85714285714286"/>
    <n v="4.9757253571428572"/>
  </r>
  <r>
    <s v="Tammin"/>
    <x v="5"/>
    <x v="5"/>
    <n v="2.4700000000000002"/>
    <x v="157"/>
    <d v="2015-02-10T00:00:00"/>
    <x v="40"/>
    <x v="4"/>
    <d v="2015-03-03T00:00:00"/>
    <n v="58.5"/>
    <n v="4.5"/>
    <x v="5"/>
    <n v="0.89999999999999858"/>
    <n v="1.5"/>
    <x v="13"/>
    <n v="42.85714285714279"/>
    <n v="13.928531642857138"/>
    <n v="7"/>
    <n v="-1"/>
    <x v="10"/>
    <n v="-142.85714285714286"/>
    <n v="4.7728173571428565"/>
  </r>
  <r>
    <s v="Tammin"/>
    <x v="5"/>
    <x v="5"/>
    <n v="2.4700000000000002"/>
    <x v="158"/>
    <d v="2015-02-10T00:00:00"/>
    <x v="42"/>
    <x v="4"/>
    <d v="2015-03-03T00:00:00"/>
    <n v="56.5"/>
    <n v="4"/>
    <x v="5"/>
    <n v="1.1000000000000014"/>
    <n v="1"/>
    <x v="13"/>
    <n v="52.380952380952451"/>
    <n v="14.042966452380956"/>
    <n v="7"/>
    <n v="2"/>
    <x v="10"/>
    <n v="285.71428571428572"/>
    <n v="25.546299785714282"/>
  </r>
  <r>
    <s v="Tammin"/>
    <x v="5"/>
    <x v="5"/>
    <n v="2.4700000000000002"/>
    <x v="159"/>
    <d v="2015-02-10T00:00:00"/>
    <x v="20"/>
    <x v="4"/>
    <d v="2015-03-03T00:00:00"/>
    <n v="60.5"/>
    <n v="4"/>
    <x v="5"/>
    <n v="2.5"/>
    <n v="1"/>
    <x v="13"/>
    <n v="119.04761904761904"/>
    <n v="17.887630119047618"/>
    <n v="7"/>
    <n v="-0.5"/>
    <x v="10"/>
    <n v="-71.428571428571431"/>
    <n v="8.4971539285714286"/>
  </r>
  <r>
    <s v="Tammin"/>
    <x v="5"/>
    <x v="5"/>
    <n v="2.4700000000000002"/>
    <x v="160"/>
    <d v="2015-02-10T00:00:00"/>
    <x v="74"/>
    <x v="0"/>
    <d v="2015-03-03T00:00:00"/>
    <n v="59.5"/>
    <n v="3.5"/>
    <x v="5"/>
    <n v="7.2999999999999972"/>
    <n v="1"/>
    <x v="13"/>
    <n v="347.61904761904748"/>
    <n v="28.581295547619042"/>
    <n v="7"/>
    <n v="2"/>
    <x v="10"/>
    <n v="285.71428571428572"/>
    <n v="25.529390785714284"/>
  </r>
  <r>
    <s v="Tammin"/>
    <x v="5"/>
    <x v="5"/>
    <n v="2.4700000000000002"/>
    <x v="161"/>
    <d v="2015-02-10T00:00:00"/>
    <x v="73"/>
    <x v="4"/>
    <d v="2015-03-03T00:00:00"/>
    <n v="57"/>
    <n v="3.5"/>
    <x v="5"/>
    <n v="3.3999999999999986"/>
    <n v="0.5"/>
    <x v="13"/>
    <n v="161.90476190476184"/>
    <n v="19.332581761904756"/>
    <n v="7"/>
    <n v="-0.5"/>
    <x v="10"/>
    <n v="-71.428571428571431"/>
    <n v="7.8292484285714288"/>
  </r>
  <r>
    <s v="Tammin"/>
    <x v="5"/>
    <x v="5"/>
    <n v="2.4700000000000002"/>
    <x v="162"/>
    <d v="2015-02-10T00:00:00"/>
    <x v="13"/>
    <x v="6"/>
    <d v="2015-03-03T00:00:00"/>
    <n v="64"/>
    <n v="4.5"/>
    <x v="5"/>
    <n v="4"/>
    <n v="1"/>
    <x v="13"/>
    <n v="190.47619047619045"/>
    <n v="21.874056190476189"/>
    <n v="7"/>
    <n v="2.5"/>
    <x v="10"/>
    <n v="357.14285714285717"/>
    <n v="30.090722857142858"/>
  </r>
  <r>
    <s v="Tammin"/>
    <x v="5"/>
    <x v="5"/>
    <n v="2.4700000000000002"/>
    <x v="163"/>
    <d v="2015-02-10T00:00:00"/>
    <x v="78"/>
    <x v="0"/>
    <d v="2015-03-03T00:00:00"/>
    <n v="54.5"/>
    <n v="3.2"/>
    <x v="5"/>
    <n v="1.8999999999999986"/>
    <n v="0.70000000000000018"/>
    <x v="13"/>
    <n v="90.476190476190411"/>
    <n v="15.515245690476185"/>
    <n v="7"/>
    <n v="1"/>
    <x v="10"/>
    <n v="142.85714285714286"/>
    <n v="18.09762664285714"/>
  </r>
  <r>
    <s v="Tammin"/>
    <x v="5"/>
    <x v="5"/>
    <n v="2.4700000000000002"/>
    <x v="164"/>
    <d v="2015-02-10T00:00:00"/>
    <x v="8"/>
    <x v="4"/>
    <d v="2015-03-03T00:00:00"/>
    <n v="61"/>
    <n v="3.5"/>
    <x v="5"/>
    <n v="3.7999999999999972"/>
    <n v="0.5"/>
    <x v="13"/>
    <n v="180.95238095238082"/>
    <n v="20.914171380952375"/>
    <n v="7"/>
    <n v="-3"/>
    <x v="10"/>
    <n v="-428.57142857142856"/>
    <n v="-9.1353524285714265"/>
  </r>
  <r>
    <s v="Tammin"/>
    <x v="5"/>
    <x v="5"/>
    <n v="2.4700000000000002"/>
    <x v="165"/>
    <d v="2015-02-10T00:00:00"/>
    <x v="8"/>
    <x v="6"/>
    <d v="2015-03-03T00:00:00"/>
    <n v="59"/>
    <n v="4"/>
    <x v="5"/>
    <n v="1.7999999999999972"/>
    <n v="0.5"/>
    <x v="13"/>
    <n v="85.71428571428558"/>
    <n v="16.049843285714278"/>
    <n v="7"/>
    <n v="-1"/>
    <x v="10"/>
    <n v="-142.85714285714286"/>
    <n v="4.7812718571428574"/>
  </r>
  <r>
    <s v="Tammin"/>
    <x v="5"/>
    <x v="5"/>
    <n v="2.4700000000000002"/>
    <x v="166"/>
    <d v="2015-02-10T00:00:00"/>
    <x v="35"/>
    <x v="4"/>
    <d v="2015-03-03T00:00:00"/>
    <n v="57"/>
    <n v="4.5"/>
    <x v="5"/>
    <n v="2.3999999999999986"/>
    <n v="1.5"/>
    <x v="13"/>
    <n v="114.28571428571421"/>
    <n v="17.069507714285709"/>
    <n v="7"/>
    <n v="1.5"/>
    <x v="10"/>
    <n v="214.28571428571428"/>
    <n v="21.999507714285713"/>
  </r>
  <r>
    <s v="Tammin"/>
    <x v="5"/>
    <x v="5"/>
    <n v="2.4700000000000002"/>
    <x v="167"/>
    <d v="2015-02-10T00:00:00"/>
    <x v="24"/>
    <x v="4"/>
    <d v="2015-03-03T00:00:00"/>
    <n v="52"/>
    <n v="4"/>
    <x v="5"/>
    <n v="-3.2000000000000028"/>
    <n v="1"/>
    <x v="13"/>
    <n v="-152.38095238095249"/>
    <n v="3.5508430476190416"/>
    <n v="7"/>
    <n v="-0.5"/>
    <x v="10"/>
    <n v="-71.428571428571431"/>
    <n v="7.5417954285714295"/>
  </r>
  <r>
    <s v="Tammin "/>
    <x v="0"/>
    <x v="0"/>
    <n v="1.98"/>
    <x v="0"/>
    <d v="2008-01-29T00:00:00"/>
    <x v="0"/>
    <x v="0"/>
    <d v="2008-02-25T00:00:00"/>
    <n v="60.6"/>
    <n v="2.5"/>
    <x v="6"/>
    <n v="6.6000000000000014"/>
    <n v="0"/>
    <x v="14"/>
    <n v="244.44444444444449"/>
    <n v="23.739968111111111"/>
    <n v="6"/>
    <n v="2.3999999999999986"/>
    <x v="11"/>
    <n v="399.99999999999977"/>
    <n v="31.408856999999987"/>
  </r>
  <r>
    <s v="Tammin "/>
    <x v="0"/>
    <x v="0"/>
    <n v="1.98"/>
    <x v="1"/>
    <d v="2008-01-29T00:00:00"/>
    <x v="1"/>
    <x v="0"/>
    <d v="2008-02-25T00:00:00"/>
    <n v="62.2"/>
    <n v="2.5"/>
    <x v="6"/>
    <n v="5.6000000000000014"/>
    <n v="0"/>
    <x v="14"/>
    <n v="207.40740740740745"/>
    <n v="22.269131185185188"/>
    <n v="6"/>
    <n v="0"/>
    <x v="11"/>
    <n v="0"/>
    <n v="12.043946"/>
  </r>
  <r>
    <s v="Tammin "/>
    <x v="0"/>
    <x v="0"/>
    <n v="1.98"/>
    <x v="2"/>
    <d v="2008-01-29T00:00:00"/>
    <x v="1"/>
    <x v="1"/>
    <d v="2008-02-25T00:00:00"/>
    <n v="62.8"/>
    <n v="3.25"/>
    <x v="6"/>
    <n v="6.1999999999999957"/>
    <n v="0"/>
    <x v="14"/>
    <n v="229.62962962962945"/>
    <n v="23.415413740740732"/>
    <n v="6"/>
    <n v="3.1999999999999957"/>
    <x v="11"/>
    <n v="533.33333333333269"/>
    <n v="38.388006333333294"/>
  </r>
  <r>
    <s v="Tammin "/>
    <x v="0"/>
    <x v="0"/>
    <n v="1.98"/>
    <x v="3"/>
    <d v="2008-01-29T00:00:00"/>
    <x v="2"/>
    <x v="1"/>
    <d v="2008-02-25T00:00:00"/>
    <n v="73.400000000000006"/>
    <n v="3.25"/>
    <x v="6"/>
    <n v="9.8000000000000043"/>
    <n v="0"/>
    <x v="14"/>
    <n v="362.9629629629631"/>
    <n v="31.476739074074079"/>
    <n v="6"/>
    <n v="6.4000000000000057"/>
    <x v="11"/>
    <n v="1066.6666666666677"/>
    <n v="66.169331666666722"/>
  </r>
  <r>
    <s v="Tammin "/>
    <x v="0"/>
    <x v="0"/>
    <n v="1.98"/>
    <x v="4"/>
    <d v="2008-01-29T00:00:00"/>
    <x v="3"/>
    <x v="2"/>
    <d v="2008-02-25T00:00:00"/>
    <n v="63"/>
    <n v="2"/>
    <x v="6"/>
    <n v="10.600000000000001"/>
    <n v="0"/>
    <x v="14"/>
    <n v="392.59259259259267"/>
    <n v="31.111307814814815"/>
    <n v="6"/>
    <n v="7"/>
    <x v="11"/>
    <n v="1166.6666666666667"/>
    <n v="69.273159666666672"/>
  </r>
  <r>
    <s v="Tammin "/>
    <x v="0"/>
    <x v="0"/>
    <n v="1.98"/>
    <x v="5"/>
    <d v="2008-01-29T00:00:00"/>
    <x v="4"/>
    <x v="0"/>
    <d v="2008-02-25T00:00:00"/>
    <n v="59.6"/>
    <n v="2.5"/>
    <x v="6"/>
    <n v="6.3999999999999986"/>
    <n v="0"/>
    <x v="14"/>
    <n v="237.03703703703698"/>
    <n v="23.222601925925922"/>
    <n v="6"/>
    <n v="2"/>
    <x v="11"/>
    <n v="333.33333333333331"/>
    <n v="27.97000933333333"/>
  </r>
  <r>
    <s v="Tammin "/>
    <x v="0"/>
    <x v="0"/>
    <n v="1.98"/>
    <x v="6"/>
    <d v="2008-01-29T00:00:00"/>
    <x v="5"/>
    <x v="3"/>
    <d v="2008-02-25T00:00:00"/>
    <n v="67.599999999999994"/>
    <n v="2.25"/>
    <x v="6"/>
    <n v="7.3999999999999915"/>
    <n v="0"/>
    <x v="14"/>
    <n v="274.07407407407374"/>
    <n v="26.316702851851836"/>
    <n v="6"/>
    <n v="1"/>
    <x v="11"/>
    <n v="166.66666666666666"/>
    <n v="21.021517666666664"/>
  </r>
  <r>
    <s v="Tammin "/>
    <x v="0"/>
    <x v="0"/>
    <n v="1.98"/>
    <x v="7"/>
    <d v="2008-01-29T00:00:00"/>
    <x v="5"/>
    <x v="4"/>
    <d v="2008-02-25T00:00:00"/>
    <n v="69"/>
    <n v="3"/>
    <x v="6"/>
    <n v="8.7999999999999972"/>
    <n v="0"/>
    <x v="14"/>
    <n v="325.92592592592587"/>
    <n v="28.991362148148141"/>
    <n v="6"/>
    <n v="2.4000000000000057"/>
    <x v="11"/>
    <n v="400.00000000000097"/>
    <n v="32.643214000000043"/>
  </r>
  <r>
    <s v="Tammin "/>
    <x v="0"/>
    <x v="0"/>
    <n v="1.98"/>
    <x v="8"/>
    <d v="2008-01-29T00:00:00"/>
    <x v="6"/>
    <x v="5"/>
    <d v="2008-02-25T00:00:00"/>
    <n v="62.4"/>
    <n v="2"/>
    <x v="6"/>
    <n v="11.799999999999997"/>
    <n v="0.25"/>
    <x v="14"/>
    <n v="437.03703703703695"/>
    <n v="33.099510925925919"/>
    <n v="6"/>
    <n v="2.1999999999999957"/>
    <x v="11"/>
    <n v="366.66666666666595"/>
    <n v="29.630251666666631"/>
  </r>
  <r>
    <s v="Tammin "/>
    <x v="0"/>
    <x v="0"/>
    <n v="1.98"/>
    <x v="9"/>
    <d v="2008-01-29T00:00:00"/>
    <x v="7"/>
    <x v="0"/>
    <d v="2008-02-25T00:00:00"/>
    <n v="72"/>
    <n v="2.5"/>
    <x v="6"/>
    <n v="8.7999999999999972"/>
    <n v="0"/>
    <x v="14"/>
    <n v="325.92592592592587"/>
    <n v="29.49863214814814"/>
    <n v="6"/>
    <n v="3"/>
    <x v="11"/>
    <n v="500"/>
    <n v="38.080483999999998"/>
  </r>
  <r>
    <s v="Tammin "/>
    <x v="0"/>
    <x v="0"/>
    <n v="1.98"/>
    <x v="10"/>
    <d v="2008-01-29T00:00:00"/>
    <x v="8"/>
    <x v="6"/>
    <d v="2008-02-25T00:00:00"/>
    <n v="68"/>
    <n v="3.5"/>
    <x v="6"/>
    <n v="10.799999999999997"/>
    <n v="0"/>
    <x v="14"/>
    <n v="399.99999999999989"/>
    <n v="32.305033999999992"/>
    <n v="6"/>
    <n v="-0.40000000000000568"/>
    <x v="11"/>
    <n v="-66.666666666667609"/>
    <n v="9.298367333333287"/>
  </r>
  <r>
    <s v="Tammin "/>
    <x v="0"/>
    <x v="0"/>
    <n v="1.98"/>
    <x v="11"/>
    <d v="2008-01-29T00:00:00"/>
    <x v="9"/>
    <x v="3"/>
    <d v="2008-02-25T00:00:00"/>
    <n v="58"/>
    <n v="2.25"/>
    <x v="6"/>
    <n v="9.7999999999999972"/>
    <n v="0"/>
    <x v="14"/>
    <n v="362.96296296296288"/>
    <n v="28.872753074074069"/>
    <n v="6"/>
    <n v="2"/>
    <x v="11"/>
    <n v="333.33333333333331"/>
    <n v="27.41201233333333"/>
  </r>
  <r>
    <s v="Tammin "/>
    <x v="0"/>
    <x v="0"/>
    <n v="1.98"/>
    <x v="12"/>
    <d v="2008-01-29T00:00:00"/>
    <x v="10"/>
    <x v="0"/>
    <d v="2008-02-25T00:00:00"/>
    <n v="76.2"/>
    <n v="2.5"/>
    <x v="6"/>
    <n v="9.7999999999999972"/>
    <n v="0"/>
    <x v="14"/>
    <n v="362.96296296296288"/>
    <n v="31.95019107407407"/>
    <n v="6"/>
    <n v="3.2000000000000028"/>
    <x v="11"/>
    <n v="533.33333333333383"/>
    <n v="40.349450333333358"/>
  </r>
  <r>
    <s v="Tammin "/>
    <x v="0"/>
    <x v="0"/>
    <n v="1.98"/>
    <x v="13"/>
    <d v="2008-01-29T00:00:00"/>
    <x v="11"/>
    <x v="2"/>
    <d v="2008-02-25T00:00:00"/>
    <n v="53.8"/>
    <n v="2"/>
    <x v="6"/>
    <n v="5.3999999999999986"/>
    <n v="0"/>
    <x v="14"/>
    <n v="199.99999999999994"/>
    <n v="20.500498999999998"/>
    <n v="6"/>
    <n v="1.3999999999999986"/>
    <x v="11"/>
    <n v="233.33333333333309"/>
    <n v="22.143832333333322"/>
  </r>
  <r>
    <s v="Tammin "/>
    <x v="0"/>
    <x v="0"/>
    <n v="1.98"/>
    <x v="14"/>
    <d v="2008-01-29T00:00:00"/>
    <x v="12"/>
    <x v="2"/>
    <d v="2008-02-25T00:00:00"/>
    <n v="62"/>
    <n v="2"/>
    <x v="6"/>
    <n v="9"/>
    <n v="0"/>
    <x v="14"/>
    <n v="333.33333333333331"/>
    <n v="28.156008333333329"/>
    <n v="6"/>
    <n v="1"/>
    <x v="11"/>
    <n v="166.66666666666666"/>
    <n v="19.939341666666664"/>
  </r>
  <r>
    <s v="Tammin "/>
    <x v="0"/>
    <x v="0"/>
    <n v="1.98"/>
    <x v="15"/>
    <d v="2008-01-29T00:00:00"/>
    <x v="13"/>
    <x v="2"/>
    <d v="2008-02-25T00:00:00"/>
    <n v="68.2"/>
    <n v="2"/>
    <x v="6"/>
    <n v="8.2000000000000028"/>
    <n v="0"/>
    <x v="14"/>
    <n v="303.70370370370381"/>
    <n v="27.811261592592594"/>
    <n v="6"/>
    <n v="3.2000000000000028"/>
    <x v="11"/>
    <n v="533.33333333333383"/>
    <n v="39.132002333333354"/>
  </r>
  <r>
    <s v="Tammin "/>
    <x v="0"/>
    <x v="0"/>
    <n v="1.98"/>
    <x v="16"/>
    <d v="2008-01-29T00:00:00"/>
    <x v="14"/>
    <x v="4"/>
    <d v="2008-02-25T00:00:00"/>
    <n v="74.2"/>
    <n v="3"/>
    <x v="6"/>
    <n v="10"/>
    <n v="0"/>
    <x v="14"/>
    <n v="370.37037037037032"/>
    <n v="31.960287259259253"/>
    <n v="6"/>
    <n v="6.2000000000000028"/>
    <x v="11"/>
    <n v="1033.3333333333339"/>
    <n v="64.644361333333364"/>
  </r>
  <r>
    <s v="Tammin "/>
    <x v="0"/>
    <x v="0"/>
    <n v="1.98"/>
    <x v="17"/>
    <d v="2008-01-29T00:00:00"/>
    <x v="15"/>
    <x v="0"/>
    <d v="2008-02-25T00:00:00"/>
    <n v="65.599999999999994"/>
    <n v="2.5"/>
    <x v="6"/>
    <n v="9.1999999999999957"/>
    <n v="0"/>
    <x v="14"/>
    <n v="340.74074074074059"/>
    <n v="29.113008518518509"/>
    <n v="6"/>
    <n v="3.7999999999999972"/>
    <x v="11"/>
    <n v="633.3333333333328"/>
    <n v="43.537823333333307"/>
  </r>
  <r>
    <s v="Tammin "/>
    <x v="0"/>
    <x v="0"/>
    <n v="1.98"/>
    <x v="18"/>
    <d v="2008-01-29T00:00:00"/>
    <x v="16"/>
    <x v="4"/>
    <d v="2008-02-25T00:00:00"/>
    <n v="76.599999999999994"/>
    <n v="3"/>
    <x v="6"/>
    <n v="12.599999999999994"/>
    <n v="0"/>
    <x v="14"/>
    <n v="466.66666666666646"/>
    <n v="36.89369366666665"/>
    <n v="6"/>
    <n v="7.7999999999999972"/>
    <x v="11"/>
    <n v="1299.9999999999995"/>
    <n v="77.977026999999978"/>
  </r>
  <r>
    <s v="Tammin "/>
    <x v="0"/>
    <x v="0"/>
    <n v="1.98"/>
    <x v="19"/>
    <d v="2008-01-29T00:00:00"/>
    <x v="0"/>
    <x v="0"/>
    <d v="2008-02-25T00:00:00"/>
    <n v="60.2"/>
    <n v="2.5"/>
    <x v="6"/>
    <n v="6.2000000000000028"/>
    <n v="0"/>
    <x v="14"/>
    <n v="229.62962962962973"/>
    <n v="22.975779740740748"/>
    <n v="6"/>
    <n v="3.6000000000000014"/>
    <x v="11"/>
    <n v="600.00000000000023"/>
    <n v="41.235039000000008"/>
  </r>
  <r>
    <s v="Tammin "/>
    <x v="0"/>
    <x v="0"/>
    <n v="1.98"/>
    <x v="20"/>
    <d v="2008-01-29T00:00:00"/>
    <x v="17"/>
    <x v="5"/>
    <d v="2008-02-25T00:00:00"/>
    <n v="70.2"/>
    <n v="1.75"/>
    <x v="6"/>
    <n v="11"/>
    <n v="0"/>
    <x v="14"/>
    <n v="407.40740740740739"/>
    <n v="33.025308185185182"/>
    <n v="6"/>
    <n v="3.4000000000000057"/>
    <x v="11"/>
    <n v="566.66666666666765"/>
    <n v="40.87678966666671"/>
  </r>
  <r>
    <s v="Tammin "/>
    <x v="0"/>
    <x v="0"/>
    <n v="1.98"/>
    <x v="21"/>
    <d v="2008-01-29T00:00:00"/>
    <x v="18"/>
    <x v="5"/>
    <d v="2008-02-25T00:00:00"/>
    <n v="64.2"/>
    <n v="1.75"/>
    <x v="6"/>
    <n v="6.4000000000000057"/>
    <n v="0"/>
    <x v="14"/>
    <n v="237.03703703703724"/>
    <n v="24.000415925925935"/>
    <n v="6"/>
    <n v="2"/>
    <x v="11"/>
    <n v="333.33333333333331"/>
    <n v="28.747823333333329"/>
  </r>
  <r>
    <s v="Tammin "/>
    <x v="0"/>
    <x v="0"/>
    <n v="1.98"/>
    <x v="22"/>
    <d v="2008-01-29T00:00:00"/>
    <x v="19"/>
    <x v="7"/>
    <d v="2008-02-25T00:00:00"/>
    <n v="68"/>
    <n v="2.75"/>
    <x v="6"/>
    <n v="11.799999999999997"/>
    <n v="0"/>
    <x v="14"/>
    <n v="437.03703703703695"/>
    <n v="34.046414925925923"/>
    <n v="6"/>
    <n v="3.7999999999999972"/>
    <x v="11"/>
    <n v="633.3333333333328"/>
    <n v="43.723822333333302"/>
  </r>
  <r>
    <s v="Tammin "/>
    <x v="0"/>
    <x v="0"/>
    <n v="1.98"/>
    <x v="23"/>
    <d v="2008-01-29T00:00:00"/>
    <x v="20"/>
    <x v="3"/>
    <d v="2008-02-25T00:00:00"/>
    <n v="66.400000000000006"/>
    <n v="2.25"/>
    <x v="6"/>
    <n v="8.4000000000000057"/>
    <n v="0"/>
    <x v="14"/>
    <n v="311.11111111111131"/>
    <n v="27.855175777777788"/>
    <n v="6"/>
    <n v="-1.5999999999999943"/>
    <x v="11"/>
    <n v="-266.66666666666572"/>
    <n v="-0.62926866666661851"/>
  </r>
  <r>
    <s v="Tammin "/>
    <x v="0"/>
    <x v="0"/>
    <n v="1.98"/>
    <x v="24"/>
    <d v="2008-01-29T00:00:00"/>
    <x v="21"/>
    <x v="3"/>
    <d v="2008-02-25T00:00:00"/>
    <n v="70.8"/>
    <n v="2.25"/>
    <x v="6"/>
    <n v="3.7999999999999972"/>
    <n v="0"/>
    <x v="14"/>
    <n v="140.74074074074065"/>
    <n v="20.588819518518513"/>
    <n v="6"/>
    <n v="1.7999999999999972"/>
    <x v="11"/>
    <n v="299.99999999999955"/>
    <n v="28.440300999999977"/>
  </r>
  <r>
    <s v="Tammin "/>
    <x v="0"/>
    <x v="0"/>
    <n v="1.98"/>
    <x v="25"/>
    <d v="2008-01-29T00:00:00"/>
    <x v="22"/>
    <x v="4"/>
    <d v="2008-02-25T00:00:00"/>
    <n v="82.6"/>
    <n v="3"/>
    <x v="6"/>
    <n v="12"/>
    <n v="0"/>
    <x v="14"/>
    <n v="444.4444444444444"/>
    <n v="36.863405111111106"/>
    <n v="6"/>
    <n v="7.1999999999999886"/>
    <x v="11"/>
    <n v="1199.9999999999982"/>
    <n v="74.112293999999906"/>
  </r>
  <r>
    <s v="Tammin "/>
    <x v="0"/>
    <x v="0"/>
    <n v="1.98"/>
    <x v="26"/>
    <d v="2008-01-29T00:00:00"/>
    <x v="23"/>
    <x v="0"/>
    <d v="2008-02-25T00:00:00"/>
    <n v="71.2"/>
    <n v="2.5"/>
    <x v="6"/>
    <n v="9.6000000000000014"/>
    <n v="0"/>
    <x v="14"/>
    <n v="355.5555555555556"/>
    <n v="30.756464888888893"/>
    <n v="6"/>
    <n v="2.6000000000000085"/>
    <x v="11"/>
    <n v="433.33333333333474"/>
    <n v="34.5909093333334"/>
  </r>
  <r>
    <s v="Tammin "/>
    <x v="0"/>
    <x v="0"/>
    <n v="1.98"/>
    <x v="27"/>
    <d v="2008-01-29T00:00:00"/>
    <x v="13"/>
    <x v="0"/>
    <d v="2008-02-25T00:00:00"/>
    <n v="66.599999999999994"/>
    <n v="2.5"/>
    <x v="6"/>
    <n v="6.5999999999999943"/>
    <n v="0"/>
    <x v="14"/>
    <n v="244.44444444444423"/>
    <n v="24.7545081111111"/>
    <n v="6"/>
    <n v="0.19999999999998863"/>
    <x v="11"/>
    <n v="33.333333333331439"/>
    <n v="14.346730333333239"/>
  </r>
  <r>
    <s v="Tammin "/>
    <x v="0"/>
    <x v="0"/>
    <n v="1.98"/>
    <x v="28"/>
    <d v="2008-01-29T00:00:00"/>
    <x v="20"/>
    <x v="4"/>
    <d v="2008-02-25T00:00:00"/>
    <n v="66.2"/>
    <n v="3"/>
    <x v="6"/>
    <n v="8.2000000000000028"/>
    <n v="0"/>
    <x v="14"/>
    <n v="303.70370370370381"/>
    <n v="27.4730815925926"/>
    <n v="6"/>
    <n v="4.4000000000000057"/>
    <x v="11"/>
    <n v="733.33333333333428"/>
    <n v="48.65382233333338"/>
  </r>
  <r>
    <s v="Tammin "/>
    <x v="0"/>
    <x v="0"/>
    <n v="1.98"/>
    <x v="29"/>
    <d v="2008-01-29T00:00:00"/>
    <x v="24"/>
    <x v="0"/>
    <d v="2008-02-25T00:00:00"/>
    <n v="61.8"/>
    <n v="2.5"/>
    <x v="6"/>
    <n v="6.5999999999999943"/>
    <n v="0"/>
    <x v="14"/>
    <n v="244.44444444444423"/>
    <n v="23.942876111111097"/>
    <n v="6"/>
    <n v="1.3999999999999986"/>
    <x v="11"/>
    <n v="233.33333333333309"/>
    <n v="23.395098333333323"/>
  </r>
  <r>
    <s v="Tammin "/>
    <x v="0"/>
    <x v="0"/>
    <n v="1.98"/>
    <x v="30"/>
    <d v="2008-01-29T00:00:00"/>
    <x v="25"/>
    <x v="2"/>
    <d v="2008-02-25T00:00:00"/>
    <n v="66"/>
    <n v="2"/>
    <x v="6"/>
    <n v="5.3999999999999986"/>
    <n v="0"/>
    <x v="14"/>
    <n v="199.99999999999994"/>
    <n v="22.563396999999995"/>
    <n v="6"/>
    <n v="2"/>
    <x v="11"/>
    <n v="333.33333333333331"/>
    <n v="29.136730333333329"/>
  </r>
  <r>
    <s v="Tammin "/>
    <x v="0"/>
    <x v="0"/>
    <n v="1.98"/>
    <x v="31"/>
    <d v="2008-01-29T00:00:00"/>
    <x v="26"/>
    <x v="5"/>
    <d v="2008-02-25T00:00:00"/>
    <n v="71.8"/>
    <n v="1.75"/>
    <x v="6"/>
    <n v="7.3999999999999915"/>
    <n v="0"/>
    <x v="14"/>
    <n v="274.07407407407374"/>
    <n v="27.026880851851836"/>
    <n v="6"/>
    <n v="6.2000000000000028"/>
    <x v="11"/>
    <n v="1033.3333333333339"/>
    <n v="64.458362333333355"/>
  </r>
  <r>
    <s v="Tammin "/>
    <x v="0"/>
    <x v="0"/>
    <n v="1.98"/>
    <x v="32"/>
    <d v="2008-01-29T00:00:00"/>
    <x v="0"/>
    <x v="5"/>
    <d v="2008-02-25T00:00:00"/>
    <n v="62.2"/>
    <n v="1.75"/>
    <x v="6"/>
    <n v="8.2000000000000028"/>
    <n v="0"/>
    <x v="14"/>
    <n v="303.70370370370381"/>
    <n v="26.796721592592597"/>
    <n v="6"/>
    <n v="1.8000000000000043"/>
    <x v="11"/>
    <n v="300.00000000000068"/>
    <n v="26.61412900000003"/>
  </r>
  <r>
    <s v="Tammin "/>
    <x v="0"/>
    <x v="0"/>
    <n v="1.98"/>
    <x v="33"/>
    <d v="2008-01-29T00:00:00"/>
    <x v="27"/>
    <x v="2"/>
    <d v="2008-02-25T00:00:00"/>
    <n v="71.8"/>
    <n v="2"/>
    <x v="6"/>
    <n v="0.79999999999999716"/>
    <n v="0"/>
    <x v="14"/>
    <n v="29.629629629629523"/>
    <n v="15.533766740740736"/>
    <n v="6"/>
    <n v="1.2000000000000028"/>
    <x v="11"/>
    <n v="200.00000000000048"/>
    <n v="23.933026000000023"/>
  </r>
  <r>
    <s v="Tammin"/>
    <x v="1"/>
    <x v="1"/>
    <n v="3.96"/>
    <x v="34"/>
    <d v="2008-01-29T00:00:00"/>
    <x v="28"/>
    <x v="5"/>
    <d v="2008-02-25T00:00:00"/>
    <n v="54.2"/>
    <n v="1.75"/>
    <x v="6"/>
    <n v="3.4000000000000057"/>
    <n v="0"/>
    <x v="15"/>
    <n v="125.92592592592614"/>
    <n v="17.085373148148157"/>
    <n v="6"/>
    <n v="0.80000000000000426"/>
    <x v="12"/>
    <n v="133.33333333333405"/>
    <n v="17.450558333333369"/>
  </r>
  <r>
    <s v="Tammin"/>
    <x v="1"/>
    <x v="1"/>
    <n v="3.96"/>
    <x v="35"/>
    <d v="2008-01-29T00:00:00"/>
    <x v="29"/>
    <x v="5"/>
    <d v="2008-02-25T00:00:00"/>
    <n v="63.4"/>
    <n v="1.75"/>
    <x v="6"/>
    <n v="3.7999999999999972"/>
    <n v="0"/>
    <x v="15"/>
    <n v="140.74074074074065"/>
    <n v="19.337553518518511"/>
    <n v="6"/>
    <n v="1.1999999999999957"/>
    <x v="12"/>
    <n v="199.99999999999929"/>
    <n v="22.259034999999962"/>
  </r>
  <r>
    <s v="Tammin"/>
    <x v="1"/>
    <x v="1"/>
    <n v="3.96"/>
    <x v="36"/>
    <d v="2008-01-29T00:00:00"/>
    <x v="30"/>
    <x v="2"/>
    <d v="2008-02-25T00:00:00"/>
    <n v="59"/>
    <n v="2"/>
    <x v="6"/>
    <n v="5.2000000000000028"/>
    <n v="0"/>
    <x v="15"/>
    <n v="192.59259259259269"/>
    <n v="21.03149081481482"/>
    <n v="6"/>
    <n v="-4"/>
    <x v="12"/>
    <n v="-666.66666666666663"/>
    <n v="-21.32999066666666"/>
  </r>
  <r>
    <s v="Tammin"/>
    <x v="1"/>
    <x v="1"/>
    <n v="3.96"/>
    <x v="37"/>
    <d v="2008-01-29T00:00:00"/>
    <x v="31"/>
    <x v="0"/>
    <d v="2008-02-25T00:00:00"/>
    <n v="65.599999999999994"/>
    <n v="2.5"/>
    <x v="6"/>
    <n v="4.1999999999999957"/>
    <n v="0"/>
    <x v="15"/>
    <n v="155.5555555555554"/>
    <n v="20.406103888888879"/>
    <n v="6"/>
    <n v="-0.60000000000000853"/>
    <x v="12"/>
    <n v="-100.00000000000142"/>
    <n v="7.8072149999999292"/>
  </r>
  <r>
    <s v="Tammin"/>
    <x v="1"/>
    <x v="1"/>
    <n v="3.96"/>
    <x v="38"/>
    <d v="2008-01-29T00:00:00"/>
    <x v="32"/>
    <x v="8"/>
    <d v="2008-02-25T00:00:00"/>
    <n v="63.2"/>
    <n v="1.5"/>
    <x v="6"/>
    <n v="8.2000000000000028"/>
    <n v="0"/>
    <x v="15"/>
    <n v="303.70370370370381"/>
    <n v="26.965811592592598"/>
    <n v="6"/>
    <n v="2.2000000000000028"/>
    <x v="12"/>
    <n v="366.66666666666714"/>
    <n v="30.069885666666689"/>
  </r>
  <r>
    <s v="Tammin"/>
    <x v="1"/>
    <x v="1"/>
    <n v="3.96"/>
    <x v="39"/>
    <d v="2008-01-29T00:00:00"/>
    <x v="33"/>
    <x v="0"/>
    <d v="2008-02-25T00:00:00"/>
    <n v="62.4"/>
    <n v="2.5"/>
    <x v="6"/>
    <n v="1.3999999999999986"/>
    <n v="0"/>
    <x v="15"/>
    <n v="51.851851851851805"/>
    <n v="14.989149296296294"/>
    <n v="6"/>
    <n v="-0.39999999999999858"/>
    <x v="12"/>
    <n v="-66.66666666666643"/>
    <n v="9.1461863333333451"/>
  </r>
  <r>
    <s v="Tammin"/>
    <x v="1"/>
    <x v="1"/>
    <n v="3.96"/>
    <x v="40"/>
    <d v="2008-01-29T00:00:00"/>
    <x v="34"/>
    <x v="3"/>
    <d v="2008-02-25T00:00:00"/>
    <n v="55.2"/>
    <n v="2.25"/>
    <x v="6"/>
    <n v="3.6000000000000014"/>
    <n v="0"/>
    <x v="15"/>
    <n v="133.3333333333334"/>
    <n v="17.602739333333336"/>
    <n v="6"/>
    <n v="-0.59999999999999432"/>
    <x v="12"/>
    <n v="-99.999999999999048"/>
    <n v="6.0994060000000472"/>
  </r>
  <r>
    <s v="Tammin"/>
    <x v="1"/>
    <x v="1"/>
    <n v="3.96"/>
    <x v="41"/>
    <d v="2008-01-29T00:00:00"/>
    <x v="5"/>
    <x v="5"/>
    <d v="2008-02-25T00:00:00"/>
    <n v="62.4"/>
    <n v="1.75"/>
    <x v="6"/>
    <n v="2.1999999999999957"/>
    <n v="0"/>
    <x v="15"/>
    <n v="81.481481481481325"/>
    <n v="16.382254037037029"/>
    <n v="6"/>
    <n v="-1.8000000000000043"/>
    <x v="12"/>
    <n v="-300.00000000000068"/>
    <n v="-2.4247830000000317"/>
  </r>
  <r>
    <s v="Tammin"/>
    <x v="1"/>
    <x v="1"/>
    <n v="3.96"/>
    <x v="42"/>
    <d v="2008-01-29T00:00:00"/>
    <x v="34"/>
    <x v="5"/>
    <d v="2008-02-25T00:00:00"/>
    <n v="52.4"/>
    <n v="1.75"/>
    <x v="6"/>
    <n v="0.79999999999999716"/>
    <n v="0"/>
    <x v="15"/>
    <n v="29.629629629629523"/>
    <n v="12.253420740740735"/>
    <n v="6"/>
    <n v="-3.2000000000000028"/>
    <x v="12"/>
    <n v="-533.33333333333383"/>
    <n v="-15.500653333333361"/>
  </r>
  <r>
    <s v="Tammin"/>
    <x v="1"/>
    <x v="1"/>
    <n v="3.96"/>
    <x v="43"/>
    <d v="2008-01-29T00:00:00"/>
    <x v="5"/>
    <x v="5"/>
    <d v="2008-02-25T00:00:00"/>
    <n v="66"/>
    <n v="1.75"/>
    <x v="6"/>
    <n v="5.7999999999999972"/>
    <n v="0"/>
    <x v="15"/>
    <n v="214.8148148148147"/>
    <n v="23.259949370370364"/>
    <n v="6"/>
    <n v="-3"/>
    <x v="12"/>
    <n v="-500"/>
    <n v="-11.980421"/>
  </r>
  <r>
    <s v="Tammin"/>
    <x v="1"/>
    <x v="1"/>
    <n v="3.96"/>
    <x v="44"/>
    <d v="2008-01-29T00:00:00"/>
    <x v="35"/>
    <x v="3"/>
    <d v="2008-02-25T00:00:00"/>
    <n v="57.4"/>
    <n v="2.25"/>
    <x v="6"/>
    <n v="2.7999999999999972"/>
    <n v="0"/>
    <x v="15"/>
    <n v="103.70370370370361"/>
    <n v="16.581632592592587"/>
    <n v="6"/>
    <n v="0"/>
    <x v="12"/>
    <n v="0"/>
    <n v="11.46904"/>
  </r>
  <r>
    <s v="Tammin"/>
    <x v="1"/>
    <x v="1"/>
    <n v="3.96"/>
    <x v="45"/>
    <d v="2008-01-29T00:00:00"/>
    <x v="36"/>
    <x v="0"/>
    <d v="2008-02-25T00:00:00"/>
    <n v="72.2"/>
    <n v="2.5"/>
    <x v="6"/>
    <n v="7.6000000000000085"/>
    <n v="0"/>
    <x v="15"/>
    <n v="281.48148148148175"/>
    <n v="27.442793037037049"/>
    <n v="6"/>
    <n v="0.40000000000000568"/>
    <x v="12"/>
    <n v="66.666666666667609"/>
    <n v="16.852422666666712"/>
  </r>
  <r>
    <s v="Tammin"/>
    <x v="1"/>
    <x v="1"/>
    <n v="3.96"/>
    <x v="46"/>
    <d v="2008-01-29T00:00:00"/>
    <x v="37"/>
    <x v="0"/>
    <d v="2008-02-25T00:00:00"/>
    <n v="71"/>
    <n v="2.5"/>
    <x v="6"/>
    <n v="8.2000000000000028"/>
    <n v="0"/>
    <x v="15"/>
    <n v="303.70370370370381"/>
    <n v="28.284713592592595"/>
    <n v="6"/>
    <n v="1"/>
    <x v="12"/>
    <n v="166.66666666666666"/>
    <n v="21.528787666666666"/>
  </r>
  <r>
    <s v="Tammin"/>
    <x v="1"/>
    <x v="1"/>
    <n v="3.96"/>
    <x v="47"/>
    <d v="2008-01-29T00:00:00"/>
    <x v="38"/>
    <x v="8"/>
    <d v="2008-02-25T00:00:00"/>
    <n v="54.6"/>
    <n v="1.5"/>
    <x v="6"/>
    <n v="4.3999999999999986"/>
    <n v="0"/>
    <x v="15"/>
    <n v="162.96296296296293"/>
    <n v="18.894390074074074"/>
    <n v="6"/>
    <n v="-0.79999999999999716"/>
    <x v="12"/>
    <n v="-133.33333333333286"/>
    <n v="4.2869826666666917"/>
  </r>
  <r>
    <s v="Tammin"/>
    <x v="1"/>
    <x v="1"/>
    <n v="3.96"/>
    <x v="48"/>
    <d v="2008-01-29T00:00:00"/>
    <x v="39"/>
    <x v="3"/>
    <d v="2008-02-25T00:00:00"/>
    <n v="70.599999999999994"/>
    <n v="2.25"/>
    <x v="6"/>
    <n v="9.7999999999999972"/>
    <n v="0"/>
    <x v="15"/>
    <n v="362.96296296296288"/>
    <n v="31.003287074074066"/>
    <n v="6"/>
    <n v="0.59999999999999432"/>
    <x v="12"/>
    <n v="99.999999999999048"/>
    <n v="18.03921299999995"/>
  </r>
  <r>
    <s v="Tammin"/>
    <x v="1"/>
    <x v="1"/>
    <n v="3.96"/>
    <x v="49"/>
    <d v="2008-01-29T00:00:00"/>
    <x v="40"/>
    <x v="4"/>
    <d v="2008-02-25T00:00:00"/>
    <n v="64.8"/>
    <n v="3"/>
    <x v="6"/>
    <n v="7.1999999999999957"/>
    <n v="0"/>
    <x v="15"/>
    <n v="266.66666666666652"/>
    <n v="25.494974666666657"/>
    <n v="6"/>
    <n v="-2.7999999999999972"/>
    <x v="12"/>
    <n v="-466.66666666666617"/>
    <n v="-10.658358666666643"/>
  </r>
  <r>
    <s v="Tammin"/>
    <x v="1"/>
    <x v="1"/>
    <n v="3.96"/>
    <x v="50"/>
    <d v="2008-01-29T00:00:00"/>
    <x v="41"/>
    <x v="6"/>
    <d v="2008-02-25T00:00:00"/>
    <n v="70"/>
    <n v="3.5"/>
    <x v="6"/>
    <n v="1.2000000000000028"/>
    <n v="0"/>
    <x v="15"/>
    <n v="44.444444444444549"/>
    <n v="15.925957111111117"/>
    <n v="6"/>
    <n v="-6"/>
    <x v="12"/>
    <n v="-1000"/>
    <n v="-35.565153999999993"/>
  </r>
  <r>
    <s v="Tammin"/>
    <x v="1"/>
    <x v="1"/>
    <n v="3.96"/>
    <x v="51"/>
    <d v="2008-01-29T00:00:00"/>
    <x v="40"/>
    <x v="3"/>
    <d v="2008-02-25T00:00:00"/>
    <n v="69.400000000000006"/>
    <n v="2.25"/>
    <x v="6"/>
    <n v="11.800000000000004"/>
    <n v="0"/>
    <x v="15"/>
    <n v="437.03703703703718"/>
    <n v="34.283140925925935"/>
    <n v="6"/>
    <n v="2"/>
    <x v="12"/>
    <n v="333.33333333333331"/>
    <n v="29.170548333333329"/>
  </r>
  <r>
    <s v="Tammin"/>
    <x v="1"/>
    <x v="1"/>
    <n v="3.96"/>
    <x v="52"/>
    <d v="2008-01-29T00:00:00"/>
    <x v="42"/>
    <x v="5"/>
    <d v="2008-02-25T00:00:00"/>
    <n v="63.6"/>
    <n v="1.75"/>
    <x v="6"/>
    <n v="8.2000000000000028"/>
    <n v="0"/>
    <x v="15"/>
    <n v="303.70370370370381"/>
    <n v="27.033447592592598"/>
    <n v="6"/>
    <n v="2.2000000000000028"/>
    <x v="12"/>
    <n v="366.66666666666714"/>
    <n v="30.137521666666689"/>
  </r>
  <r>
    <s v="Tammin"/>
    <x v="1"/>
    <x v="1"/>
    <n v="3.96"/>
    <x v="53"/>
    <d v="2008-01-29T00:00:00"/>
    <x v="30"/>
    <x v="3"/>
    <d v="2008-02-25T00:00:00"/>
    <n v="62.8"/>
    <n v="2.25"/>
    <x v="6"/>
    <n v="9"/>
    <n v="0"/>
    <x v="15"/>
    <n v="333.33333333333331"/>
    <n v="28.291280333333329"/>
    <n v="6"/>
    <n v="1.7999999999999972"/>
    <x v="12"/>
    <n v="299.99999999999955"/>
    <n v="26.647946999999974"/>
  </r>
  <r>
    <s v="Tammin"/>
    <x v="1"/>
    <x v="1"/>
    <n v="3.96"/>
    <x v="54"/>
    <d v="2008-01-29T00:00:00"/>
    <x v="17"/>
    <x v="3"/>
    <d v="2008-02-25T00:00:00"/>
    <n v="63.4"/>
    <n v="1.75"/>
    <x v="6"/>
    <n v="4.1999999999999957"/>
    <n v="-0.5"/>
    <x v="15"/>
    <n v="155.5555555555554"/>
    <n v="20.034105888888881"/>
    <n v="6"/>
    <n v="-0.39999999999999858"/>
    <x v="12"/>
    <n v="-66.66666666666643"/>
    <n v="9.0785503333333448"/>
  </r>
  <r>
    <s v="Tammin"/>
    <x v="1"/>
    <x v="1"/>
    <n v="3.96"/>
    <x v="55"/>
    <d v="2008-01-29T00:00:00"/>
    <x v="20"/>
    <x v="5"/>
    <d v="2008-02-25T00:00:00"/>
    <n v="69.599999999999994"/>
    <n v="3"/>
    <x v="6"/>
    <n v="11.599999999999994"/>
    <n v="1.25"/>
    <x v="15"/>
    <n v="429.62962962962939"/>
    <n v="33.968682740740725"/>
    <n v="6"/>
    <n v="-2"/>
    <x v="12"/>
    <n v="-333.33333333333331"/>
    <n v="-3.6453913333333308"/>
  </r>
  <r>
    <s v="Tammin"/>
    <x v="1"/>
    <x v="1"/>
    <n v="3.96"/>
    <x v="56"/>
    <d v="2008-01-29T00:00:00"/>
    <x v="43"/>
    <x v="4"/>
    <d v="2008-02-25T00:00:00"/>
    <n v="70.400000000000006"/>
    <n v="3"/>
    <x v="6"/>
    <n v="2.4000000000000057"/>
    <n v="0"/>
    <x v="15"/>
    <n v="88.888888888889099"/>
    <n v="18.083250222222233"/>
    <n v="6"/>
    <n v="1.4000000000000057"/>
    <x v="12"/>
    <n v="233.33333333333428"/>
    <n v="25.204361333333381"/>
  </r>
  <r>
    <s v="Tammin"/>
    <x v="1"/>
    <x v="1"/>
    <n v="3.96"/>
    <x v="57"/>
    <d v="2008-01-29T00:00:00"/>
    <x v="36"/>
    <x v="4"/>
    <d v="2008-02-25T00:00:00"/>
    <n v="62.8"/>
    <n v="2.5"/>
    <x v="6"/>
    <n v="-1.7999999999999972"/>
    <n v="-0.5"/>
    <x v="15"/>
    <n v="-66.666666666666558"/>
    <n v="9.4843663333333375"/>
    <n v="6"/>
    <n v="-0.20000000000000284"/>
    <x v="12"/>
    <n v="-33.333333333333805"/>
    <n v="11.127699666666643"/>
  </r>
  <r>
    <s v="Tammin"/>
    <x v="1"/>
    <x v="1"/>
    <n v="3.96"/>
    <x v="58"/>
    <d v="2008-01-29T00:00:00"/>
    <x v="44"/>
    <x v="2"/>
    <d v="2008-02-25T00:00:00"/>
    <n v="58.2"/>
    <n v="2"/>
    <x v="6"/>
    <n v="2.2000000000000028"/>
    <n v="0"/>
    <x v="15"/>
    <n v="81.48148148148158"/>
    <n v="15.672076037037042"/>
    <n v="6"/>
    <n v="1"/>
    <x v="12"/>
    <n v="166.66666666666666"/>
    <n v="19.871705666666664"/>
  </r>
  <r>
    <s v="Tammin"/>
    <x v="1"/>
    <x v="1"/>
    <n v="3.96"/>
    <x v="59"/>
    <d v="2008-01-29T00:00:00"/>
    <x v="37"/>
    <x v="2"/>
    <d v="2008-02-25T00:00:00"/>
    <n v="65"/>
    <n v="2"/>
    <x v="6"/>
    <n v="2.2000000000000028"/>
    <n v="0"/>
    <x v="15"/>
    <n v="81.48148148148158"/>
    <n v="16.821888037037041"/>
    <n v="6"/>
    <n v="-1.2000000000000028"/>
    <x v="12"/>
    <n v="-200.00000000000048"/>
    <n v="2.9448509999999768"/>
  </r>
  <r>
    <s v="Tammin"/>
    <x v="1"/>
    <x v="1"/>
    <n v="3.96"/>
    <x v="60"/>
    <d v="2008-01-29T00:00:00"/>
    <x v="45"/>
    <x v="3"/>
    <d v="2008-02-25T00:00:00"/>
    <n v="64.400000000000006"/>
    <n v="1.75"/>
    <x v="6"/>
    <n v="5.4000000000000057"/>
    <n v="-0.5"/>
    <x v="15"/>
    <n v="200.0000000000002"/>
    <n v="22.292853000000008"/>
    <n v="6"/>
    <n v="0"/>
    <x v="12"/>
    <n v="0"/>
    <n v="12.432853"/>
  </r>
  <r>
    <s v="Tammin"/>
    <x v="1"/>
    <x v="1"/>
    <n v="3.96"/>
    <x v="61"/>
    <d v="2008-01-29T00:00:00"/>
    <x v="15"/>
    <x v="2"/>
    <d v="2008-02-25T00:00:00"/>
    <n v="67"/>
    <n v="2"/>
    <x v="6"/>
    <n v="10.600000000000001"/>
    <n v="0"/>
    <x v="15"/>
    <n v="392.59259259259267"/>
    <n v="31.787667814814817"/>
    <n v="6"/>
    <n v="1.5999999999999943"/>
    <x v="12"/>
    <n v="266.66666666666572"/>
    <n v="25.57951966666662"/>
  </r>
  <r>
    <s v="Tammin"/>
    <x v="1"/>
    <x v="1"/>
    <n v="3.96"/>
    <x v="62"/>
    <d v="2008-01-29T00:00:00"/>
    <x v="20"/>
    <x v="3"/>
    <d v="2008-02-25T00:00:00"/>
    <n v="63.2"/>
    <n v="2.25"/>
    <x v="6"/>
    <n v="5.2000000000000028"/>
    <n v="0"/>
    <x v="15"/>
    <n v="192.59259259259269"/>
    <n v="21.741668814814819"/>
    <n v="6"/>
    <n v="1"/>
    <x v="12"/>
    <n v="166.66666666666666"/>
    <n v="20.463520666666664"/>
  </r>
  <r>
    <s v="Tammin"/>
    <x v="1"/>
    <x v="1"/>
    <n v="3.96"/>
    <x v="63"/>
    <d v="2008-01-29T00:00:00"/>
    <x v="44"/>
    <x v="4"/>
    <d v="2008-02-25T00:00:00"/>
    <n v="65.2"/>
    <n v="3"/>
    <x v="6"/>
    <n v="9.2000000000000028"/>
    <n v="0"/>
    <x v="15"/>
    <n v="340.74074074074082"/>
    <n v="29.045372518518523"/>
    <n v="6"/>
    <n v="-2.2000000000000028"/>
    <x v="12"/>
    <n v="-366.66666666666714"/>
    <n v="-5.8298126666666903"/>
  </r>
  <r>
    <s v="Tammin"/>
    <x v="1"/>
    <x v="1"/>
    <n v="3.96"/>
    <x v="64"/>
    <d v="2008-01-29T00:00:00"/>
    <x v="46"/>
    <x v="5"/>
    <d v="2008-02-25T00:00:00"/>
    <n v="62"/>
    <n v="1.75"/>
    <x v="6"/>
    <n v="-1.7999999999999972"/>
    <n v="0"/>
    <x v="15"/>
    <n v="-66.666666666666558"/>
    <n v="9.3490943333333369"/>
    <n v="6"/>
    <n v="-2.7999999999999972"/>
    <x v="12"/>
    <n v="-466.66666666666617"/>
    <n v="-10.370905666666644"/>
  </r>
  <r>
    <s v="Tammin"/>
    <x v="1"/>
    <x v="1"/>
    <n v="3.96"/>
    <x v="65"/>
    <d v="2008-01-29T00:00:00"/>
    <x v="47"/>
    <x v="5"/>
    <d v="2008-02-25T00:00:00"/>
    <n v="64.599999999999994"/>
    <n v="1.75"/>
    <x v="6"/>
    <n v="6.3999999999999915"/>
    <n v="0"/>
    <x v="15"/>
    <n v="237.03703703703673"/>
    <n v="24.068051925925907"/>
    <n v="6"/>
    <n v="0.39999999999999147"/>
    <x v="12"/>
    <n v="66.66666666666525"/>
    <n v="15.668792666666596"/>
  </r>
  <r>
    <s v="Tammin"/>
    <x v="1"/>
    <x v="1"/>
    <n v="3.96"/>
    <x v="66"/>
    <d v="2008-01-29T00:00:00"/>
    <x v="48"/>
    <x v="2"/>
    <d v="2008-02-25T00:00:00"/>
    <n v="53.2"/>
    <n v="2"/>
    <x v="6"/>
    <n v="2.2000000000000028"/>
    <n v="0"/>
    <x v="15"/>
    <n v="81.48148148148158"/>
    <n v="14.826626037037041"/>
    <n v="6"/>
    <n v="-2"/>
    <x v="12"/>
    <n v="-333.33333333333331"/>
    <n v="-5.623744333333331"/>
  </r>
  <r>
    <s v="Tammin"/>
    <x v="1"/>
    <x v="1"/>
    <n v="3.96"/>
    <x v="67"/>
    <d v="2008-01-29T00:00:00"/>
    <x v="18"/>
    <x v="3"/>
    <d v="2008-02-25T00:00:00"/>
    <n v="62"/>
    <n v="2.25"/>
    <x v="6"/>
    <n v="4.2000000000000028"/>
    <n v="0"/>
    <x v="15"/>
    <n v="155.55555555555566"/>
    <n v="19.797379888888891"/>
    <n v="6"/>
    <n v="-1"/>
    <x v="12"/>
    <n v="-166.66666666666666"/>
    <n v="3.9118243333333336"/>
  </r>
  <r>
    <s v="Warradarge"/>
    <x v="2"/>
    <x v="2"/>
    <n v="2.2000000000000002"/>
    <x v="68"/>
    <d v="2015-12-08T00:00:00"/>
    <x v="13"/>
    <x v="6"/>
    <d v="2016-01-04T00:00:00"/>
    <n v="60.5"/>
    <n v="3"/>
    <x v="6"/>
    <n v="0.5"/>
    <n v="-0.5"/>
    <x v="16"/>
    <n v="18.518518518518519"/>
    <n v="13.100635462962963"/>
    <n v="14"/>
    <n v="-3.5"/>
    <x v="13"/>
    <n v="-250"/>
    <n v="-0.1373274999999996"/>
  </r>
  <r>
    <s v="Warradarge"/>
    <x v="2"/>
    <x v="2"/>
    <n v="2.2000000000000002"/>
    <x v="69"/>
    <d v="2015-12-08T00:00:00"/>
    <x v="13"/>
    <x v="4"/>
    <d v="2016-01-04T00:00:00"/>
    <n v="65"/>
    <n v="3.5"/>
    <x v="6"/>
    <n v="5"/>
    <n v="0.5"/>
    <x v="16"/>
    <n v="185.18518518518516"/>
    <n v="21.697754629629628"/>
    <n v="14"/>
    <n v="1"/>
    <x v="13"/>
    <n v="71.428571428571431"/>
    <n v="16.089553571428571"/>
  </r>
  <r>
    <s v="Warradarge"/>
    <x v="2"/>
    <x v="2"/>
    <n v="2.2000000000000002"/>
    <x v="70"/>
    <d v="2015-12-08T00:00:00"/>
    <x v="49"/>
    <x v="6"/>
    <d v="2016-01-04T00:00:00"/>
    <n v="65"/>
    <n v="3.5"/>
    <x v="6"/>
    <n v="2.5"/>
    <n v="0"/>
    <x v="16"/>
    <n v="92.592592592592581"/>
    <n v="17.344302314814815"/>
    <n v="14"/>
    <n v="-2"/>
    <x v="13"/>
    <n v="-142.85714285714286"/>
    <n v="5.7366303571428583"/>
  </r>
  <r>
    <s v="Warradarge"/>
    <x v="2"/>
    <x v="2"/>
    <n v="2.2000000000000002"/>
    <x v="71"/>
    <d v="2015-12-08T00:00:00"/>
    <x v="20"/>
    <x v="6"/>
    <d v="2016-01-04T00:00:00"/>
    <n v="62.5"/>
    <n v="3.5"/>
    <x v="6"/>
    <n v="4.5"/>
    <n v="0"/>
    <x v="16"/>
    <n v="166.66666666666666"/>
    <n v="20.404339166666666"/>
    <n v="14"/>
    <n v="0"/>
    <x v="13"/>
    <n v="0"/>
    <n v="12.1876725"/>
  </r>
  <r>
    <s v="Warradarge"/>
    <x v="2"/>
    <x v="2"/>
    <n v="2.2000000000000002"/>
    <x v="72"/>
    <d v="2015-12-08T00:00:00"/>
    <x v="50"/>
    <x v="4"/>
    <d v="2016-01-04T00:00:00"/>
    <n v="63"/>
    <n v="3.5"/>
    <x v="6"/>
    <n v="5.5"/>
    <n v="0.5"/>
    <x v="16"/>
    <n v="203.7037037037037"/>
    <n v="22.230265092592589"/>
    <n v="14"/>
    <n v="0.5"/>
    <x v="13"/>
    <n v="35.714285714285715"/>
    <n v="13.948386785714286"/>
  </r>
  <r>
    <s v="Warradarge"/>
    <x v="2"/>
    <x v="2"/>
    <n v="2.2000000000000002"/>
    <x v="73"/>
    <d v="2015-12-08T00:00:00"/>
    <x v="51"/>
    <x v="4"/>
    <d v="2016-01-04T00:00:00"/>
    <n v="58.5"/>
    <n v="3.5"/>
    <x v="6"/>
    <n v="-1"/>
    <n v="0.5"/>
    <x v="16"/>
    <n v="-37.037037037037038"/>
    <n v="10.150384074074074"/>
    <n v="14"/>
    <n v="0.5"/>
    <x v="13"/>
    <n v="35.714285714285715"/>
    <n v="13.737024285714286"/>
  </r>
  <r>
    <s v="Warradarge"/>
    <x v="2"/>
    <x v="2"/>
    <n v="2.2000000000000002"/>
    <x v="74"/>
    <d v="2015-12-08T00:00:00"/>
    <x v="52"/>
    <x v="4"/>
    <d v="2016-01-04T00:00:00"/>
    <n v="64"/>
    <n v="3"/>
    <x v="6"/>
    <n v="2"/>
    <n v="0"/>
    <x v="16"/>
    <n v="74.074074074074076"/>
    <n v="16.304521851851852"/>
    <n v="14"/>
    <n v="-4"/>
    <x v="13"/>
    <n v="-285.71428571428572"/>
    <n v="-1.4330442857142849"/>
  </r>
  <r>
    <s v="Warradarge"/>
    <x v="2"/>
    <x v="2"/>
    <n v="2.2000000000000002"/>
    <x v="75"/>
    <d v="2015-12-08T00:00:00"/>
    <x v="53"/>
    <x v="4"/>
    <d v="2016-01-04T00:00:00"/>
    <n v="60"/>
    <n v="2.5"/>
    <x v="6"/>
    <n v="1.5"/>
    <n v="-0.5"/>
    <x v="16"/>
    <n v="55.55555555555555"/>
    <n v="14.757471388888888"/>
    <n v="14"/>
    <n v="-2.5"/>
    <x v="13"/>
    <n v="-178.57142857142858"/>
    <n v="3.2150110714285702"/>
  </r>
  <r>
    <s v="Warradarge"/>
    <x v="2"/>
    <x v="2"/>
    <n v="2.2000000000000002"/>
    <x v="76"/>
    <d v="2015-12-08T00:00:00"/>
    <x v="45"/>
    <x v="4"/>
    <d v="2016-01-04T00:00:00"/>
    <n v="60.5"/>
    <n v="3"/>
    <x v="6"/>
    <n v="1.5"/>
    <n v="0"/>
    <x v="16"/>
    <n v="55.55555555555555"/>
    <n v="14.842016388888888"/>
    <n v="14"/>
    <n v="-2"/>
    <x v="13"/>
    <n v="-142.85714285714286"/>
    <n v="5.0602703571428576"/>
  </r>
  <r>
    <s v="Warradarge"/>
    <x v="2"/>
    <x v="2"/>
    <n v="2.2000000000000002"/>
    <x v="77"/>
    <d v="2015-12-08T00:00:00"/>
    <x v="54"/>
    <x v="4"/>
    <d v="2016-01-04T00:00:00"/>
    <n v="58"/>
    <n v="3"/>
    <x v="6"/>
    <n v="1"/>
    <n v="0"/>
    <x v="16"/>
    <n v="37.037037037037038"/>
    <n v="13.548600925925925"/>
    <n v="14"/>
    <n v="-4.5"/>
    <x v="13"/>
    <n v="-321.42857142857144"/>
    <n v="-4.1237535714285727"/>
  </r>
  <r>
    <s v="Warradarge"/>
    <x v="2"/>
    <x v="2"/>
    <n v="2.2000000000000002"/>
    <x v="78"/>
    <d v="2015-12-08T00:00:00"/>
    <x v="55"/>
    <x v="4"/>
    <d v="2016-01-04T00:00:00"/>
    <n v="64"/>
    <n v="3"/>
    <x v="6"/>
    <n v="3.5"/>
    <n v="0"/>
    <x v="16"/>
    <n v="129.62962962962962"/>
    <n v="18.916593240740738"/>
    <n v="14"/>
    <n v="0.5"/>
    <x v="13"/>
    <n v="35.714285714285715"/>
    <n v="14.286566785714285"/>
  </r>
  <r>
    <s v="Warradarge"/>
    <x v="2"/>
    <x v="2"/>
    <n v="2.2000000000000002"/>
    <x v="79"/>
    <d v="2015-12-08T00:00:00"/>
    <x v="55"/>
    <x v="4"/>
    <d v="2016-01-04T00:00:00"/>
    <n v="62"/>
    <n v="3"/>
    <x v="6"/>
    <n v="1.5"/>
    <n v="0"/>
    <x v="16"/>
    <n v="55.55555555555555"/>
    <n v="15.095651388888887"/>
    <n v="14"/>
    <n v="-5"/>
    <x v="13"/>
    <n v="-357.14285714285717"/>
    <n v="-5.2503803571428591"/>
  </r>
  <r>
    <s v="Warradarge"/>
    <x v="2"/>
    <x v="2"/>
    <n v="2.2000000000000002"/>
    <x v="80"/>
    <d v="2015-12-08T00:00:00"/>
    <x v="51"/>
    <x v="0"/>
    <d v="2016-01-04T00:00:00"/>
    <n v="62.5"/>
    <n v="3.5"/>
    <x v="6"/>
    <n v="3"/>
    <n v="1"/>
    <x v="16"/>
    <n v="111.1111111111111"/>
    <n v="17.792267777777777"/>
    <n v="14"/>
    <n v="3.5"/>
    <x v="13"/>
    <n v="250"/>
    <n v="24.639489999999999"/>
  </r>
  <r>
    <s v="Warradarge"/>
    <x v="2"/>
    <x v="2"/>
    <n v="2.2000000000000002"/>
    <x v="81"/>
    <d v="2015-12-08T00:00:00"/>
    <x v="20"/>
    <x v="4"/>
    <d v="2016-01-04T00:00:00"/>
    <n v="57.5"/>
    <n v="2.75"/>
    <x v="6"/>
    <n v="-0.5"/>
    <n v="-0.25"/>
    <x v="16"/>
    <n v="-18.518518518518519"/>
    <n v="10.851984537037037"/>
    <n v="14"/>
    <n v="-3"/>
    <x v="13"/>
    <n v="-214.28571428571428"/>
    <n v="1.2006617857142867"/>
  </r>
  <r>
    <s v="Warradarge"/>
    <x v="2"/>
    <x v="2"/>
    <n v="2.2000000000000002"/>
    <x v="82"/>
    <d v="2015-12-08T00:00:00"/>
    <x v="56"/>
    <x v="4"/>
    <d v="2016-01-04T00:00:00"/>
    <n v="69"/>
    <n v="3"/>
    <x v="6"/>
    <n v="5.5"/>
    <n v="0"/>
    <x v="16"/>
    <n v="203.7037037037037"/>
    <n v="23.244805092592593"/>
    <n v="14"/>
    <n v="0"/>
    <x v="13"/>
    <n v="0"/>
    <n v="13.2022125"/>
  </r>
  <r>
    <s v="Warradarge"/>
    <x v="2"/>
    <x v="2"/>
    <n v="2.2000000000000002"/>
    <x v="83"/>
    <d v="2015-12-08T00:00:00"/>
    <x v="55"/>
    <x v="4"/>
    <d v="2016-01-04T00:00:00"/>
    <n v="64"/>
    <n v="3"/>
    <x v="6"/>
    <n v="3.5"/>
    <n v="0"/>
    <x v="16"/>
    <n v="129.62962962962962"/>
    <n v="18.916593240740738"/>
    <n v="14"/>
    <n v="-2"/>
    <x v="13"/>
    <n v="-142.85714285714286"/>
    <n v="5.4829953571428574"/>
  </r>
  <r>
    <s v="Warradarge"/>
    <x v="2"/>
    <x v="2"/>
    <n v="2.2000000000000002"/>
    <x v="84"/>
    <d v="2015-12-08T00:00:00"/>
    <x v="53"/>
    <x v="4"/>
    <d v="2016-01-04T00:00:00"/>
    <n v="65.5"/>
    <n v="3"/>
    <x v="6"/>
    <n v="7"/>
    <n v="0"/>
    <x v="16"/>
    <n v="259.25925925925924"/>
    <n v="25.265061481481482"/>
    <n v="14"/>
    <n v="1"/>
    <x v="13"/>
    <n v="71.428571428571431"/>
    <n v="16.005008571428569"/>
  </r>
  <r>
    <s v="Warradarge"/>
    <x v="2"/>
    <x v="2"/>
    <n v="2.2000000000000002"/>
    <x v="85"/>
    <d v="2015-12-08T00:00:00"/>
    <x v="13"/>
    <x v="4"/>
    <d v="2016-01-04T00:00:00"/>
    <n v="68.5"/>
    <n v="3"/>
    <x v="6"/>
    <n v="8.5"/>
    <n v="0"/>
    <x v="16"/>
    <n v="314.81481481481484"/>
    <n v="28.384402870370369"/>
    <n v="14"/>
    <n v="3.5"/>
    <x v="13"/>
    <n v="250"/>
    <n v="25.189032499999996"/>
  </r>
  <r>
    <s v="Warradarge"/>
    <x v="2"/>
    <x v="2"/>
    <n v="2.2000000000000002"/>
    <x v="86"/>
    <d v="2015-12-08T00:00:00"/>
    <x v="51"/>
    <x v="4"/>
    <d v="2016-01-04T00:00:00"/>
    <n v="64"/>
    <n v="3"/>
    <x v="6"/>
    <n v="4.5"/>
    <n v="0"/>
    <x v="16"/>
    <n v="166.66666666666666"/>
    <n v="20.657974166666662"/>
    <n v="14"/>
    <n v="-1.5"/>
    <x v="13"/>
    <n v="-107.14285714285714"/>
    <n v="7.1591646428571423"/>
  </r>
  <r>
    <s v="Warradarge"/>
    <x v="2"/>
    <x v="2"/>
    <n v="2.2000000000000002"/>
    <x v="87"/>
    <d v="2015-12-08T00:00:00"/>
    <x v="52"/>
    <x v="4"/>
    <d v="2016-01-04T00:00:00"/>
    <n v="67.5"/>
    <n v="3.5"/>
    <x v="6"/>
    <n v="5.5"/>
    <n v="0.5"/>
    <x v="16"/>
    <n v="203.7037037037037"/>
    <n v="22.99117009259259"/>
    <n v="14"/>
    <n v="-0.5"/>
    <x v="13"/>
    <n v="-35.714285714285715"/>
    <n v="11.187863214285713"/>
  </r>
  <r>
    <s v="Warradarge"/>
    <x v="2"/>
    <x v="2"/>
    <n v="2.2000000000000002"/>
    <x v="88"/>
    <d v="2015-12-08T00:00:00"/>
    <x v="55"/>
    <x v="4"/>
    <d v="2016-01-04T00:00:00"/>
    <n v="66.5"/>
    <n v="3"/>
    <x v="6"/>
    <n v="6"/>
    <n v="0"/>
    <x v="16"/>
    <n v="222.2222222222222"/>
    <n v="23.692770555555555"/>
    <n v="14"/>
    <n v="0.5"/>
    <x v="13"/>
    <n v="35.714285714285715"/>
    <n v="14.497929285714285"/>
  </r>
  <r>
    <s v="Warradarge"/>
    <x v="2"/>
    <x v="2"/>
    <n v="2.2000000000000002"/>
    <x v="89"/>
    <d v="2015-12-08T00:00:00"/>
    <x v="49"/>
    <x v="4"/>
    <d v="2016-01-04T00:00:00"/>
    <n v="63"/>
    <n v="3"/>
    <x v="6"/>
    <n v="0.5"/>
    <n v="0"/>
    <x v="16"/>
    <n v="18.518518518518519"/>
    <n v="13.523360462962962"/>
    <n v="14"/>
    <n v="-4"/>
    <x v="13"/>
    <n v="-285.71428571428572"/>
    <n v="-1.4753167857142842"/>
  </r>
  <r>
    <s v="Warradarge"/>
    <x v="2"/>
    <x v="2"/>
    <n v="2.2000000000000002"/>
    <x v="90"/>
    <d v="2015-12-08T00:00:00"/>
    <x v="55"/>
    <x v="4"/>
    <d v="2016-01-04T00:00:00"/>
    <n v="64.5"/>
    <n v="3"/>
    <x v="6"/>
    <n v="4"/>
    <n v="0"/>
    <x v="16"/>
    <n v="148.14814814814815"/>
    <n v="19.871828703703702"/>
    <n v="14"/>
    <n v="-2"/>
    <x v="13"/>
    <n v="-142.85714285714286"/>
    <n v="5.5252678571428584"/>
  </r>
  <r>
    <s v="Warradarge"/>
    <x v="2"/>
    <x v="2"/>
    <n v="2.2000000000000002"/>
    <x v="91"/>
    <d v="2015-12-08T00:00:00"/>
    <x v="13"/>
    <x v="4"/>
    <d v="2016-01-04T00:00:00"/>
    <n v="66"/>
    <n v="3"/>
    <x v="6"/>
    <n v="6"/>
    <n v="0"/>
    <x v="16"/>
    <n v="222.2222222222222"/>
    <n v="23.608225555555553"/>
    <n v="14"/>
    <n v="5"/>
    <x v="13"/>
    <n v="357.14285714285717"/>
    <n v="30.259812857142855"/>
  </r>
  <r>
    <s v="Warradarge"/>
    <x v="2"/>
    <x v="2"/>
    <n v="2.2000000000000002"/>
    <x v="92"/>
    <d v="2015-12-08T00:00:00"/>
    <x v="45"/>
    <x v="4"/>
    <d v="2016-01-04T00:00:00"/>
    <n v="60"/>
    <n v="3"/>
    <x v="6"/>
    <n v="1"/>
    <n v="0"/>
    <x v="16"/>
    <n v="37.037037037037038"/>
    <n v="13.886780925925926"/>
    <n v="14"/>
    <n v="-2.5"/>
    <x v="13"/>
    <n v="-178.57142857142858"/>
    <n v="3.2572835714285713"/>
  </r>
  <r>
    <s v="Warradarge"/>
    <x v="2"/>
    <x v="2"/>
    <n v="2.2000000000000002"/>
    <x v="93"/>
    <d v="2015-12-08T00:00:00"/>
    <x v="56"/>
    <x v="6"/>
    <d v="2016-01-04T00:00:00"/>
    <n v="67"/>
    <n v="3.5"/>
    <x v="6"/>
    <n v="3.5"/>
    <n v="0"/>
    <x v="16"/>
    <n v="129.62962962962962"/>
    <n v="19.42386324074074"/>
    <n v="14"/>
    <n v="-4"/>
    <x v="13"/>
    <n v="-285.71428571428572"/>
    <n v="-1.0525917857142844"/>
  </r>
  <r>
    <s v="Warradarge"/>
    <x v="2"/>
    <x v="2"/>
    <n v="2.2000000000000002"/>
    <x v="94"/>
    <d v="2015-12-08T00:00:00"/>
    <x v="51"/>
    <x v="4"/>
    <d v="2016-01-04T00:00:00"/>
    <n v="61"/>
    <n v="3"/>
    <x v="6"/>
    <n v="1.5"/>
    <n v="0"/>
    <x v="16"/>
    <n v="55.55555555555555"/>
    <n v="14.926561388888889"/>
    <n v="14"/>
    <n v="-4.5"/>
    <x v="13"/>
    <n v="-321.42857142857144"/>
    <n v="-3.6587560714285718"/>
  </r>
  <r>
    <s v="Warradarge"/>
    <x v="2"/>
    <x v="2"/>
    <n v="2.2000000000000002"/>
    <x v="95"/>
    <d v="2015-12-08T00:00:00"/>
    <x v="53"/>
    <x v="6"/>
    <d v="2016-01-04T00:00:00"/>
    <n v="57"/>
    <n v="3"/>
    <x v="6"/>
    <n v="-1.5"/>
    <n v="-0.5"/>
    <x v="16"/>
    <n v="-55.55555555555555"/>
    <n v="9.026058611111111"/>
    <n v="14"/>
    <n v="-2.5"/>
    <x v="13"/>
    <n v="-178.57142857142858"/>
    <n v="2.9613760714285711"/>
  </r>
  <r>
    <s v="Warradarge"/>
    <x v="2"/>
    <x v="2"/>
    <n v="2.2000000000000002"/>
    <x v="96"/>
    <d v="2015-12-08T00:00:00"/>
    <x v="57"/>
    <x v="6"/>
    <d v="2016-01-04T00:00:00"/>
    <n v="69"/>
    <n v="4"/>
    <x v="6"/>
    <n v="4.5"/>
    <n v="0.5"/>
    <x v="16"/>
    <n v="166.66666666666666"/>
    <n v="21.503424166666665"/>
    <n v="14"/>
    <n v="-1"/>
    <x v="13"/>
    <n v="-71.428571428571431"/>
    <n v="9.7653289285714298"/>
  </r>
  <r>
    <s v="Warradarge"/>
    <x v="2"/>
    <x v="2"/>
    <n v="2.2000000000000002"/>
    <x v="97"/>
    <d v="2015-12-08T00:00:00"/>
    <x v="54"/>
    <x v="6"/>
    <d v="2016-01-04T00:00:00"/>
    <n v="60.5"/>
    <n v="3"/>
    <x v="6"/>
    <n v="3.5"/>
    <n v="-0.5"/>
    <x v="16"/>
    <n v="129.62962962962962"/>
    <n v="18.324778240740738"/>
    <n v="14"/>
    <n v="0"/>
    <x v="13"/>
    <n v="0"/>
    <n v="11.934037499999999"/>
  </r>
  <r>
    <s v="Dandaragan"/>
    <x v="6"/>
    <x v="6"/>
    <n v="2.16"/>
    <x v="168"/>
    <d v="2016-02-02T00:00:00"/>
    <x v="80"/>
    <x v="0"/>
    <d v="2016-03-01T00:00:00"/>
    <n v="69"/>
    <n v="2.75"/>
    <x v="7"/>
    <n v="4"/>
    <n v="0.25"/>
    <x v="17"/>
    <n v="142.85714285714286"/>
    <n v="20.37188714285714"/>
    <n v="13"/>
    <n v="1"/>
    <x v="14"/>
    <n v="76.923076923076934"/>
    <n v="17.121337692307691"/>
  </r>
  <r>
    <s v="Dandaragan"/>
    <x v="6"/>
    <x v="6"/>
    <n v="2.16"/>
    <x v="169"/>
    <d v="2016-02-02T00:00:00"/>
    <x v="81"/>
    <x v="0"/>
    <d v="2016-03-01T00:00:00"/>
    <n v="57.5"/>
    <n v="2.75"/>
    <x v="7"/>
    <n v="3"/>
    <n v="0.25"/>
    <x v="17"/>
    <n v="107.14285714285714"/>
    <n v="16.751182857142858"/>
    <n v="13"/>
    <n v="-2"/>
    <x v="14"/>
    <n v="-153.84615384615387"/>
    <n v="3.8844246153846154"/>
  </r>
  <r>
    <s v="Dandaragan"/>
    <x v="6"/>
    <x v="6"/>
    <n v="2.16"/>
    <x v="170"/>
    <d v="2016-02-02T00:00:00"/>
    <x v="51"/>
    <x v="4"/>
    <d v="2016-03-01T00:00:00"/>
    <n v="60"/>
    <n v="2.5"/>
    <x v="7"/>
    <n v="0.5"/>
    <n v="-0.5"/>
    <x v="17"/>
    <n v="17.857142857142858"/>
    <n v="12.983484642857142"/>
    <n v="13"/>
    <n v="0"/>
    <x v="14"/>
    <n v="0"/>
    <n v="12.103127499999999"/>
  </r>
  <r>
    <s v="Dandaragan"/>
    <x v="6"/>
    <x v="6"/>
    <n v="2.16"/>
    <x v="171"/>
    <d v="2016-02-02T00:00:00"/>
    <x v="49"/>
    <x v="4"/>
    <d v="2016-03-01T00:00:00"/>
    <n v="66"/>
    <n v="3"/>
    <x v="7"/>
    <n v="3.5"/>
    <n v="0"/>
    <x v="17"/>
    <n v="125"/>
    <n v="19.026532499999998"/>
    <n v="13"/>
    <n v="-1"/>
    <x v="14"/>
    <n v="-76.923076923076934"/>
    <n v="9.0717248076923056"/>
  </r>
  <r>
    <s v="Dandaragan"/>
    <x v="6"/>
    <x v="6"/>
    <n v="2.16"/>
    <x v="172"/>
    <d v="2016-02-02T00:00:00"/>
    <x v="44"/>
    <x v="0"/>
    <d v="2016-03-01T00:00:00"/>
    <n v="60"/>
    <n v="3"/>
    <x v="7"/>
    <n v="4"/>
    <n v="0.5"/>
    <x v="17"/>
    <n v="142.85714285714286"/>
    <n v="18.850077142857142"/>
    <n v="13"/>
    <n v="3"/>
    <x v="14"/>
    <n v="230.76923076923077"/>
    <n v="23.184143076923078"/>
  </r>
  <r>
    <s v="Dandaragan"/>
    <x v="6"/>
    <x v="6"/>
    <n v="2.16"/>
    <x v="173"/>
    <d v="2016-02-02T00:00:00"/>
    <x v="82"/>
    <x v="4"/>
    <d v="2016-03-01T00:00:00"/>
    <n v="65"/>
    <n v="3"/>
    <x v="7"/>
    <n v="2"/>
    <n v="0"/>
    <x v="17"/>
    <n v="71.428571428571431"/>
    <n v="16.34318857142857"/>
    <n v="13"/>
    <n v="0.5"/>
    <x v="14"/>
    <n v="38.461538461538467"/>
    <n v="14.717913846153845"/>
  </r>
  <r>
    <s v="Dandaragan"/>
    <x v="6"/>
    <x v="6"/>
    <n v="2.16"/>
    <x v="174"/>
    <d v="2016-02-02T00:00:00"/>
    <x v="50"/>
    <x v="0"/>
    <d v="2016-03-01T00:00:00"/>
    <n v="61"/>
    <n v="3"/>
    <x v="7"/>
    <n v="3.5"/>
    <n v="0.5"/>
    <x v="17"/>
    <n v="125"/>
    <n v="18.181082499999999"/>
    <n v="13"/>
    <n v="3"/>
    <x v="14"/>
    <n v="230.76923076923077"/>
    <n v="23.395505576923078"/>
  </r>
  <r>
    <s v="Dandaragan"/>
    <x v="6"/>
    <x v="6"/>
    <n v="2.16"/>
    <x v="175"/>
    <d v="2016-02-02T00:00:00"/>
    <x v="55"/>
    <x v="4"/>
    <d v="2016-03-01T00:00:00"/>
    <n v="62"/>
    <n v="2.75"/>
    <x v="7"/>
    <n v="1.5"/>
    <n v="-0.25"/>
    <x v="17"/>
    <n v="53.571428571428569"/>
    <n v="14.997833928571428"/>
    <n v="13"/>
    <n v="-1"/>
    <x v="14"/>
    <n v="-76.923076923076934"/>
    <n v="8.5644548076923073"/>
  </r>
  <r>
    <s v="Dandaragan"/>
    <x v="6"/>
    <x v="6"/>
    <n v="2.16"/>
    <x v="176"/>
    <d v="2016-02-02T00:00:00"/>
    <x v="83"/>
    <x v="0"/>
    <d v="2016-03-01T00:00:00"/>
    <n v="69"/>
    <n v="3.25"/>
    <x v="7"/>
    <n v="7.5"/>
    <n v="0.75"/>
    <x v="17"/>
    <n v="267.85714285714283"/>
    <n v="26.238479642857143"/>
    <n v="13"/>
    <n v="3"/>
    <x v="14"/>
    <n v="230.76923076923077"/>
    <n v="24.410045576923075"/>
  </r>
  <r>
    <s v="Dandaragan"/>
    <x v="6"/>
    <x v="6"/>
    <n v="2.16"/>
    <x v="177"/>
    <d v="2016-02-02T00:00:00"/>
    <x v="80"/>
    <x v="0"/>
    <d v="2016-03-01T00:00:00"/>
    <n v="70.5"/>
    <n v="3.25"/>
    <x v="7"/>
    <n v="5.5"/>
    <n v="0.75"/>
    <x v="17"/>
    <n v="196.42857142857142"/>
    <n v="23.139776071428571"/>
    <n v="13"/>
    <n v="3"/>
    <x v="14"/>
    <n v="230.76923076923077"/>
    <n v="24.832770576923075"/>
  </r>
  <r>
    <s v="Dandaragan"/>
    <x v="6"/>
    <x v="6"/>
    <n v="2.16"/>
    <x v="178"/>
    <d v="2016-02-02T00:00:00"/>
    <x v="80"/>
    <x v="4"/>
    <d v="2016-03-01T00:00:00"/>
    <n v="69"/>
    <n v="3.25"/>
    <x v="7"/>
    <n v="4"/>
    <n v="0.25"/>
    <x v="17"/>
    <n v="142.85714285714286"/>
    <n v="20.37188714285714"/>
    <n v="13"/>
    <n v="3"/>
    <x v="14"/>
    <n v="230.76923076923077"/>
    <n v="24.705953076923077"/>
  </r>
  <r>
    <s v="Dandaragan"/>
    <x v="6"/>
    <x v="6"/>
    <n v="2.16"/>
    <x v="179"/>
    <d v="2016-02-02T00:00:00"/>
    <x v="13"/>
    <x v="4"/>
    <d v="2016-03-01T00:00:00"/>
    <n v="62.5"/>
    <n v="3"/>
    <x v="7"/>
    <n v="2.5"/>
    <n v="0"/>
    <x v="17"/>
    <n v="89.285714285714292"/>
    <n v="16.758548214285714"/>
    <n v="13"/>
    <n v="-0.5"/>
    <x v="14"/>
    <n v="-38.461538461538467"/>
    <n v="10.460608653846153"/>
  </r>
  <r>
    <s v="Dandaragan"/>
    <x v="6"/>
    <x v="6"/>
    <n v="2.16"/>
    <x v="180"/>
    <d v="2016-02-02T00:00:00"/>
    <x v="16"/>
    <x v="4"/>
    <d v="2016-03-01T00:00:00"/>
    <n v="68"/>
    <n v="3.25"/>
    <x v="7"/>
    <n v="4"/>
    <n v="0.25"/>
    <x v="17"/>
    <n v="142.85714285714286"/>
    <n v="20.20279714285714"/>
    <n v="13"/>
    <n v="2"/>
    <x v="14"/>
    <n v="153.84615384615387"/>
    <n v="20.744555384615381"/>
  </r>
  <r>
    <s v="Dandaragan"/>
    <x v="6"/>
    <x v="6"/>
    <n v="2.16"/>
    <x v="181"/>
    <d v="2016-02-02T00:00:00"/>
    <x v="83"/>
    <x v="0"/>
    <d v="2016-03-01T00:00:00"/>
    <n v="67"/>
    <n v="3"/>
    <x v="7"/>
    <n v="5.5"/>
    <n v="0.5"/>
    <x v="17"/>
    <n v="196.42857142857142"/>
    <n v="22.547961071428567"/>
    <n v="13"/>
    <n v="5"/>
    <x v="14"/>
    <n v="384.61538461538464"/>
    <n v="31.82557096153846"/>
  </r>
  <r>
    <s v="Dandaragan"/>
    <x v="6"/>
    <x v="6"/>
    <n v="2.16"/>
    <x v="182"/>
    <d v="2016-02-02T00:00:00"/>
    <x v="82"/>
    <x v="4"/>
    <d v="2016-03-01T00:00:00"/>
    <n v="66"/>
    <n v="3.25"/>
    <x v="7"/>
    <n v="3"/>
    <n v="0.25"/>
    <x v="17"/>
    <n v="107.14285714285714"/>
    <n v="18.188447857142855"/>
    <n v="13"/>
    <n v="1.5"/>
    <x v="14"/>
    <n v="115.38461538461539"/>
    <n v="18.594766538461538"/>
  </r>
  <r>
    <s v="Dandaragan"/>
    <x v="6"/>
    <x v="6"/>
    <n v="2.16"/>
    <x v="183"/>
    <d v="2016-02-02T00:00:00"/>
    <x v="82"/>
    <x v="4"/>
    <d v="2016-03-01T00:00:00"/>
    <n v="68"/>
    <n v="2.75"/>
    <x v="7"/>
    <n v="5"/>
    <n v="-0.25"/>
    <x v="17"/>
    <n v="178.57142857142858"/>
    <n v="21.878966428571427"/>
    <n v="13"/>
    <n v="2.5"/>
    <x v="14"/>
    <n v="192.30769230769232"/>
    <n v="22.556164230769227"/>
  </r>
  <r>
    <s v="Dandaragan"/>
    <x v="6"/>
    <x v="6"/>
    <n v="2.16"/>
    <x v="184"/>
    <d v="2016-02-02T00:00:00"/>
    <x v="13"/>
    <x v="0"/>
    <d v="2016-03-01T00:00:00"/>
    <n v="65"/>
    <n v="2.75"/>
    <x v="7"/>
    <n v="5"/>
    <n v="0.25"/>
    <x v="17"/>
    <n v="178.57142857142858"/>
    <n v="21.371696428571429"/>
    <n v="13"/>
    <n v="-0.5"/>
    <x v="14"/>
    <n v="-38.461538461538467"/>
    <n v="10.671971153846155"/>
  </r>
  <r>
    <s v="Dandaragan"/>
    <x v="6"/>
    <x v="6"/>
    <n v="2.16"/>
    <x v="185"/>
    <d v="2016-02-02T00:00:00"/>
    <x v="53"/>
    <x v="0"/>
    <d v="2016-03-01T00:00:00"/>
    <n v="61"/>
    <n v="2.5"/>
    <x v="7"/>
    <n v="2.5"/>
    <n v="0"/>
    <x v="17"/>
    <n v="89.285714285714292"/>
    <n v="16.504913214285715"/>
    <n v="13"/>
    <n v="2"/>
    <x v="14"/>
    <n v="153.84615384615387"/>
    <n v="19.687742884615382"/>
  </r>
  <r>
    <s v="Dandaragan"/>
    <x v="6"/>
    <x v="6"/>
    <n v="2.16"/>
    <x v="186"/>
    <d v="2016-02-02T00:00:00"/>
    <x v="80"/>
    <x v="0"/>
    <d v="2016-03-01T00:00:00"/>
    <n v="69.5"/>
    <n v="3"/>
    <x v="7"/>
    <n v="4.5"/>
    <n v="0.5"/>
    <x v="17"/>
    <n v="160.71428571428572"/>
    <n v="21.294516785714286"/>
    <n v="13"/>
    <n v="0.5"/>
    <x v="14"/>
    <n v="38.461538461538467"/>
    <n v="15.267456346153844"/>
  </r>
  <r>
    <s v="Dandaragan"/>
    <x v="6"/>
    <x v="6"/>
    <n v="2.16"/>
    <x v="187"/>
    <d v="2016-02-02T00:00:00"/>
    <x v="82"/>
    <x v="0"/>
    <d v="2016-03-01T00:00:00"/>
    <n v="68"/>
    <n v="3"/>
    <x v="7"/>
    <n v="5"/>
    <n v="0.5"/>
    <x v="17"/>
    <n v="178.57142857142858"/>
    <n v="21.878966428571427"/>
    <n v="13"/>
    <n v="1.5"/>
    <x v="14"/>
    <n v="115.38461538461539"/>
    <n v="18.763856538461539"/>
  </r>
  <r>
    <s v="Dandaragan"/>
    <x v="6"/>
    <x v="6"/>
    <n v="2.16"/>
    <x v="188"/>
    <d v="2016-02-02T00:00:00"/>
    <x v="54"/>
    <x v="0"/>
    <d v="2016-03-01T00:00:00"/>
    <n v="61"/>
    <n v="2.75"/>
    <x v="7"/>
    <n v="4"/>
    <n v="0.25"/>
    <x v="17"/>
    <n v="142.85714285714286"/>
    <n v="19.019167142857142"/>
    <n v="13"/>
    <n v="1"/>
    <x v="14"/>
    <n v="76.923076923076934"/>
    <n v="15.768617692307693"/>
  </r>
  <r>
    <s v="Dandaragan"/>
    <x v="6"/>
    <x v="6"/>
    <n v="2.16"/>
    <x v="189"/>
    <d v="2016-02-02T00:00:00"/>
    <x v="13"/>
    <x v="0"/>
    <d v="2016-03-01T00:00:00"/>
    <n v="61"/>
    <n v="2.5"/>
    <x v="7"/>
    <n v="1"/>
    <n v="0"/>
    <x v="17"/>
    <n v="35.714285714285715"/>
    <n v="13.990659285714285"/>
    <n v="13"/>
    <n v="1"/>
    <x v="14"/>
    <n v="76.923076923076934"/>
    <n v="16.022252692307692"/>
  </r>
  <r>
    <s v="Dandaragan"/>
    <x v="6"/>
    <x v="6"/>
    <n v="2.16"/>
    <x v="190"/>
    <d v="2016-02-02T00:00:00"/>
    <x v="16"/>
    <x v="4"/>
    <d v="2016-03-01T00:00:00"/>
    <n v="66.5"/>
    <n v="3"/>
    <x v="7"/>
    <n v="2.5"/>
    <n v="0"/>
    <x v="17"/>
    <n v="89.285714285714292"/>
    <n v="17.434908214285713"/>
    <n v="13"/>
    <n v="0"/>
    <x v="14"/>
    <n v="0"/>
    <n v="13.033122499999999"/>
  </r>
  <r>
    <s v="Dandaragan"/>
    <x v="6"/>
    <x v="6"/>
    <n v="2.16"/>
    <x v="191"/>
    <d v="2016-02-02T00:00:00"/>
    <x v="52"/>
    <x v="0"/>
    <d v="2016-03-01T00:00:00"/>
    <n v="66"/>
    <n v="3"/>
    <x v="7"/>
    <n v="4"/>
    <n v="0.5"/>
    <x v="17"/>
    <n v="142.85714285714286"/>
    <n v="19.864617142857142"/>
    <n v="13"/>
    <n v="0.5"/>
    <x v="14"/>
    <n v="38.461538461538467"/>
    <n v="14.717913846153845"/>
  </r>
  <r>
    <s v="Dandaragan"/>
    <x v="6"/>
    <x v="6"/>
    <n v="2.16"/>
    <x v="192"/>
    <d v="2016-02-02T00:00:00"/>
    <x v="32"/>
    <x v="0"/>
    <d v="2016-03-01T00:00:00"/>
    <n v="57"/>
    <n v="2.75"/>
    <x v="7"/>
    <n v="2"/>
    <n v="0.25"/>
    <x v="17"/>
    <n v="71.428571428571431"/>
    <n v="14.99046857142857"/>
    <n v="13"/>
    <n v="-1.5"/>
    <x v="14"/>
    <n v="-115.38461538461539"/>
    <n v="5.780578461538461"/>
  </r>
  <r>
    <s v="Dandaragan"/>
    <x v="6"/>
    <x v="6"/>
    <n v="2.16"/>
    <x v="193"/>
    <d v="2016-02-02T00:00:00"/>
    <x v="16"/>
    <x v="4"/>
    <d v="2016-03-01T00:00:00"/>
    <n v="67.5"/>
    <n v="3.25"/>
    <x v="7"/>
    <n v="3.5"/>
    <n v="0.25"/>
    <x v="17"/>
    <n v="125"/>
    <n v="19.280167499999997"/>
    <n v="13"/>
    <n v="2"/>
    <x v="14"/>
    <n v="153.84615384615387"/>
    <n v="20.702282884615386"/>
  </r>
  <r>
    <s v="Dandaragan"/>
    <x v="6"/>
    <x v="6"/>
    <n v="2.16"/>
    <x v="194"/>
    <d v="2016-02-02T00:00:00"/>
    <x v="45"/>
    <x v="0"/>
    <d v="2016-03-01T00:00:00"/>
    <n v="62.5"/>
    <n v="3"/>
    <x v="7"/>
    <n v="3.5"/>
    <n v="0.5"/>
    <x v="17"/>
    <n v="125"/>
    <n v="18.434717499999998"/>
    <n v="13"/>
    <n v="-0.5"/>
    <x v="14"/>
    <n v="-38.461538461538467"/>
    <n v="10.376063653846154"/>
  </r>
  <r>
    <s v="Dandaragan"/>
    <x v="6"/>
    <x v="6"/>
    <n v="2.16"/>
    <x v="195"/>
    <d v="2016-02-02T00:00:00"/>
    <x v="57"/>
    <x v="0"/>
    <d v="2016-03-01T00:00:00"/>
    <n v="66.5"/>
    <n v="3"/>
    <x v="7"/>
    <n v="2"/>
    <n v="0.5"/>
    <x v="17"/>
    <n v="71.428571428571431"/>
    <n v="16.596823571428569"/>
    <n v="13"/>
    <n v="-0.5"/>
    <x v="14"/>
    <n v="-38.461538461538467"/>
    <n v="11.179241153846153"/>
  </r>
  <r>
    <s v="Dandaragan"/>
    <x v="6"/>
    <x v="6"/>
    <n v="2.16"/>
    <x v="196"/>
    <d v="2016-02-02T00:00:00"/>
    <x v="44"/>
    <x v="0"/>
    <d v="2016-03-01T00:00:00"/>
    <n v="61"/>
    <n v="3"/>
    <x v="7"/>
    <n v="5"/>
    <n v="0.5"/>
    <x v="17"/>
    <n v="178.57142857142858"/>
    <n v="20.69533642857143"/>
    <n v="13"/>
    <n v="0.5"/>
    <x v="14"/>
    <n v="38.461538461538467"/>
    <n v="13.787918846153845"/>
  </r>
  <r>
    <s v="Dandaragan"/>
    <x v="6"/>
    <x v="6"/>
    <n v="2.16"/>
    <x v="197"/>
    <d v="2016-02-02T00:00:00"/>
    <x v="80"/>
    <x v="4"/>
    <d v="2016-03-01T00:00:00"/>
    <n v="67.5"/>
    <n v="3"/>
    <x v="7"/>
    <n v="2.5"/>
    <n v="0"/>
    <x v="17"/>
    <n v="89.285714285714292"/>
    <n v="17.603998214285713"/>
    <n v="13"/>
    <n v="-0.5"/>
    <x v="14"/>
    <n v="-38.461538461538467"/>
    <n v="11.306058653846154"/>
  </r>
  <r>
    <s v="Merredin"/>
    <x v="3"/>
    <x v="3"/>
    <n v="3.16"/>
    <x v="98"/>
    <d v="2016-01-05T00:00:00"/>
    <x v="58"/>
    <x v="9"/>
    <d v="2016-02-02T00:00:00"/>
    <n v="74"/>
    <n v="3"/>
    <x v="7"/>
    <n v="0"/>
    <n v="-1"/>
    <x v="18"/>
    <n v="0"/>
    <n v="14.512659999999999"/>
    <n v="14"/>
    <n v="-4"/>
    <x v="3"/>
    <n v="-285.71428571428572"/>
    <n v="0.42694571428571493"/>
  </r>
  <r>
    <s v="Merredin"/>
    <x v="3"/>
    <x v="3"/>
    <n v="3.16"/>
    <x v="99"/>
    <d v="2016-01-05T00:00:00"/>
    <x v="59"/>
    <x v="10"/>
    <d v="2016-02-02T00:00:00"/>
    <n v="74"/>
    <n v="4"/>
    <x v="7"/>
    <n v="-4"/>
    <n v="-1"/>
    <x v="18"/>
    <n v="-142.85714285714286"/>
    <n v="7.807982857142858"/>
    <n v="14"/>
    <n v="-3"/>
    <x v="3"/>
    <n v="-214.28571428571428"/>
    <n v="4.2865542857142866"/>
  </r>
  <r>
    <s v="Merredin"/>
    <x v="3"/>
    <x v="3"/>
    <n v="3.16"/>
    <x v="100"/>
    <d v="2016-01-05T00:00:00"/>
    <x v="60"/>
    <x v="10"/>
    <d v="2016-02-02T00:00:00"/>
    <n v="69.5"/>
    <n v="3"/>
    <x v="7"/>
    <n v="-5"/>
    <n v="-2"/>
    <x v="18"/>
    <n v="-178.57142857142858"/>
    <n v="5.3709085714285703"/>
    <n v="14"/>
    <n v="-4.5"/>
    <x v="3"/>
    <n v="-321.42857142857144"/>
    <n v="-1.6719485714285724"/>
  </r>
  <r>
    <s v="Merredin"/>
    <x v="3"/>
    <x v="3"/>
    <n v="3.16"/>
    <x v="101"/>
    <d v="2016-01-05T00:00:00"/>
    <x v="61"/>
    <x v="9"/>
    <d v="2016-02-02T00:00:00"/>
    <n v="74.5"/>
    <n v="4"/>
    <x v="7"/>
    <n v="-2"/>
    <n v="0"/>
    <x v="18"/>
    <n v="-71.428571428571431"/>
    <n v="11.244866428571429"/>
    <n v="14"/>
    <n v="-3.5"/>
    <x v="3"/>
    <n v="-250"/>
    <n v="2.4412950000000002"/>
  </r>
  <r>
    <s v="Merredin"/>
    <x v="3"/>
    <x v="3"/>
    <n v="3.16"/>
    <x v="102"/>
    <d v="2016-01-05T00:00:00"/>
    <x v="62"/>
    <x v="4"/>
    <d v="2016-02-02T00:00:00"/>
    <n v="71.5"/>
    <n v="3"/>
    <x v="7"/>
    <n v="-4"/>
    <n v="0"/>
    <x v="18"/>
    <n v="-142.85714285714286"/>
    <n v="7.3852578571428582"/>
    <n v="14"/>
    <n v="-3.5"/>
    <x v="3"/>
    <n v="-250"/>
    <n v="2.1031150000000007"/>
  </r>
  <r>
    <s v="Merredin"/>
    <x v="3"/>
    <x v="3"/>
    <n v="3.16"/>
    <x v="103"/>
    <d v="2016-01-05T00:00:00"/>
    <x v="59"/>
    <x v="4"/>
    <d v="2016-02-02T00:00:00"/>
    <n v="78"/>
    <n v="3"/>
    <x v="7"/>
    <n v="0"/>
    <n v="0"/>
    <x v="18"/>
    <n v="0"/>
    <n v="15.189019999999999"/>
    <n v="14"/>
    <n v="-3"/>
    <x v="3"/>
    <n v="-214.28571428571428"/>
    <n v="4.6247342857142861"/>
  </r>
  <r>
    <s v="Merredin"/>
    <x v="3"/>
    <x v="3"/>
    <n v="3.16"/>
    <x v="104"/>
    <d v="2016-01-05T00:00:00"/>
    <x v="63"/>
    <x v="4"/>
    <d v="2016-02-02T00:00:00"/>
    <n v="73.5"/>
    <n v="4"/>
    <x v="7"/>
    <n v="-4"/>
    <n v="1"/>
    <x v="18"/>
    <n v="-142.85714285714286"/>
    <n v="7.7234378571428577"/>
    <n v="14"/>
    <n v="-4"/>
    <x v="3"/>
    <n v="-285.71428571428572"/>
    <n v="0.68058071428571587"/>
  </r>
  <r>
    <s v="Merredin"/>
    <x v="3"/>
    <x v="3"/>
    <n v="3.16"/>
    <x v="105"/>
    <d v="2016-01-05T00:00:00"/>
    <x v="64"/>
    <x v="9"/>
    <d v="2016-02-02T00:00:00"/>
    <n v="70"/>
    <n v="4"/>
    <x v="7"/>
    <n v="-2.5"/>
    <n v="0"/>
    <x v="18"/>
    <n v="-89.285714285714292"/>
    <n v="9.645876785714286"/>
    <n v="14"/>
    <n v="-3"/>
    <x v="3"/>
    <n v="-214.28571428571428"/>
    <n v="3.4833767857142863"/>
  </r>
  <r>
    <s v="Merredin"/>
    <x v="3"/>
    <x v="3"/>
    <n v="3.16"/>
    <x v="106"/>
    <d v="2016-01-05T00:00:00"/>
    <x v="63"/>
    <x v="9"/>
    <d v="2016-02-02T00:00:00"/>
    <n v="73.5"/>
    <n v="4"/>
    <x v="7"/>
    <n v="-4"/>
    <n v="0"/>
    <x v="18"/>
    <n v="-142.85714285714286"/>
    <n v="7.7234378571428577"/>
    <n v="14"/>
    <n v="-3.5"/>
    <x v="3"/>
    <n v="-250"/>
    <n v="2.4412950000000002"/>
  </r>
  <r>
    <s v="Merredin"/>
    <x v="3"/>
    <x v="3"/>
    <n v="3.16"/>
    <x v="107"/>
    <d v="2016-01-05T00:00:00"/>
    <x v="65"/>
    <x v="4"/>
    <d v="2016-02-02T00:00:00"/>
    <n v="70.5"/>
    <n v="3"/>
    <x v="7"/>
    <n v="-5.5"/>
    <n v="0"/>
    <x v="18"/>
    <n v="-196.42857142857142"/>
    <n v="4.7019139285714289"/>
    <n v="14"/>
    <n v="-2.5"/>
    <x v="3"/>
    <n v="-178.57142857142858"/>
    <n v="5.5822710714285702"/>
  </r>
  <r>
    <s v="Merredin"/>
    <x v="3"/>
    <x v="3"/>
    <n v="3.16"/>
    <x v="108"/>
    <d v="2016-01-05T00:00:00"/>
    <x v="66"/>
    <x v="4"/>
    <d v="2016-02-02T00:00:00"/>
    <n v="69.5"/>
    <n v="3"/>
    <x v="7"/>
    <n v="-3.5"/>
    <n v="0"/>
    <x v="18"/>
    <n v="-125"/>
    <n v="7.8851624999999999"/>
    <n v="14"/>
    <n v="-3"/>
    <x v="3"/>
    <n v="-214.28571428571428"/>
    <n v="3.4833767857142863"/>
  </r>
  <r>
    <s v="Merredin"/>
    <x v="3"/>
    <x v="3"/>
    <n v="3.16"/>
    <x v="109"/>
    <d v="2016-01-05T00:00:00"/>
    <x v="67"/>
    <x v="9"/>
    <d v="2016-02-02T00:00:00"/>
    <n v="72.5"/>
    <n v="4"/>
    <x v="7"/>
    <n v="-4.5"/>
    <n v="0"/>
    <x v="18"/>
    <n v="-160.71428571428572"/>
    <n v="6.7162632142857142"/>
    <n v="14"/>
    <n v="-2.5"/>
    <x v="3"/>
    <n v="-178.57142857142858"/>
    <n v="5.8359060714285711"/>
  </r>
  <r>
    <s v="Merredin"/>
    <x v="3"/>
    <x v="3"/>
    <n v="3.16"/>
    <x v="110"/>
    <d v="2016-01-05T00:00:00"/>
    <x v="64"/>
    <x v="4"/>
    <d v="2016-02-02T00:00:00"/>
    <n v="68.5"/>
    <n v="3"/>
    <x v="7"/>
    <n v="-4"/>
    <n v="0"/>
    <x v="18"/>
    <n v="-142.85714285714286"/>
    <n v="6.8779878571428581"/>
    <n v="14"/>
    <n v="-3"/>
    <x v="3"/>
    <n v="-214.28571428571428"/>
    <n v="3.3565592857142867"/>
  </r>
  <r>
    <s v="Merredin"/>
    <x v="3"/>
    <x v="3"/>
    <n v="3.16"/>
    <x v="111"/>
    <d v="2016-01-05T00:00:00"/>
    <x v="68"/>
    <x v="10"/>
    <d v="2016-02-02T00:00:00"/>
    <n v="67.5"/>
    <n v="3"/>
    <x v="7"/>
    <n v="-6"/>
    <n v="-2"/>
    <x v="18"/>
    <n v="-214.28571428571428"/>
    <n v="3.3565592857142867"/>
    <n v="14"/>
    <n v="-4"/>
    <x v="3"/>
    <n v="-285.71428571428572"/>
    <n v="-0.16486928571428372"/>
  </r>
  <r>
    <s v="Merredin"/>
    <x v="3"/>
    <x v="3"/>
    <n v="3.16"/>
    <x v="112"/>
    <d v="2016-01-05T00:00:00"/>
    <x v="58"/>
    <x v="10"/>
    <d v="2016-02-02T00:00:00"/>
    <n v="70"/>
    <n v="5"/>
    <x v="7"/>
    <n v="-4"/>
    <n v="0"/>
    <x v="18"/>
    <n v="-142.85714285714286"/>
    <n v="7.1316228571428573"/>
    <n v="14"/>
    <n v="-2"/>
    <x v="3"/>
    <n v="-142.85714285714286"/>
    <n v="7.1316228571428573"/>
  </r>
  <r>
    <s v="Merredin"/>
    <x v="3"/>
    <x v="3"/>
    <n v="3.16"/>
    <x v="113"/>
    <d v="2016-01-05T00:00:00"/>
    <x v="69"/>
    <x v="9"/>
    <d v="2016-02-02T00:00:00"/>
    <n v="69.5"/>
    <n v="3"/>
    <x v="7"/>
    <n v="-5.5"/>
    <n v="-1"/>
    <x v="18"/>
    <n v="-196.42857142857142"/>
    <n v="4.53282392857143"/>
    <n v="14"/>
    <n v="-2.5"/>
    <x v="3"/>
    <n v="-178.57142857142858"/>
    <n v="5.4131810714285713"/>
  </r>
  <r>
    <s v="Merredin"/>
    <x v="3"/>
    <x v="3"/>
    <n v="3.16"/>
    <x v="114"/>
    <d v="2016-01-05T00:00:00"/>
    <x v="69"/>
    <x v="4"/>
    <d v="2016-02-02T00:00:00"/>
    <n v="69.5"/>
    <n v="3"/>
    <x v="7"/>
    <n v="-5.5"/>
    <n v="0"/>
    <x v="18"/>
    <n v="-196.42857142857142"/>
    <n v="4.53282392857143"/>
    <n v="14"/>
    <n v="-3.5"/>
    <x v="3"/>
    <n v="-250"/>
    <n v="1.8917525000000008"/>
  </r>
  <r>
    <s v="Merredin"/>
    <x v="3"/>
    <x v="3"/>
    <n v="3.16"/>
    <x v="115"/>
    <d v="2016-01-05T00:00:00"/>
    <x v="60"/>
    <x v="9"/>
    <d v="2016-02-02T00:00:00"/>
    <n v="72.5"/>
    <n v="4"/>
    <x v="7"/>
    <n v="-2"/>
    <n v="0"/>
    <x v="18"/>
    <n v="-71.428571428571431"/>
    <n v="10.90668642857143"/>
    <n v="14"/>
    <n v="-1.5"/>
    <x v="3"/>
    <n v="-107.14285714285714"/>
    <n v="9.1459721428571434"/>
  </r>
  <r>
    <s v="Merredin"/>
    <x v="3"/>
    <x v="3"/>
    <n v="3.16"/>
    <x v="116"/>
    <d v="2016-01-05T00:00:00"/>
    <x v="59"/>
    <x v="9"/>
    <d v="2016-02-02T00:00:00"/>
    <n v="75"/>
    <n v="3.5"/>
    <x v="7"/>
    <n v="-3"/>
    <n v="-0.5"/>
    <x v="18"/>
    <n v="-107.14285714285714"/>
    <n v="9.6532421428571435"/>
    <n v="14"/>
    <n v="-1"/>
    <x v="3"/>
    <n v="-71.428571428571431"/>
    <n v="11.41395642857143"/>
  </r>
  <r>
    <s v="Merredin"/>
    <x v="3"/>
    <x v="3"/>
    <n v="3.16"/>
    <x v="117"/>
    <d v="2016-01-05T00:00:00"/>
    <x v="58"/>
    <x v="4"/>
    <d v="2016-02-02T00:00:00"/>
    <n v="72.5"/>
    <n v="3.5"/>
    <x v="7"/>
    <n v="-1.5"/>
    <n v="0.5"/>
    <x v="18"/>
    <n v="-53.571428571428569"/>
    <n v="11.74477107142857"/>
    <n v="14"/>
    <n v="-2"/>
    <x v="3"/>
    <n v="-142.85714285714286"/>
    <n v="7.3429853571428572"/>
  </r>
  <r>
    <s v="Merredin"/>
    <x v="3"/>
    <x v="3"/>
    <n v="3.16"/>
    <x v="118"/>
    <d v="2016-01-05T00:00:00"/>
    <x v="68"/>
    <x v="10"/>
    <d v="2016-02-02T00:00:00"/>
    <n v="67.5"/>
    <n v="3"/>
    <x v="7"/>
    <n v="-6"/>
    <n v="-2"/>
    <x v="18"/>
    <n v="-214.28571428571428"/>
    <n v="3.3565592857142867"/>
    <n v="14"/>
    <n v="-3"/>
    <x v="3"/>
    <n v="-214.28571428571428"/>
    <n v="3.3565592857142867"/>
  </r>
  <r>
    <s v="Merredin"/>
    <x v="3"/>
    <x v="3"/>
    <n v="3.16"/>
    <x v="119"/>
    <d v="2016-01-05T00:00:00"/>
    <x v="63"/>
    <x v="10"/>
    <d v="2016-02-02T00:00:00"/>
    <n v="75.5"/>
    <n v="5"/>
    <x v="7"/>
    <n v="-2"/>
    <n v="0"/>
    <x v="18"/>
    <n v="-71.428571428571431"/>
    <n v="11.41395642857143"/>
    <n v="14"/>
    <n v="-3"/>
    <x v="3"/>
    <n v="-214.28571428571428"/>
    <n v="4.371099285714287"/>
  </r>
  <r>
    <s v="Merredin"/>
    <x v="3"/>
    <x v="3"/>
    <n v="3.16"/>
    <x v="120"/>
    <d v="2016-01-05T00:00:00"/>
    <x v="69"/>
    <x v="4"/>
    <d v="2016-02-02T00:00:00"/>
    <n v="73"/>
    <n v="3"/>
    <x v="7"/>
    <n v="-2"/>
    <n v="0"/>
    <x v="18"/>
    <n v="-71.428571428571431"/>
    <n v="10.991231428571428"/>
    <n v="14"/>
    <n v="-1"/>
    <x v="3"/>
    <n v="-71.428571428571431"/>
    <n v="10.991231428571428"/>
  </r>
  <r>
    <s v="Merredin"/>
    <x v="3"/>
    <x v="3"/>
    <n v="3.16"/>
    <x v="121"/>
    <d v="2016-01-05T00:00:00"/>
    <x v="59"/>
    <x v="10"/>
    <d v="2016-02-02T00:00:00"/>
    <n v="73"/>
    <n v="3.5"/>
    <x v="7"/>
    <n v="-5"/>
    <n v="-1.5"/>
    <x v="18"/>
    <n v="-178.57142857142858"/>
    <n v="5.9627235714285707"/>
    <n v="14"/>
    <n v="-3.5"/>
    <x v="3"/>
    <n v="-250"/>
    <n v="2.4412950000000002"/>
  </r>
  <r>
    <s v="Merredin"/>
    <x v="3"/>
    <x v="3"/>
    <n v="3.16"/>
    <x v="122"/>
    <d v="2016-01-05T00:00:00"/>
    <x v="70"/>
    <x v="10"/>
    <d v="2016-02-02T00:00:00"/>
    <n v="69"/>
    <n v="4"/>
    <x v="7"/>
    <n v="-3"/>
    <n v="-1"/>
    <x v="18"/>
    <n v="-107.14285714285714"/>
    <n v="8.6387021428571433"/>
    <n v="14"/>
    <n v="-2.5"/>
    <x v="3"/>
    <n v="-178.57142857142858"/>
    <n v="5.1172735714285711"/>
  </r>
  <r>
    <s v="Merredin"/>
    <x v="3"/>
    <x v="3"/>
    <n v="3.16"/>
    <x v="123"/>
    <d v="2016-01-05T00:00:00"/>
    <x v="59"/>
    <x v="4"/>
    <d v="2016-02-02T00:00:00"/>
    <n v="73.5"/>
    <n v="3"/>
    <x v="7"/>
    <n v="-4.5"/>
    <n v="0"/>
    <x v="18"/>
    <n v="-160.71428571428572"/>
    <n v="6.885353214285713"/>
    <n v="14"/>
    <n v="-3.5"/>
    <x v="3"/>
    <n v="-250"/>
    <n v="2.4835674999999995"/>
  </r>
  <r>
    <s v="Merredin"/>
    <x v="3"/>
    <x v="3"/>
    <n v="3.16"/>
    <x v="124"/>
    <d v="2016-01-05T00:00:00"/>
    <x v="69"/>
    <x v="10"/>
    <d v="2016-02-02T00:00:00"/>
    <n v="73"/>
    <n v="4"/>
    <x v="7"/>
    <n v="-2"/>
    <n v="-1"/>
    <x v="18"/>
    <n v="-71.428571428571431"/>
    <n v="10.991231428571428"/>
    <n v="14"/>
    <n v="-3"/>
    <x v="3"/>
    <n v="-214.28571428571428"/>
    <n v="3.9483742857142854"/>
  </r>
  <r>
    <s v="Merredin"/>
    <x v="3"/>
    <x v="3"/>
    <n v="3.16"/>
    <x v="125"/>
    <d v="2016-01-05T00:00:00"/>
    <x v="66"/>
    <x v="4"/>
    <d v="2016-02-02T00:00:00"/>
    <n v="71"/>
    <n v="3.5"/>
    <x v="7"/>
    <n v="-2"/>
    <n v="0.5"/>
    <x v="18"/>
    <n v="-71.428571428571431"/>
    <n v="10.653051428571429"/>
    <n v="14"/>
    <n v="-4"/>
    <x v="3"/>
    <n v="-285.71428571428572"/>
    <n v="8.8765714285715447E-2"/>
  </r>
  <r>
    <s v="Merredin"/>
    <x v="3"/>
    <x v="3"/>
    <n v="3.16"/>
    <x v="126"/>
    <d v="2016-01-05T00:00:00"/>
    <x v="63"/>
    <x v="10"/>
    <d v="2016-02-02T00:00:00"/>
    <n v="73.5"/>
    <n v="3"/>
    <x v="7"/>
    <n v="-4"/>
    <n v="-2"/>
    <x v="18"/>
    <n v="-142.85714285714286"/>
    <n v="7.7234378571428577"/>
    <n v="14"/>
    <n v="-2.5"/>
    <x v="3"/>
    <n v="-178.57142857142858"/>
    <n v="5.9627235714285707"/>
  </r>
  <r>
    <s v="Merredin"/>
    <x v="3"/>
    <x v="3"/>
    <n v="3.16"/>
    <x v="127"/>
    <d v="2016-01-05T00:00:00"/>
    <x v="62"/>
    <x v="10"/>
    <d v="2016-02-02T00:00:00"/>
    <n v="74.5"/>
    <n v="4.5"/>
    <x v="7"/>
    <n v="-1"/>
    <n v="-0.5"/>
    <x v="18"/>
    <n v="-35.714285714285715"/>
    <n v="12.921035714285713"/>
    <n v="14"/>
    <n v="-4"/>
    <x v="3"/>
    <n v="-285.71428571428572"/>
    <n v="0.59603571428571556"/>
  </r>
  <r>
    <s v="Tammin"/>
    <x v="4"/>
    <x v="4"/>
    <n v="2.4300000000000002"/>
    <x v="128"/>
    <d v="2015-02-10T00:00:00"/>
    <x v="35"/>
    <x v="4"/>
    <d v="2015-03-10T00:00:00"/>
    <n v="56.8"/>
    <n v="3"/>
    <x v="7"/>
    <n v="2.1999999999999957"/>
    <n v="0"/>
    <x v="19"/>
    <n v="78.571428571428413"/>
    <n v="15.29188442857142"/>
    <n v="7"/>
    <n v="0.79999999999999716"/>
    <x v="9"/>
    <n v="114.28571428571388"/>
    <n v="17.052598714285693"/>
  </r>
  <r>
    <s v="Tammin"/>
    <x v="4"/>
    <x v="4"/>
    <n v="2.4300000000000002"/>
    <x v="129"/>
    <d v="2015-02-10T00:00:00"/>
    <x v="71"/>
    <x v="6"/>
    <d v="2015-03-10T00:00:00"/>
    <n v="54.8"/>
    <n v="3.5"/>
    <x v="7"/>
    <n v="-2"/>
    <n v="0"/>
    <x v="19"/>
    <n v="-71.428571428571431"/>
    <n v="7.9137934285714291"/>
    <n v="7"/>
    <n v="-0.70000000000000284"/>
    <x v="9"/>
    <n v="-100.00000000000041"/>
    <n v="6.5052219999999794"/>
  </r>
  <r>
    <s v="Tammin"/>
    <x v="4"/>
    <x v="4"/>
    <n v="2.4300000000000002"/>
    <x v="130"/>
    <d v="2015-02-10T00:00:00"/>
    <x v="35"/>
    <x v="0"/>
    <d v="2015-03-10T00:00:00"/>
    <n v="57.8"/>
    <n v="2.5"/>
    <x v="7"/>
    <n v="3.1999999999999957"/>
    <n v="0"/>
    <x v="19"/>
    <n v="114.28571428571414"/>
    <n v="17.137143714285706"/>
    <n v="7"/>
    <n v="0.29999999999999716"/>
    <x v="9"/>
    <n v="42.857142857142449"/>
    <n v="13.615715142857123"/>
  </r>
  <r>
    <s v="Tammin"/>
    <x v="4"/>
    <x v="4"/>
    <n v="2.4300000000000002"/>
    <x v="131"/>
    <d v="2015-02-10T00:00:00"/>
    <x v="40"/>
    <x v="9"/>
    <d v="2015-03-10T00:00:00"/>
    <n v="60"/>
    <n v="4"/>
    <x v="7"/>
    <n v="2.3999999999999986"/>
    <n v="0"/>
    <x v="19"/>
    <n v="85.714285714285666"/>
    <n v="16.168206285714284"/>
    <n v="7"/>
    <n v="-1"/>
    <x v="9"/>
    <n v="-142.85714285714286"/>
    <n v="4.8996348571428578"/>
  </r>
  <r>
    <s v="Tammin"/>
    <x v="4"/>
    <x v="4"/>
    <n v="2.4300000000000002"/>
    <x v="132"/>
    <d v="2015-02-10T00:00:00"/>
    <x v="72"/>
    <x v="0"/>
    <d v="2015-03-10T00:00:00"/>
    <n v="59.6"/>
    <n v="3.5"/>
    <x v="7"/>
    <n v="1.2000000000000028"/>
    <n v="1"/>
    <x v="19"/>
    <n v="42.857142857142961"/>
    <n v="14.089167142857148"/>
    <n v="7"/>
    <n v="2.1000000000000014"/>
    <x v="9"/>
    <n v="300.00000000000023"/>
    <n v="26.766310000000011"/>
  </r>
  <r>
    <s v="Tammin"/>
    <x v="4"/>
    <x v="4"/>
    <n v="2.4300000000000002"/>
    <x v="133"/>
    <d v="2015-02-10T00:00:00"/>
    <x v="44"/>
    <x v="4"/>
    <d v="2015-03-10T00:00:00"/>
    <n v="55.7"/>
    <n v="3"/>
    <x v="7"/>
    <n v="-0.29999999999999716"/>
    <n v="0"/>
    <x v="19"/>
    <n v="-10.714285714285612"/>
    <n v="10.91546221428572"/>
    <n v="7"/>
    <n v="-1.2999999999999972"/>
    <x v="9"/>
    <n v="-185.7142857142853"/>
    <n v="2.2879622142857361"/>
  </r>
  <r>
    <s v="Tammin"/>
    <x v="4"/>
    <x v="4"/>
    <n v="2.4300000000000002"/>
    <x v="134"/>
    <d v="2015-02-10T00:00:00"/>
    <x v="71"/>
    <x v="6"/>
    <d v="2015-03-10T00:00:00"/>
    <n v="54.8"/>
    <n v="3.5"/>
    <x v="7"/>
    <n v="-2"/>
    <n v="0"/>
    <x v="19"/>
    <n v="-71.428571428571431"/>
    <n v="7.9137934285714291"/>
    <n v="7"/>
    <n v="-5.7000000000000028"/>
    <x v="9"/>
    <n v="-814.28571428571468"/>
    <n v="-28.709063714285737"/>
  </r>
  <r>
    <s v="Tammin"/>
    <x v="4"/>
    <x v="4"/>
    <n v="2.4300000000000002"/>
    <x v="135"/>
    <d v="2015-02-10T00:00:00"/>
    <x v="18"/>
    <x v="4"/>
    <d v="2015-03-10T00:00:00"/>
    <n v="60.6"/>
    <n v="4"/>
    <x v="7"/>
    <n v="2.8000000000000043"/>
    <n v="1"/>
    <x v="19"/>
    <n v="100.00000000000016"/>
    <n v="16.940128000000009"/>
    <n v="7"/>
    <n v="2.1000000000000014"/>
    <x v="9"/>
    <n v="300.00000000000023"/>
    <n v="26.800128000000008"/>
  </r>
  <r>
    <s v="Tammin"/>
    <x v="4"/>
    <x v="4"/>
    <n v="2.4300000000000002"/>
    <x v="136"/>
    <d v="2015-02-10T00:00:00"/>
    <x v="3"/>
    <x v="0"/>
    <d v="2015-03-10T00:00:00"/>
    <n v="59.4"/>
    <n v="3.5"/>
    <x v="7"/>
    <n v="7"/>
    <n v="1"/>
    <x v="19"/>
    <n v="250"/>
    <n v="23.777130999999997"/>
    <n v="7"/>
    <n v="0.39999999999999858"/>
    <x v="9"/>
    <n v="57.14285714285694"/>
    <n v="14.269273857142846"/>
  </r>
  <r>
    <s v="Tammin"/>
    <x v="4"/>
    <x v="4"/>
    <n v="2.4300000000000002"/>
    <x v="137"/>
    <d v="2015-02-10T00:00:00"/>
    <x v="8"/>
    <x v="4"/>
    <d v="2015-03-10T00:00:00"/>
    <n v="60.2"/>
    <n v="4"/>
    <x v="7"/>
    <n v="3"/>
    <n v="1"/>
    <x v="19"/>
    <n v="107.14285714285714"/>
    <n v="17.207725857142854"/>
    <n v="7"/>
    <n v="2.2000000000000028"/>
    <x v="9"/>
    <n v="314.28571428571468"/>
    <n v="27.419868714285734"/>
  </r>
  <r>
    <s v="Tammin"/>
    <x v="4"/>
    <x v="4"/>
    <n v="2.4300000000000002"/>
    <x v="138"/>
    <d v="2015-02-10T00:00:00"/>
    <x v="73"/>
    <x v="0"/>
    <d v="2015-03-10T00:00:00"/>
    <n v="55.6"/>
    <n v="3.5"/>
    <x v="7"/>
    <n v="2"/>
    <n v="1"/>
    <x v="19"/>
    <n v="71.428571428571431"/>
    <n v="14.753742571428571"/>
    <n v="7"/>
    <n v="1.1000000000000014"/>
    <x v="9"/>
    <n v="157.14285714285734"/>
    <n v="18.979456857142868"/>
  </r>
  <r>
    <s v="Tammin"/>
    <x v="4"/>
    <x v="4"/>
    <n v="2.4300000000000002"/>
    <x v="139"/>
    <d v="2015-02-10T00:00:00"/>
    <x v="44"/>
    <x v="4"/>
    <d v="2015-03-10T00:00:00"/>
    <n v="56.8"/>
    <n v="3"/>
    <x v="7"/>
    <n v="0.79999999999999716"/>
    <n v="0"/>
    <x v="19"/>
    <n v="28.57142857142847"/>
    <n v="12.945247428571424"/>
    <n v="7"/>
    <n v="1.2999999999999972"/>
    <x v="9"/>
    <n v="185.7142857142853"/>
    <n v="20.692390285714264"/>
  </r>
  <r>
    <s v="Tammin"/>
    <x v="4"/>
    <x v="4"/>
    <n v="2.4300000000000002"/>
    <x v="140"/>
    <d v="2015-02-10T00:00:00"/>
    <x v="30"/>
    <x v="6"/>
    <d v="2015-03-10T00:00:00"/>
    <n v="55"/>
    <n v="4"/>
    <x v="7"/>
    <n v="1.2000000000000028"/>
    <n v="0.5"/>
    <x v="19"/>
    <n v="42.857142857142961"/>
    <n v="13.311353142857147"/>
    <n v="7"/>
    <n v="-2.5"/>
    <x v="9"/>
    <n v="-357.14285714285717"/>
    <n v="-6.408646857142859"/>
  </r>
  <r>
    <s v="Tammin"/>
    <x v="4"/>
    <x v="4"/>
    <n v="2.4300000000000002"/>
    <x v="141"/>
    <d v="2015-02-10T00:00:00"/>
    <x v="74"/>
    <x v="6"/>
    <d v="2015-03-10T00:00:00"/>
    <n v="54.8"/>
    <n v="4"/>
    <x v="7"/>
    <n v="2.5999999999999943"/>
    <n v="0.5"/>
    <x v="19"/>
    <n v="92.857142857142648"/>
    <n v="15.624172142857132"/>
    <n v="7"/>
    <n v="0.29999999999999716"/>
    <x v="9"/>
    <n v="42.857142857142449"/>
    <n v="13.159172142857123"/>
  </r>
  <r>
    <s v="Tammin"/>
    <x v="4"/>
    <x v="4"/>
    <n v="2.4300000000000002"/>
    <x v="142"/>
    <d v="2015-02-10T00:00:00"/>
    <x v="47"/>
    <x v="6"/>
    <d v="2015-03-10T00:00:00"/>
    <n v="61"/>
    <n v="4"/>
    <x v="7"/>
    <n v="2.7999999999999972"/>
    <n v="0.5"/>
    <x v="19"/>
    <n v="99.999999999999901"/>
    <n v="17.007763999999995"/>
    <n v="7"/>
    <n v="1"/>
    <x v="9"/>
    <n v="142.85714285714286"/>
    <n v="19.120621142857143"/>
  </r>
  <r>
    <s v="Tammin"/>
    <x v="4"/>
    <x v="4"/>
    <n v="2.4300000000000002"/>
    <x v="143"/>
    <d v="2015-02-10T00:00:00"/>
    <x v="75"/>
    <x v="4"/>
    <d v="2015-03-10T00:00:00"/>
    <n v="58.8"/>
    <n v="3.5"/>
    <x v="7"/>
    <n v="3.1999999999999957"/>
    <n v="0.5"/>
    <x v="19"/>
    <n v="114.28571428571414"/>
    <n v="17.306233714285707"/>
    <n v="7"/>
    <n v="0.29999999999999716"/>
    <x v="9"/>
    <n v="42.857142857142449"/>
    <n v="13.784805142857124"/>
  </r>
  <r>
    <s v="Tammin"/>
    <x v="4"/>
    <x v="4"/>
    <n v="2.4300000000000002"/>
    <x v="144"/>
    <d v="2015-02-10T00:00:00"/>
    <x v="15"/>
    <x v="4"/>
    <d v="2015-03-10T00:00:00"/>
    <n v="56.8"/>
    <n v="3.5"/>
    <x v="7"/>
    <n v="0.39999999999999858"/>
    <n v="0.5"/>
    <x v="19"/>
    <n v="14.285714285714235"/>
    <n v="12.27477971428571"/>
    <n v="7"/>
    <n v="1.7999999999999972"/>
    <x v="9"/>
    <n v="257.14285714285671"/>
    <n v="24.247636857142837"/>
  </r>
  <r>
    <s v="Tammin"/>
    <x v="4"/>
    <x v="4"/>
    <n v="2.4300000000000002"/>
    <x v="145"/>
    <d v="2015-02-10T00:00:00"/>
    <x v="13"/>
    <x v="6"/>
    <d v="2015-03-10T00:00:00"/>
    <n v="58.6"/>
    <n v="2.5"/>
    <x v="7"/>
    <n v="-1.3999999999999986"/>
    <n v="-1"/>
    <x v="19"/>
    <n v="-49.99999999999995"/>
    <n v="9.5620370000000001"/>
    <n v="7"/>
    <n v="1.1000000000000014"/>
    <x v="9"/>
    <n v="157.14285714285734"/>
    <n v="19.774179857142865"/>
  </r>
  <r>
    <s v="Tammin"/>
    <x v="4"/>
    <x v="4"/>
    <n v="2.4300000000000002"/>
    <x v="146"/>
    <d v="2015-02-10T00:00:00"/>
    <x v="76"/>
    <x v="4"/>
    <d v="2015-03-10T00:00:00"/>
    <n v="61.4"/>
    <n v="3"/>
    <x v="7"/>
    <n v="5.6000000000000014"/>
    <n v="0"/>
    <x v="19"/>
    <n v="200.00000000000003"/>
    <n v="21.768673999999997"/>
    <n v="7"/>
    <n v="0.89999999999999858"/>
    <x v="9"/>
    <n v="128.57142857142836"/>
    <n v="18.247245428571418"/>
  </r>
  <r>
    <s v="Tammin"/>
    <x v="4"/>
    <x v="4"/>
    <n v="2.4300000000000002"/>
    <x v="147"/>
    <d v="2015-02-10T00:00:00"/>
    <x v="77"/>
    <x v="6"/>
    <d v="2015-03-10T00:00:00"/>
    <n v="56"/>
    <n v="4"/>
    <x v="7"/>
    <n v="3.2000000000000028"/>
    <n v="0.5"/>
    <x v="19"/>
    <n v="114.28571428571439"/>
    <n v="16.832781714285719"/>
    <n v="7"/>
    <n v="1.5"/>
    <x v="9"/>
    <n v="214.28571428571428"/>
    <n v="21.762781714285712"/>
  </r>
  <r>
    <s v="Tammin"/>
    <x v="5"/>
    <x v="5"/>
    <n v="2.4700000000000002"/>
    <x v="148"/>
    <d v="2015-02-10T00:00:00"/>
    <x v="72"/>
    <x v="0"/>
    <d v="2015-03-10T00:00:00"/>
    <n v="62.2"/>
    <n v="3"/>
    <x v="7"/>
    <n v="3.8000000000000043"/>
    <n v="0.5"/>
    <x v="20"/>
    <n v="135.71428571428586"/>
    <n v="18.88684128571429"/>
    <n v="7"/>
    <n v="0.20000000000000284"/>
    <x v="10"/>
    <n v="28.571428571428978"/>
    <n v="13.604698428571448"/>
  </r>
  <r>
    <s v="Tammin"/>
    <x v="5"/>
    <x v="5"/>
    <n v="2.4700000000000002"/>
    <x v="149"/>
    <d v="2015-02-10T00:00:00"/>
    <x v="78"/>
    <x v="0"/>
    <d v="2015-03-10T00:00:00"/>
    <n v="55.6"/>
    <n v="3"/>
    <x v="7"/>
    <n v="3"/>
    <n v="0.5"/>
    <x v="20"/>
    <n v="107.14285714285714"/>
    <n v="16.429911857142855"/>
    <n v="7"/>
    <n v="-0.39999999999999858"/>
    <x v="10"/>
    <n v="-57.14285714285694"/>
    <n v="8.3306261428571524"/>
  </r>
  <r>
    <s v="Tammin"/>
    <x v="5"/>
    <x v="5"/>
    <n v="2.4700000000000002"/>
    <x v="150"/>
    <d v="2015-02-10T00:00:00"/>
    <x v="73"/>
    <x v="4"/>
    <d v="2015-03-10T00:00:00"/>
    <n v="53.6"/>
    <n v="2.5"/>
    <x v="7"/>
    <n v="0"/>
    <n v="-0.5"/>
    <x v="20"/>
    <n v="0"/>
    <n v="11.063224"/>
    <n v="7"/>
    <n v="0.60000000000000142"/>
    <x v="10"/>
    <n v="85.714285714285921"/>
    <n v="15.288938285714295"/>
  </r>
  <r>
    <s v="Tammin"/>
    <x v="5"/>
    <x v="5"/>
    <n v="2.4700000000000002"/>
    <x v="151"/>
    <d v="2015-02-10T00:00:00"/>
    <x v="75"/>
    <x v="4"/>
    <d v="2015-03-10T00:00:00"/>
    <n v="61.2"/>
    <n v="4"/>
    <x v="7"/>
    <n v="5.6000000000000014"/>
    <n v="1"/>
    <x v="20"/>
    <n v="200.00000000000003"/>
    <n v="21.734856000000001"/>
    <n v="7"/>
    <n v="-1.2999999999999972"/>
    <x v="10"/>
    <n v="-185.7142857142853"/>
    <n v="2.7191417142857368"/>
  </r>
  <r>
    <s v="Tammin"/>
    <x v="5"/>
    <x v="5"/>
    <n v="2.4700000000000002"/>
    <x v="152"/>
    <d v="2015-02-10T00:00:00"/>
    <x v="79"/>
    <x v="9"/>
    <d v="2015-03-10T00:00:00"/>
    <n v="64.400000000000006"/>
    <n v="4"/>
    <x v="7"/>
    <n v="4.6000000000000085"/>
    <n v="0"/>
    <x v="20"/>
    <n v="164.28571428571459"/>
    <n v="20.599774714285729"/>
    <n v="7"/>
    <n v="-0.59999999999999432"/>
    <x v="10"/>
    <n v="-85.714285714284898"/>
    <n v="8.2747747142857548"/>
  </r>
  <r>
    <s v="Tammin"/>
    <x v="5"/>
    <x v="5"/>
    <n v="2.4700000000000002"/>
    <x v="153"/>
    <d v="2015-02-10T00:00:00"/>
    <x v="30"/>
    <x v="0"/>
    <d v="2015-03-10T00:00:00"/>
    <n v="60.4"/>
    <n v="3.5"/>
    <x v="7"/>
    <n v="6.6000000000000014"/>
    <n v="1"/>
    <x v="20"/>
    <n v="235.71428571428578"/>
    <n v="23.275753285714288"/>
    <n v="7"/>
    <n v="0.39999999999999858"/>
    <x v="10"/>
    <n v="57.14285714285694"/>
    <n v="14.472181857142846"/>
  </r>
  <r>
    <s v="Tammin"/>
    <x v="5"/>
    <x v="5"/>
    <n v="2.4700000000000002"/>
    <x v="154"/>
    <d v="2015-02-10T00:00:00"/>
    <x v="42"/>
    <x v="6"/>
    <d v="2015-03-10T00:00:00"/>
    <n v="58"/>
    <n v="4.5"/>
    <x v="7"/>
    <n v="2.6000000000000014"/>
    <n v="1"/>
    <x v="20"/>
    <n v="92.857142857142904"/>
    <n v="16.165260142857143"/>
    <n v="7"/>
    <n v="-1"/>
    <x v="10"/>
    <n v="-142.85714285714286"/>
    <n v="4.5445458571428583"/>
  </r>
  <r>
    <s v="Tammin"/>
    <x v="5"/>
    <x v="5"/>
    <n v="2.4700000000000002"/>
    <x v="155"/>
    <d v="2015-02-10T00:00:00"/>
    <x v="54"/>
    <x v="6"/>
    <d v="2015-03-10T00:00:00"/>
    <n v="56.8"/>
    <n v="4"/>
    <x v="7"/>
    <n v="-0.20000000000000284"/>
    <n v="0.5"/>
    <x v="20"/>
    <n v="-7.1428571428572445"/>
    <n v="11.269078142857136"/>
    <n v="7"/>
    <n v="-0.70000000000000284"/>
    <x v="10"/>
    <n v="-100.00000000000041"/>
    <n v="6.6912209999999783"/>
  </r>
  <r>
    <s v="Tammin"/>
    <x v="5"/>
    <x v="5"/>
    <n v="2.4700000000000002"/>
    <x v="156"/>
    <d v="2015-02-10T00:00:00"/>
    <x v="20"/>
    <x v="0"/>
    <d v="2015-03-10T00:00:00"/>
    <n v="61"/>
    <n v="2.5"/>
    <x v="7"/>
    <n v="3"/>
    <n v="0"/>
    <x v="20"/>
    <n v="107.14285714285714"/>
    <n v="17.342997857142855"/>
    <n v="7"/>
    <n v="0.5"/>
    <x v="10"/>
    <n v="71.428571428571431"/>
    <n v="15.582283571428571"/>
  </r>
  <r>
    <s v="Tammin"/>
    <x v="5"/>
    <x v="5"/>
    <n v="2.4700000000000002"/>
    <x v="157"/>
    <d v="2015-02-10T00:00:00"/>
    <x v="40"/>
    <x v="4"/>
    <d v="2015-03-10T00:00:00"/>
    <n v="60.2"/>
    <n v="4"/>
    <x v="7"/>
    <n v="2.6000000000000014"/>
    <n v="1"/>
    <x v="20"/>
    <n v="92.857142857142904"/>
    <n v="16.537258142857144"/>
    <n v="7"/>
    <n v="1.7000000000000028"/>
    <x v="10"/>
    <n v="242.85714285714326"/>
    <n v="23.932258142857162"/>
  </r>
  <r>
    <s v="Tammin"/>
    <x v="5"/>
    <x v="5"/>
    <n v="2.4700000000000002"/>
    <x v="158"/>
    <d v="2015-02-10T00:00:00"/>
    <x v="42"/>
    <x v="4"/>
    <d v="2015-03-10T00:00:00"/>
    <n v="56.8"/>
    <n v="3"/>
    <x v="7"/>
    <n v="1.3999999999999986"/>
    <n v="0"/>
    <x v="20"/>
    <n v="49.99999999999995"/>
    <n v="13.950948999999994"/>
    <n v="7"/>
    <n v="0.29999999999999716"/>
    <x v="10"/>
    <n v="42.857142857142449"/>
    <n v="13.598806142857121"/>
  </r>
  <r>
    <s v="Tammin"/>
    <x v="5"/>
    <x v="5"/>
    <n v="2.4700000000000002"/>
    <x v="159"/>
    <d v="2015-02-10T00:00:00"/>
    <x v="20"/>
    <x v="4"/>
    <d v="2015-03-10T00:00:00"/>
    <n v="58.6"/>
    <n v="3"/>
    <x v="7"/>
    <n v="0.60000000000000142"/>
    <n v="0"/>
    <x v="20"/>
    <n v="21.42857142857148"/>
    <n v="12.914375571428574"/>
    <n v="7"/>
    <n v="-1.8999999999999986"/>
    <x v="10"/>
    <n v="-271.42857142857122"/>
    <n v="-1.5234815714285617"/>
  </r>
  <r>
    <s v="Tammin"/>
    <x v="5"/>
    <x v="5"/>
    <n v="2.4700000000000002"/>
    <x v="160"/>
    <d v="2015-02-10T00:00:00"/>
    <x v="74"/>
    <x v="0"/>
    <d v="2015-03-10T00:00:00"/>
    <n v="60.8"/>
    <n v="3.5"/>
    <x v="7"/>
    <n v="8.5999999999999943"/>
    <n v="1"/>
    <x v="20"/>
    <n v="307.14285714285694"/>
    <n v="26.695727857142849"/>
    <n v="7"/>
    <n v="1.2999999999999972"/>
    <x v="10"/>
    <n v="185.7142857142853"/>
    <n v="20.709299285714266"/>
  </r>
  <r>
    <s v="Tammin"/>
    <x v="5"/>
    <x v="5"/>
    <n v="2.4700000000000002"/>
    <x v="161"/>
    <d v="2015-02-10T00:00:00"/>
    <x v="73"/>
    <x v="4"/>
    <d v="2015-03-10T00:00:00"/>
    <n v="60"/>
    <n v="4"/>
    <x v="7"/>
    <n v="6.3999999999999986"/>
    <n v="1"/>
    <x v="20"/>
    <n v="228.5714285714285"/>
    <n v="22.872883428571424"/>
    <n v="7"/>
    <n v="3"/>
    <x v="10"/>
    <n v="428.57142857142856"/>
    <n v="32.732883428571427"/>
  </r>
  <r>
    <s v="Tammin"/>
    <x v="5"/>
    <x v="5"/>
    <n v="2.4700000000000002"/>
    <x v="162"/>
    <d v="2015-02-10T00:00:00"/>
    <x v="13"/>
    <x v="6"/>
    <d v="2015-03-10T00:00:00"/>
    <n v="66"/>
    <n v="4"/>
    <x v="7"/>
    <n v="6"/>
    <n v="0.5"/>
    <x v="20"/>
    <n v="214.28571428571428"/>
    <n v="23.21695571428571"/>
    <n v="7"/>
    <n v="2"/>
    <x v="10"/>
    <n v="285.71428571428572"/>
    <n v="26.738384285714282"/>
  </r>
  <r>
    <s v="Tammin"/>
    <x v="5"/>
    <x v="5"/>
    <n v="2.4700000000000002"/>
    <x v="163"/>
    <d v="2015-02-10T00:00:00"/>
    <x v="78"/>
    <x v="0"/>
    <d v="2015-03-10T00:00:00"/>
    <n v="54.6"/>
    <n v="3"/>
    <x v="7"/>
    <n v="2"/>
    <n v="0.5"/>
    <x v="20"/>
    <n v="71.428571428571431"/>
    <n v="14.58465257142857"/>
    <n v="7"/>
    <n v="0.10000000000000142"/>
    <x v="10"/>
    <n v="14.285714285714489"/>
    <n v="11.767509714285724"/>
  </r>
  <r>
    <s v="Tammin"/>
    <x v="5"/>
    <x v="5"/>
    <n v="2.4700000000000002"/>
    <x v="164"/>
    <d v="2015-02-10T00:00:00"/>
    <x v="8"/>
    <x v="4"/>
    <d v="2015-03-10T00:00:00"/>
    <n v="62"/>
    <n v="3.5"/>
    <x v="7"/>
    <n v="4.7999999999999972"/>
    <n v="0.5"/>
    <x v="20"/>
    <n v="171.42857142857133"/>
    <n v="20.529192571428567"/>
    <n v="7"/>
    <n v="1"/>
    <x v="10"/>
    <n v="142.85714285714286"/>
    <n v="19.120621142857143"/>
  </r>
  <r>
    <s v="Tammin"/>
    <x v="5"/>
    <x v="5"/>
    <n v="2.4700000000000002"/>
    <x v="165"/>
    <d v="2015-02-10T00:00:00"/>
    <x v="8"/>
    <x v="6"/>
    <d v="2015-03-10T00:00:00"/>
    <n v="56.8"/>
    <n v="3.5"/>
    <x v="7"/>
    <n v="-0.40000000000000568"/>
    <n v="0"/>
    <x v="20"/>
    <n v="-14.285714285714489"/>
    <n v="10.933844285714276"/>
    <n v="7"/>
    <n v="-2.2000000000000028"/>
    <x v="10"/>
    <n v="-314.28571428571468"/>
    <n v="-3.8561557142857321"/>
  </r>
  <r>
    <s v="Tammin"/>
    <x v="5"/>
    <x v="5"/>
    <n v="2.4700000000000002"/>
    <x v="166"/>
    <d v="2015-02-10T00:00:00"/>
    <x v="35"/>
    <x v="4"/>
    <d v="2015-03-10T00:00:00"/>
    <n v="57.2"/>
    <n v="2.5"/>
    <x v="7"/>
    <n v="2.6000000000000014"/>
    <n v="-0.5"/>
    <x v="20"/>
    <n v="92.857142857142904"/>
    <n v="16.029988142857142"/>
    <n v="7"/>
    <n v="0.20000000000000284"/>
    <x v="10"/>
    <n v="28.571428571428978"/>
    <n v="12.860702428571448"/>
  </r>
  <r>
    <s v="Tammin"/>
    <x v="5"/>
    <x v="5"/>
    <n v="2.4700000000000002"/>
    <x v="167"/>
    <d v="2015-02-10T00:00:00"/>
    <x v="24"/>
    <x v="4"/>
    <d v="2015-03-10T00:00:00"/>
    <n v="53"/>
    <n v="3.5"/>
    <x v="7"/>
    <n v="-2.2000000000000028"/>
    <n v="0.5"/>
    <x v="20"/>
    <n v="-78.571428571428669"/>
    <n v="7.2741975714285676"/>
    <n v="7"/>
    <n v="1"/>
    <x v="10"/>
    <n v="142.85714285714286"/>
    <n v="18.190626142857141"/>
  </r>
  <r>
    <s v="Tammin"/>
    <x v="7"/>
    <x v="7"/>
    <n v="2.35"/>
    <x v="198"/>
    <d v="2014-02-17T00:00:00"/>
    <x v="76"/>
    <x v="11"/>
    <d v="2014-03-18T00:00:00"/>
    <n v="61"/>
    <m/>
    <x v="8"/>
    <n v="5.2000000000000028"/>
    <m/>
    <x v="21"/>
    <n v="179.31034482758631"/>
    <n v="20.714856000000005"/>
    <n v="13"/>
    <n v="4.3999999999999986"/>
    <x v="15"/>
    <n v="338.4615384615384"/>
    <n v="28.561009846153837"/>
  </r>
  <r>
    <s v="Tammin"/>
    <x v="7"/>
    <x v="7"/>
    <n v="2.35"/>
    <x v="199"/>
    <d v="2014-02-17T00:00:00"/>
    <x v="19"/>
    <x v="11"/>
    <d v="2014-03-18T00:00:00"/>
    <n v="60.5"/>
    <m/>
    <x v="8"/>
    <n v="4.2999999999999972"/>
    <m/>
    <x v="21"/>
    <n v="148.27586206896544"/>
    <n v="19.176401499999997"/>
    <n v="13"/>
    <n v="0.5"/>
    <x v="15"/>
    <n v="38.461538461538467"/>
    <n v="13.762555346153846"/>
  </r>
  <r>
    <s v="Tammin"/>
    <x v="7"/>
    <x v="7"/>
    <n v="2.35"/>
    <x v="200"/>
    <d v="2014-02-17T00:00:00"/>
    <x v="0"/>
    <x v="11"/>
    <d v="2014-03-18T00:00:00"/>
    <n v="56"/>
    <m/>
    <x v="8"/>
    <n v="2"/>
    <m/>
    <x v="21"/>
    <n v="68.965517241379303"/>
    <n v="14.699949999999999"/>
    <n v="13"/>
    <n v="1.3999999999999986"/>
    <x v="15"/>
    <n v="107.69230769230759"/>
    <n v="16.609180769230761"/>
  </r>
  <r>
    <s v="Tammin"/>
    <x v="7"/>
    <x v="7"/>
    <n v="2.35"/>
    <x v="201"/>
    <d v="2014-02-17T00:00:00"/>
    <x v="20"/>
    <x v="11"/>
    <d v="2014-03-18T00:00:00"/>
    <n v="62"/>
    <m/>
    <x v="8"/>
    <n v="4"/>
    <m/>
    <x v="21"/>
    <n v="137.93103448275861"/>
    <n v="18.945399999999999"/>
    <n v="13"/>
    <n v="7"/>
    <x v="15"/>
    <n v="538.46153846153845"/>
    <n v="38.691553846153838"/>
  </r>
  <r>
    <s v="Tammin"/>
    <x v="7"/>
    <x v="7"/>
    <n v="2.35"/>
    <x v="202"/>
    <d v="2014-02-17T00:00:00"/>
    <x v="84"/>
    <x v="11"/>
    <d v="2014-03-18T00:00:00"/>
    <n v="66.5"/>
    <m/>
    <x v="8"/>
    <n v="7.7000000000000028"/>
    <m/>
    <x v="21"/>
    <n v="265.51724137931041"/>
    <n v="25.683488500000003"/>
    <n v="13"/>
    <n v="8.1000000000000014"/>
    <x v="15"/>
    <n v="623.07692307692321"/>
    <n v="43.31118080769231"/>
  </r>
  <r>
    <s v="Tammin"/>
    <x v="7"/>
    <x v="7"/>
    <n v="2.35"/>
    <x v="203"/>
    <d v="2014-02-17T00:00:00"/>
    <x v="74"/>
    <x v="11"/>
    <d v="2014-03-18T00:00:00"/>
    <n v="57"/>
    <m/>
    <x v="8"/>
    <n v="4.7999999999999972"/>
    <m/>
    <x v="21"/>
    <n v="165.51724137931026"/>
    <n v="19.392313999999995"/>
    <n v="13"/>
    <n v="3"/>
    <x v="15"/>
    <n v="230.76923076923077"/>
    <n v="22.60923707692308"/>
  </r>
  <r>
    <s v="Tammin"/>
    <x v="7"/>
    <x v="7"/>
    <n v="2.35"/>
    <x v="204"/>
    <d v="2014-02-17T00:00:00"/>
    <x v="35"/>
    <x v="11"/>
    <d v="2014-03-18T00:00:00"/>
    <n v="56"/>
    <m/>
    <x v="8"/>
    <n v="1.3999999999999986"/>
    <m/>
    <x v="21"/>
    <n v="48.275862068965466"/>
    <n v="13.730676999999996"/>
    <n v="13"/>
    <n v="0.39999999999999858"/>
    <x v="15"/>
    <n v="30.76923076923066"/>
    <n v="12.86760007692307"/>
  </r>
  <r>
    <s v="Tammin"/>
    <x v="7"/>
    <x v="7"/>
    <n v="2.35"/>
    <x v="205"/>
    <d v="2014-02-17T00:00:00"/>
    <x v="35"/>
    <x v="11"/>
    <d v="2014-03-18T00:00:00"/>
    <n v="60.5"/>
    <m/>
    <x v="8"/>
    <n v="5.8999999999999986"/>
    <m/>
    <x v="21"/>
    <n v="203.44827586206893"/>
    <n v="21.761129499999996"/>
    <n v="13"/>
    <n v="4.7000000000000028"/>
    <x v="15"/>
    <n v="361.53846153846177"/>
    <n v="29.554975653846164"/>
  </r>
  <r>
    <s v="Tammin"/>
    <x v="7"/>
    <x v="7"/>
    <n v="2.35"/>
    <x v="206"/>
    <d v="2014-02-17T00:00:00"/>
    <x v="0"/>
    <x v="11"/>
    <d v="2014-03-18T00:00:00"/>
    <n v="60"/>
    <m/>
    <x v="8"/>
    <n v="6"/>
    <m/>
    <x v="21"/>
    <n v="206.89655172413794"/>
    <n v="21.83813"/>
    <n v="13"/>
    <n v="4.2000000000000028"/>
    <x v="15"/>
    <n v="323.07692307692332"/>
    <n v="27.565822307692319"/>
  </r>
  <r>
    <s v="Tammin"/>
    <x v="7"/>
    <x v="7"/>
    <n v="2.35"/>
    <x v="207"/>
    <d v="2014-02-17T00:00:00"/>
    <x v="8"/>
    <x v="11"/>
    <d v="2014-03-18T00:00:00"/>
    <n v="60.5"/>
    <m/>
    <x v="8"/>
    <n v="3.2999999999999972"/>
    <m/>
    <x v="21"/>
    <n v="113.79310344827577"/>
    <n v="17.560946499999993"/>
    <n v="13"/>
    <n v="2.5"/>
    <x v="15"/>
    <n v="192.30769230769232"/>
    <n v="21.431715730769227"/>
  </r>
  <r>
    <s v="Tammin"/>
    <x v="7"/>
    <x v="7"/>
    <n v="2.35"/>
    <x v="208"/>
    <d v="2014-02-17T00:00:00"/>
    <x v="14"/>
    <x v="11"/>
    <d v="2014-03-18T00:00:00"/>
    <n v="71.5"/>
    <m/>
    <x v="8"/>
    <n v="7.2999999999999972"/>
    <m/>
    <x v="21"/>
    <n v="251.72413793103436"/>
    <n v="25.882756499999992"/>
    <n v="13"/>
    <n v="5.5"/>
    <x v="15"/>
    <n v="423.07692307692309"/>
    <n v="34.330448807692306"/>
  </r>
  <r>
    <s v="Tammin"/>
    <x v="7"/>
    <x v="7"/>
    <n v="2.35"/>
    <x v="209"/>
    <d v="2014-02-17T00:00:00"/>
    <x v="11"/>
    <x v="11"/>
    <d v="2014-03-18T00:00:00"/>
    <n v="54.5"/>
    <m/>
    <x v="8"/>
    <n v="6.1000000000000014"/>
    <m/>
    <x v="21"/>
    <n v="210.34482758620695"/>
    <n v="21.069680500000004"/>
    <n v="13"/>
    <n v="1.8999999999999986"/>
    <x v="15"/>
    <n v="146.15384615384605"/>
    <n v="17.905065115384609"/>
  </r>
  <r>
    <s v="Tammin"/>
    <x v="7"/>
    <x v="7"/>
    <n v="2.35"/>
    <x v="210"/>
    <d v="2014-02-17T00:00:00"/>
    <x v="32"/>
    <x v="11"/>
    <d v="2014-03-18T00:00:00"/>
    <n v="59"/>
    <m/>
    <x v="8"/>
    <n v="4"/>
    <m/>
    <x v="21"/>
    <n v="137.93103448275861"/>
    <n v="18.438130000000001"/>
    <n v="13"/>
    <n v="6.3999999999999986"/>
    <x v="15"/>
    <n v="492.30769230769221"/>
    <n v="35.908899230769222"/>
  </r>
  <r>
    <s v="Tammin"/>
    <x v="7"/>
    <x v="7"/>
    <n v="2.35"/>
    <x v="211"/>
    <d v="2014-02-17T00:00:00"/>
    <x v="6"/>
    <x v="11"/>
    <d v="2014-03-18T00:00:00"/>
    <n v="55.5"/>
    <m/>
    <x v="8"/>
    <n v="4.8999999999999986"/>
    <m/>
    <x v="21"/>
    <n v="168.96551724137925"/>
    <n v="19.300224499999995"/>
    <n v="13"/>
    <n v="2.2999999999999972"/>
    <x v="15"/>
    <n v="176.92307692307671"/>
    <n v="19.692532192307681"/>
  </r>
  <r>
    <s v="Tammin"/>
    <x v="7"/>
    <x v="7"/>
    <n v="2.35"/>
    <x v="212"/>
    <d v="2014-02-17T00:00:00"/>
    <x v="34"/>
    <x v="11"/>
    <d v="2014-03-18T00:00:00"/>
    <n v="56"/>
    <m/>
    <x v="8"/>
    <n v="4.3999999999999986"/>
    <m/>
    <x v="21"/>
    <n v="151.72413793103442"/>
    <n v="18.577041999999995"/>
    <n v="13"/>
    <n v="2.3999999999999986"/>
    <x v="15"/>
    <n v="184.61538461538453"/>
    <n v="20.198580461538455"/>
  </r>
  <r>
    <s v="Tammin"/>
    <x v="7"/>
    <x v="7"/>
    <n v="2.35"/>
    <x v="213"/>
    <d v="2014-02-17T00:00:00"/>
    <x v="85"/>
    <x v="11"/>
    <d v="2014-03-18T00:00:00"/>
    <n v="53.5"/>
    <m/>
    <x v="8"/>
    <n v="3.8999999999999986"/>
    <m/>
    <x v="21"/>
    <n v="134.48275862068962"/>
    <n v="17.346589499999997"/>
    <n v="13"/>
    <n v="-0.89999999999999858"/>
    <x v="15"/>
    <n v="-69.230769230769127"/>
    <n v="7.3035125769230813"/>
  </r>
  <r>
    <s v="Tammin"/>
    <x v="7"/>
    <x v="7"/>
    <n v="2.35"/>
    <x v="214"/>
    <d v="2014-02-17T00:00:00"/>
    <x v="3"/>
    <x v="11"/>
    <d v="2014-03-18T00:00:00"/>
    <n v="60"/>
    <m/>
    <x v="8"/>
    <n v="7.6000000000000014"/>
    <m/>
    <x v="21"/>
    <n v="262.06896551724139"/>
    <n v="24.422857999999998"/>
    <n v="13"/>
    <n v="4"/>
    <x v="15"/>
    <n v="307.69230769230774"/>
    <n v="26.672088769230768"/>
  </r>
  <r>
    <s v="Tammin"/>
    <x v="7"/>
    <x v="7"/>
    <n v="2.35"/>
    <x v="215"/>
    <d v="2014-02-17T00:00:00"/>
    <x v="6"/>
    <x v="11"/>
    <d v="2014-03-18T00:00:00"/>
    <n v="54.5"/>
    <m/>
    <x v="8"/>
    <n v="3.8999999999999986"/>
    <m/>
    <x v="21"/>
    <n v="134.48275862068962"/>
    <n v="17.515679499999997"/>
    <n v="13"/>
    <n v="1.5"/>
    <x v="15"/>
    <n v="115.38461538461539"/>
    <n v="16.574141038461537"/>
  </r>
  <r>
    <s v="Tammin"/>
    <x v="7"/>
    <x v="7"/>
    <n v="2.35"/>
    <x v="216"/>
    <d v="2014-02-17T00:00:00"/>
    <x v="86"/>
    <x v="11"/>
    <d v="2014-03-18T00:00:00"/>
    <n v="54.5"/>
    <m/>
    <x v="8"/>
    <n v="4.5"/>
    <m/>
    <x v="21"/>
    <n v="155.17241379310346"/>
    <n v="18.484952499999999"/>
    <n v="13"/>
    <n v="3.2999999999999972"/>
    <x v="15"/>
    <n v="253.84615384615361"/>
    <n v="23.349567884615372"/>
  </r>
  <r>
    <s v="Tammin"/>
    <x v="7"/>
    <x v="7"/>
    <n v="2.35"/>
    <x v="217"/>
    <d v="2014-02-17T00:00:00"/>
    <x v="42"/>
    <x v="11"/>
    <d v="2014-03-18T00:00:00"/>
    <n v="62.5"/>
    <m/>
    <x v="8"/>
    <n v="7.1000000000000014"/>
    <m/>
    <x v="21"/>
    <n v="244.8275862068966"/>
    <n v="24.037855500000003"/>
    <n v="13"/>
    <n v="5.5"/>
    <x v="15"/>
    <n v="423.07692307692309"/>
    <n v="32.82554780769231"/>
  </r>
  <r>
    <s v="Tammin"/>
    <x v="7"/>
    <x v="7"/>
    <n v="2.35"/>
    <x v="218"/>
    <d v="2014-02-17T00:00:00"/>
    <x v="19"/>
    <x v="11"/>
    <d v="2014-03-18T00:00:00"/>
    <n v="61.5"/>
    <m/>
    <x v="8"/>
    <n v="5.2999999999999972"/>
    <m/>
    <x v="21"/>
    <n v="182.75862068965506"/>
    <n v="20.960946499999991"/>
    <n v="13"/>
    <n v="0.5"/>
    <x v="15"/>
    <n v="38.461538461538467"/>
    <n v="13.847100346153844"/>
  </r>
  <r>
    <s v="Tammin"/>
    <x v="7"/>
    <x v="7"/>
    <n v="2.35"/>
    <x v="219"/>
    <d v="2014-02-17T00:00:00"/>
    <x v="48"/>
    <x v="11"/>
    <d v="2014-03-18T00:00:00"/>
    <n v="55"/>
    <m/>
    <x v="8"/>
    <n v="4"/>
    <m/>
    <x v="21"/>
    <n v="137.93103448275861"/>
    <n v="17.761769999999999"/>
    <n v="13"/>
    <n v="7.6000000000000014"/>
    <x v="15"/>
    <n v="584.61538461538476"/>
    <n v="39.783308461538468"/>
  </r>
  <r>
    <s v="Tammin"/>
    <x v="7"/>
    <x v="7"/>
    <n v="2.35"/>
    <x v="220"/>
    <d v="2014-02-17T00:00:00"/>
    <x v="87"/>
    <x v="11"/>
    <d v="2014-03-18T00:00:00"/>
    <n v="59.5"/>
    <m/>
    <x v="8"/>
    <n v="8.1000000000000014"/>
    <m/>
    <x v="21"/>
    <n v="279.31034482758628"/>
    <n v="25.146040500000002"/>
    <n v="13"/>
    <n v="6.7000000000000028"/>
    <x v="15"/>
    <n v="515.38461538461559"/>
    <n v="36.784502038461547"/>
  </r>
  <r>
    <s v="Tammin"/>
    <x v="7"/>
    <x v="7"/>
    <n v="2.35"/>
    <x v="221"/>
    <d v="2014-02-17T00:00:00"/>
    <x v="88"/>
    <x v="11"/>
    <d v="2014-03-18T00:00:00"/>
    <n v="51"/>
    <m/>
    <x v="8"/>
    <n v="2.3999999999999986"/>
    <m/>
    <x v="21"/>
    <n v="82.758620689655132"/>
    <n v="14.500681999999998"/>
    <n v="13"/>
    <n v="2.3999999999999986"/>
    <x v="15"/>
    <n v="184.61538461538453"/>
    <n v="19.522220461538456"/>
  </r>
  <r>
    <s v="Tammin"/>
    <x v="7"/>
    <x v="7"/>
    <n v="2.35"/>
    <x v="222"/>
    <d v="2014-02-17T00:00:00"/>
    <x v="88"/>
    <x v="11"/>
    <d v="2014-03-18T00:00:00"/>
    <n v="50.5"/>
    <m/>
    <x v="8"/>
    <n v="1.8999999999999986"/>
    <m/>
    <x v="21"/>
    <n v="65.517241379310292"/>
    <n v="13.608409499999995"/>
    <n v="13"/>
    <n v="2.7000000000000028"/>
    <x v="15"/>
    <n v="207.69230769230791"/>
    <n v="20.617640269230776"/>
  </r>
  <r>
    <s v="Tammin"/>
    <x v="7"/>
    <x v="7"/>
    <n v="2.35"/>
    <x v="223"/>
    <d v="2014-02-17T00:00:00"/>
    <x v="37"/>
    <x v="11"/>
    <d v="2014-03-18T00:00:00"/>
    <n v="66.5"/>
    <m/>
    <x v="8"/>
    <n v="3.7000000000000028"/>
    <m/>
    <x v="21"/>
    <n v="127.58620689655181"/>
    <n v="19.221668500000003"/>
    <n v="13"/>
    <n v="2.5"/>
    <x v="15"/>
    <n v="192.30769230769232"/>
    <n v="22.412437730769231"/>
  </r>
  <r>
    <s v="Tammin"/>
    <x v="7"/>
    <x v="7"/>
    <n v="2.35"/>
    <x v="224"/>
    <d v="2014-02-17T00:00:00"/>
    <x v="32"/>
    <x v="11"/>
    <d v="2014-03-18T00:00:00"/>
    <n v="61"/>
    <m/>
    <x v="8"/>
    <n v="6"/>
    <m/>
    <x v="21"/>
    <n v="206.89655172413794"/>
    <n v="22.007219999999997"/>
    <n v="13"/>
    <n v="5.7999999999999972"/>
    <x v="15"/>
    <n v="446.15384615384596"/>
    <n v="33.802604615384602"/>
  </r>
  <r>
    <s v="Tammin"/>
    <x v="7"/>
    <x v="7"/>
    <n v="2.35"/>
    <x v="225"/>
    <d v="2014-02-17T00:00:00"/>
    <x v="7"/>
    <x v="11"/>
    <d v="2014-03-18T00:00:00"/>
    <n v="61.5"/>
    <m/>
    <x v="8"/>
    <n v="-1.7000000000000028"/>
    <m/>
    <x v="21"/>
    <n v="-58.620689655172512"/>
    <n v="9.6527614999999951"/>
    <n v="13"/>
    <n v="0.10000000000000142"/>
    <x v="15"/>
    <n v="7.6923076923078018"/>
    <n v="12.921992269230774"/>
  </r>
  <r>
    <s v="Tammin"/>
    <x v="7"/>
    <x v="7"/>
    <n v="2.35"/>
    <x v="226"/>
    <d v="2014-02-17T00:00:00"/>
    <x v="89"/>
    <x v="11"/>
    <d v="2014-03-18T00:00:00"/>
    <n v="56"/>
    <m/>
    <x v="8"/>
    <n v="4.2000000000000028"/>
    <m/>
    <x v="21"/>
    <n v="144.82758620689665"/>
    <n v="18.253951000000001"/>
    <n v="13"/>
    <n v="4.6000000000000014"/>
    <x v="15"/>
    <n v="353.84615384615398"/>
    <n v="28.558566384615389"/>
  </r>
  <r>
    <s v="Tammin"/>
    <x v="7"/>
    <x v="7"/>
    <n v="2.35"/>
    <x v="227"/>
    <d v="2014-02-17T00:00:00"/>
    <x v="19"/>
    <x v="11"/>
    <d v="2014-03-18T00:00:00"/>
    <n v="62.5"/>
    <m/>
    <x v="8"/>
    <n v="6.2999999999999972"/>
    <m/>
    <x v="21"/>
    <n v="217.24137931034474"/>
    <n v="22.745491499999993"/>
    <n v="13"/>
    <n v="8.8999999999999986"/>
    <x v="15"/>
    <n v="684.61538461538453"/>
    <n v="45.787029961538451"/>
  </r>
  <r>
    <s v="Tammin"/>
    <x v="7"/>
    <x v="7"/>
    <n v="2.35"/>
    <x v="228"/>
    <d v="2014-02-17T00:00:00"/>
    <x v="29"/>
    <x v="11"/>
    <d v="2014-03-18T00:00:00"/>
    <n v="65"/>
    <m/>
    <x v="8"/>
    <n v="5.3999999999999986"/>
    <m/>
    <x v="21"/>
    <n v="186.2068965517241"/>
    <n v="21.714306999999998"/>
    <n v="13"/>
    <n v="5.7999999999999972"/>
    <x v="15"/>
    <n v="446.15384615384596"/>
    <n v="34.529691615384607"/>
  </r>
  <r>
    <s v="Tammin"/>
    <x v="7"/>
    <x v="7"/>
    <n v="2.35"/>
    <x v="229"/>
    <d v="2014-02-17T00:00:00"/>
    <x v="90"/>
    <x v="11"/>
    <d v="2014-03-18T00:00:00"/>
    <n v="53"/>
    <m/>
    <x v="8"/>
    <n v="3.6000000000000014"/>
    <m/>
    <x v="21"/>
    <n v="124.13793103448282"/>
    <n v="16.777408000000001"/>
    <n v="13"/>
    <n v="3.3999999999999986"/>
    <x v="15"/>
    <n v="261.53846153846143"/>
    <n v="23.551254153846148"/>
  </r>
  <r>
    <s v="Tammin"/>
    <x v="7"/>
    <x v="7"/>
    <n v="2.35"/>
    <x v="230"/>
    <d v="2014-02-17T00:00:00"/>
    <x v="77"/>
    <x v="11"/>
    <d v="2014-03-18T00:00:00"/>
    <n v="60"/>
    <m/>
    <x v="8"/>
    <n v="7.2000000000000028"/>
    <m/>
    <x v="21"/>
    <n v="248.27586206896564"/>
    <n v="23.776676000000002"/>
    <n v="13"/>
    <n v="3.2000000000000028"/>
    <x v="15"/>
    <n v="246.15384615384636"/>
    <n v="23.672060615384623"/>
  </r>
  <r>
    <s v="Tammin"/>
    <x v="7"/>
    <x v="7"/>
    <n v="2.35"/>
    <x v="231"/>
    <d v="2014-02-17T00:00:00"/>
    <x v="91"/>
    <x v="11"/>
    <d v="2014-03-18T00:00:00"/>
    <n v="62"/>
    <m/>
    <x v="8"/>
    <n v="0.79999999999999716"/>
    <m/>
    <x v="21"/>
    <n v="27.586206896551626"/>
    <n v="13.775943999999996"/>
    <n v="13"/>
    <n v="4.2000000000000028"/>
    <x v="15"/>
    <n v="323.07692307692332"/>
    <n v="28.343636307692318"/>
  </r>
  <r>
    <s v="Tammin"/>
    <x v="7"/>
    <x v="7"/>
    <n v="2.35"/>
    <x v="232"/>
    <d v="2014-02-17T00:00:00"/>
    <x v="6"/>
    <x v="11"/>
    <d v="2014-03-18T00:00:00"/>
    <n v="57"/>
    <m/>
    <x v="8"/>
    <n v="6.3999999999999986"/>
    <m/>
    <x v="21"/>
    <n v="220.68965517241372"/>
    <n v="21.977041999999997"/>
    <n v="13"/>
    <n v="6.7999999999999972"/>
    <x v="15"/>
    <n v="523.07692307692287"/>
    <n v="36.884734307692298"/>
  </r>
  <r>
    <s v="Tammin"/>
    <x v="7"/>
    <x v="7"/>
    <n v="2.35"/>
    <x v="233"/>
    <d v="2014-02-17T00:00:00"/>
    <x v="92"/>
    <x v="11"/>
    <d v="2014-03-18T00:00:00"/>
    <n v="55"/>
    <m/>
    <x v="8"/>
    <n v="4.6000000000000014"/>
    <m/>
    <x v="21"/>
    <n v="158.62068965517244"/>
    <n v="18.731043"/>
    <n v="13"/>
    <n v="3.2000000000000028"/>
    <x v="15"/>
    <n v="246.15384615384636"/>
    <n v="23.046427615384623"/>
  </r>
  <r>
    <s v="Tammin"/>
    <x v="7"/>
    <x v="7"/>
    <n v="2.35"/>
    <x v="234"/>
    <d v="2014-02-17T00:00:00"/>
    <x v="15"/>
    <x v="11"/>
    <d v="2014-03-18T00:00:00"/>
    <n v="57.5"/>
    <m/>
    <x v="8"/>
    <n v="1.1000000000000014"/>
    <m/>
    <x v="21"/>
    <n v="37.931034482758669"/>
    <n v="13.499675500000002"/>
    <n v="13"/>
    <n v="-2.5"/>
    <x v="15"/>
    <n v="-192.30769230769232"/>
    <n v="2.1489062692307694"/>
  </r>
  <r>
    <s v="Tammin"/>
    <x v="7"/>
    <x v="7"/>
    <n v="2.35"/>
    <x v="235"/>
    <d v="2014-02-17T00:00:00"/>
    <x v="47"/>
    <x v="11"/>
    <d v="2014-03-18T00:00:00"/>
    <n v="59.5"/>
    <m/>
    <x v="8"/>
    <n v="1.2999999999999972"/>
    <m/>
    <x v="21"/>
    <n v="44.827586206896456"/>
    <n v="14.160946499999994"/>
    <n v="13"/>
    <n v="2.7000000000000028"/>
    <x v="15"/>
    <n v="207.69230769230791"/>
    <n v="22.19017726923078"/>
  </r>
  <r>
    <s v="Tammin"/>
    <x v="7"/>
    <x v="7"/>
    <n v="2.35"/>
    <x v="236"/>
    <d v="2014-02-17T00:00:00"/>
    <x v="30"/>
    <x v="11"/>
    <d v="2014-03-18T00:00:00"/>
    <n v="59"/>
    <m/>
    <x v="8"/>
    <n v="5.2000000000000028"/>
    <m/>
    <x v="21"/>
    <n v="179.31034482758631"/>
    <n v="20.376676000000003"/>
    <n v="13"/>
    <n v="7.3999999999999986"/>
    <x v="15"/>
    <n v="569.23076923076906"/>
    <n v="39.599752923076913"/>
  </r>
  <r>
    <s v="Tammin"/>
    <x v="7"/>
    <x v="7"/>
    <n v="2.35"/>
    <x v="237"/>
    <d v="2014-02-17T00:00:00"/>
    <x v="17"/>
    <x v="11"/>
    <d v="2014-03-18T00:00:00"/>
    <n v="58"/>
    <m/>
    <x v="8"/>
    <n v="-1.2000000000000028"/>
    <m/>
    <x v="21"/>
    <n v="-41.37931034482768"/>
    <n v="9.8686739999999951"/>
    <n v="13"/>
    <n v="-0.79999999999999716"/>
    <x v="15"/>
    <n v="-61.53846153846132"/>
    <n v="8.8748278461538561"/>
  </r>
  <r>
    <s v="Tammin"/>
    <x v="7"/>
    <x v="7"/>
    <n v="2.35"/>
    <x v="238"/>
    <d v="2014-02-17T00:00:00"/>
    <x v="93"/>
    <x v="11"/>
    <d v="2014-03-18T00:00:00"/>
    <n v="59.5"/>
    <m/>
    <x v="8"/>
    <n v="7.5"/>
    <m/>
    <x v="21"/>
    <n v="258.62068965517244"/>
    <n v="24.176767499999997"/>
    <n v="13"/>
    <n v="6.5"/>
    <x v="15"/>
    <n v="500"/>
    <n v="36.076767499999995"/>
  </r>
  <r>
    <s v="Tammin"/>
    <x v="7"/>
    <x v="7"/>
    <n v="2.35"/>
    <x v="239"/>
    <d v="2014-02-17T00:00:00"/>
    <x v="25"/>
    <x v="11"/>
    <d v="2014-03-18T00:00:00"/>
    <n v="62.5"/>
    <m/>
    <x v="8"/>
    <n v="1.8999999999999986"/>
    <m/>
    <x v="21"/>
    <n v="65.517241379310292"/>
    <n v="15.637489499999996"/>
    <n v="13"/>
    <n v="6.2999999999999972"/>
    <x v="15"/>
    <n v="484.61538461538441"/>
    <n v="36.299027961538449"/>
  </r>
  <r>
    <s v="Tammin"/>
    <x v="7"/>
    <x v="7"/>
    <n v="2.35"/>
    <x v="240"/>
    <d v="2014-02-17T00:00:00"/>
    <x v="94"/>
    <x v="11"/>
    <d v="2014-03-18T00:00:00"/>
    <n v="55"/>
    <m/>
    <x v="8"/>
    <n v="3.7999999999999972"/>
    <m/>
    <x v="21"/>
    <n v="131.03448275862058"/>
    <n v="17.438678999999993"/>
    <n v="13"/>
    <n v="5.6000000000000014"/>
    <x v="15"/>
    <n v="430.76923076923089"/>
    <n v="32.215602076923084"/>
  </r>
  <r>
    <s v="Tammin"/>
    <x v="7"/>
    <x v="7"/>
    <n v="2.35"/>
    <x v="241"/>
    <d v="2014-02-17T00:00:00"/>
    <x v="95"/>
    <x v="11"/>
    <d v="2014-03-18T00:00:00"/>
    <n v="71"/>
    <m/>
    <x v="8"/>
    <n v="7.6000000000000014"/>
    <m/>
    <x v="21"/>
    <n v="262.06896551724139"/>
    <n v="26.282848000000001"/>
    <n v="13"/>
    <n v="7"/>
    <x v="15"/>
    <n v="538.46153846153845"/>
    <n v="39.909001846153842"/>
  </r>
  <r>
    <s v="Tammin"/>
    <x v="7"/>
    <x v="7"/>
    <n v="2.35"/>
    <x v="242"/>
    <d v="2014-02-17T00:00:00"/>
    <x v="96"/>
    <x v="11"/>
    <d v="2014-03-18T00:00:00"/>
    <n v="60"/>
    <m/>
    <x v="8"/>
    <n v="2.6000000000000014"/>
    <m/>
    <x v="21"/>
    <n v="89.655172413793153"/>
    <n v="16.345583000000001"/>
    <n v="13"/>
    <n v="4.6000000000000014"/>
    <x v="15"/>
    <n v="353.84615384615398"/>
    <n v="29.370198384615389"/>
  </r>
  <r>
    <s v="Tammin"/>
    <x v="7"/>
    <x v="7"/>
    <n v="2.35"/>
    <x v="243"/>
    <d v="2014-02-17T00:00:00"/>
    <x v="71"/>
    <x v="11"/>
    <d v="2014-03-18T00:00:00"/>
    <n v="63"/>
    <m/>
    <x v="8"/>
    <n v="6.2000000000000028"/>
    <m/>
    <x v="21"/>
    <n v="213.79310344827596"/>
    <n v="22.668491000000003"/>
    <n v="13"/>
    <n v="3.7999999999999972"/>
    <x v="15"/>
    <n v="292.30769230769209"/>
    <n v="26.539260230769216"/>
  </r>
  <r>
    <s v="Tammin"/>
    <x v="7"/>
    <x v="7"/>
    <n v="2.35"/>
    <x v="244"/>
    <d v="2014-02-17T00:00:00"/>
    <x v="97"/>
    <x v="11"/>
    <d v="2014-03-18T00:00:00"/>
    <n v="59"/>
    <m/>
    <x v="8"/>
    <n v="4.6000000000000014"/>
    <m/>
    <x v="21"/>
    <n v="158.62068965517244"/>
    <n v="19.407403000000002"/>
    <n v="13"/>
    <n v="3.3999999999999986"/>
    <x v="15"/>
    <n v="261.53846153846143"/>
    <n v="24.48124915384615"/>
  </r>
  <r>
    <s v="Tammin"/>
    <x v="7"/>
    <x v="7"/>
    <n v="2.35"/>
    <x v="245"/>
    <d v="2014-02-17T00:00:00"/>
    <x v="3"/>
    <x v="11"/>
    <d v="2014-03-18T00:00:00"/>
    <n v="58.5"/>
    <m/>
    <x v="8"/>
    <n v="6.1000000000000014"/>
    <m/>
    <x v="21"/>
    <n v="210.34482758620695"/>
    <n v="21.746040500000003"/>
    <n v="13"/>
    <n v="3.5"/>
    <x v="15"/>
    <n v="269.23076923076923"/>
    <n v="24.649117423076923"/>
  </r>
  <r>
    <s v="Tammin"/>
    <x v="7"/>
    <x v="7"/>
    <n v="2.35"/>
    <x v="246"/>
    <d v="2014-02-17T00:00:00"/>
    <x v="77"/>
    <x v="11"/>
    <d v="2014-03-18T00:00:00"/>
    <n v="56"/>
    <m/>
    <x v="8"/>
    <n v="3.2000000000000028"/>
    <m/>
    <x v="21"/>
    <n v="110.34482758620699"/>
    <n v="16.638496000000004"/>
    <n v="13"/>
    <n v="5.3999999999999986"/>
    <x v="15"/>
    <n v="415.3846153846153"/>
    <n v="31.676957538461533"/>
  </r>
  <r>
    <s v="Tammin"/>
    <x v="7"/>
    <x v="7"/>
    <n v="2.35"/>
    <x v="247"/>
    <d v="2014-02-17T00:00:00"/>
    <x v="97"/>
    <x v="11"/>
    <d v="2014-03-18T00:00:00"/>
    <n v="63"/>
    <m/>
    <x v="8"/>
    <n v="8.6000000000000014"/>
    <m/>
    <x v="21"/>
    <n v="296.55172413793105"/>
    <n v="26.545583000000001"/>
    <n v="13"/>
    <n v="4.7999999999999972"/>
    <x v="15"/>
    <n v="369.23076923076906"/>
    <n v="30.128659923076913"/>
  </r>
  <r>
    <s v="Tammin"/>
    <x v="7"/>
    <x v="7"/>
    <n v="2.35"/>
    <x v="248"/>
    <d v="2014-02-17T00:00:00"/>
    <x v="54"/>
    <x v="11"/>
    <d v="2014-03-18T00:00:00"/>
    <n v="53"/>
    <m/>
    <x v="8"/>
    <n v="-4"/>
    <m/>
    <x v="21"/>
    <n v="-137.93103448275861"/>
    <n v="4.4999499999999992"/>
    <n v="13"/>
    <n v="0"/>
    <x v="15"/>
    <n v="0"/>
    <n v="11.299949999999999"/>
  </r>
  <r>
    <s v="Tammin"/>
    <x v="7"/>
    <x v="7"/>
    <n v="2.35"/>
    <x v="249"/>
    <d v="2014-02-17T00:00:00"/>
    <x v="98"/>
    <x v="11"/>
    <d v="2014-03-18T00:00:00"/>
    <n v="60.5"/>
    <m/>
    <x v="8"/>
    <n v="6.2999999999999972"/>
    <m/>
    <x v="21"/>
    <n v="217.24137931034474"/>
    <n v="22.407311499999995"/>
    <n v="13"/>
    <n v="4.8999999999999986"/>
    <x v="15"/>
    <n v="376.92307692307679"/>
    <n v="30.279619192307685"/>
  </r>
  <r>
    <s v="Tammin"/>
    <x v="7"/>
    <x v="7"/>
    <n v="2.35"/>
    <x v="250"/>
    <d v="2014-02-17T00:00:00"/>
    <x v="97"/>
    <x v="11"/>
    <d v="2014-03-18T00:00:00"/>
    <n v="59.5"/>
    <m/>
    <x v="8"/>
    <n v="5.1000000000000014"/>
    <m/>
    <x v="21"/>
    <n v="175.8620689655173"/>
    <n v="20.299675499999999"/>
    <n v="13"/>
    <n v="5.2999999999999972"/>
    <x v="15"/>
    <n v="407.69230769230745"/>
    <n v="31.728906269230755"/>
  </r>
  <r>
    <s v="Tammin"/>
    <x v="8"/>
    <x v="8"/>
    <n v="2.36"/>
    <x v="251"/>
    <d v="2014-02-17T00:00:00"/>
    <x v="4"/>
    <x v="11"/>
    <d v="2014-03-18T00:00:00"/>
    <n v="58.5"/>
    <m/>
    <x v="8"/>
    <n v="5.2999999999999972"/>
    <m/>
    <x v="22"/>
    <n v="182.75862068965506"/>
    <n v="20.453676499999993"/>
    <n v="13"/>
    <n v="-0.10000000000000142"/>
    <x v="16"/>
    <n v="-7.6923076923078018"/>
    <n v="11.064445730769226"/>
  </r>
  <r>
    <s v="Tammin"/>
    <x v="8"/>
    <x v="8"/>
    <n v="2.36"/>
    <x v="252"/>
    <d v="2014-02-17T00:00:00"/>
    <x v="97"/>
    <x v="11"/>
    <d v="2014-03-18T00:00:00"/>
    <n v="60"/>
    <m/>
    <x v="8"/>
    <n v="5.6000000000000014"/>
    <m/>
    <x v="22"/>
    <n v="193.10344827586212"/>
    <n v="21.191948000000004"/>
    <n v="13"/>
    <n v="0.20000000000000284"/>
    <x v="16"/>
    <n v="15.384615384615604"/>
    <n v="12.43040953846155"/>
  </r>
  <r>
    <s v="Tammin"/>
    <x v="8"/>
    <x v="8"/>
    <n v="2.36"/>
    <x v="253"/>
    <d v="2014-02-17T00:00:00"/>
    <x v="4"/>
    <x v="11"/>
    <d v="2014-03-18T00:00:00"/>
    <n v="60"/>
    <m/>
    <x v="8"/>
    <n v="6.7999999999999972"/>
    <m/>
    <x v="22"/>
    <n v="234.48275862068957"/>
    <n v="23.130493999999995"/>
    <n v="13"/>
    <n v="0"/>
    <x v="16"/>
    <n v="0"/>
    <n v="11.570494"/>
  </r>
  <r>
    <s v="Tammin"/>
    <x v="8"/>
    <x v="8"/>
    <n v="2.36"/>
    <x v="254"/>
    <d v="2014-02-17T00:00:00"/>
    <x v="3"/>
    <x v="11"/>
    <d v="2014-03-18T00:00:00"/>
    <n v="57.5"/>
    <m/>
    <x v="8"/>
    <n v="5.1000000000000014"/>
    <m/>
    <x v="22"/>
    <n v="175.8620689655173"/>
    <n v="19.961495500000002"/>
    <n v="13"/>
    <n v="-0.29999999999999716"/>
    <x v="16"/>
    <n v="-23.07692307692286"/>
    <n v="10.153803192307702"/>
  </r>
  <r>
    <s v="Tammin"/>
    <x v="8"/>
    <x v="8"/>
    <n v="2.36"/>
    <x v="255"/>
    <d v="2014-02-17T00:00:00"/>
    <x v="99"/>
    <x v="11"/>
    <d v="2014-03-18T00:00:00"/>
    <n v="64.5"/>
    <m/>
    <x v="8"/>
    <n v="9.7000000000000028"/>
    <m/>
    <x v="22"/>
    <n v="334.48275862068976"/>
    <n v="28.576218500000003"/>
    <n v="13"/>
    <n v="1.7000000000000028"/>
    <x v="16"/>
    <n v="130.769230769231"/>
    <n v="18.533141576923086"/>
  </r>
  <r>
    <s v="Tammin"/>
    <x v="8"/>
    <x v="8"/>
    <n v="2.36"/>
    <x v="256"/>
    <d v="2014-02-17T00:00:00"/>
    <x v="35"/>
    <x v="11"/>
    <d v="2014-03-18T00:00:00"/>
    <n v="62.5"/>
    <m/>
    <x v="8"/>
    <n v="7.8999999999999986"/>
    <m/>
    <x v="22"/>
    <n v="272.4137931034482"/>
    <n v="25.330219499999995"/>
    <n v="13"/>
    <n v="0.70000000000000284"/>
    <x v="16"/>
    <n v="53.846153846154067"/>
    <n v="14.554834884615394"/>
  </r>
  <r>
    <s v="Tammin"/>
    <x v="8"/>
    <x v="8"/>
    <n v="2.36"/>
    <x v="257"/>
    <d v="2014-02-17T00:00:00"/>
    <x v="6"/>
    <x v="11"/>
    <d v="2014-03-18T00:00:00"/>
    <n v="57"/>
    <m/>
    <x v="8"/>
    <n v="6.3999999999999986"/>
    <m/>
    <x v="22"/>
    <n v="220.68965517241372"/>
    <n v="21.977041999999997"/>
    <n v="13"/>
    <n v="-0.39999999999999858"/>
    <x v="16"/>
    <n v="-30.76923076923066"/>
    <n v="9.5801189230769275"/>
  </r>
  <r>
    <s v="Tammin"/>
    <x v="8"/>
    <x v="8"/>
    <n v="2.36"/>
    <x v="258"/>
    <d v="2014-02-17T00:00:00"/>
    <x v="35"/>
    <x v="11"/>
    <d v="2014-03-18T00:00:00"/>
    <n v="62.5"/>
    <m/>
    <x v="8"/>
    <n v="7.8999999999999986"/>
    <m/>
    <x v="22"/>
    <n v="272.4137931034482"/>
    <n v="25.330219499999995"/>
    <n v="13"/>
    <n v="1.7000000000000028"/>
    <x v="16"/>
    <n v="130.769230769231"/>
    <n v="18.347142576923087"/>
  </r>
  <r>
    <s v="Tammin"/>
    <x v="8"/>
    <x v="8"/>
    <n v="2.36"/>
    <x v="259"/>
    <d v="2014-02-17T00:00:00"/>
    <x v="48"/>
    <x v="11"/>
    <d v="2014-03-18T00:00:00"/>
    <n v="58.5"/>
    <m/>
    <x v="8"/>
    <n v="7.5"/>
    <m/>
    <x v="22"/>
    <n v="258.62068965517244"/>
    <n v="24.0076775"/>
    <n v="13"/>
    <n v="1.5"/>
    <x v="16"/>
    <n v="115.38461538461539"/>
    <n v="16.946139038461538"/>
  </r>
  <r>
    <s v="Tammin"/>
    <x v="8"/>
    <x v="8"/>
    <n v="2.36"/>
    <x v="260"/>
    <d v="2014-02-17T00:00:00"/>
    <x v="77"/>
    <x v="11"/>
    <d v="2014-03-18T00:00:00"/>
    <n v="59.5"/>
    <m/>
    <x v="8"/>
    <n v="6.7000000000000028"/>
    <m/>
    <x v="22"/>
    <n v="231.03448275862078"/>
    <n v="22.884403500000005"/>
    <n v="13"/>
    <n v="1.8999999999999986"/>
    <x v="16"/>
    <n v="146.15384615384605"/>
    <n v="18.699788115384607"/>
  </r>
  <r>
    <s v="Tammin"/>
    <x v="8"/>
    <x v="8"/>
    <n v="2.36"/>
    <x v="261"/>
    <d v="2014-02-17T00:00:00"/>
    <x v="19"/>
    <x v="11"/>
    <d v="2014-03-18T00:00:00"/>
    <n v="62.5"/>
    <m/>
    <x v="8"/>
    <n v="6.2999999999999972"/>
    <m/>
    <x v="22"/>
    <n v="217.24137931034474"/>
    <n v="22.745491499999993"/>
    <n v="13"/>
    <n v="-1.9000000000000057"/>
    <x v="16"/>
    <n v="-146.15384615384659"/>
    <n v="4.830106884615363"/>
  </r>
  <r>
    <s v="Tammin"/>
    <x v="8"/>
    <x v="8"/>
    <n v="2.36"/>
    <x v="262"/>
    <d v="2014-02-17T00:00:00"/>
    <x v="100"/>
    <x v="11"/>
    <d v="2014-03-18T00:00:00"/>
    <n v="56.5"/>
    <m/>
    <x v="8"/>
    <n v="3.1000000000000014"/>
    <m/>
    <x v="22"/>
    <n v="106.89655172413798"/>
    <n v="16.561495500000003"/>
    <n v="13"/>
    <n v="-1.5"/>
    <x v="16"/>
    <n v="-115.38461538461539"/>
    <n v="5.6030339615384612"/>
  </r>
  <r>
    <s v="Tammin"/>
    <x v="8"/>
    <x v="8"/>
    <n v="2.36"/>
    <x v="263"/>
    <d v="2014-02-17T00:00:00"/>
    <x v="42"/>
    <x v="11"/>
    <d v="2014-03-18T00:00:00"/>
    <n v="60.5"/>
    <m/>
    <x v="8"/>
    <n v="5.1000000000000014"/>
    <m/>
    <x v="22"/>
    <n v="175.8620689655173"/>
    <n v="20.468765500000003"/>
    <n v="13"/>
    <n v="1.8999999999999986"/>
    <x v="16"/>
    <n v="146.15384615384605"/>
    <n v="19.004150115384611"/>
  </r>
  <r>
    <s v="Tammin"/>
    <x v="8"/>
    <x v="8"/>
    <n v="2.36"/>
    <x v="264"/>
    <d v="2014-02-17T00:00:00"/>
    <x v="91"/>
    <x v="11"/>
    <d v="2014-03-18T00:00:00"/>
    <n v="70"/>
    <m/>
    <x v="8"/>
    <n v="8.7999999999999972"/>
    <m/>
    <x v="22"/>
    <n v="303.44827586206884"/>
    <n v="28.052303999999992"/>
    <n v="13"/>
    <n v="2.7999999999999972"/>
    <x v="16"/>
    <n v="215.38461538461519"/>
    <n v="23.710765538461526"/>
  </r>
  <r>
    <s v="Tammin"/>
    <x v="8"/>
    <x v="8"/>
    <n v="2.36"/>
    <x v="265"/>
    <d v="2014-02-17T00:00:00"/>
    <x v="48"/>
    <x v="11"/>
    <d v="2014-03-18T00:00:00"/>
    <n v="54"/>
    <m/>
    <x v="8"/>
    <n v="3"/>
    <m/>
    <x v="22"/>
    <n v="103.44827586206897"/>
    <n v="15.977224999999999"/>
    <n v="13"/>
    <n v="1"/>
    <x v="16"/>
    <n v="76.923076923076934"/>
    <n v="14.669532692307691"/>
  </r>
  <r>
    <s v="Tammin"/>
    <x v="8"/>
    <x v="8"/>
    <n v="2.36"/>
    <x v="266"/>
    <d v="2014-02-17T00:00:00"/>
    <x v="87"/>
    <x v="11"/>
    <d v="2014-03-18T00:00:00"/>
    <n v="55"/>
    <m/>
    <x v="8"/>
    <n v="3.6000000000000014"/>
    <m/>
    <x v="22"/>
    <n v="124.13793103448282"/>
    <n v="17.115588000000002"/>
    <n v="13"/>
    <n v="-0.60000000000000142"/>
    <x v="16"/>
    <n v="-46.15384615384626"/>
    <n v="8.7202033846153792"/>
  </r>
  <r>
    <s v="Tammin"/>
    <x v="8"/>
    <x v="8"/>
    <n v="2.36"/>
    <x v="267"/>
    <d v="2014-02-17T00:00:00"/>
    <x v="98"/>
    <x v="11"/>
    <d v="2014-03-18T00:00:00"/>
    <n v="59.5"/>
    <m/>
    <x v="8"/>
    <n v="5.2999999999999972"/>
    <m/>
    <x v="22"/>
    <n v="182.75862068965506"/>
    <n v="20.622766499999994"/>
    <n v="13"/>
    <n v="-0.5"/>
    <x v="16"/>
    <n v="-38.461538461538467"/>
    <n v="9.7166126538461537"/>
  </r>
  <r>
    <s v="Tammin"/>
    <x v="8"/>
    <x v="8"/>
    <n v="2.36"/>
    <x v="268"/>
    <d v="2014-02-17T00:00:00"/>
    <x v="44"/>
    <x v="11"/>
    <d v="2014-03-18T00:00:00"/>
    <n v="60"/>
    <m/>
    <x v="8"/>
    <n v="4"/>
    <m/>
    <x v="22"/>
    <n v="137.93103448275861"/>
    <n v="18.607219999999998"/>
    <n v="13"/>
    <n v="0"/>
    <x v="16"/>
    <n v="0"/>
    <n v="11.807219999999999"/>
  </r>
  <r>
    <s v="Tammin"/>
    <x v="8"/>
    <x v="8"/>
    <n v="2.36"/>
    <x v="269"/>
    <d v="2014-02-17T00:00:00"/>
    <x v="7"/>
    <x v="11"/>
    <d v="2014-03-18T00:00:00"/>
    <n v="68"/>
    <m/>
    <x v="8"/>
    <n v="4.7999999999999972"/>
    <m/>
    <x v="22"/>
    <n v="165.51724137931026"/>
    <n v="21.252303999999995"/>
    <n v="13"/>
    <n v="-1.2000000000000028"/>
    <x v="16"/>
    <n v="-92.30769230769252"/>
    <n v="8.5415347692307577"/>
  </r>
  <r>
    <s v="Tammin"/>
    <x v="8"/>
    <x v="8"/>
    <n v="2.36"/>
    <x v="270"/>
    <d v="2014-02-17T00:00:00"/>
    <x v="75"/>
    <x v="11"/>
    <d v="2014-03-18T00:00:00"/>
    <n v="61"/>
    <m/>
    <x v="8"/>
    <n v="5.3999999999999986"/>
    <m/>
    <x v="22"/>
    <n v="186.2068965517241"/>
    <n v="21.037946999999996"/>
    <n v="13"/>
    <n v="-1"/>
    <x v="16"/>
    <n v="-76.923076923076934"/>
    <n v="8.0656393076923081"/>
  </r>
  <r>
    <s v="Tammin"/>
    <x v="8"/>
    <x v="8"/>
    <n v="2.36"/>
    <x v="271"/>
    <d v="2014-02-17T00:00:00"/>
    <x v="72"/>
    <x v="11"/>
    <d v="2014-03-18T00:00:00"/>
    <n v="62"/>
    <m/>
    <x v="8"/>
    <n v="3.6000000000000014"/>
    <m/>
    <x v="22"/>
    <n v="124.13793103448282"/>
    <n v="18.299218000000003"/>
    <n v="13"/>
    <n v="-0.60000000000000142"/>
    <x v="16"/>
    <n v="-46.15384615384626"/>
    <n v="9.9038333846153801"/>
  </r>
  <r>
    <s v="Tammin"/>
    <x v="8"/>
    <x v="8"/>
    <n v="2.36"/>
    <x v="272"/>
    <d v="2014-02-17T00:00:00"/>
    <x v="100"/>
    <x v="11"/>
    <d v="2014-03-18T00:00:00"/>
    <n v="56.5"/>
    <m/>
    <x v="8"/>
    <n v="3.1000000000000014"/>
    <m/>
    <x v="22"/>
    <n v="106.89655172413798"/>
    <n v="16.561495500000003"/>
    <n v="13"/>
    <n v="0.70000000000000284"/>
    <x v="16"/>
    <n v="53.846153846154067"/>
    <n v="13.946110884615395"/>
  </r>
  <r>
    <s v="Tammin"/>
    <x v="8"/>
    <x v="8"/>
    <n v="2.36"/>
    <x v="273"/>
    <d v="2014-02-17T00:00:00"/>
    <x v="87"/>
    <x v="11"/>
    <d v="2014-03-18T00:00:00"/>
    <n v="57.5"/>
    <m/>
    <x v="8"/>
    <n v="6.1000000000000014"/>
    <m/>
    <x v="22"/>
    <n v="210.34482758620695"/>
    <n v="21.576950500000002"/>
    <n v="13"/>
    <n v="-0.29999999999999716"/>
    <x v="16"/>
    <n v="-23.07692307692286"/>
    <n v="10.069258192307704"/>
  </r>
  <r>
    <s v="Tammin"/>
    <x v="8"/>
    <x v="8"/>
    <n v="2.36"/>
    <x v="274"/>
    <d v="2014-02-17T00:00:00"/>
    <x v="34"/>
    <x v="11"/>
    <d v="2014-03-18T00:00:00"/>
    <n v="58.5"/>
    <m/>
    <x v="8"/>
    <n v="6.8999999999999986"/>
    <m/>
    <x v="22"/>
    <n v="237.93103448275858"/>
    <n v="23.038404499999995"/>
    <n v="13"/>
    <n v="0.89999999999999858"/>
    <x v="16"/>
    <n v="69.230769230769127"/>
    <n v="14.721481423076916"/>
  </r>
  <r>
    <s v="Tammin"/>
    <x v="8"/>
    <x v="8"/>
    <n v="2.36"/>
    <x v="275"/>
    <d v="2014-02-17T00:00:00"/>
    <x v="76"/>
    <x v="11"/>
    <d v="2014-03-18T00:00:00"/>
    <n v="61.5"/>
    <m/>
    <x v="8"/>
    <n v="5.7000000000000028"/>
    <m/>
    <x v="22"/>
    <n v="196.55172413793113"/>
    <n v="21.607128500000002"/>
    <n v="13"/>
    <n v="1.7000000000000028"/>
    <x v="16"/>
    <n v="130.769230769231"/>
    <n v="18.364051576923085"/>
  </r>
  <r>
    <s v="Tammin"/>
    <x v="8"/>
    <x v="8"/>
    <n v="2.36"/>
    <x v="276"/>
    <d v="2014-02-17T00:00:00"/>
    <x v="75"/>
    <x v="11"/>
    <d v="2014-03-18T00:00:00"/>
    <n v="61.5"/>
    <m/>
    <x v="8"/>
    <n v="5.8999999999999986"/>
    <m/>
    <x v="22"/>
    <n v="203.44827586206893"/>
    <n v="21.930219499999996"/>
    <n v="13"/>
    <n v="-1.8999999999999986"/>
    <x v="16"/>
    <n v="-146.15384615384605"/>
    <n v="4.6948348846153891"/>
  </r>
  <r>
    <s v="Tammin"/>
    <x v="8"/>
    <x v="8"/>
    <n v="2.36"/>
    <x v="277"/>
    <d v="2014-02-17T00:00:00"/>
    <x v="73"/>
    <x v="11"/>
    <d v="2014-03-18T00:00:00"/>
    <n v="57.5"/>
    <m/>
    <x v="8"/>
    <n v="3.8999999999999986"/>
    <m/>
    <x v="22"/>
    <n v="134.48275862068962"/>
    <n v="18.022949499999996"/>
    <n v="13"/>
    <n v="0.89999999999999858"/>
    <x v="16"/>
    <n v="69.230769230769127"/>
    <n v="14.806026423076917"/>
  </r>
  <r>
    <s v="Tammin"/>
    <x v="8"/>
    <x v="8"/>
    <n v="2.36"/>
    <x v="278"/>
    <d v="2014-02-17T00:00:00"/>
    <x v="40"/>
    <x v="11"/>
    <d v="2014-03-18T00:00:00"/>
    <n v="62"/>
    <m/>
    <x v="8"/>
    <n v="4.3999999999999986"/>
    <m/>
    <x v="22"/>
    <n v="151.72413793103442"/>
    <n v="19.591581999999995"/>
    <n v="13"/>
    <n v="-0.20000000000000284"/>
    <x v="16"/>
    <n v="-15.384615384615604"/>
    <n v="11.353120461538449"/>
  </r>
  <r>
    <s v="Tammin"/>
    <x v="8"/>
    <x v="8"/>
    <n v="2.36"/>
    <x v="279"/>
    <d v="2014-02-17T00:00:00"/>
    <x v="92"/>
    <x v="11"/>
    <d v="2014-03-18T00:00:00"/>
    <n v="52"/>
    <m/>
    <x v="8"/>
    <n v="1.6000000000000014"/>
    <m/>
    <x v="22"/>
    <n v="55.172413793103495"/>
    <n v="13.377408000000003"/>
    <n v="13"/>
    <n v="-0.39999999999999858"/>
    <x v="16"/>
    <n v="-30.76923076923066"/>
    <n v="9.1404849230769294"/>
  </r>
  <r>
    <s v="Tammin"/>
    <x v="8"/>
    <x v="8"/>
    <n v="2.36"/>
    <x v="280"/>
    <d v="2014-02-17T00:00:00"/>
    <x v="85"/>
    <x v="11"/>
    <d v="2014-03-18T00:00:00"/>
    <n v="56.5"/>
    <m/>
    <x v="8"/>
    <n v="6.8999999999999986"/>
    <m/>
    <x v="22"/>
    <n v="237.93103448275858"/>
    <n v="22.700224499999997"/>
    <n v="13"/>
    <n v="3.7000000000000028"/>
    <x v="16"/>
    <n v="284.61538461538481"/>
    <n v="25.001762961538468"/>
  </r>
  <r>
    <s v="Tammin"/>
    <x v="8"/>
    <x v="8"/>
    <n v="2.36"/>
    <x v="281"/>
    <d v="2014-02-17T00:00:00"/>
    <x v="90"/>
    <x v="11"/>
    <d v="2014-03-18T00:00:00"/>
    <n v="54"/>
    <m/>
    <x v="8"/>
    <n v="4.6000000000000014"/>
    <m/>
    <x v="22"/>
    <n v="158.62068965517244"/>
    <n v="18.561953000000003"/>
    <n v="13"/>
    <n v="-1.2000000000000028"/>
    <x v="16"/>
    <n v="-92.30769230769252"/>
    <n v="6.1911837692307596"/>
  </r>
  <r>
    <s v="Tammin"/>
    <x v="8"/>
    <x v="8"/>
    <n v="2.36"/>
    <x v="282"/>
    <d v="2014-02-17T00:00:00"/>
    <x v="101"/>
    <x v="11"/>
    <d v="2014-03-18T00:00:00"/>
    <n v="63.5"/>
    <m/>
    <x v="8"/>
    <n v="3.1000000000000014"/>
    <m/>
    <x v="22"/>
    <n v="106.89655172413798"/>
    <n v="17.745125500000004"/>
    <n v="13"/>
    <n v="-0.29999999999999716"/>
    <x v="16"/>
    <n v="-23.07692307692286"/>
    <n v="11.337433192307703"/>
  </r>
  <r>
    <s v="Tammin"/>
    <x v="8"/>
    <x v="8"/>
    <n v="2.36"/>
    <x v="283"/>
    <d v="2014-02-17T00:00:00"/>
    <x v="20"/>
    <x v="11"/>
    <d v="2014-03-18T00:00:00"/>
    <n v="67"/>
    <m/>
    <x v="8"/>
    <n v="9"/>
    <m/>
    <x v="22"/>
    <n v="310.34482758620692"/>
    <n v="27.868124999999999"/>
    <n v="13"/>
    <n v="1.2000000000000028"/>
    <x v="16"/>
    <n v="92.30769230769252"/>
    <n v="17.118894230769243"/>
  </r>
  <r>
    <s v="Tammin"/>
    <x v="8"/>
    <x v="8"/>
    <n v="2.36"/>
    <x v="284"/>
    <d v="2014-02-17T00:00:00"/>
    <x v="78"/>
    <x v="11"/>
    <d v="2014-03-18T00:00:00"/>
    <n v="52.5"/>
    <m/>
    <x v="8"/>
    <n v="-0.10000000000000142"/>
    <m/>
    <x v="22"/>
    <n v="-3.4482758620690146"/>
    <n v="10.715679499999997"/>
    <n v="13"/>
    <n v="-1.1000000000000014"/>
    <x v="16"/>
    <n v="-84.615384615384727"/>
    <n v="6.7141410384615314"/>
  </r>
  <r>
    <s v="Tammin"/>
    <x v="8"/>
    <x v="8"/>
    <n v="2.36"/>
    <x v="285"/>
    <d v="2014-02-17T00:00:00"/>
    <x v="1"/>
    <x v="11"/>
    <d v="2014-03-18T00:00:00"/>
    <n v="61.5"/>
    <m/>
    <x v="8"/>
    <n v="4.8999999999999986"/>
    <m/>
    <x v="22"/>
    <n v="168.96551724137925"/>
    <n v="20.314764499999995"/>
    <n v="13"/>
    <n v="-0.89999999999999858"/>
    <x v="16"/>
    <n v="-69.230769230769127"/>
    <n v="8.5716875769230807"/>
  </r>
  <r>
    <s v="Tammin"/>
    <x v="8"/>
    <x v="8"/>
    <n v="2.36"/>
    <x v="286"/>
    <d v="2014-02-17T00:00:00"/>
    <x v="102"/>
    <x v="11"/>
    <d v="2014-03-18T00:00:00"/>
    <n v="64.5"/>
    <m/>
    <x v="8"/>
    <n v="5.8999999999999986"/>
    <m/>
    <x v="22"/>
    <n v="203.44827586206893"/>
    <n v="22.437489499999998"/>
    <n v="13"/>
    <n v="-1.7000000000000028"/>
    <x v="16"/>
    <n v="-130.769230769231"/>
    <n v="5.9605664230769113"/>
  </r>
  <r>
    <s v="Tammin"/>
    <x v="8"/>
    <x v="8"/>
    <n v="2.36"/>
    <x v="287"/>
    <d v="2014-02-17T00:00:00"/>
    <x v="1"/>
    <x v="11"/>
    <d v="2014-03-18T00:00:00"/>
    <n v="59"/>
    <m/>
    <x v="8"/>
    <n v="2.3999999999999986"/>
    <m/>
    <x v="22"/>
    <n v="82.758620689655132"/>
    <n v="15.853401999999996"/>
    <n v="13"/>
    <n v="-1.7999999999999972"/>
    <x v="16"/>
    <n v="-138.46153846153825"/>
    <n v="4.9472481538461635"/>
  </r>
  <r>
    <s v="Tammin"/>
    <x v="8"/>
    <x v="8"/>
    <n v="2.36"/>
    <x v="288"/>
    <d v="2014-02-17T00:00:00"/>
    <x v="16"/>
    <x v="11"/>
    <d v="2014-03-18T00:00:00"/>
    <n v="68.5"/>
    <m/>
    <x v="8"/>
    <n v="4.5"/>
    <m/>
    <x v="22"/>
    <n v="155.17241379310346"/>
    <n v="20.8522125"/>
    <n v="13"/>
    <n v="-1.0999999999999943"/>
    <x v="16"/>
    <n v="-84.615384615384173"/>
    <n v="9.0306740384615605"/>
  </r>
  <r>
    <s v="Tammin"/>
    <x v="8"/>
    <x v="8"/>
    <n v="2.36"/>
    <x v="289"/>
    <d v="2014-02-17T00:00:00"/>
    <x v="87"/>
    <x v="11"/>
    <d v="2014-03-18T00:00:00"/>
    <n v="56.5"/>
    <m/>
    <x v="8"/>
    <n v="5.1000000000000014"/>
    <m/>
    <x v="22"/>
    <n v="175.8620689655173"/>
    <n v="19.792405500000001"/>
    <n v="13"/>
    <n v="-0.89999999999999858"/>
    <x v="16"/>
    <n v="-69.230769230769127"/>
    <n v="7.709328576923081"/>
  </r>
  <r>
    <s v="Tammin"/>
    <x v="8"/>
    <x v="8"/>
    <n v="2.36"/>
    <x v="290"/>
    <d v="2014-02-17T00:00:00"/>
    <x v="103"/>
    <x v="11"/>
    <d v="2014-03-18T00:00:00"/>
    <n v="49.5"/>
    <m/>
    <x v="8"/>
    <n v="0.5"/>
    <m/>
    <x v="22"/>
    <n v="17.241379310344826"/>
    <n v="11.1776825"/>
    <n v="13"/>
    <n v="-1.5"/>
    <x v="16"/>
    <n v="-115.38461538461539"/>
    <n v="4.6392209615384612"/>
  </r>
  <r>
    <s v="Tammin"/>
    <x v="8"/>
    <x v="8"/>
    <n v="2.36"/>
    <x v="291"/>
    <d v="2014-02-17T00:00:00"/>
    <x v="12"/>
    <x v="11"/>
    <d v="2014-03-18T00:00:00"/>
    <n v="59"/>
    <m/>
    <x v="8"/>
    <n v="6"/>
    <m/>
    <x v="22"/>
    <n v="206.89655172413794"/>
    <n v="21.669039999999999"/>
    <n v="13"/>
    <n v="1.3999999999999986"/>
    <x v="16"/>
    <n v="107.69230769230759"/>
    <n v="16.778270769230765"/>
  </r>
  <r>
    <s v="Tammin"/>
    <x v="8"/>
    <x v="8"/>
    <n v="2.36"/>
    <x v="292"/>
    <d v="2014-02-17T00:00:00"/>
    <x v="30"/>
    <x v="11"/>
    <d v="2014-03-18T00:00:00"/>
    <n v="60"/>
    <m/>
    <x v="8"/>
    <n v="6.2000000000000028"/>
    <m/>
    <x v="22"/>
    <n v="213.79310344827596"/>
    <n v="22.161221000000005"/>
    <n v="13"/>
    <n v="2.2000000000000028"/>
    <x v="16"/>
    <n v="169.23076923076945"/>
    <n v="19.964297923076934"/>
  </r>
  <r>
    <s v="Tammin"/>
    <x v="8"/>
    <x v="8"/>
    <n v="2.36"/>
    <x v="293"/>
    <d v="2014-02-17T00:00:00"/>
    <x v="74"/>
    <x v="11"/>
    <d v="2014-03-18T00:00:00"/>
    <n v="58"/>
    <m/>
    <x v="8"/>
    <n v="5.7999999999999972"/>
    <m/>
    <x v="22"/>
    <n v="199.99999999999989"/>
    <n v="21.176858999999993"/>
    <n v="13"/>
    <n v="-1"/>
    <x v="16"/>
    <n v="-76.923076923076934"/>
    <n v="7.524551307692307"/>
  </r>
  <r>
    <s v="Tammin"/>
    <x v="8"/>
    <x v="8"/>
    <n v="2.36"/>
    <x v="294"/>
    <d v="2014-02-17T00:00:00"/>
    <x v="24"/>
    <x v="11"/>
    <d v="2014-03-18T00:00:00"/>
    <n v="59"/>
    <m/>
    <x v="8"/>
    <n v="3.7999999999999972"/>
    <m/>
    <x v="22"/>
    <n v="131.03448275862058"/>
    <n v="18.115038999999996"/>
    <n v="13"/>
    <n v="0.20000000000000284"/>
    <x v="16"/>
    <n v="15.384615384615604"/>
    <n v="12.41350053846155"/>
  </r>
  <r>
    <s v="Tammin"/>
    <x v="8"/>
    <x v="8"/>
    <n v="2.36"/>
    <x v="295"/>
    <d v="2014-02-17T00:00:00"/>
    <x v="34"/>
    <x v="11"/>
    <d v="2014-03-18T00:00:00"/>
    <n v="60.5"/>
    <m/>
    <x v="8"/>
    <n v="8.8999999999999986"/>
    <m/>
    <x v="22"/>
    <n v="306.89655172413785"/>
    <n v="26.607494499999994"/>
    <n v="13"/>
    <n v="1.5"/>
    <x v="16"/>
    <n v="115.38461538461539"/>
    <n v="17.165956038461538"/>
  </r>
  <r>
    <s v="Tammin"/>
    <x v="8"/>
    <x v="8"/>
    <n v="2.36"/>
    <x v="296"/>
    <d v="2014-02-17T00:00:00"/>
    <x v="34"/>
    <x v="11"/>
    <d v="2014-03-18T00:00:00"/>
    <n v="53.5"/>
    <m/>
    <x v="8"/>
    <n v="1.8999999999999986"/>
    <m/>
    <x v="22"/>
    <n v="65.517241379310292"/>
    <n v="14.115679499999995"/>
    <n v="13"/>
    <n v="0.70000000000000284"/>
    <x v="16"/>
    <n v="53.846153846154067"/>
    <n v="13.540294884615394"/>
  </r>
  <r>
    <s v="Tammin"/>
    <x v="8"/>
    <x v="8"/>
    <n v="2.36"/>
    <x v="297"/>
    <d v="2014-02-17T00:00:00"/>
    <x v="74"/>
    <x v="11"/>
    <d v="2014-03-18T00:00:00"/>
    <n v="58.5"/>
    <m/>
    <x v="8"/>
    <n v="6.2999999999999972"/>
    <m/>
    <x v="22"/>
    <n v="217.24137931034474"/>
    <n v="22.069131499999997"/>
    <n v="13"/>
    <n v="1.5"/>
    <x v="16"/>
    <n v="115.38461538461539"/>
    <n v="17.047593038461539"/>
  </r>
  <r>
    <s v="Tammin"/>
    <x v="8"/>
    <x v="8"/>
    <n v="2.36"/>
    <x v="298"/>
    <d v="2014-02-17T00:00:00"/>
    <x v="42"/>
    <x v="11"/>
    <d v="2014-03-18T00:00:00"/>
    <n v="60"/>
    <m/>
    <x v="8"/>
    <n v="4.6000000000000014"/>
    <m/>
    <x v="22"/>
    <n v="158.62068965517244"/>
    <n v="19.576493000000003"/>
    <n v="13"/>
    <n v="4.3999999999999986"/>
    <x v="16"/>
    <n v="338.4615384615384"/>
    <n v="28.442646846153842"/>
  </r>
  <r>
    <s v="Tammin"/>
    <x v="8"/>
    <x v="8"/>
    <n v="2.36"/>
    <x v="299"/>
    <d v="2014-02-17T00:00:00"/>
    <x v="18"/>
    <x v="11"/>
    <d v="2014-03-18T00:00:00"/>
    <n v="62.5"/>
    <m/>
    <x v="8"/>
    <n v="4.7000000000000028"/>
    <m/>
    <x v="22"/>
    <n v="162.06896551724148"/>
    <n v="20.160763500000005"/>
    <n v="13"/>
    <n v="1.5"/>
    <x v="16"/>
    <n v="115.38461538461539"/>
    <n v="17.859225038461538"/>
  </r>
  <r>
    <s v="Tammin"/>
    <x v="8"/>
    <x v="8"/>
    <n v="2.36"/>
    <x v="300"/>
    <d v="2014-02-17T00:00:00"/>
    <x v="104"/>
    <x v="11"/>
    <d v="2014-03-18T00:00:00"/>
    <n v="65"/>
    <m/>
    <x v="8"/>
    <n v="2.6000000000000014"/>
    <m/>
    <x v="22"/>
    <n v="89.655172413793153"/>
    <n v="17.191033000000001"/>
    <n v="13"/>
    <n v="-1.4000000000000057"/>
    <x v="16"/>
    <n v="-107.69230769230813"/>
    <n v="7.4618022307692087"/>
  </r>
  <r>
    <s v="Tammin"/>
    <x v="8"/>
    <x v="8"/>
    <n v="2.36"/>
    <x v="301"/>
    <d v="2014-02-17T00:00:00"/>
    <x v="38"/>
    <x v="11"/>
    <d v="2014-03-18T00:00:00"/>
    <n v="56"/>
    <m/>
    <x v="8"/>
    <n v="5.7999999999999972"/>
    <m/>
    <x v="22"/>
    <n v="199.99999999999989"/>
    <n v="20.838678999999992"/>
    <n v="13"/>
    <n v="2.2000000000000028"/>
    <x v="16"/>
    <n v="169.23076923076945"/>
    <n v="19.321755923076935"/>
  </r>
  <r>
    <s v="Tammin"/>
    <x v="8"/>
    <x v="8"/>
    <n v="2.36"/>
    <x v="302"/>
    <d v="2014-02-17T00:00:00"/>
    <x v="74"/>
    <x v="11"/>
    <d v="2014-03-18T00:00:00"/>
    <n v="60.5"/>
    <m/>
    <x v="8"/>
    <n v="8.2999999999999972"/>
    <m/>
    <x v="22"/>
    <n v="286.20689655172407"/>
    <n v="25.638221499999993"/>
    <n v="13"/>
    <n v="2.5"/>
    <x v="16"/>
    <n v="192.30769230769232"/>
    <n v="21.008990730769227"/>
  </r>
  <r>
    <s v="Tammin "/>
    <x v="0"/>
    <x v="0"/>
    <n v="1.98"/>
    <x v="0"/>
    <d v="2008-01-29T00:00:00"/>
    <x v="0"/>
    <x v="0"/>
    <d v="2008-03-04T00:00:00"/>
    <n v="62.6"/>
    <m/>
    <x v="9"/>
    <n v="8.6000000000000014"/>
    <m/>
    <x v="23"/>
    <n v="245.71428571428575"/>
    <n v="23.971661285714283"/>
    <n v="8"/>
    <n v="2"/>
    <x v="17"/>
    <n v="250"/>
    <n v="24.182946999999999"/>
  </r>
  <r>
    <s v="Tammin "/>
    <x v="0"/>
    <x v="0"/>
    <n v="1.98"/>
    <x v="1"/>
    <d v="2008-01-29T00:00:00"/>
    <x v="1"/>
    <x v="0"/>
    <d v="2008-03-04T00:00:00"/>
    <n v="65.599999999999994"/>
    <m/>
    <x v="9"/>
    <n v="8.9999999999999929"/>
    <m/>
    <x v="23"/>
    <n v="257.14285714285694"/>
    <n v="25.008541857142845"/>
    <n v="8"/>
    <n v="3.3999999999999915"/>
    <x v="17"/>
    <n v="424.99999999999892"/>
    <n v="33.283898999999948"/>
  </r>
  <r>
    <s v="Tammin "/>
    <x v="0"/>
    <x v="0"/>
    <n v="1.98"/>
    <x v="2"/>
    <d v="2008-01-29T00:00:00"/>
    <x v="1"/>
    <x v="1"/>
    <d v="2008-03-04T00:00:00"/>
    <n v="64.2"/>
    <m/>
    <x v="9"/>
    <n v="7.6000000000000014"/>
    <m/>
    <x v="23"/>
    <n v="217.1428571428572"/>
    <n v="22.918178857142859"/>
    <n v="8"/>
    <n v="1.4000000000000057"/>
    <x v="17"/>
    <n v="175.00000000000071"/>
    <n v="20.840536000000036"/>
  </r>
  <r>
    <s v="Tammin "/>
    <x v="0"/>
    <x v="0"/>
    <n v="1.98"/>
    <x v="3"/>
    <d v="2008-01-29T00:00:00"/>
    <x v="2"/>
    <x v="1"/>
    <d v="2008-03-04T00:00:00"/>
    <n v="70.400000000000006"/>
    <m/>
    <x v="9"/>
    <n v="6.8000000000000043"/>
    <m/>
    <x v="23"/>
    <n v="194.28571428571439"/>
    <n v="22.907315714285719"/>
    <n v="8"/>
    <n v="-3"/>
    <x v="17"/>
    <n v="-375"/>
    <n v="-5.1584699999999977"/>
  </r>
  <r>
    <s v="Tammin "/>
    <x v="0"/>
    <x v="0"/>
    <n v="1.98"/>
    <x v="4"/>
    <d v="2008-01-29T00:00:00"/>
    <x v="3"/>
    <x v="2"/>
    <d v="2008-03-04T00:00:00"/>
    <n v="61.6"/>
    <m/>
    <x v="9"/>
    <n v="9.2000000000000028"/>
    <m/>
    <x v="23"/>
    <n v="262.85714285714295"/>
    <n v="24.596987142857145"/>
    <n v="8"/>
    <n v="-1.3999999999999986"/>
    <x v="17"/>
    <n v="-174.99999999999983"/>
    <n v="3.0106300000000097"/>
  </r>
  <r>
    <s v="Tammin "/>
    <x v="0"/>
    <x v="0"/>
    <n v="1.98"/>
    <x v="5"/>
    <d v="2008-01-29T00:00:00"/>
    <x v="4"/>
    <x v="0"/>
    <d v="2008-03-04T00:00:00"/>
    <n v="61.2"/>
    <m/>
    <x v="9"/>
    <n v="8"/>
    <m/>
    <x v="23"/>
    <n v="228.57142857142856"/>
    <n v="22.940519428571427"/>
    <n v="8"/>
    <n v="1.6000000000000014"/>
    <x v="17"/>
    <n v="200.00000000000017"/>
    <n v="21.531948000000007"/>
  </r>
  <r>
    <s v="Tammin "/>
    <x v="0"/>
    <x v="0"/>
    <n v="1.98"/>
    <x v="6"/>
    <d v="2008-01-29T00:00:00"/>
    <x v="5"/>
    <x v="3"/>
    <d v="2008-03-04T00:00:00"/>
    <n v="70"/>
    <m/>
    <x v="9"/>
    <n v="9.7999999999999972"/>
    <m/>
    <x v="23"/>
    <n v="279.99999999999994"/>
    <n v="26.811758999999995"/>
    <n v="8"/>
    <n v="2.4000000000000057"/>
    <x v="17"/>
    <n v="300.00000000000068"/>
    <n v="27.797759000000028"/>
  </r>
  <r>
    <s v="Tammin "/>
    <x v="0"/>
    <x v="0"/>
    <n v="1.98"/>
    <x v="7"/>
    <d v="2008-01-29T00:00:00"/>
    <x v="5"/>
    <x v="4"/>
    <d v="2008-03-04T00:00:00"/>
    <n v="69.599999999999994"/>
    <m/>
    <x v="9"/>
    <n v="9.3999999999999915"/>
    <m/>
    <x v="23"/>
    <n v="268.57142857142833"/>
    <n v="26.214512428571418"/>
    <n v="8"/>
    <n v="0.59999999999999432"/>
    <x v="17"/>
    <n v="74.999999999999289"/>
    <n v="16.671440999999966"/>
  </r>
  <r>
    <s v="Tammin "/>
    <x v="0"/>
    <x v="0"/>
    <n v="1.98"/>
    <x v="8"/>
    <d v="2008-01-29T00:00:00"/>
    <x v="6"/>
    <x v="5"/>
    <d v="2008-03-04T00:00:00"/>
    <n v="63.6"/>
    <m/>
    <x v="9"/>
    <n v="13"/>
    <m/>
    <x v="23"/>
    <n v="371.42857142857144"/>
    <n v="29.966467571428574"/>
    <n v="8"/>
    <n v="1.2000000000000028"/>
    <x v="17"/>
    <n v="150.00000000000034"/>
    <n v="19.050039000000016"/>
  </r>
  <r>
    <s v="Tammin "/>
    <x v="0"/>
    <x v="0"/>
    <n v="1.98"/>
    <x v="9"/>
    <d v="2008-01-29T00:00:00"/>
    <x v="7"/>
    <x v="0"/>
    <d v="2008-03-04T00:00:00"/>
    <n v="73.8"/>
    <m/>
    <x v="9"/>
    <n v="10.599999999999994"/>
    <m/>
    <x v="23"/>
    <n v="302.85714285714272"/>
    <n v="28.513522142857134"/>
    <n v="8"/>
    <n v="1.7999999999999972"/>
    <x v="17"/>
    <n v="224.99999999999966"/>
    <n v="24.675164999999982"/>
  </r>
  <r>
    <s v="Tammin "/>
    <x v="0"/>
    <x v="0"/>
    <n v="1.98"/>
    <x v="10"/>
    <d v="2008-01-29T00:00:00"/>
    <x v="8"/>
    <x v="6"/>
    <d v="2008-03-04T00:00:00"/>
    <n v="66.400000000000006"/>
    <m/>
    <x v="9"/>
    <n v="9.2000000000000028"/>
    <m/>
    <x v="23"/>
    <n v="262.85714285714295"/>
    <n v="25.408619142857148"/>
    <n v="8"/>
    <n v="-1.5999999999999943"/>
    <x v="17"/>
    <n v="-199.99999999999929"/>
    <n v="2.5897620000000359"/>
  </r>
  <r>
    <s v="Tammin "/>
    <x v="0"/>
    <x v="0"/>
    <n v="1.98"/>
    <x v="11"/>
    <d v="2008-01-29T00:00:00"/>
    <x v="9"/>
    <x v="3"/>
    <d v="2008-03-04T00:00:00"/>
    <n v="57.6"/>
    <m/>
    <x v="9"/>
    <n v="9.3999999999999986"/>
    <m/>
    <x v="23"/>
    <n v="268.5714285714285"/>
    <n v="24.185432428571424"/>
    <n v="8"/>
    <n v="-0.39999999999999858"/>
    <x v="17"/>
    <n v="-49.999999999999822"/>
    <n v="8.4798610000000103"/>
  </r>
  <r>
    <s v="Tammin "/>
    <x v="0"/>
    <x v="0"/>
    <n v="1.98"/>
    <x v="12"/>
    <d v="2008-01-29T00:00:00"/>
    <x v="10"/>
    <x v="0"/>
    <d v="2008-03-04T00:00:00"/>
    <n v="72.599999999999994"/>
    <m/>
    <x v="9"/>
    <n v="6.1999999999999886"/>
    <m/>
    <x v="23"/>
    <n v="177.14285714285683"/>
    <n v="22.48489785714284"/>
    <n v="8"/>
    <n v="-3.6000000000000085"/>
    <x v="17"/>
    <n v="-450.00000000000108"/>
    <n v="-8.4332450000000527"/>
  </r>
  <r>
    <s v="Tammin "/>
    <x v="0"/>
    <x v="0"/>
    <n v="1.98"/>
    <x v="13"/>
    <d v="2008-01-29T00:00:00"/>
    <x v="11"/>
    <x v="2"/>
    <d v="2008-03-04T00:00:00"/>
    <n v="55.8"/>
    <m/>
    <x v="9"/>
    <n v="7.3999999999999986"/>
    <m/>
    <x v="23"/>
    <n v="211.42857142857139"/>
    <n v="21.233017571428569"/>
    <n v="8"/>
    <n v="2"/>
    <x v="17"/>
    <n v="250"/>
    <n v="23.134588999999998"/>
  </r>
  <r>
    <s v="Tammin "/>
    <x v="0"/>
    <x v="0"/>
    <n v="1.98"/>
    <x v="14"/>
    <d v="2008-01-29T00:00:00"/>
    <x v="12"/>
    <x v="2"/>
    <d v="2008-03-04T00:00:00"/>
    <n v="63"/>
    <m/>
    <x v="9"/>
    <n v="10"/>
    <m/>
    <x v="23"/>
    <n v="285.71428571428572"/>
    <n v="25.892934285714283"/>
    <n v="8"/>
    <n v="1"/>
    <x v="17"/>
    <n v="125"/>
    <n v="17.969719999999999"/>
  </r>
  <r>
    <s v="Tammin "/>
    <x v="0"/>
    <x v="0"/>
    <n v="1.98"/>
    <x v="15"/>
    <d v="2008-01-29T00:00:00"/>
    <x v="13"/>
    <x v="2"/>
    <d v="2008-03-04T00:00:00"/>
    <n v="68.2"/>
    <m/>
    <x v="9"/>
    <n v="8.2000000000000028"/>
    <m/>
    <x v="23"/>
    <n v="234.28571428571436"/>
    <n v="24.388954714285717"/>
    <n v="8"/>
    <n v="0"/>
    <x v="17"/>
    <n v="0"/>
    <n v="12.838668999999998"/>
  </r>
  <r>
    <s v="Tammin "/>
    <x v="0"/>
    <x v="0"/>
    <n v="1.98"/>
    <x v="16"/>
    <d v="2008-01-29T00:00:00"/>
    <x v="14"/>
    <x v="4"/>
    <d v="2008-03-04T00:00:00"/>
    <n v="71.400000000000006"/>
    <m/>
    <x v="9"/>
    <n v="7.2000000000000028"/>
    <m/>
    <x v="23"/>
    <n v="205.71428571428581"/>
    <n v="23.60601628571429"/>
    <n v="8"/>
    <n v="-2.7999999999999972"/>
    <x v="17"/>
    <n v="-349.99999999999966"/>
    <n v="-3.7906979999999795"/>
  </r>
  <r>
    <s v="Tammin "/>
    <x v="0"/>
    <x v="0"/>
    <n v="1.98"/>
    <x v="17"/>
    <d v="2008-01-29T00:00:00"/>
    <x v="15"/>
    <x v="0"/>
    <d v="2008-03-04T00:00:00"/>
    <n v="66.599999999999994"/>
    <m/>
    <x v="9"/>
    <n v="10.199999999999996"/>
    <m/>
    <x v="23"/>
    <n v="291.42857142857133"/>
    <n v="26.766463571428567"/>
    <n v="8"/>
    <n v="1"/>
    <x v="17"/>
    <n v="125"/>
    <n v="18.561534999999999"/>
  </r>
  <r>
    <s v="Tammin "/>
    <x v="0"/>
    <x v="0"/>
    <n v="1.98"/>
    <x v="18"/>
    <d v="2008-01-29T00:00:00"/>
    <x v="16"/>
    <x v="4"/>
    <d v="2008-03-04T00:00:00"/>
    <n v="71.400000000000006"/>
    <m/>
    <x v="9"/>
    <n v="7.4000000000000057"/>
    <m/>
    <x v="23"/>
    <n v="211.42857142857162"/>
    <n v="23.870821571428579"/>
    <n v="8"/>
    <n v="-5.1999999999999886"/>
    <x v="17"/>
    <n v="-649.99999999999864"/>
    <n v="-18.597606999999932"/>
  </r>
  <r>
    <s v="Tammin "/>
    <x v="0"/>
    <x v="0"/>
    <n v="1.98"/>
    <x v="19"/>
    <d v="2008-01-29T00:00:00"/>
    <x v="0"/>
    <x v="0"/>
    <d v="2008-03-04T00:00:00"/>
    <n v="60.6"/>
    <m/>
    <x v="9"/>
    <n v="6.6000000000000014"/>
    <m/>
    <x v="23"/>
    <n v="188.57142857142861"/>
    <n v="20.985428428571428"/>
    <n v="8"/>
    <n v="0.39999999999999858"/>
    <x v="17"/>
    <n v="49.999999999999822"/>
    <n v="14.15385699999999"/>
  </r>
  <r>
    <s v="Tammin "/>
    <x v="0"/>
    <x v="0"/>
    <n v="1.98"/>
    <x v="20"/>
    <d v="2008-01-29T00:00:00"/>
    <x v="17"/>
    <x v="5"/>
    <d v="2008-03-04T00:00:00"/>
    <n v="67.2"/>
    <m/>
    <x v="9"/>
    <n v="8"/>
    <m/>
    <x v="23"/>
    <n v="228.57142857142856"/>
    <n v="23.955059428571428"/>
    <n v="8"/>
    <n v="-3"/>
    <x v="17"/>
    <n v="-375"/>
    <n v="-5.8010119999999965"/>
  </r>
  <r>
    <s v="Tammin "/>
    <x v="0"/>
    <x v="0"/>
    <n v="1.98"/>
    <x v="21"/>
    <d v="2008-01-29T00:00:00"/>
    <x v="18"/>
    <x v="5"/>
    <d v="2008-03-04T00:00:00"/>
    <n v="66.400000000000006"/>
    <m/>
    <x v="9"/>
    <n v="8.6000000000000085"/>
    <m/>
    <x v="23"/>
    <n v="245.71428571428598"/>
    <n v="24.614203285714296"/>
    <n v="8"/>
    <n v="2.2000000000000028"/>
    <x v="17"/>
    <n v="275.00000000000034"/>
    <n v="26.057989000000017"/>
  </r>
  <r>
    <s v="Tammin "/>
    <x v="0"/>
    <x v="0"/>
    <n v="1.98"/>
    <x v="22"/>
    <d v="2008-01-29T00:00:00"/>
    <x v="19"/>
    <x v="7"/>
    <d v="2008-03-04T00:00:00"/>
    <n v="68.8"/>
    <m/>
    <x v="9"/>
    <n v="12.599999999999994"/>
    <m/>
    <x v="23"/>
    <n v="359.99999999999983"/>
    <n v="30.316124999999992"/>
    <n v="8"/>
    <n v="0.79999999999999716"/>
    <x v="17"/>
    <n v="99.999999999999645"/>
    <n v="17.49812499999998"/>
  </r>
  <r>
    <s v="Tammin "/>
    <x v="0"/>
    <x v="0"/>
    <n v="1.98"/>
    <x v="23"/>
    <d v="2008-01-29T00:00:00"/>
    <x v="20"/>
    <x v="3"/>
    <d v="2008-03-04T00:00:00"/>
    <n v="67.2"/>
    <m/>
    <x v="9"/>
    <n v="9.2000000000000028"/>
    <m/>
    <x v="23"/>
    <n v="262.85714285714295"/>
    <n v="25.543891142857149"/>
    <n v="8"/>
    <n v="0.79999999999999716"/>
    <x v="17"/>
    <n v="99.999999999999645"/>
    <n v="17.515033999999982"/>
  </r>
  <r>
    <s v="Tammin "/>
    <x v="0"/>
    <x v="0"/>
    <n v="1.98"/>
    <x v="24"/>
    <d v="2008-01-29T00:00:00"/>
    <x v="21"/>
    <x v="3"/>
    <d v="2008-03-04T00:00:00"/>
    <n v="72"/>
    <m/>
    <x v="9"/>
    <n v="5"/>
    <m/>
    <x v="23"/>
    <n v="142.85714285714286"/>
    <n v="20.79461214285714"/>
    <n v="8"/>
    <n v="1.2000000000000028"/>
    <x v="17"/>
    <n v="150.00000000000034"/>
    <n v="21.146755000000013"/>
  </r>
  <r>
    <s v="Tammin "/>
    <x v="0"/>
    <x v="0"/>
    <n v="1.98"/>
    <x v="25"/>
    <d v="2008-01-29T00:00:00"/>
    <x v="22"/>
    <x v="4"/>
    <d v="2008-03-04T00:00:00"/>
    <n v="81.599999999999994"/>
    <m/>
    <x v="9"/>
    <n v="11"/>
    <m/>
    <x v="23"/>
    <n v="314.28571428571428"/>
    <n v="30.362034714285713"/>
    <n v="8"/>
    <n v="-1"/>
    <x v="17"/>
    <n v="-125"/>
    <n v="8.7052489999999985"/>
  </r>
  <r>
    <s v="Tammin "/>
    <x v="0"/>
    <x v="0"/>
    <n v="1.98"/>
    <x v="26"/>
    <d v="2008-01-29T00:00:00"/>
    <x v="23"/>
    <x v="0"/>
    <d v="2008-03-04T00:00:00"/>
    <n v="72.599999999999994"/>
    <m/>
    <x v="9"/>
    <n v="10.999999999999993"/>
    <m/>
    <x v="23"/>
    <n v="314.28571428571405"/>
    <n v="28.8402247142857"/>
    <n v="8"/>
    <n v="1.3999999999999915"/>
    <x v="17"/>
    <n v="174.99999999999892"/>
    <n v="21.973438999999942"/>
  </r>
  <r>
    <s v="Tammin "/>
    <x v="0"/>
    <x v="0"/>
    <n v="1.98"/>
    <x v="27"/>
    <d v="2008-01-29T00:00:00"/>
    <x v="13"/>
    <x v="0"/>
    <d v="2008-03-04T00:00:00"/>
    <n v="67.400000000000006"/>
    <m/>
    <x v="9"/>
    <n v="7.4000000000000057"/>
    <m/>
    <x v="23"/>
    <n v="211.42857142857162"/>
    <n v="23.19446157142858"/>
    <n v="8"/>
    <n v="0.80000000000001137"/>
    <x v="17"/>
    <n v="100.00000000000142"/>
    <n v="17.70103300000007"/>
  </r>
  <r>
    <s v="Tammin "/>
    <x v="0"/>
    <x v="0"/>
    <n v="1.98"/>
    <x v="28"/>
    <d v="2008-01-29T00:00:00"/>
    <x v="20"/>
    <x v="4"/>
    <d v="2008-03-04T00:00:00"/>
    <n v="67"/>
    <m/>
    <x v="9"/>
    <n v="9"/>
    <m/>
    <x v="23"/>
    <n v="257.14285714285711"/>
    <n v="25.245267857142856"/>
    <n v="8"/>
    <n v="0.79999999999999716"/>
    <x v="17"/>
    <n v="99.999999999999645"/>
    <n v="17.49812499999998"/>
  </r>
  <r>
    <s v="Tammin "/>
    <x v="0"/>
    <x v="0"/>
    <n v="1.98"/>
    <x v="29"/>
    <d v="2008-01-29T00:00:00"/>
    <x v="24"/>
    <x v="0"/>
    <d v="2008-03-04T00:00:00"/>
    <n v="65"/>
    <m/>
    <x v="9"/>
    <n v="9.7999999999999972"/>
    <m/>
    <x v="23"/>
    <n v="279.99999999999994"/>
    <n v="25.966308999999995"/>
    <n v="8"/>
    <n v="3.2000000000000028"/>
    <x v="17"/>
    <n v="400.00000000000034"/>
    <n v="31.882309000000017"/>
  </r>
  <r>
    <s v="Tammin "/>
    <x v="0"/>
    <x v="0"/>
    <n v="1.98"/>
    <x v="30"/>
    <d v="2008-01-29T00:00:00"/>
    <x v="25"/>
    <x v="2"/>
    <d v="2008-03-04T00:00:00"/>
    <n v="66.8"/>
    <m/>
    <x v="9"/>
    <n v="6.1999999999999957"/>
    <m/>
    <x v="23"/>
    <n v="177.14285714285703"/>
    <n v="21.504175857142847"/>
    <n v="8"/>
    <n v="0.79999999999999716"/>
    <x v="17"/>
    <n v="99.999999999999645"/>
    <n v="17.701032999999981"/>
  </r>
  <r>
    <s v="Tammin "/>
    <x v="0"/>
    <x v="0"/>
    <n v="1.98"/>
    <x v="31"/>
    <d v="2008-01-29T00:00:00"/>
    <x v="26"/>
    <x v="5"/>
    <d v="2008-03-04T00:00:00"/>
    <n v="70.8"/>
    <m/>
    <x v="9"/>
    <n v="6.3999999999999915"/>
    <m/>
    <x v="23"/>
    <n v="182.85714285714261"/>
    <n v="22.445341142857128"/>
    <n v="8"/>
    <n v="-1"/>
    <x v="17"/>
    <n v="-125"/>
    <n v="7.2679839999999984"/>
  </r>
  <r>
    <s v="Tammin "/>
    <x v="0"/>
    <x v="0"/>
    <n v="1.98"/>
    <x v="32"/>
    <d v="2008-01-29T00:00:00"/>
    <x v="0"/>
    <x v="5"/>
    <d v="2008-03-04T00:00:00"/>
    <n v="64.599999999999994"/>
    <m/>
    <x v="9"/>
    <n v="10.599999999999994"/>
    <m/>
    <x v="23"/>
    <n v="302.85714285714272"/>
    <n v="26.957894142857135"/>
    <n v="8"/>
    <n v="2.3999999999999915"/>
    <x v="17"/>
    <n v="299.99999999999892"/>
    <n v="26.817036999999942"/>
  </r>
  <r>
    <s v="Tammin "/>
    <x v="0"/>
    <x v="0"/>
    <n v="1.98"/>
    <x v="33"/>
    <d v="2008-01-29T00:00:00"/>
    <x v="27"/>
    <x v="2"/>
    <d v="2008-03-04T00:00:00"/>
    <n v="71"/>
    <m/>
    <x v="9"/>
    <n v="0"/>
    <m/>
    <x v="23"/>
    <n v="0"/>
    <n v="14.005389999999998"/>
    <n v="8"/>
    <n v="-0.79999999999999716"/>
    <x v="17"/>
    <n v="-99.999999999999645"/>
    <n v="9.0753900000000165"/>
  </r>
  <r>
    <s v="Tammin "/>
    <x v="0"/>
    <x v="0"/>
    <n v="1.98"/>
    <x v="0"/>
    <d v="2008-01-29T00:00:00"/>
    <x v="0"/>
    <x v="0"/>
    <d v="2008-03-11T00:00:00"/>
    <n v="62"/>
    <n v="2.5"/>
    <x v="10"/>
    <n v="8"/>
    <n v="0"/>
    <x v="11"/>
    <n v="190.47619047619045"/>
    <n v="21.197696190476186"/>
    <n v="7"/>
    <n v="-0.60000000000000142"/>
    <x v="0"/>
    <n v="-85.714285714285921"/>
    <n v="7.5815057142857034"/>
  </r>
  <r>
    <s v="Tammin "/>
    <x v="0"/>
    <x v="0"/>
    <n v="1.98"/>
    <x v="1"/>
    <d v="2008-01-29T00:00:00"/>
    <x v="1"/>
    <x v="0"/>
    <d v="2008-03-11T00:00:00"/>
    <n v="63.2"/>
    <n v="2.75"/>
    <x v="10"/>
    <n v="6.6000000000000014"/>
    <n v="0.25"/>
    <x v="11"/>
    <n v="157.14285714285717"/>
    <n v="19.875633857142859"/>
    <n v="7"/>
    <n v="-2.3999999999999915"/>
    <x v="0"/>
    <n v="-342.85714285714164"/>
    <n v="-4.7743661428570832"/>
  </r>
  <r>
    <s v="Tammin "/>
    <x v="0"/>
    <x v="0"/>
    <n v="1.98"/>
    <x v="2"/>
    <d v="2008-01-29T00:00:00"/>
    <x v="1"/>
    <x v="1"/>
    <d v="2008-03-11T00:00:00"/>
    <n v="65.2"/>
    <n v="3.75"/>
    <x v="10"/>
    <n v="8.6000000000000014"/>
    <n v="0.5"/>
    <x v="11"/>
    <n v="204.76190476190479"/>
    <n v="22.392342904761904"/>
    <n v="7"/>
    <n v="1"/>
    <x v="0"/>
    <n v="142.85714285714286"/>
    <n v="19.340438142857142"/>
  </r>
  <r>
    <s v="Tammin "/>
    <x v="0"/>
    <x v="0"/>
    <n v="1.98"/>
    <x v="3"/>
    <d v="2008-01-29T00:00:00"/>
    <x v="2"/>
    <x v="1"/>
    <d v="2008-03-11T00:00:00"/>
    <n v="68.8"/>
    <n v="3.5"/>
    <x v="10"/>
    <n v="5.1999999999999957"/>
    <n v="0.25"/>
    <x v="11"/>
    <n v="123.8095238095237"/>
    <n v="19.297567523809519"/>
    <n v="7"/>
    <n v="-1.6000000000000085"/>
    <x v="0"/>
    <n v="-228.57142857142978"/>
    <n v="1.9251865714285117"/>
  </r>
  <r>
    <s v="Tammin "/>
    <x v="0"/>
    <x v="0"/>
    <n v="1.98"/>
    <x v="4"/>
    <d v="2008-01-29T00:00:00"/>
    <x v="3"/>
    <x v="2"/>
    <d v="2008-03-11T00:00:00"/>
    <n v="60.6"/>
    <n v="2.5"/>
    <x v="10"/>
    <n v="8.2000000000000028"/>
    <n v="0.5"/>
    <x v="11"/>
    <n v="195.2380952380953"/>
    <n v="21.178823095238098"/>
    <n v="7"/>
    <n v="-1"/>
    <x v="0"/>
    <n v="-142.85714285714286"/>
    <n v="4.5107278571428582"/>
  </r>
  <r>
    <s v="Tammin "/>
    <x v="0"/>
    <x v="0"/>
    <n v="1.98"/>
    <x v="5"/>
    <d v="2008-01-29T00:00:00"/>
    <x v="4"/>
    <x v="0"/>
    <d v="2008-03-11T00:00:00"/>
    <n v="60.4"/>
    <n v="3"/>
    <x v="10"/>
    <n v="7.1999999999999957"/>
    <n v="0.5"/>
    <x v="11"/>
    <n v="171.42857142857133"/>
    <n v="20.055740571428565"/>
    <n v="7"/>
    <n v="-0.80000000000000426"/>
    <x v="0"/>
    <n v="-114.28571428571489"/>
    <n v="5.9700262857142548"/>
  </r>
  <r>
    <s v="Tammin "/>
    <x v="0"/>
    <x v="0"/>
    <n v="1.98"/>
    <x v="6"/>
    <d v="2008-01-29T00:00:00"/>
    <x v="5"/>
    <x v="3"/>
    <d v="2008-03-11T00:00:00"/>
    <n v="68.599999999999994"/>
    <n v="2"/>
    <x v="10"/>
    <n v="8.3999999999999915"/>
    <n v="-0.25"/>
    <x v="11"/>
    <n v="199.9999999999998"/>
    <n v="22.74939599999999"/>
    <n v="7"/>
    <n v="-1.4000000000000057"/>
    <x v="0"/>
    <n v="-200.00000000000082"/>
    <n v="3.0293959999999593"/>
  </r>
  <r>
    <s v="Tammin "/>
    <x v="0"/>
    <x v="0"/>
    <n v="1.98"/>
    <x v="7"/>
    <d v="2008-01-29T00:00:00"/>
    <x v="5"/>
    <x v="4"/>
    <d v="2008-03-11T00:00:00"/>
    <n v="68.599999999999994"/>
    <n v="3"/>
    <x v="10"/>
    <n v="8.3999999999999915"/>
    <n v="0"/>
    <x v="11"/>
    <n v="199.9999999999998"/>
    <n v="22.74939599999999"/>
    <n v="7"/>
    <n v="-1"/>
    <x v="0"/>
    <n v="-142.85714285714286"/>
    <n v="5.8465388571428578"/>
  </r>
  <r>
    <s v="Tammin "/>
    <x v="0"/>
    <x v="0"/>
    <n v="1.98"/>
    <x v="8"/>
    <d v="2008-01-29T00:00:00"/>
    <x v="6"/>
    <x v="5"/>
    <d v="2008-03-11T00:00:00"/>
    <n v="63.8"/>
    <n v="2"/>
    <x v="10"/>
    <n v="13.199999999999996"/>
    <n v="0.25"/>
    <x v="11"/>
    <n v="314.28571428571416"/>
    <n v="27.16623371428571"/>
    <n v="7"/>
    <n v="0.19999999999999574"/>
    <x v="0"/>
    <n v="28.571428571427962"/>
    <n v="13.080519428571399"/>
  </r>
  <r>
    <s v="Tammin "/>
    <x v="0"/>
    <x v="0"/>
    <n v="1.98"/>
    <x v="9"/>
    <d v="2008-01-29T00:00:00"/>
    <x v="7"/>
    <x v="0"/>
    <d v="2008-03-11T00:00:00"/>
    <n v="72"/>
    <n v="3.5"/>
    <x v="10"/>
    <n v="8.7999999999999972"/>
    <n v="1"/>
    <x v="11"/>
    <n v="209.52380952380943"/>
    <n v="23.760007809523803"/>
    <n v="7"/>
    <n v="-1.7999999999999972"/>
    <x v="0"/>
    <n v="-257.14285714285671"/>
    <n v="0.75334114285716147"/>
  </r>
  <r>
    <s v="Tammin "/>
    <x v="0"/>
    <x v="0"/>
    <n v="1.98"/>
    <x v="10"/>
    <d v="2008-01-29T00:00:00"/>
    <x v="8"/>
    <x v="6"/>
    <d v="2008-03-11T00:00:00"/>
    <n v="65"/>
    <n v="3.5"/>
    <x v="10"/>
    <n v="7.7999999999999972"/>
    <n v="0"/>
    <x v="11"/>
    <n v="185.71428571428564"/>
    <n v="21.48711328571428"/>
    <n v="7"/>
    <n v="-1.4000000000000057"/>
    <x v="0"/>
    <n v="-200.00000000000082"/>
    <n v="2.471398999999959"/>
  </r>
  <r>
    <s v="Tammin "/>
    <x v="0"/>
    <x v="0"/>
    <n v="1.98"/>
    <x v="11"/>
    <d v="2008-01-29T00:00:00"/>
    <x v="9"/>
    <x v="3"/>
    <d v="2008-03-11T00:00:00"/>
    <n v="57.6"/>
    <n v="3"/>
    <x v="10"/>
    <n v="9.3999999999999986"/>
    <n v="0.75"/>
    <x v="11"/>
    <n v="223.80952380952377"/>
    <n v="21.978670523809523"/>
    <n v="7"/>
    <n v="0"/>
    <x v="0"/>
    <n v="0"/>
    <n v="10.944861000000001"/>
  </r>
  <r>
    <s v="Tammin "/>
    <x v="0"/>
    <x v="0"/>
    <n v="1.98"/>
    <x v="12"/>
    <d v="2008-01-29T00:00:00"/>
    <x v="10"/>
    <x v="0"/>
    <d v="2008-03-11T00:00:00"/>
    <n v="70.8"/>
    <n v="3"/>
    <x v="10"/>
    <n v="4.3999999999999915"/>
    <n v="0.5"/>
    <x v="11"/>
    <n v="104.76190476190456"/>
    <n v="18.764335904761893"/>
    <n v="7"/>
    <n v="-1.7999999999999972"/>
    <x v="0"/>
    <n v="-257.14285714285671"/>
    <n v="0.9224311428571621"/>
  </r>
  <r>
    <s v="Tammin "/>
    <x v="0"/>
    <x v="0"/>
    <n v="1.98"/>
    <x v="13"/>
    <d v="2008-01-29T00:00:00"/>
    <x v="11"/>
    <x v="2"/>
    <d v="2008-03-11T00:00:00"/>
    <n v="54.4"/>
    <n v="2.25"/>
    <x v="10"/>
    <n v="6"/>
    <n v="0.25"/>
    <x v="11"/>
    <n v="142.85714285714286"/>
    <n v="17.734083142857141"/>
    <n v="7"/>
    <n v="-1.3999999999999986"/>
    <x v="0"/>
    <n v="-199.9999999999998"/>
    <n v="0.83122600000000979"/>
  </r>
  <r>
    <s v="Tammin "/>
    <x v="0"/>
    <x v="0"/>
    <n v="1.98"/>
    <x v="14"/>
    <d v="2008-01-29T00:00:00"/>
    <x v="12"/>
    <x v="2"/>
    <d v="2008-03-11T00:00:00"/>
    <n v="61.4"/>
    <n v="2.5"/>
    <x v="10"/>
    <n v="8.3999999999999986"/>
    <n v="0.5"/>
    <x v="11"/>
    <n v="199.99999999999994"/>
    <n v="21.531948"/>
    <n v="7"/>
    <n v="-1.6000000000000014"/>
    <x v="0"/>
    <n v="-228.57142857142878"/>
    <n v="0.40337657142856109"/>
  </r>
  <r>
    <s v="Tammin "/>
    <x v="0"/>
    <x v="0"/>
    <n v="1.98"/>
    <x v="15"/>
    <d v="2008-01-29T00:00:00"/>
    <x v="13"/>
    <x v="2"/>
    <d v="2008-03-11T00:00:00"/>
    <n v="65.400000000000006"/>
    <n v="2.5"/>
    <x v="10"/>
    <n v="5.4000000000000057"/>
    <n v="0.5"/>
    <x v="11"/>
    <n v="128.5714285714287"/>
    <n v="18.940514428571433"/>
    <n v="7"/>
    <n v="-2.7999999999999972"/>
    <x v="0"/>
    <n v="-399.9999999999996"/>
    <n v="-7.1180569999999772"/>
  </r>
  <r>
    <s v="Tammin "/>
    <x v="0"/>
    <x v="0"/>
    <n v="1.98"/>
    <x v="16"/>
    <d v="2008-01-29T00:00:00"/>
    <x v="14"/>
    <x v="4"/>
    <d v="2008-03-11T00:00:00"/>
    <n v="69.8"/>
    <n v="3"/>
    <x v="10"/>
    <n v="5.5999999999999943"/>
    <n v="0"/>
    <x v="11"/>
    <n v="133.3333333333332"/>
    <n v="19.902363333333327"/>
    <n v="7"/>
    <n v="-1.6000000000000085"/>
    <x v="0"/>
    <n v="-228.57142857142978"/>
    <n v="2.0604585714285122"/>
  </r>
  <r>
    <s v="Tammin "/>
    <x v="0"/>
    <x v="0"/>
    <n v="1.98"/>
    <x v="17"/>
    <d v="2008-01-29T00:00:00"/>
    <x v="15"/>
    <x v="0"/>
    <d v="2008-03-11T00:00:00"/>
    <n v="65.599999999999994"/>
    <n v="3"/>
    <x v="10"/>
    <n v="9.1999999999999957"/>
    <n v="0.5"/>
    <x v="11"/>
    <n v="219.04761904761892"/>
    <n v="23.113537619047612"/>
    <n v="7"/>
    <n v="-1"/>
    <x v="0"/>
    <n v="-142.85714285714286"/>
    <n v="5.2716328571428575"/>
  </r>
  <r>
    <s v="Tammin "/>
    <x v="0"/>
    <x v="0"/>
    <n v="1.98"/>
    <x v="18"/>
    <d v="2008-01-29T00:00:00"/>
    <x v="16"/>
    <x v="4"/>
    <d v="2008-03-11T00:00:00"/>
    <n v="71"/>
    <n v="4"/>
    <x v="10"/>
    <n v="7"/>
    <n v="1"/>
    <x v="11"/>
    <n v="166.66666666666666"/>
    <n v="21.630241666666663"/>
    <n v="7"/>
    <n v="-0.40000000000000568"/>
    <x v="0"/>
    <n v="-57.142857142857956"/>
    <n v="10.596432142857104"/>
  </r>
  <r>
    <s v="Tammin "/>
    <x v="0"/>
    <x v="0"/>
    <n v="1.98"/>
    <x v="19"/>
    <d v="2008-01-29T00:00:00"/>
    <x v="0"/>
    <x v="0"/>
    <d v="2008-03-11T00:00:00"/>
    <n v="61.4"/>
    <n v="2.5"/>
    <x v="10"/>
    <n v="7.3999999999999986"/>
    <n v="0"/>
    <x v="11"/>
    <n v="176.19047619047615"/>
    <n v="20.442683476190474"/>
    <n v="7"/>
    <n v="0.79999999999999716"/>
    <x v="0"/>
    <n v="114.28571428571388"/>
    <n v="17.390778714285695"/>
  </r>
  <r>
    <s v="Tammin "/>
    <x v="0"/>
    <x v="0"/>
    <n v="1.98"/>
    <x v="20"/>
    <d v="2008-01-29T00:00:00"/>
    <x v="17"/>
    <x v="5"/>
    <d v="2008-03-11T00:00:00"/>
    <n v="70.2"/>
    <n v="2"/>
    <x v="10"/>
    <n v="11"/>
    <n v="0.25"/>
    <x v="11"/>
    <n v="261.90476190476193"/>
    <n v="25.852027761904761"/>
    <n v="7"/>
    <n v="3"/>
    <x v="0"/>
    <n v="428.57142857142856"/>
    <n v="34.068694428571426"/>
  </r>
  <r>
    <s v="Tammin "/>
    <x v="0"/>
    <x v="0"/>
    <n v="1.98"/>
    <x v="21"/>
    <d v="2008-01-29T00:00:00"/>
    <x v="18"/>
    <x v="5"/>
    <d v="2008-03-11T00:00:00"/>
    <n v="65.2"/>
    <n v="2"/>
    <x v="10"/>
    <n v="7.4000000000000057"/>
    <n v="0.25"/>
    <x v="11"/>
    <n v="176.19047619047632"/>
    <n v="21.08522547619048"/>
    <n v="7"/>
    <n v="-1.2000000000000028"/>
    <x v="0"/>
    <n v="-171.42857142857184"/>
    <n v="3.9476064285714081"/>
  </r>
  <r>
    <s v="Tammin "/>
    <x v="0"/>
    <x v="0"/>
    <n v="1.98"/>
    <x v="22"/>
    <d v="2008-01-29T00:00:00"/>
    <x v="19"/>
    <x v="7"/>
    <d v="2008-03-11T00:00:00"/>
    <n v="68.599999999999994"/>
    <n v="3.25"/>
    <x v="10"/>
    <n v="12.399999999999991"/>
    <n v="0.5"/>
    <x v="11"/>
    <n v="295.23809523809501"/>
    <n v="27.106454095238082"/>
    <n v="7"/>
    <n v="-0.20000000000000284"/>
    <x v="0"/>
    <n v="-28.571428571428978"/>
    <n v="11.14264457142855"/>
  </r>
  <r>
    <s v="Tammin "/>
    <x v="0"/>
    <x v="0"/>
    <n v="1.98"/>
    <x v="23"/>
    <d v="2008-01-29T00:00:00"/>
    <x v="20"/>
    <x v="3"/>
    <d v="2008-03-11T00:00:00"/>
    <n v="67.599999999999994"/>
    <n v="3"/>
    <x v="10"/>
    <n v="9.5999999999999943"/>
    <n v="0.75"/>
    <x v="11"/>
    <n v="228.57142857142841"/>
    <n v="23.88742342857142"/>
    <n v="7"/>
    <n v="0.39999999999999147"/>
    <x v="0"/>
    <n v="57.142857142855924"/>
    <n v="15.435994857142795"/>
  </r>
  <r>
    <s v="Tammin "/>
    <x v="0"/>
    <x v="0"/>
    <n v="1.98"/>
    <x v="24"/>
    <d v="2008-01-29T00:00:00"/>
    <x v="21"/>
    <x v="3"/>
    <d v="2008-03-11T00:00:00"/>
    <n v="71.599999999999994"/>
    <n v="2.5"/>
    <x v="10"/>
    <n v="4.5999999999999943"/>
    <n v="0.25"/>
    <x v="11"/>
    <n v="109.52380952380939"/>
    <n v="19.117460809523802"/>
    <n v="7"/>
    <n v="-0.40000000000000568"/>
    <x v="0"/>
    <n v="-57.142857142857956"/>
    <n v="10.900794142857102"/>
  </r>
  <r>
    <s v="Tammin "/>
    <x v="0"/>
    <x v="0"/>
    <n v="1.98"/>
    <x v="25"/>
    <d v="2008-01-29T00:00:00"/>
    <x v="22"/>
    <x v="4"/>
    <d v="2008-03-11T00:00:00"/>
    <n v="79.400000000000006"/>
    <n v="3"/>
    <x v="10"/>
    <n v="8.8000000000000114"/>
    <n v="0"/>
    <x v="11"/>
    <n v="209.5238095238098"/>
    <n v="25.011273809523821"/>
    <n v="7"/>
    <n v="-2.1999999999999886"/>
    <x v="0"/>
    <n v="-314.28571428571269"/>
    <n v="-0.81253571428563376"/>
  </r>
  <r>
    <s v="Tammin "/>
    <x v="0"/>
    <x v="0"/>
    <n v="1.98"/>
    <x v="26"/>
    <d v="2008-01-29T00:00:00"/>
    <x v="23"/>
    <x v="0"/>
    <d v="2008-03-11T00:00:00"/>
    <n v="71.400000000000006"/>
    <n v="2"/>
    <x v="10"/>
    <n v="9.8000000000000043"/>
    <n v="-0.5"/>
    <x v="11"/>
    <n v="233.33333333333346"/>
    <n v="24.747818333333338"/>
    <n v="7"/>
    <n v="-1.1999999999999886"/>
    <x v="0"/>
    <n v="-171.4285714285698"/>
    <n v="4.7930564285715089"/>
  </r>
  <r>
    <s v="Tammin "/>
    <x v="0"/>
    <x v="0"/>
    <n v="1.98"/>
    <x v="27"/>
    <d v="2008-01-29T00:00:00"/>
    <x v="13"/>
    <x v="0"/>
    <d v="2008-03-11T00:00:00"/>
    <n v="67"/>
    <n v="2.5"/>
    <x v="10"/>
    <n v="7"/>
    <n v="0"/>
    <x v="11"/>
    <n v="166.66666666666666"/>
    <n v="20.953881666666664"/>
    <n v="7"/>
    <n v="-0.40000000000000568"/>
    <x v="0"/>
    <n v="-57.142857142857956"/>
    <n v="9.9200721428571015"/>
  </r>
  <r>
    <s v="Tammin "/>
    <x v="0"/>
    <x v="0"/>
    <n v="1.98"/>
    <x v="28"/>
    <d v="2008-01-29T00:00:00"/>
    <x v="20"/>
    <x v="4"/>
    <d v="2008-03-11T00:00:00"/>
    <n v="65.599999999999994"/>
    <n v="3"/>
    <x v="10"/>
    <n v="7.5999999999999943"/>
    <n v="0"/>
    <x v="11"/>
    <n v="180.95238095238082"/>
    <n v="21.370714380952371"/>
    <n v="7"/>
    <n v="-1.4000000000000057"/>
    <x v="0"/>
    <n v="-200.00000000000082"/>
    <n v="2.5897619999999595"/>
  </r>
  <r>
    <s v="Tammin "/>
    <x v="0"/>
    <x v="0"/>
    <n v="1.98"/>
    <x v="29"/>
    <d v="2008-01-29T00:00:00"/>
    <x v="24"/>
    <x v="0"/>
    <d v="2008-03-11T00:00:00"/>
    <n v="60"/>
    <n v="2.25"/>
    <x v="10"/>
    <n v="4.7999999999999972"/>
    <n v="-0.25"/>
    <x v="11"/>
    <n v="114.28571428571421"/>
    <n v="17.373869714285711"/>
    <n v="7"/>
    <n v="-5"/>
    <x v="0"/>
    <n v="-714.28571428571433"/>
    <n v="-23.474701714285715"/>
  </r>
  <r>
    <s v="Tammin "/>
    <x v="0"/>
    <x v="0"/>
    <n v="1.98"/>
    <x v="30"/>
    <d v="2008-01-29T00:00:00"/>
    <x v="25"/>
    <x v="2"/>
    <d v="2008-03-11T00:00:00"/>
    <n v="67"/>
    <n v="2.5"/>
    <x v="10"/>
    <n v="6.3999999999999986"/>
    <n v="0.5"/>
    <x v="11"/>
    <n v="152.38095238095235"/>
    <n v="20.300322952380949"/>
    <n v="7"/>
    <n v="0.20000000000000284"/>
    <x v="0"/>
    <n v="28.571428571428978"/>
    <n v="14.196513428571448"/>
  </r>
  <r>
    <s v="Tammin "/>
    <x v="0"/>
    <x v="0"/>
    <n v="1.98"/>
    <x v="31"/>
    <d v="2008-01-29T00:00:00"/>
    <x v="26"/>
    <x v="5"/>
    <d v="2008-03-11T00:00:00"/>
    <n v="69.8"/>
    <n v="2"/>
    <x v="10"/>
    <n v="5.3999999999999915"/>
    <n v="0.25"/>
    <x v="11"/>
    <n v="128.57142857142836"/>
    <n v="19.684510428571414"/>
    <n v="7"/>
    <n v="-1"/>
    <x v="0"/>
    <n v="-142.85714285714286"/>
    <n v="6.303081857142856"/>
  </r>
  <r>
    <s v="Tammin "/>
    <x v="0"/>
    <x v="0"/>
    <n v="1.98"/>
    <x v="32"/>
    <d v="2008-01-29T00:00:00"/>
    <x v="0"/>
    <x v="5"/>
    <d v="2008-03-11T00:00:00"/>
    <n v="62.4"/>
    <n v="2"/>
    <x v="10"/>
    <n v="8.3999999999999986"/>
    <n v="0.25"/>
    <x v="11"/>
    <n v="199.99999999999994"/>
    <n v="21.701037999999997"/>
    <n v="7"/>
    <n v="-2.1999999999999957"/>
    <x v="0"/>
    <n v="-314.28571428571365"/>
    <n v="-3.6532477142856834"/>
  </r>
  <r>
    <s v="Tammin "/>
    <x v="0"/>
    <x v="0"/>
    <n v="1.98"/>
    <x v="33"/>
    <d v="2008-01-29T00:00:00"/>
    <x v="27"/>
    <x v="2"/>
    <d v="2008-03-11T00:00:00"/>
    <n v="72.8"/>
    <n v="2.25"/>
    <x v="10"/>
    <n v="1.7999999999999972"/>
    <n v="0.25"/>
    <x v="11"/>
    <n v="42.85714285714279"/>
    <n v="16.270428142857142"/>
    <n v="7"/>
    <n v="1.7999999999999972"/>
    <x v="0"/>
    <n v="257.14285714285671"/>
    <n v="26.834713857142837"/>
  </r>
  <r>
    <s v="Tammin"/>
    <x v="4"/>
    <x v="4"/>
    <n v="2.4300000000000002"/>
    <x v="128"/>
    <d v="2015-02-10T00:00:00"/>
    <x v="35"/>
    <x v="4"/>
    <d v="2015-03-24T00:00:00"/>
    <n v="56"/>
    <n v="4"/>
    <x v="10"/>
    <n v="1.3999999999999986"/>
    <n v="1"/>
    <x v="24"/>
    <n v="33.3333333333333"/>
    <n v="12.99401033333333"/>
    <n v="14"/>
    <n v="-0.79999999999999716"/>
    <x v="4"/>
    <n v="-57.14285714285694"/>
    <n v="8.5335341428571532"/>
  </r>
  <r>
    <s v="Tammin"/>
    <x v="4"/>
    <x v="4"/>
    <n v="2.4300000000000002"/>
    <x v="129"/>
    <d v="2015-02-10T00:00:00"/>
    <x v="71"/>
    <x v="6"/>
    <d v="2015-03-24T00:00:00"/>
    <n v="53.9"/>
    <n v="4.5"/>
    <x v="10"/>
    <n v="-2.8999999999999986"/>
    <n v="1"/>
    <x v="24"/>
    <n v="-69.047619047619008"/>
    <n v="7.9550838809523814"/>
    <n v="14"/>
    <n v="-0.89999999999999858"/>
    <x v="4"/>
    <n v="-64.285714285714178"/>
    <n v="8.1898457857142901"/>
  </r>
  <r>
    <s v="Tammin"/>
    <x v="4"/>
    <x v="4"/>
    <n v="2.4300000000000002"/>
    <x v="130"/>
    <d v="2015-02-10T00:00:00"/>
    <x v="35"/>
    <x v="0"/>
    <d v="2015-03-24T00:00:00"/>
    <n v="57"/>
    <n v="4"/>
    <x v="10"/>
    <n v="2.3999999999999986"/>
    <n v="1.5"/>
    <x v="24"/>
    <n v="57.142857142857103"/>
    <n v="14.252364857142855"/>
    <n v="14"/>
    <n v="-0.79999999999999716"/>
    <x v="4"/>
    <n v="-57.14285714285694"/>
    <n v="8.6180791428571517"/>
  </r>
  <r>
    <s v="Tammin"/>
    <x v="4"/>
    <x v="4"/>
    <n v="2.4300000000000002"/>
    <x v="131"/>
    <d v="2015-02-10T00:00:00"/>
    <x v="40"/>
    <x v="9"/>
    <d v="2015-03-24T00:00:00"/>
    <n v="59"/>
    <n v="3.5"/>
    <x v="10"/>
    <n v="1.3999999999999986"/>
    <n v="-0.5"/>
    <x v="24"/>
    <n v="33.3333333333333"/>
    <n v="13.50128033333333"/>
    <n v="14"/>
    <n v="-1"/>
    <x v="4"/>
    <n v="-71.428571428571431"/>
    <n v="8.3365184285714289"/>
  </r>
  <r>
    <s v="Tammin"/>
    <x v="4"/>
    <x v="4"/>
    <n v="2.4300000000000002"/>
    <x v="132"/>
    <d v="2015-02-10T00:00:00"/>
    <x v="72"/>
    <x v="0"/>
    <d v="2015-03-24T00:00:00"/>
    <n v="56.2"/>
    <n v="3.5"/>
    <x v="10"/>
    <n v="-2.1999999999999957"/>
    <n v="1"/>
    <x v="24"/>
    <n v="-52.38095238095228"/>
    <n v="9.1064760476190507"/>
    <n v="14"/>
    <n v="-3.3999999999999986"/>
    <x v="4"/>
    <n v="-242.85714285714275"/>
    <n v="-0.28400014285713837"/>
  </r>
  <r>
    <s v="Tammin"/>
    <x v="4"/>
    <x v="4"/>
    <n v="2.4300000000000002"/>
    <x v="133"/>
    <d v="2015-02-10T00:00:00"/>
    <x v="44"/>
    <x v="4"/>
    <d v="2015-03-24T00:00:00"/>
    <n v="53.6"/>
    <n v="3.5"/>
    <x v="10"/>
    <n v="-2.3999999999999986"/>
    <n v="0.5"/>
    <x v="24"/>
    <n v="-57.142857142857103"/>
    <n v="8.448989142857144"/>
    <n v="14"/>
    <n v="-2.1000000000000014"/>
    <x v="4"/>
    <n v="-150.00000000000011"/>
    <n v="3.871131999999994"/>
  </r>
  <r>
    <s v="Tammin"/>
    <x v="4"/>
    <x v="4"/>
    <n v="2.4300000000000002"/>
    <x v="134"/>
    <d v="2015-02-10T00:00:00"/>
    <x v="71"/>
    <x v="6"/>
    <d v="2015-03-24T00:00:00"/>
    <n v="56.6"/>
    <n v="3.5"/>
    <x v="10"/>
    <n v="-0.19999999999999574"/>
    <n v="0"/>
    <x v="24"/>
    <n v="-4.7619047619046597"/>
    <n v="11.3526410952381"/>
    <n v="14"/>
    <n v="1.8000000000000043"/>
    <x v="4"/>
    <n v="128.57142857142887"/>
    <n v="17.925974428571443"/>
  </r>
  <r>
    <s v="Tammin"/>
    <x v="4"/>
    <x v="4"/>
    <n v="2.4300000000000002"/>
    <x v="135"/>
    <d v="2015-02-10T00:00:00"/>
    <x v="18"/>
    <x v="4"/>
    <d v="2015-03-24T00:00:00"/>
    <n v="57.4"/>
    <n v="4.5"/>
    <x v="10"/>
    <n v="-0.39999999999999858"/>
    <n v="1.5"/>
    <x v="24"/>
    <n v="-9.52380952380949"/>
    <n v="11.27006019047619"/>
    <n v="14"/>
    <n v="-3.2000000000000028"/>
    <x v="4"/>
    <n v="-228.57142857142878"/>
    <n v="0.47101257142855957"/>
  </r>
  <r>
    <s v="Tammin"/>
    <x v="4"/>
    <x v="4"/>
    <n v="2.4300000000000002"/>
    <x v="136"/>
    <d v="2015-02-10T00:00:00"/>
    <x v="3"/>
    <x v="0"/>
    <d v="2015-03-24T00:00:00"/>
    <n v="56"/>
    <n v="4"/>
    <x v="10"/>
    <n v="3.6000000000000014"/>
    <n v="1.5"/>
    <x v="24"/>
    <n v="85.714285714285737"/>
    <n v="15.390392285714288"/>
    <n v="14"/>
    <n v="-3.3999999999999986"/>
    <x v="4"/>
    <n v="-242.85714285714275"/>
    <n v="-0.80817914285713677"/>
  </r>
  <r>
    <s v="Tammin"/>
    <x v="4"/>
    <x v="4"/>
    <n v="2.4300000000000002"/>
    <x v="137"/>
    <d v="2015-02-10T00:00:00"/>
    <x v="8"/>
    <x v="4"/>
    <d v="2015-03-24T00:00:00"/>
    <n v="56.4"/>
    <n v="3.5"/>
    <x v="10"/>
    <n v="-0.80000000000000426"/>
    <n v="0.5"/>
    <x v="24"/>
    <n v="-19.04761904761915"/>
    <n v="10.665264380952374"/>
    <n v="14"/>
    <n v="-3.8000000000000043"/>
    <x v="4"/>
    <n v="-271.42857142857173"/>
    <n v="-1.7771165714285875"/>
  </r>
  <r>
    <s v="Tammin"/>
    <x v="4"/>
    <x v="4"/>
    <n v="2.4300000000000002"/>
    <x v="138"/>
    <d v="2015-02-10T00:00:00"/>
    <x v="73"/>
    <x v="0"/>
    <d v="2015-03-24T00:00:00"/>
    <n v="52.8"/>
    <n v="4"/>
    <x v="10"/>
    <n v="-0.80000000000000426"/>
    <n v="1.5"/>
    <x v="24"/>
    <n v="-19.04761904761915"/>
    <n v="10.056540380952375"/>
    <n v="14"/>
    <n v="-2.8000000000000043"/>
    <x v="4"/>
    <n v="-200.00000000000031"/>
    <n v="1.1355879999999843"/>
  </r>
  <r>
    <s v="Tammin"/>
    <x v="4"/>
    <x v="4"/>
    <n v="2.4300000000000002"/>
    <x v="139"/>
    <d v="2015-02-10T00:00:00"/>
    <x v="44"/>
    <x v="4"/>
    <d v="2015-03-24T00:00:00"/>
    <n v="54.8"/>
    <n v="3.5"/>
    <x v="10"/>
    <n v="-1.2000000000000028"/>
    <n v="0.5"/>
    <x v="24"/>
    <n v="-28.57142857142864"/>
    <n v="9.9590145714285683"/>
    <n v="14"/>
    <n v="-2"/>
    <x v="4"/>
    <n v="-142.85714285714286"/>
    <n v="4.3247288571428575"/>
  </r>
  <r>
    <s v="Tammin"/>
    <x v="4"/>
    <x v="4"/>
    <n v="2.4300000000000002"/>
    <x v="140"/>
    <d v="2015-02-10T00:00:00"/>
    <x v="30"/>
    <x v="6"/>
    <d v="2015-03-24T00:00:00"/>
    <n v="53"/>
    <n v="4"/>
    <x v="10"/>
    <n v="-0.79999999999999716"/>
    <n v="0.5"/>
    <x v="24"/>
    <n v="-19.04761904761898"/>
    <n v="10.090358380952384"/>
    <n v="14"/>
    <n v="-2"/>
    <x v="4"/>
    <n v="-142.85714285714286"/>
    <n v="3.986548857142858"/>
  </r>
  <r>
    <s v="Tammin"/>
    <x v="4"/>
    <x v="4"/>
    <n v="2.4300000000000002"/>
    <x v="141"/>
    <d v="2015-02-10T00:00:00"/>
    <x v="74"/>
    <x v="6"/>
    <d v="2015-03-24T00:00:00"/>
    <n v="52.5"/>
    <n v="4"/>
    <x v="10"/>
    <n v="0.29999999999999716"/>
    <n v="0.5"/>
    <x v="24"/>
    <n v="7.1428571428570748"/>
    <n v="11.204004357142853"/>
    <n v="14"/>
    <n v="-2.2999999999999972"/>
    <x v="4"/>
    <n v="-164.28571428571408"/>
    <n v="2.7525757857142956"/>
  </r>
  <r>
    <s v="Tammin"/>
    <x v="4"/>
    <x v="4"/>
    <n v="2.4300000000000002"/>
    <x v="142"/>
    <d v="2015-02-10T00:00:00"/>
    <x v="47"/>
    <x v="6"/>
    <d v="2015-03-24T00:00:00"/>
    <n v="55.8"/>
    <n v="4"/>
    <x v="10"/>
    <n v="-2.4000000000000057"/>
    <n v="0.5"/>
    <x v="24"/>
    <n v="-57.142857142857281"/>
    <n v="8.8209871428571365"/>
    <n v="14"/>
    <n v="-5.2000000000000028"/>
    <x v="4"/>
    <n v="-371.42857142857162"/>
    <n v="-6.6732985714285782"/>
  </r>
  <r>
    <s v="Tammin"/>
    <x v="4"/>
    <x v="4"/>
    <n v="2.4300000000000002"/>
    <x v="143"/>
    <d v="2015-02-10T00:00:00"/>
    <x v="75"/>
    <x v="4"/>
    <d v="2015-03-24T00:00:00"/>
    <n v="56.6"/>
    <n v="4"/>
    <x v="10"/>
    <n v="1"/>
    <n v="1"/>
    <x v="24"/>
    <n v="23.809523809523807"/>
    <n v="12.659758523809524"/>
    <n v="14"/>
    <n v="-2.1999999999999957"/>
    <x v="4"/>
    <n v="-157.14285714285683"/>
    <n v="3.7388061428571584"/>
  </r>
  <r>
    <s v="Tammin"/>
    <x v="4"/>
    <x v="4"/>
    <n v="2.4300000000000002"/>
    <x v="144"/>
    <d v="2015-02-10T00:00:00"/>
    <x v="15"/>
    <x v="4"/>
    <d v="2015-03-24T00:00:00"/>
    <n v="57.2"/>
    <n v="4"/>
    <x v="10"/>
    <n v="0.80000000000000426"/>
    <n v="1"/>
    <x v="24"/>
    <n v="19.04761904761915"/>
    <n v="12.543359619047623"/>
    <n v="14"/>
    <n v="0.40000000000000568"/>
    <x v="4"/>
    <n v="28.571428571428978"/>
    <n v="13.012883428571447"/>
  </r>
  <r>
    <s v="Tammin"/>
    <x v="4"/>
    <x v="4"/>
    <n v="2.4300000000000002"/>
    <x v="145"/>
    <d v="2015-02-10T00:00:00"/>
    <x v="13"/>
    <x v="6"/>
    <d v="2015-03-24T00:00:00"/>
    <n v="57.2"/>
    <n v="4"/>
    <x v="10"/>
    <n v="-2.7999999999999972"/>
    <n v="0.5"/>
    <x v="24"/>
    <n v="-66.6666666666666"/>
    <n v="8.622007333333336"/>
    <n v="14"/>
    <n v="-1.3999999999999986"/>
    <x v="4"/>
    <n v="-99.999999999999901"/>
    <n v="6.9786740000000052"/>
  </r>
  <r>
    <s v="Tammin"/>
    <x v="4"/>
    <x v="4"/>
    <n v="2.4300000000000002"/>
    <x v="146"/>
    <d v="2015-02-10T00:00:00"/>
    <x v="76"/>
    <x v="4"/>
    <d v="2015-03-24T00:00:00"/>
    <n v="58"/>
    <n v="4"/>
    <x v="10"/>
    <n v="2.2000000000000028"/>
    <n v="1"/>
    <x v="24"/>
    <n v="52.380952380952451"/>
    <n v="14.203601952380954"/>
    <n v="14"/>
    <n v="-3.3999999999999986"/>
    <x v="4"/>
    <n v="-242.85714285714275"/>
    <n v="-0.35163614285713862"/>
  </r>
  <r>
    <s v="Tammin"/>
    <x v="4"/>
    <x v="4"/>
    <n v="2.4300000000000002"/>
    <x v="147"/>
    <d v="2015-02-10T00:00:00"/>
    <x v="77"/>
    <x v="6"/>
    <d v="2015-03-24T00:00:00"/>
    <n v="52.5"/>
    <n v="4"/>
    <x v="10"/>
    <n v="-0.29999999999999716"/>
    <n v="0.5"/>
    <x v="24"/>
    <n v="-7.1428571428570748"/>
    <n v="10.550445642857145"/>
    <n v="14"/>
    <n v="-3.5"/>
    <x v="4"/>
    <n v="-250"/>
    <n v="-1.4224115000000008"/>
  </r>
  <r>
    <s v="Tammin"/>
    <x v="5"/>
    <x v="5"/>
    <n v="2.4700000000000002"/>
    <x v="148"/>
    <d v="2015-02-10T00:00:00"/>
    <x v="72"/>
    <x v="0"/>
    <d v="2015-03-24T00:00:00"/>
    <n v="57.6"/>
    <n v="3.5"/>
    <x v="10"/>
    <n v="-0.79999999999999716"/>
    <n v="1"/>
    <x v="25"/>
    <n v="-19.04761904761898"/>
    <n v="10.868172380952384"/>
    <n v="14"/>
    <n v="-4.6000000000000014"/>
    <x v="5"/>
    <n v="-328.57142857142867"/>
    <n v="-4.3913514285714346"/>
  </r>
  <r>
    <s v="Tammin"/>
    <x v="5"/>
    <x v="5"/>
    <n v="2.4700000000000002"/>
    <x v="149"/>
    <d v="2015-02-10T00:00:00"/>
    <x v="78"/>
    <x v="0"/>
    <d v="2015-03-24T00:00:00"/>
    <n v="51.8"/>
    <n v="3"/>
    <x v="10"/>
    <n v="-0.80000000000000426"/>
    <n v="0.5"/>
    <x v="25"/>
    <n v="-19.04761904761915"/>
    <n v="9.8874503809523766"/>
    <n v="14"/>
    <n v="-3.8000000000000043"/>
    <x v="5"/>
    <n v="-271.42857142857173"/>
    <n v="-2.554930571428585"/>
  </r>
  <r>
    <s v="Tammin"/>
    <x v="5"/>
    <x v="5"/>
    <n v="2.4700000000000002"/>
    <x v="150"/>
    <d v="2015-02-10T00:00:00"/>
    <x v="73"/>
    <x v="4"/>
    <d v="2015-03-24T00:00:00"/>
    <n v="51.6"/>
    <n v="3"/>
    <x v="10"/>
    <n v="-2"/>
    <n v="0"/>
    <x v="25"/>
    <n v="-47.619047619047613"/>
    <n v="8.5465149523809529"/>
    <n v="14"/>
    <n v="-2"/>
    <x v="5"/>
    <n v="-142.85714285714286"/>
    <n v="3.8512768571428575"/>
  </r>
  <r>
    <s v="Tammin"/>
    <x v="5"/>
    <x v="5"/>
    <n v="2.4700000000000002"/>
    <x v="151"/>
    <d v="2015-02-10T00:00:00"/>
    <x v="75"/>
    <x v="4"/>
    <d v="2015-03-24T00:00:00"/>
    <n v="59.4"/>
    <n v="3.5"/>
    <x v="10"/>
    <n v="3.7999999999999972"/>
    <n v="0.5"/>
    <x v="25"/>
    <n v="90.476190476190411"/>
    <n v="16.183151190476185"/>
    <n v="14"/>
    <n v="-1.8000000000000043"/>
    <x v="5"/>
    <n v="-128.57142857142887"/>
    <n v="5.3841035714285566"/>
  </r>
  <r>
    <s v="Tammin"/>
    <x v="5"/>
    <x v="5"/>
    <n v="2.4700000000000002"/>
    <x v="152"/>
    <d v="2015-02-10T00:00:00"/>
    <x v="79"/>
    <x v="9"/>
    <d v="2015-03-24T00:00:00"/>
    <n v="62.6"/>
    <n v="3"/>
    <x v="10"/>
    <n v="2.8000000000000043"/>
    <n v="-1"/>
    <x v="25"/>
    <n v="66.666666666666757"/>
    <n v="15.63497466666667"/>
    <n v="14"/>
    <n v="-1.8000000000000043"/>
    <x v="5"/>
    <n v="-128.57142857142887"/>
    <n v="6.0097365714285571"/>
  </r>
  <r>
    <s v="Tammin"/>
    <x v="5"/>
    <x v="5"/>
    <n v="2.4700000000000002"/>
    <x v="153"/>
    <d v="2015-02-10T00:00:00"/>
    <x v="30"/>
    <x v="0"/>
    <d v="2015-03-24T00:00:00"/>
    <n v="56.8"/>
    <n v="3"/>
    <x v="10"/>
    <n v="3"/>
    <n v="0.5"/>
    <x v="25"/>
    <n v="71.428571428571431"/>
    <n v="14.87210557142857"/>
    <n v="14"/>
    <n v="-3.6000000000000014"/>
    <x v="5"/>
    <n v="-257.14285714285722"/>
    <n v="-1.3264658571428622"/>
  </r>
  <r>
    <s v="Tammin"/>
    <x v="5"/>
    <x v="5"/>
    <n v="2.4700000000000002"/>
    <x v="154"/>
    <d v="2015-02-10T00:00:00"/>
    <x v="42"/>
    <x v="6"/>
    <d v="2015-03-24T00:00:00"/>
    <n v="58.2"/>
    <n v="3.5"/>
    <x v="10"/>
    <n v="2.8000000000000043"/>
    <n v="0"/>
    <x v="25"/>
    <n v="66.666666666666757"/>
    <n v="14.890978666666669"/>
    <n v="14"/>
    <n v="0.20000000000000284"/>
    <x v="5"/>
    <n v="14.285714285714489"/>
    <n v="12.308597714285723"/>
  </r>
  <r>
    <s v="Tammin"/>
    <x v="5"/>
    <x v="5"/>
    <n v="2.4700000000000002"/>
    <x v="155"/>
    <d v="2015-02-10T00:00:00"/>
    <x v="54"/>
    <x v="6"/>
    <d v="2015-03-24T00:00:00"/>
    <n v="54.8"/>
    <n v="4"/>
    <x v="10"/>
    <n v="-2.2000000000000028"/>
    <n v="0.5"/>
    <x v="25"/>
    <n v="-52.380952380952451"/>
    <n v="8.8697500476190445"/>
    <n v="14"/>
    <n v="-2"/>
    <x v="5"/>
    <n v="-142.85714285714286"/>
    <n v="4.4092738571428578"/>
  </r>
  <r>
    <s v="Tammin"/>
    <x v="5"/>
    <x v="5"/>
    <n v="2.4700000000000002"/>
    <x v="156"/>
    <d v="2015-02-10T00:00:00"/>
    <x v="20"/>
    <x v="0"/>
    <d v="2015-03-24T00:00:00"/>
    <n v="59.2"/>
    <n v="3.5"/>
    <x v="10"/>
    <n v="1.2000000000000028"/>
    <n v="1"/>
    <x v="25"/>
    <n v="28.57142857142864"/>
    <n v="13.317245428571432"/>
    <n v="14"/>
    <n v="-1.7999999999999972"/>
    <x v="5"/>
    <n v="-128.57142857142836"/>
    <n v="5.5701025714285812"/>
  </r>
  <r>
    <s v="Tammin"/>
    <x v="5"/>
    <x v="5"/>
    <n v="2.4700000000000002"/>
    <x v="157"/>
    <d v="2015-02-10T00:00:00"/>
    <x v="40"/>
    <x v="4"/>
    <d v="2015-03-24T00:00:00"/>
    <n v="58"/>
    <n v="4"/>
    <x v="10"/>
    <n v="0.39999999999999858"/>
    <n v="1"/>
    <x v="25"/>
    <n v="9.52380952380949"/>
    <n v="12.242925809523808"/>
    <n v="14"/>
    <n v="-2.2000000000000028"/>
    <x v="5"/>
    <n v="-157.14285714285734"/>
    <n v="4.0262591428571328"/>
  </r>
  <r>
    <s v="Tammin"/>
    <x v="5"/>
    <x v="5"/>
    <n v="2.4700000000000002"/>
    <x v="158"/>
    <d v="2015-02-10T00:00:00"/>
    <x v="42"/>
    <x v="4"/>
    <d v="2015-03-24T00:00:00"/>
    <n v="57"/>
    <n v="3.5"/>
    <x v="10"/>
    <n v="1.6000000000000014"/>
    <n v="0.5"/>
    <x v="25"/>
    <n v="38.095238095238123"/>
    <n v="13.380953238095239"/>
    <n v="14"/>
    <n v="0.20000000000000284"/>
    <x v="5"/>
    <n v="14.285714285714489"/>
    <n v="12.207143714285724"/>
  </r>
  <r>
    <s v="Tammin"/>
    <x v="5"/>
    <x v="5"/>
    <n v="2.4700000000000002"/>
    <x v="159"/>
    <d v="2015-02-10T00:00:00"/>
    <x v="20"/>
    <x v="4"/>
    <d v="2015-03-24T00:00:00"/>
    <n v="53.8"/>
    <n v="3.5"/>
    <x v="10"/>
    <n v="-4.2000000000000028"/>
    <n v="0.5"/>
    <x v="25"/>
    <n v="-100.00000000000006"/>
    <n v="6.5221309999999972"/>
    <n v="14"/>
    <n v="-4.8000000000000043"/>
    <x v="5"/>
    <n v="-342.85714285714312"/>
    <n v="-5.450726142857155"/>
  </r>
  <r>
    <s v="Tammin"/>
    <x v="5"/>
    <x v="5"/>
    <n v="2.4700000000000002"/>
    <x v="160"/>
    <d v="2015-02-10T00:00:00"/>
    <x v="74"/>
    <x v="0"/>
    <d v="2015-03-24T00:00:00"/>
    <n v="60"/>
    <n v="2.5"/>
    <x v="10"/>
    <n v="7.7999999999999972"/>
    <n v="0"/>
    <x v="25"/>
    <n v="185.71428571428564"/>
    <n v="20.64166328571428"/>
    <n v="14"/>
    <n v="-0.79999999999999716"/>
    <x v="5"/>
    <n v="-57.14285714285694"/>
    <n v="8.6688061428571537"/>
  </r>
  <r>
    <s v="Tammin"/>
    <x v="5"/>
    <x v="5"/>
    <n v="2.4700000000000002"/>
    <x v="161"/>
    <d v="2015-02-10T00:00:00"/>
    <x v="73"/>
    <x v="4"/>
    <d v="2015-03-24T00:00:00"/>
    <n v="52.8"/>
    <n v="3.5"/>
    <x v="10"/>
    <n v="-0.80000000000000426"/>
    <n v="0.5"/>
    <x v="25"/>
    <n v="-19.04761904761915"/>
    <n v="10.056540380952375"/>
    <n v="14"/>
    <n v="-7.2000000000000028"/>
    <x v="5"/>
    <n v="-514.28571428571445"/>
    <n v="-14.358697714285725"/>
  </r>
  <r>
    <s v="Tammin"/>
    <x v="5"/>
    <x v="5"/>
    <n v="2.4700000000000002"/>
    <x v="162"/>
    <d v="2015-02-10T00:00:00"/>
    <x v="13"/>
    <x v="6"/>
    <d v="2015-03-24T00:00:00"/>
    <n v="62"/>
    <n v="4"/>
    <x v="10"/>
    <n v="2"/>
    <n v="0.5"/>
    <x v="25"/>
    <n v="47.619047619047613"/>
    <n v="14.662109047619047"/>
    <n v="14"/>
    <n v="-4"/>
    <x v="5"/>
    <n v="-285.71428571428572"/>
    <n v="-1.7712242857142844"/>
  </r>
  <r>
    <s v="Tammin"/>
    <x v="5"/>
    <x v="5"/>
    <n v="2.4700000000000002"/>
    <x v="163"/>
    <d v="2015-02-10T00:00:00"/>
    <x v="78"/>
    <x v="0"/>
    <d v="2015-03-24T00:00:00"/>
    <n v="55.2"/>
    <n v="3.5"/>
    <x v="10"/>
    <n v="2.6000000000000014"/>
    <n v="1"/>
    <x v="25"/>
    <n v="61.904761904761941"/>
    <n v="14.165855761904764"/>
    <n v="14"/>
    <n v="0.60000000000000142"/>
    <x v="5"/>
    <n v="42.857142857142961"/>
    <n v="13.226808142857148"/>
  </r>
  <r>
    <s v="Tammin"/>
    <x v="5"/>
    <x v="5"/>
    <n v="2.4700000000000002"/>
    <x v="164"/>
    <d v="2015-02-10T00:00:00"/>
    <x v="8"/>
    <x v="4"/>
    <d v="2015-03-24T00:00:00"/>
    <n v="58"/>
    <n v="3.5"/>
    <x v="10"/>
    <n v="0.79999999999999716"/>
    <n v="0.5"/>
    <x v="25"/>
    <n v="19.04761904761898"/>
    <n v="12.678631619047614"/>
    <n v="14"/>
    <n v="-4"/>
    <x v="5"/>
    <n v="-285.71428571428572"/>
    <n v="-2.3461302857142847"/>
  </r>
  <r>
    <s v="Tammin"/>
    <x v="5"/>
    <x v="5"/>
    <n v="2.4700000000000002"/>
    <x v="165"/>
    <d v="2015-02-10T00:00:00"/>
    <x v="8"/>
    <x v="6"/>
    <d v="2015-03-24T00:00:00"/>
    <n v="54.2"/>
    <n v="3"/>
    <x v="10"/>
    <n v="-3"/>
    <n v="-0.5"/>
    <x v="25"/>
    <n v="-71.428571428571431"/>
    <n v="7.896884428571429"/>
    <n v="14"/>
    <n v="-2.5999999999999943"/>
    <x v="5"/>
    <n v="-185.7142857142853"/>
    <n v="2.2625987142857351"/>
  </r>
  <r>
    <s v="Tammin"/>
    <x v="5"/>
    <x v="5"/>
    <n v="2.4700000000000002"/>
    <x v="166"/>
    <d v="2015-02-10T00:00:00"/>
    <x v="35"/>
    <x v="4"/>
    <d v="2015-03-24T00:00:00"/>
    <n v="54.4"/>
    <n v="4"/>
    <x v="10"/>
    <n v="-0.20000000000000284"/>
    <n v="1"/>
    <x v="25"/>
    <n v="-4.7619047619048303"/>
    <n v="10.98064309523809"/>
    <n v="14"/>
    <n v="-2.8000000000000043"/>
    <x v="5"/>
    <n v="-200.00000000000031"/>
    <n v="1.3554049999999833"/>
  </r>
  <r>
    <s v="Tammin"/>
    <x v="5"/>
    <x v="5"/>
    <n v="2.4700000000000002"/>
    <x v="167"/>
    <d v="2015-02-10T00:00:00"/>
    <x v="24"/>
    <x v="4"/>
    <d v="2015-03-24T00:00:00"/>
    <n v="51.4"/>
    <n v="3.5"/>
    <x v="10"/>
    <n v="-3.8000000000000043"/>
    <n v="0.5"/>
    <x v="25"/>
    <n v="-90.476190476190567"/>
    <n v="6.5520208095238051"/>
    <n v="14"/>
    <n v="-1.6000000000000014"/>
    <x v="5"/>
    <n v="-114.28571428571439"/>
    <n v="5.3782112857142801"/>
  </r>
  <r>
    <s v="Tammin"/>
    <x v="7"/>
    <x v="7"/>
    <n v="2.35"/>
    <x v="198"/>
    <d v="2014-02-17T00:00:00"/>
    <x v="76"/>
    <x v="11"/>
    <d v="2014-04-02T00:00:00"/>
    <n v="62.2"/>
    <m/>
    <x v="11"/>
    <n v="6.4000000000000057"/>
    <m/>
    <x v="26"/>
    <n v="145.45454545454558"/>
    <n v="19.147219090909097"/>
    <n v="15"/>
    <n v="1.2000000000000028"/>
    <x v="18"/>
    <n v="80.000000000000199"/>
    <n v="15.92031000000001"/>
  </r>
  <r>
    <s v="Tammin"/>
    <x v="7"/>
    <x v="7"/>
    <n v="2.35"/>
    <x v="199"/>
    <d v="2014-02-17T00:00:00"/>
    <x v="19"/>
    <x v="11"/>
    <d v="2014-04-02T00:00:00"/>
    <n v="64"/>
    <m/>
    <x v="11"/>
    <n v="7.7999999999999972"/>
    <m/>
    <x v="26"/>
    <n v="177.27272727272722"/>
    <n v="20.90185445454545"/>
    <n v="15"/>
    <n v="3.5"/>
    <x v="18"/>
    <n v="233.33333333333334"/>
    <n v="23.665642333333331"/>
  </r>
  <r>
    <s v="Tammin"/>
    <x v="7"/>
    <x v="7"/>
    <n v="2.35"/>
    <x v="200"/>
    <d v="2014-02-17T00:00:00"/>
    <x v="0"/>
    <x v="11"/>
    <d v="2014-04-02T00:00:00"/>
    <n v="58.8"/>
    <m/>
    <x v="11"/>
    <n v="4.7999999999999972"/>
    <m/>
    <x v="26"/>
    <n v="109.09090909090904"/>
    <n v="16.914857818181815"/>
    <n v="15"/>
    <n v="2.7999999999999972"/>
    <x v="18"/>
    <n v="186.66666666666649"/>
    <n v="20.739342666666658"/>
  </r>
  <r>
    <s v="Tammin"/>
    <x v="7"/>
    <x v="7"/>
    <n v="2.35"/>
    <x v="201"/>
    <d v="2014-02-17T00:00:00"/>
    <x v="20"/>
    <x v="11"/>
    <d v="2014-04-02T00:00:00"/>
    <n v="62.6"/>
    <m/>
    <x v="11"/>
    <n v="4.6000000000000014"/>
    <m/>
    <x v="26"/>
    <n v="104.54545454545458"/>
    <n v="17.350217909090908"/>
    <n v="15"/>
    <n v="0.60000000000000142"/>
    <x v="18"/>
    <n v="40.000000000000099"/>
    <n v="14.168127000000004"/>
  </r>
  <r>
    <s v="Tammin"/>
    <x v="7"/>
    <x v="7"/>
    <n v="2.35"/>
    <x v="202"/>
    <d v="2014-02-17T00:00:00"/>
    <x v="84"/>
    <x v="11"/>
    <d v="2014-04-02T00:00:00"/>
    <n v="64.599999999999994"/>
    <m/>
    <x v="11"/>
    <n v="5.7999999999999972"/>
    <m/>
    <x v="26"/>
    <n v="131.81818181818176"/>
    <n v="18.931489363636359"/>
    <n v="15"/>
    <n v="-1.9000000000000057"/>
    <x v="18"/>
    <n v="-126.66666666666704"/>
    <n v="6.1881863333333129"/>
  </r>
  <r>
    <s v="Tammin"/>
    <x v="7"/>
    <x v="7"/>
    <n v="2.35"/>
    <x v="203"/>
    <d v="2014-02-17T00:00:00"/>
    <x v="74"/>
    <x v="11"/>
    <d v="2014-04-02T00:00:00"/>
    <n v="59"/>
    <m/>
    <x v="11"/>
    <n v="6.7999999999999972"/>
    <m/>
    <x v="26"/>
    <n v="154.54545454545448"/>
    <n v="19.020494909090907"/>
    <n v="15"/>
    <n v="2"/>
    <x v="18"/>
    <n v="133.33333333333334"/>
    <n v="17.974737333333334"/>
  </r>
  <r>
    <s v="Tammin"/>
    <x v="7"/>
    <x v="7"/>
    <n v="2.35"/>
    <x v="204"/>
    <d v="2014-02-17T00:00:00"/>
    <x v="35"/>
    <x v="11"/>
    <d v="2014-04-02T00:00:00"/>
    <n v="60.2"/>
    <m/>
    <x v="11"/>
    <n v="5.6000000000000014"/>
    <m/>
    <x v="26"/>
    <n v="127.27272727272731"/>
    <n v="17.980311454545458"/>
    <n v="15"/>
    <n v="4.2000000000000028"/>
    <x v="18"/>
    <n v="280.00000000000017"/>
    <n v="25.50976600000001"/>
  </r>
  <r>
    <s v="Tammin"/>
    <x v="7"/>
    <x v="7"/>
    <n v="2.35"/>
    <x v="205"/>
    <d v="2014-02-17T00:00:00"/>
    <x v="35"/>
    <x v="11"/>
    <d v="2014-04-02T00:00:00"/>
    <n v="64.599999999999994"/>
    <m/>
    <x v="11"/>
    <n v="9.9999999999999929"/>
    <m/>
    <x v="26"/>
    <n v="227.27272727272711"/>
    <n v="23.282309454545445"/>
    <n v="15"/>
    <n v="4.0999999999999943"/>
    <x v="18"/>
    <n v="273.33333333333292"/>
    <n v="25.553097333333312"/>
  </r>
  <r>
    <s v="Tammin"/>
    <x v="7"/>
    <x v="7"/>
    <n v="2.35"/>
    <x v="206"/>
    <d v="2014-02-17T00:00:00"/>
    <x v="0"/>
    <x v="11"/>
    <d v="2014-04-02T00:00:00"/>
    <n v="63"/>
    <m/>
    <x v="11"/>
    <n v="9"/>
    <m/>
    <x v="26"/>
    <n v="204.54545454545456"/>
    <n v="21.97585590909091"/>
    <n v="15"/>
    <n v="3"/>
    <x v="18"/>
    <n v="200"/>
    <n v="21.751764999999999"/>
  </r>
  <r>
    <s v="Tammin"/>
    <x v="7"/>
    <x v="7"/>
    <n v="2.35"/>
    <x v="207"/>
    <d v="2014-02-17T00:00:00"/>
    <x v="8"/>
    <x v="11"/>
    <d v="2014-04-02T00:00:00"/>
    <n v="61"/>
    <m/>
    <x v="11"/>
    <n v="3.7999999999999972"/>
    <m/>
    <x v="26"/>
    <n v="86.363636363636289"/>
    <n v="16.250946272727269"/>
    <n v="15"/>
    <n v="0.5"/>
    <x v="18"/>
    <n v="33.333333333333336"/>
    <n v="13.636552333333332"/>
  </r>
  <r>
    <s v="Tammin"/>
    <x v="7"/>
    <x v="7"/>
    <n v="2.35"/>
    <x v="208"/>
    <d v="2014-02-17T00:00:00"/>
    <x v="14"/>
    <x v="11"/>
    <d v="2014-04-02T00:00:00"/>
    <n v="68.400000000000006"/>
    <m/>
    <x v="11"/>
    <n v="4.2000000000000028"/>
    <m/>
    <x v="26"/>
    <n v="95.45454545454551"/>
    <n v="17.916576090909096"/>
    <n v="15"/>
    <n v="-3.0999999999999943"/>
    <x v="18"/>
    <n v="-206.66666666666629"/>
    <n v="3.022000333333354"/>
  </r>
  <r>
    <s v="Tammin"/>
    <x v="7"/>
    <x v="7"/>
    <n v="2.35"/>
    <x v="209"/>
    <d v="2014-02-17T00:00:00"/>
    <x v="11"/>
    <x v="11"/>
    <d v="2014-04-02T00:00:00"/>
    <n v="53.8"/>
    <m/>
    <x v="11"/>
    <n v="5.3999999999999986"/>
    <m/>
    <x v="26"/>
    <n v="122.72727272727271"/>
    <n v="16.690953545454541"/>
    <n v="15"/>
    <n v="-0.70000000000000284"/>
    <x v="18"/>
    <n v="-46.666666666666856"/>
    <n v="8.3398323333333231"/>
  </r>
  <r>
    <s v="Tammin"/>
    <x v="7"/>
    <x v="7"/>
    <n v="2.35"/>
    <x v="210"/>
    <d v="2014-02-17T00:00:00"/>
    <x v="32"/>
    <x v="11"/>
    <d v="2014-04-02T00:00:00"/>
    <n v="59.2"/>
    <m/>
    <x v="11"/>
    <n v="4.2000000000000028"/>
    <m/>
    <x v="26"/>
    <n v="95.45454545454551"/>
    <n v="16.360948090909094"/>
    <n v="15"/>
    <n v="0.20000000000000284"/>
    <x v="18"/>
    <n v="13.333333333333524"/>
    <n v="12.312372333333343"/>
  </r>
  <r>
    <s v="Tammin"/>
    <x v="7"/>
    <x v="7"/>
    <n v="2.35"/>
    <x v="211"/>
    <d v="2014-02-17T00:00:00"/>
    <x v="6"/>
    <x v="11"/>
    <d v="2014-04-02T00:00:00"/>
    <n v="56.8"/>
    <m/>
    <x v="11"/>
    <n v="6.1999999999999957"/>
    <m/>
    <x v="26"/>
    <n v="140.90909090909082"/>
    <n v="18.026951181818177"/>
    <n v="15"/>
    <n v="1.2999999999999972"/>
    <x v="18"/>
    <n v="86.666666666666472"/>
    <n v="15.352799666666657"/>
  </r>
  <r>
    <s v="Tammin"/>
    <x v="7"/>
    <x v="7"/>
    <n v="2.35"/>
    <x v="212"/>
    <d v="2014-02-17T00:00:00"/>
    <x v="34"/>
    <x v="11"/>
    <d v="2014-04-02T00:00:00"/>
    <n v="56.8"/>
    <m/>
    <x v="11"/>
    <n v="5.1999999999999957"/>
    <m/>
    <x v="26"/>
    <n v="118.18181818181809"/>
    <n v="16.991041636363633"/>
    <n v="15"/>
    <n v="0.79999999999999716"/>
    <x v="18"/>
    <n v="53.333333333333144"/>
    <n v="13.794011333333325"/>
  </r>
  <r>
    <s v="Tammin"/>
    <x v="7"/>
    <x v="7"/>
    <n v="2.35"/>
    <x v="213"/>
    <d v="2014-02-17T00:00:00"/>
    <x v="85"/>
    <x v="11"/>
    <d v="2014-04-02T00:00:00"/>
    <n v="55.4"/>
    <m/>
    <x v="11"/>
    <n v="5.7999999999999972"/>
    <m/>
    <x v="26"/>
    <n v="131.81818181818176"/>
    <n v="17.375861363636361"/>
    <n v="15"/>
    <n v="1.8999999999999986"/>
    <x v="18"/>
    <n v="126.66666666666657"/>
    <n v="17.121891666666659"/>
  </r>
  <r>
    <s v="Tammin"/>
    <x v="7"/>
    <x v="7"/>
    <n v="2.35"/>
    <x v="214"/>
    <d v="2014-02-17T00:00:00"/>
    <x v="3"/>
    <x v="11"/>
    <d v="2014-04-02T00:00:00"/>
    <n v="62.6"/>
    <m/>
    <x v="11"/>
    <n v="10.200000000000003"/>
    <m/>
    <x v="26"/>
    <n v="231.8181818181819"/>
    <n v="23.151311363636367"/>
    <n v="15"/>
    <n v="2.6000000000000014"/>
    <x v="18"/>
    <n v="173.33333333333343"/>
    <n v="20.268008333333334"/>
  </r>
  <r>
    <s v="Tammin"/>
    <x v="7"/>
    <x v="7"/>
    <n v="2.35"/>
    <x v="215"/>
    <d v="2014-02-17T00:00:00"/>
    <x v="6"/>
    <x v="11"/>
    <d v="2014-04-02T00:00:00"/>
    <n v="55.6"/>
    <m/>
    <x v="11"/>
    <n v="5"/>
    <m/>
    <x v="26"/>
    <n v="113.63636363636363"/>
    <n v="16.580951727272726"/>
    <n v="15"/>
    <n v="1.1000000000000014"/>
    <x v="18"/>
    <n v="73.333333333333428"/>
    <n v="14.594012333333337"/>
  </r>
  <r>
    <s v="Tammin"/>
    <x v="7"/>
    <x v="7"/>
    <n v="2.35"/>
    <x v="216"/>
    <d v="2014-02-17T00:00:00"/>
    <x v="86"/>
    <x v="11"/>
    <d v="2014-04-02T00:00:00"/>
    <n v="55.2"/>
    <m/>
    <x v="11"/>
    <n v="5.2000000000000028"/>
    <m/>
    <x v="26"/>
    <n v="118.18181818181824"/>
    <n v="16.720497636363639"/>
    <n v="15"/>
    <n v="0.70000000000000284"/>
    <x v="18"/>
    <n v="46.666666666666856"/>
    <n v="13.194800666666675"/>
  </r>
  <r>
    <s v="Tammin"/>
    <x v="7"/>
    <x v="7"/>
    <n v="2.35"/>
    <x v="217"/>
    <d v="2014-02-17T00:00:00"/>
    <x v="42"/>
    <x v="11"/>
    <d v="2014-04-02T00:00:00"/>
    <n v="66.8"/>
    <m/>
    <x v="11"/>
    <n v="11.399999999999999"/>
    <m/>
    <x v="26"/>
    <n v="259.09090909090907"/>
    <n v="25.104580818181816"/>
    <n v="15"/>
    <n v="4.2999999999999972"/>
    <x v="18"/>
    <n v="286.66666666666646"/>
    <n v="26.464065666666656"/>
  </r>
  <r>
    <s v="Tammin"/>
    <x v="7"/>
    <x v="7"/>
    <n v="2.35"/>
    <x v="218"/>
    <d v="2014-02-17T00:00:00"/>
    <x v="19"/>
    <x v="11"/>
    <d v="2014-04-02T00:00:00"/>
    <n v="65.8"/>
    <m/>
    <x v="11"/>
    <n v="9.5999999999999943"/>
    <m/>
    <x v="26"/>
    <n v="218.18181818181807"/>
    <n v="23.07085363636363"/>
    <n v="15"/>
    <n v="4.2999999999999972"/>
    <x v="18"/>
    <n v="286.66666666666646"/>
    <n v="26.447156666666654"/>
  </r>
  <r>
    <s v="Tammin"/>
    <x v="7"/>
    <x v="7"/>
    <n v="2.35"/>
    <x v="219"/>
    <d v="2014-02-17T00:00:00"/>
    <x v="48"/>
    <x v="11"/>
    <d v="2014-04-02T00:00:00"/>
    <n v="56.2"/>
    <m/>
    <x v="11"/>
    <n v="5.2000000000000028"/>
    <m/>
    <x v="26"/>
    <n v="118.18181818181824"/>
    <n v="16.88958763636364"/>
    <n v="15"/>
    <n v="1.2000000000000028"/>
    <x v="18"/>
    <n v="80.000000000000199"/>
    <n v="15.00722400000001"/>
  </r>
  <r>
    <s v="Tammin"/>
    <x v="7"/>
    <x v="7"/>
    <n v="2.35"/>
    <x v="220"/>
    <d v="2014-02-17T00:00:00"/>
    <x v="87"/>
    <x v="11"/>
    <d v="2014-04-02T00:00:00"/>
    <n v="58.6"/>
    <m/>
    <x v="11"/>
    <n v="7.2000000000000028"/>
    <m/>
    <x v="26"/>
    <n v="163.63636363636368"/>
    <n v="19.367222727272729"/>
    <n v="15"/>
    <n v="-0.89999999999999858"/>
    <x v="18"/>
    <n v="-59.999999999999908"/>
    <n v="8.3419500000000042"/>
  </r>
  <r>
    <s v="Tammin"/>
    <x v="7"/>
    <x v="7"/>
    <n v="2.35"/>
    <x v="221"/>
    <d v="2014-02-17T00:00:00"/>
    <x v="88"/>
    <x v="11"/>
    <d v="2014-04-02T00:00:00"/>
    <n v="53.4"/>
    <m/>
    <x v="11"/>
    <n v="4.7999999999999972"/>
    <m/>
    <x v="26"/>
    <n v="109.09090909090904"/>
    <n v="16.001771818181815"/>
    <n v="15"/>
    <n v="2.3999999999999986"/>
    <x v="18"/>
    <n v="159.99999999999989"/>
    <n v="18.511589999999995"/>
  </r>
  <r>
    <s v="Tammin"/>
    <x v="7"/>
    <x v="7"/>
    <n v="2.35"/>
    <x v="222"/>
    <d v="2014-02-17T00:00:00"/>
    <x v="88"/>
    <x v="11"/>
    <d v="2014-04-02T00:00:00"/>
    <n v="49.4"/>
    <m/>
    <x v="11"/>
    <n v="0.79999999999999716"/>
    <m/>
    <x v="26"/>
    <n v="18.181818181818119"/>
    <n v="11.181773636363632"/>
    <n v="15"/>
    <n v="-1.1000000000000014"/>
    <x v="18"/>
    <n v="-73.333333333333428"/>
    <n v="6.6700766666666613"/>
  </r>
  <r>
    <s v="Tammin"/>
    <x v="7"/>
    <x v="7"/>
    <n v="2.35"/>
    <x v="223"/>
    <d v="2014-02-17T00:00:00"/>
    <x v="37"/>
    <x v="11"/>
    <d v="2014-04-02T00:00:00"/>
    <n v="68"/>
    <m/>
    <x v="11"/>
    <n v="5.2000000000000028"/>
    <m/>
    <x v="26"/>
    <n v="118.18181818181824"/>
    <n v="18.88484963636364"/>
    <n v="15"/>
    <n v="1.5"/>
    <x v="18"/>
    <n v="100"/>
    <n v="17.988486000000002"/>
  </r>
  <r>
    <s v="Tammin"/>
    <x v="7"/>
    <x v="7"/>
    <n v="2.35"/>
    <x v="224"/>
    <d v="2014-02-17T00:00:00"/>
    <x v="32"/>
    <x v="11"/>
    <d v="2014-04-02T00:00:00"/>
    <n v="62.4"/>
    <m/>
    <x v="11"/>
    <n v="7.3999999999999986"/>
    <m/>
    <x v="26"/>
    <n v="168.18181818181816"/>
    <n v="20.216946636363634"/>
    <n v="15"/>
    <n v="1.3999999999999986"/>
    <x v="18"/>
    <n v="93.333333333333243"/>
    <n v="16.526916333333329"/>
  </r>
  <r>
    <s v="Tammin"/>
    <x v="7"/>
    <x v="7"/>
    <n v="2.35"/>
    <x v="225"/>
    <d v="2014-02-17T00:00:00"/>
    <x v="7"/>
    <x v="11"/>
    <d v="2014-04-02T00:00:00"/>
    <n v="67.8"/>
    <m/>
    <x v="11"/>
    <n v="4.5999999999999943"/>
    <m/>
    <x v="26"/>
    <n v="104.54545454545442"/>
    <n v="18.229485909090901"/>
    <n v="15"/>
    <n v="6.2999999999999972"/>
    <x v="18"/>
    <n v="419.99999999999983"/>
    <n v="33.781394999999989"/>
  </r>
  <r>
    <s v="Tammin"/>
    <x v="7"/>
    <x v="7"/>
    <n v="2.35"/>
    <x v="226"/>
    <d v="2014-02-17T00:00:00"/>
    <x v="89"/>
    <x v="11"/>
    <d v="2014-04-02T00:00:00"/>
    <n v="58.2"/>
    <m/>
    <x v="11"/>
    <n v="6.4000000000000057"/>
    <m/>
    <x v="26"/>
    <n v="145.45454545454558"/>
    <n v="18.470859090909094"/>
    <n v="15"/>
    <n v="2.2000000000000028"/>
    <x v="18"/>
    <n v="146.66666666666686"/>
    <n v="18.530616666666674"/>
  </r>
  <r>
    <s v="Tammin"/>
    <x v="7"/>
    <x v="7"/>
    <n v="2.35"/>
    <x v="227"/>
    <d v="2014-02-17T00:00:00"/>
    <x v="19"/>
    <x v="11"/>
    <d v="2014-04-02T00:00:00"/>
    <n v="63"/>
    <m/>
    <x v="11"/>
    <n v="6.7999999999999972"/>
    <m/>
    <x v="26"/>
    <n v="154.54545454545448"/>
    <n v="19.696854909090906"/>
    <n v="15"/>
    <n v="0.5"/>
    <x v="18"/>
    <n v="33.333333333333336"/>
    <n v="13.721097333333333"/>
  </r>
  <r>
    <s v="Tammin"/>
    <x v="7"/>
    <x v="7"/>
    <n v="2.35"/>
    <x v="228"/>
    <d v="2014-02-17T00:00:00"/>
    <x v="29"/>
    <x v="11"/>
    <d v="2014-04-02T00:00:00"/>
    <n v="65.2"/>
    <m/>
    <x v="11"/>
    <n v="5.6000000000000014"/>
    <m/>
    <x v="26"/>
    <n v="127.27272727272731"/>
    <n v="18.825761454545457"/>
    <n v="15"/>
    <n v="0.20000000000000284"/>
    <x v="18"/>
    <n v="13.333333333333524"/>
    <n v="13.208549333333343"/>
  </r>
  <r>
    <s v="Tammin"/>
    <x v="7"/>
    <x v="7"/>
    <n v="2.35"/>
    <x v="229"/>
    <d v="2014-02-17T00:00:00"/>
    <x v="90"/>
    <x v="11"/>
    <d v="2014-04-02T00:00:00"/>
    <n v="55"/>
    <m/>
    <x v="11"/>
    <n v="5.6000000000000014"/>
    <m/>
    <x v="26"/>
    <n v="127.27272727272731"/>
    <n v="17.101043454545458"/>
    <n v="15"/>
    <n v="2"/>
    <x v="18"/>
    <n v="133.33333333333334"/>
    <n v="17.399831333333335"/>
  </r>
  <r>
    <s v="Tammin"/>
    <x v="7"/>
    <x v="7"/>
    <n v="2.35"/>
    <x v="230"/>
    <d v="2014-02-17T00:00:00"/>
    <x v="77"/>
    <x v="11"/>
    <d v="2014-04-02T00:00:00"/>
    <n v="62.4"/>
    <m/>
    <x v="11"/>
    <n v="9.6000000000000014"/>
    <m/>
    <x v="26"/>
    <n v="218.18181818181822"/>
    <n v="22.495947636363638"/>
    <n v="15"/>
    <n v="2.3999999999999986"/>
    <x v="18"/>
    <n v="159.99999999999989"/>
    <n v="19.627583999999992"/>
  </r>
  <r>
    <s v="Tammin"/>
    <x v="7"/>
    <x v="7"/>
    <n v="2.35"/>
    <x v="231"/>
    <d v="2014-02-17T00:00:00"/>
    <x v="91"/>
    <x v="11"/>
    <d v="2014-04-02T00:00:00"/>
    <n v="65"/>
    <m/>
    <x v="11"/>
    <n v="3.7999999999999972"/>
    <m/>
    <x v="26"/>
    <n v="86.363636363636289"/>
    <n v="16.927306272727268"/>
    <n v="15"/>
    <n v="3"/>
    <x v="18"/>
    <n v="200"/>
    <n v="22.529578999999998"/>
  </r>
  <r>
    <s v="Tammin"/>
    <x v="7"/>
    <x v="7"/>
    <n v="2.35"/>
    <x v="232"/>
    <d v="2014-02-17T00:00:00"/>
    <x v="6"/>
    <x v="11"/>
    <d v="2014-04-02T00:00:00"/>
    <n v="56.2"/>
    <m/>
    <x v="11"/>
    <n v="5.6000000000000014"/>
    <m/>
    <x v="26"/>
    <n v="127.27272727272731"/>
    <n v="17.303951454545455"/>
    <n v="15"/>
    <n v="-0.79999999999999716"/>
    <x v="18"/>
    <n v="-53.333333333333144"/>
    <n v="8.4000726666666754"/>
  </r>
  <r>
    <s v="Tammin"/>
    <x v="7"/>
    <x v="7"/>
    <n v="2.35"/>
    <x v="233"/>
    <d v="2014-02-17T00:00:00"/>
    <x v="92"/>
    <x v="11"/>
    <d v="2014-04-02T00:00:00"/>
    <n v="57.8"/>
    <m/>
    <x v="11"/>
    <n v="7.3999999999999986"/>
    <m/>
    <x v="26"/>
    <n v="168.18181818181816"/>
    <n v="19.439132636363631"/>
    <n v="15"/>
    <n v="2.7999999999999972"/>
    <x v="18"/>
    <n v="186.66666666666649"/>
    <n v="20.350435666666655"/>
  </r>
  <r>
    <s v="Tammin"/>
    <x v="7"/>
    <x v="7"/>
    <n v="2.35"/>
    <x v="234"/>
    <d v="2014-02-17T00:00:00"/>
    <x v="15"/>
    <x v="11"/>
    <d v="2014-04-02T00:00:00"/>
    <n v="62.6"/>
    <m/>
    <x v="11"/>
    <n v="6.2000000000000028"/>
    <m/>
    <x v="26"/>
    <n v="140.90909090909099"/>
    <n v="19.007673181818184"/>
    <n v="15"/>
    <n v="5.1000000000000014"/>
    <x v="18"/>
    <n v="340.00000000000006"/>
    <n v="28.822855000000004"/>
  </r>
  <r>
    <s v="Tammin"/>
    <x v="7"/>
    <x v="7"/>
    <n v="2.35"/>
    <x v="235"/>
    <d v="2014-02-17T00:00:00"/>
    <x v="47"/>
    <x v="11"/>
    <d v="2014-04-02T00:00:00"/>
    <n v="58.4"/>
    <m/>
    <x v="11"/>
    <n v="0.19999999999999574"/>
    <m/>
    <x v="26"/>
    <n v="4.545454545454449"/>
    <n v="12.082037909090904"/>
    <n v="15"/>
    <n v="-1.1000000000000014"/>
    <x v="18"/>
    <n v="-73.333333333333428"/>
    <n v="8.2426136666666618"/>
  </r>
  <r>
    <s v="Tammin"/>
    <x v="7"/>
    <x v="7"/>
    <n v="2.35"/>
    <x v="236"/>
    <d v="2014-02-17T00:00:00"/>
    <x v="30"/>
    <x v="11"/>
    <d v="2014-04-02T00:00:00"/>
    <n v="59"/>
    <m/>
    <x v="11"/>
    <n v="5.2000000000000028"/>
    <m/>
    <x v="26"/>
    <n v="118.18181818181824"/>
    <n v="17.363039636363638"/>
    <n v="15"/>
    <n v="0"/>
    <x v="18"/>
    <n v="0"/>
    <n v="11.536676"/>
  </r>
  <r>
    <s v="Tammin"/>
    <x v="7"/>
    <x v="7"/>
    <n v="2.35"/>
    <x v="237"/>
    <d v="2014-02-17T00:00:00"/>
    <x v="17"/>
    <x v="11"/>
    <d v="2014-04-02T00:00:00"/>
    <n v="59.4"/>
    <m/>
    <x v="11"/>
    <n v="0.19999999999999574"/>
    <m/>
    <x v="26"/>
    <n v="4.545454545454449"/>
    <n v="12.251127909090902"/>
    <n v="15"/>
    <n v="1.3999999999999986"/>
    <x v="18"/>
    <n v="93.333333333333243"/>
    <n v="16.628370333333326"/>
  </r>
  <r>
    <s v="Tammin"/>
    <x v="7"/>
    <x v="7"/>
    <n v="2.35"/>
    <x v="238"/>
    <d v="2014-02-17T00:00:00"/>
    <x v="93"/>
    <x v="11"/>
    <d v="2014-04-02T00:00:00"/>
    <n v="60.8"/>
    <m/>
    <x v="11"/>
    <n v="8.7999999999999972"/>
    <m/>
    <x v="26"/>
    <n v="199.99999999999991"/>
    <n v="21.396675999999996"/>
    <n v="15"/>
    <n v="1.2999999999999972"/>
    <x v="18"/>
    <n v="86.666666666666472"/>
    <n v="15.809342666666657"/>
  </r>
  <r>
    <s v="Tammin"/>
    <x v="7"/>
    <x v="7"/>
    <n v="2.35"/>
    <x v="239"/>
    <d v="2014-02-17T00:00:00"/>
    <x v="25"/>
    <x v="11"/>
    <d v="2014-04-02T00:00:00"/>
    <n v="65.599999999999994"/>
    <m/>
    <x v="11"/>
    <n v="4.9999999999999929"/>
    <m/>
    <x v="26"/>
    <n v="113.63636363636348"/>
    <n v="18.271851727272718"/>
    <n v="15"/>
    <n v="3.0999999999999943"/>
    <x v="18"/>
    <n v="206.66666666666629"/>
    <n v="22.858245666666647"/>
  </r>
  <r>
    <s v="Tammin"/>
    <x v="7"/>
    <x v="7"/>
    <n v="2.35"/>
    <x v="240"/>
    <d v="2014-02-17T00:00:00"/>
    <x v="94"/>
    <x v="11"/>
    <d v="2014-04-02T00:00:00"/>
    <n v="53.2"/>
    <m/>
    <x v="11"/>
    <n v="2"/>
    <m/>
    <x v="26"/>
    <n v="45.454545454545453"/>
    <n v="13.067407090909091"/>
    <n v="15"/>
    <n v="-1.7999999999999972"/>
    <x v="18"/>
    <n v="-119.99999999999982"/>
    <n v="4.9104980000000102"/>
  </r>
  <r>
    <s v="Tammin"/>
    <x v="7"/>
    <x v="7"/>
    <n v="2.35"/>
    <x v="241"/>
    <d v="2014-02-17T00:00:00"/>
    <x v="95"/>
    <x v="11"/>
    <d v="2014-04-02T00:00:00"/>
    <n v="71.599999999999994"/>
    <m/>
    <x v="11"/>
    <n v="8.1999999999999957"/>
    <m/>
    <x v="26"/>
    <n v="186.36363636363626"/>
    <n v="22.601302272727267"/>
    <n v="15"/>
    <n v="0.59999999999999432"/>
    <x v="18"/>
    <n v="39.999999999999616"/>
    <n v="15.385574999999982"/>
  </r>
  <r>
    <s v="Tammin"/>
    <x v="7"/>
    <x v="7"/>
    <n v="2.35"/>
    <x v="242"/>
    <d v="2014-02-17T00:00:00"/>
    <x v="96"/>
    <x v="11"/>
    <d v="2014-04-02T00:00:00"/>
    <n v="61"/>
    <m/>
    <x v="11"/>
    <n v="3.6000000000000014"/>
    <m/>
    <x v="26"/>
    <n v="81.818181818181841"/>
    <n v="16.043764363636363"/>
    <n v="15"/>
    <n v="1"/>
    <x v="18"/>
    <n v="66.666666666666671"/>
    <n v="15.296794666666667"/>
  </r>
  <r>
    <s v="Tammin"/>
    <x v="7"/>
    <x v="7"/>
    <n v="2.35"/>
    <x v="243"/>
    <d v="2014-02-17T00:00:00"/>
    <x v="71"/>
    <x v="11"/>
    <d v="2014-04-02T00:00:00"/>
    <n v="65"/>
    <m/>
    <x v="11"/>
    <n v="8.2000000000000028"/>
    <m/>
    <x v="26"/>
    <n v="186.36363636363643"/>
    <n v="21.485308272727274"/>
    <n v="15"/>
    <n v="2"/>
    <x v="18"/>
    <n v="133.33333333333334"/>
    <n v="18.870914333333332"/>
  </r>
  <r>
    <s v="Tammin"/>
    <x v="7"/>
    <x v="7"/>
    <n v="2.35"/>
    <x v="244"/>
    <d v="2014-02-17T00:00:00"/>
    <x v="97"/>
    <x v="11"/>
    <d v="2014-04-02T00:00:00"/>
    <n v="61"/>
    <m/>
    <x v="11"/>
    <n v="6.6000000000000014"/>
    <m/>
    <x v="26"/>
    <n v="150.00000000000003"/>
    <n v="19.151493000000002"/>
    <n v="15"/>
    <n v="2"/>
    <x v="18"/>
    <n v="133.33333333333334"/>
    <n v="18.329826333333333"/>
  </r>
  <r>
    <s v="Tammin"/>
    <x v="7"/>
    <x v="7"/>
    <n v="2.35"/>
    <x v="245"/>
    <d v="2014-02-17T00:00:00"/>
    <x v="3"/>
    <x v="11"/>
    <d v="2014-04-02T00:00:00"/>
    <n v="57"/>
    <m/>
    <x v="11"/>
    <n v="4.6000000000000014"/>
    <m/>
    <x v="26"/>
    <n v="104.54545454545458"/>
    <n v="16.403313909090912"/>
    <n v="15"/>
    <n v="-1.5"/>
    <x v="18"/>
    <n v="-100"/>
    <n v="6.3192230000000009"/>
  </r>
  <r>
    <s v="Tammin"/>
    <x v="7"/>
    <x v="7"/>
    <n v="2.35"/>
    <x v="246"/>
    <d v="2014-02-17T00:00:00"/>
    <x v="77"/>
    <x v="11"/>
    <d v="2014-04-02T00:00:00"/>
    <n v="55"/>
    <m/>
    <x v="11"/>
    <n v="2.2000000000000028"/>
    <m/>
    <x v="26"/>
    <n v="50.000000000000064"/>
    <n v="13.578951000000002"/>
    <n v="15"/>
    <n v="-1"/>
    <x v="18"/>
    <n v="-66.666666666666671"/>
    <n v="7.8272843333333313"/>
  </r>
  <r>
    <s v="Tammin"/>
    <x v="7"/>
    <x v="7"/>
    <n v="2.35"/>
    <x v="247"/>
    <d v="2014-02-17T00:00:00"/>
    <x v="97"/>
    <x v="11"/>
    <d v="2014-04-02T00:00:00"/>
    <n v="62.8"/>
    <m/>
    <x v="11"/>
    <n v="8.3999999999999986"/>
    <m/>
    <x v="26"/>
    <n v="190.90909090909088"/>
    <n v="21.320492181818178"/>
    <n v="15"/>
    <n v="-0.20000000000000284"/>
    <x v="18"/>
    <n v="-13.333333333333524"/>
    <n v="11.251340666666655"/>
  </r>
  <r>
    <s v="Tammin"/>
    <x v="7"/>
    <x v="7"/>
    <n v="2.35"/>
    <x v="248"/>
    <d v="2014-02-17T00:00:00"/>
    <x v="54"/>
    <x v="11"/>
    <d v="2014-04-02T00:00:00"/>
    <n v="71.599999999999994"/>
    <m/>
    <x v="11"/>
    <n v="14.599999999999994"/>
    <m/>
    <x v="26"/>
    <n v="331.8181818181817"/>
    <n v="29.231123363636357"/>
    <n v="15"/>
    <n v="18.599999999999994"/>
    <x v="18"/>
    <n v="1239.9999999999995"/>
    <n v="74.004486999999983"/>
  </r>
  <r>
    <s v="Tammin"/>
    <x v="7"/>
    <x v="7"/>
    <n v="2.35"/>
    <x v="249"/>
    <d v="2014-02-17T00:00:00"/>
    <x v="98"/>
    <x v="11"/>
    <d v="2014-04-02T00:00:00"/>
    <n v="61.2"/>
    <m/>
    <x v="11"/>
    <n v="7"/>
    <m/>
    <x v="26"/>
    <n v="159.09090909090909"/>
    <n v="19.599674818181818"/>
    <n v="15"/>
    <n v="0.70000000000000284"/>
    <x v="18"/>
    <n v="46.666666666666856"/>
    <n v="14.057159666666676"/>
  </r>
  <r>
    <s v="Tammin"/>
    <x v="7"/>
    <x v="7"/>
    <n v="2.35"/>
    <x v="250"/>
    <d v="2014-02-17T00:00:00"/>
    <x v="97"/>
    <x v="11"/>
    <d v="2014-04-02T00:00:00"/>
    <n v="59.2"/>
    <m/>
    <x v="11"/>
    <n v="4.8000000000000043"/>
    <m/>
    <x v="26"/>
    <n v="109.09090909090918"/>
    <n v="16.982493818181823"/>
    <n v="15"/>
    <n v="-0.29999999999999716"/>
    <x v="18"/>
    <n v="-19.999999999999808"/>
    <n v="10.618312000000008"/>
  </r>
  <r>
    <s v="Tammin"/>
    <x v="8"/>
    <x v="8"/>
    <n v="2.36"/>
    <x v="251"/>
    <d v="2014-02-17T00:00:00"/>
    <x v="4"/>
    <x v="11"/>
    <d v="2014-04-02T00:00:00"/>
    <n v="60.2"/>
    <m/>
    <x v="11"/>
    <n v="7"/>
    <m/>
    <x v="27"/>
    <n v="159.09090909090909"/>
    <n v="19.430584818181817"/>
    <n v="15"/>
    <n v="1.7000000000000028"/>
    <x v="19"/>
    <n v="113.33333333333353"/>
    <n v="17.174736333333342"/>
  </r>
  <r>
    <s v="Tammin"/>
    <x v="8"/>
    <x v="8"/>
    <n v="2.36"/>
    <x v="252"/>
    <d v="2014-02-17T00:00:00"/>
    <x v="97"/>
    <x v="11"/>
    <d v="2014-04-02T00:00:00"/>
    <n v="60.8"/>
    <m/>
    <x v="11"/>
    <n v="6.3999999999999986"/>
    <m/>
    <x v="27"/>
    <n v="145.45454545454541"/>
    <n v="18.910493090909089"/>
    <n v="15"/>
    <n v="0.79999999999999716"/>
    <x v="19"/>
    <n v="53.333333333333144"/>
    <n v="14.368917333333323"/>
  </r>
  <r>
    <s v="Tammin"/>
    <x v="8"/>
    <x v="8"/>
    <n v="2.36"/>
    <x v="253"/>
    <d v="2014-02-17T00:00:00"/>
    <x v="4"/>
    <x v="11"/>
    <d v="2014-04-02T00:00:00"/>
    <n v="60"/>
    <m/>
    <x v="11"/>
    <n v="6.7999999999999972"/>
    <m/>
    <x v="27"/>
    <n v="154.54545454545448"/>
    <n v="19.189584909090904"/>
    <n v="15"/>
    <n v="0"/>
    <x v="19"/>
    <n v="0"/>
    <n v="11.570494"/>
  </r>
  <r>
    <s v="Tammin"/>
    <x v="8"/>
    <x v="8"/>
    <n v="2.36"/>
    <x v="254"/>
    <d v="2014-02-17T00:00:00"/>
    <x v="3"/>
    <x v="11"/>
    <d v="2014-04-02T00:00:00"/>
    <n v="59.8"/>
    <m/>
    <x v="11"/>
    <n v="7.3999999999999986"/>
    <m/>
    <x v="27"/>
    <n v="168.18181818181816"/>
    <n v="19.777312636363632"/>
    <n v="15"/>
    <n v="2.2999999999999972"/>
    <x v="19"/>
    <n v="153.33333333333314"/>
    <n v="19.045282333333322"/>
  </r>
  <r>
    <s v="Tammin"/>
    <x v="8"/>
    <x v="8"/>
    <n v="2.36"/>
    <x v="255"/>
    <d v="2014-02-17T00:00:00"/>
    <x v="99"/>
    <x v="11"/>
    <d v="2014-04-02T00:00:00"/>
    <n v="64.599999999999994"/>
    <m/>
    <x v="11"/>
    <n v="9.7999999999999972"/>
    <m/>
    <x v="27"/>
    <n v="222.72727272727266"/>
    <n v="23.075127545454542"/>
    <n v="15"/>
    <n v="9.9999999999994316E-2"/>
    <x v="19"/>
    <n v="6.6666666666662877"/>
    <n v="12.423339666666646"/>
  </r>
  <r>
    <s v="Tammin"/>
    <x v="8"/>
    <x v="8"/>
    <n v="2.36"/>
    <x v="256"/>
    <d v="2014-02-17T00:00:00"/>
    <x v="35"/>
    <x v="11"/>
    <d v="2014-04-02T00:00:00"/>
    <n v="64.8"/>
    <m/>
    <x v="11"/>
    <n v="10.199999999999996"/>
    <m/>
    <x v="27"/>
    <n v="231.81818181818173"/>
    <n v="23.523309363636358"/>
    <n v="15"/>
    <n v="2.2999999999999972"/>
    <x v="19"/>
    <n v="153.33333333333314"/>
    <n v="19.654006333333324"/>
  </r>
  <r>
    <s v="Tammin"/>
    <x v="8"/>
    <x v="8"/>
    <n v="2.36"/>
    <x v="257"/>
    <d v="2014-02-17T00:00:00"/>
    <x v="6"/>
    <x v="11"/>
    <d v="2014-04-02T00:00:00"/>
    <n v="59.6"/>
    <m/>
    <x v="11"/>
    <n v="9"/>
    <m/>
    <x v="27"/>
    <n v="204.54545454545456"/>
    <n v="21.400949909090908"/>
    <n v="15"/>
    <n v="2.6000000000000014"/>
    <x v="19"/>
    <n v="173.33333333333343"/>
    <n v="19.862192333333336"/>
  </r>
  <r>
    <s v="Tammin"/>
    <x v="8"/>
    <x v="8"/>
    <n v="2.36"/>
    <x v="258"/>
    <d v="2014-02-17T00:00:00"/>
    <x v="35"/>
    <x v="11"/>
    <d v="2014-04-02T00:00:00"/>
    <n v="63.6"/>
    <m/>
    <x v="11"/>
    <n v="9"/>
    <m/>
    <x v="27"/>
    <n v="204.54545454545456"/>
    <n v="22.077309909090907"/>
    <n v="15"/>
    <n v="1.1000000000000014"/>
    <x v="19"/>
    <n v="73.333333333333428"/>
    <n v="15.608552333333337"/>
  </r>
  <r>
    <s v="Tammin"/>
    <x v="8"/>
    <x v="8"/>
    <n v="2.36"/>
    <x v="259"/>
    <d v="2014-02-17T00:00:00"/>
    <x v="48"/>
    <x v="11"/>
    <d v="2014-04-02T00:00:00"/>
    <n v="58.6"/>
    <m/>
    <x v="11"/>
    <n v="7.6000000000000014"/>
    <m/>
    <x v="27"/>
    <n v="172.72727272727275"/>
    <n v="19.781586545454545"/>
    <n v="15"/>
    <n v="0.10000000000000142"/>
    <x v="19"/>
    <n v="6.666666666666762"/>
    <n v="11.594798666666669"/>
  </r>
  <r>
    <s v="Tammin"/>
    <x v="8"/>
    <x v="8"/>
    <n v="2.36"/>
    <x v="260"/>
    <d v="2014-02-17T00:00:00"/>
    <x v="77"/>
    <x v="11"/>
    <d v="2014-04-02T00:00:00"/>
    <n v="58.4"/>
    <m/>
    <x v="11"/>
    <n v="5.6000000000000014"/>
    <m/>
    <x v="27"/>
    <n v="127.27272727272731"/>
    <n v="17.675949454545453"/>
    <n v="15"/>
    <n v="-1.1000000000000014"/>
    <x v="19"/>
    <n v="-73.333333333333428"/>
    <n v="7.7860706666666601"/>
  </r>
  <r>
    <s v="Tammin"/>
    <x v="8"/>
    <x v="8"/>
    <n v="2.36"/>
    <x v="261"/>
    <d v="2014-02-17T00:00:00"/>
    <x v="19"/>
    <x v="11"/>
    <d v="2014-04-02T00:00:00"/>
    <n v="60.8"/>
    <m/>
    <x v="11"/>
    <n v="4.5999999999999943"/>
    <m/>
    <x v="27"/>
    <n v="104.54545454545442"/>
    <n v="17.045855909090903"/>
    <n v="15"/>
    <n v="-1.7000000000000028"/>
    <x v="19"/>
    <n v="-113.33333333333353"/>
    <n v="6.3044316666666571"/>
  </r>
  <r>
    <s v="Tammin"/>
    <x v="8"/>
    <x v="8"/>
    <n v="2.36"/>
    <x v="262"/>
    <d v="2014-02-17T00:00:00"/>
    <x v="100"/>
    <x v="11"/>
    <d v="2014-04-02T00:00:00"/>
    <n v="55.2"/>
    <m/>
    <x v="11"/>
    <n v="1.8000000000000043"/>
    <m/>
    <x v="27"/>
    <n v="40.909090909091006"/>
    <n v="13.198405181818185"/>
    <n v="15"/>
    <n v="-1.2999999999999972"/>
    <x v="19"/>
    <n v="-86.666666666666472"/>
    <n v="6.9089203333333415"/>
  </r>
  <r>
    <s v="Tammin"/>
    <x v="8"/>
    <x v="8"/>
    <n v="2.36"/>
    <x v="263"/>
    <d v="2014-02-17T00:00:00"/>
    <x v="42"/>
    <x v="11"/>
    <d v="2014-04-02T00:00:00"/>
    <n v="60.6"/>
    <m/>
    <x v="11"/>
    <n v="5.2000000000000028"/>
    <m/>
    <x v="27"/>
    <n v="118.18181818181824"/>
    <n v="17.633583636363639"/>
    <n v="15"/>
    <n v="0.10000000000000142"/>
    <x v="19"/>
    <n v="6.666666666666762"/>
    <n v="12.135886666666671"/>
  </r>
  <r>
    <s v="Tammin"/>
    <x v="8"/>
    <x v="8"/>
    <n v="2.36"/>
    <x v="264"/>
    <d v="2014-02-17T00:00:00"/>
    <x v="91"/>
    <x v="11"/>
    <d v="2014-04-02T00:00:00"/>
    <n v="69.400000000000006"/>
    <m/>
    <x v="11"/>
    <n v="8.2000000000000028"/>
    <m/>
    <x v="27"/>
    <n v="186.36363636363643"/>
    <n v="22.229304272727276"/>
    <n v="15"/>
    <n v="-0.59999999999999432"/>
    <x v="19"/>
    <n v="-39.999999999999616"/>
    <n v="11.06957700000002"/>
  </r>
  <r>
    <s v="Tammin"/>
    <x v="8"/>
    <x v="8"/>
    <n v="2.36"/>
    <x v="265"/>
    <d v="2014-02-17T00:00:00"/>
    <x v="48"/>
    <x v="11"/>
    <d v="2014-04-02T00:00:00"/>
    <n v="51"/>
    <m/>
    <x v="11"/>
    <n v="0"/>
    <m/>
    <x v="27"/>
    <n v="0"/>
    <n v="10.62359"/>
    <n v="15"/>
    <n v="-3"/>
    <x v="19"/>
    <n v="-200"/>
    <n v="0.76359000000000066"/>
  </r>
  <r>
    <s v="Tammin"/>
    <x v="8"/>
    <x v="8"/>
    <n v="2.36"/>
    <x v="266"/>
    <d v="2014-02-17T00:00:00"/>
    <x v="87"/>
    <x v="11"/>
    <d v="2014-04-02T00:00:00"/>
    <n v="55.6"/>
    <m/>
    <x v="11"/>
    <n v="4.2000000000000028"/>
    <m/>
    <x v="27"/>
    <n v="95.45454545454551"/>
    <n v="15.752224090909094"/>
    <n v="15"/>
    <n v="0.60000000000000142"/>
    <x v="19"/>
    <n v="40.000000000000099"/>
    <n v="13.018315000000005"/>
  </r>
  <r>
    <s v="Tammin"/>
    <x v="8"/>
    <x v="8"/>
    <n v="2.36"/>
    <x v="267"/>
    <d v="2014-02-17T00:00:00"/>
    <x v="98"/>
    <x v="11"/>
    <d v="2014-04-02T00:00:00"/>
    <n v="58.8"/>
    <m/>
    <x v="11"/>
    <n v="4.5999999999999943"/>
    <m/>
    <x v="27"/>
    <n v="104.54545454545442"/>
    <n v="16.707675909090902"/>
    <n v="15"/>
    <n v="-0.70000000000000284"/>
    <x v="19"/>
    <n v="-46.666666666666856"/>
    <n v="9.2529183333333247"/>
  </r>
  <r>
    <s v="Tammin"/>
    <x v="8"/>
    <x v="8"/>
    <n v="2.36"/>
    <x v="268"/>
    <d v="2014-02-17T00:00:00"/>
    <x v="44"/>
    <x v="11"/>
    <d v="2014-04-02T00:00:00"/>
    <n v="63.2"/>
    <m/>
    <x v="11"/>
    <n v="7.2000000000000028"/>
    <m/>
    <x v="27"/>
    <n v="163.63636363636368"/>
    <n v="20.145036727272732"/>
    <n v="15"/>
    <n v="3.2000000000000028"/>
    <x v="19"/>
    <n v="213.33333333333351"/>
    <n v="22.595097333333342"/>
  </r>
  <r>
    <s v="Tammin"/>
    <x v="8"/>
    <x v="8"/>
    <n v="2.36"/>
    <x v="269"/>
    <d v="2014-02-17T00:00:00"/>
    <x v="7"/>
    <x v="11"/>
    <d v="2014-04-02T00:00:00"/>
    <n v="70.599999999999994"/>
    <m/>
    <x v="11"/>
    <n v="7.3999999999999915"/>
    <m/>
    <x v="27"/>
    <n v="168.18181818181799"/>
    <n v="21.603484636363625"/>
    <n v="15"/>
    <n v="2.5999999999999943"/>
    <x v="19"/>
    <n v="173.33333333333294"/>
    <n v="21.857454333333315"/>
  </r>
  <r>
    <s v="Tammin"/>
    <x v="8"/>
    <x v="8"/>
    <n v="2.36"/>
    <x v="270"/>
    <d v="2014-02-17T00:00:00"/>
    <x v="75"/>
    <x v="11"/>
    <d v="2014-04-02T00:00:00"/>
    <n v="64"/>
    <m/>
    <x v="11"/>
    <n v="8.3999999999999986"/>
    <m/>
    <x v="27"/>
    <n v="190.90909090909088"/>
    <n v="21.523400181818179"/>
    <n v="15"/>
    <n v="3"/>
    <x v="19"/>
    <n v="200"/>
    <n v="21.971581999999998"/>
  </r>
  <r>
    <s v="Tammin"/>
    <x v="8"/>
    <x v="8"/>
    <n v="2.36"/>
    <x v="271"/>
    <d v="2014-02-17T00:00:00"/>
    <x v="72"/>
    <x v="11"/>
    <d v="2014-04-02T00:00:00"/>
    <n v="63"/>
    <m/>
    <x v="11"/>
    <n v="4.6000000000000014"/>
    <m/>
    <x v="27"/>
    <n v="104.54545454545458"/>
    <n v="17.417853909090908"/>
    <n v="15"/>
    <n v="1"/>
    <x v="19"/>
    <n v="66.666666666666671"/>
    <n v="15.550429666666666"/>
  </r>
  <r>
    <s v="Tammin"/>
    <x v="8"/>
    <x v="8"/>
    <n v="2.36"/>
    <x v="272"/>
    <d v="2014-02-17T00:00:00"/>
    <x v="100"/>
    <x v="11"/>
    <d v="2014-04-02T00:00:00"/>
    <n v="57"/>
    <m/>
    <x v="11"/>
    <n v="3.6000000000000014"/>
    <m/>
    <x v="27"/>
    <n v="81.818181818181841"/>
    <n v="15.367404363636364"/>
    <n v="15"/>
    <n v="0.5"/>
    <x v="19"/>
    <n v="33.333333333333336"/>
    <n v="12.977101333333332"/>
  </r>
  <r>
    <s v="Tammin"/>
    <x v="8"/>
    <x v="8"/>
    <n v="2.36"/>
    <x v="273"/>
    <d v="2014-02-17T00:00:00"/>
    <x v="87"/>
    <x v="11"/>
    <d v="2014-04-02T00:00:00"/>
    <n v="58"/>
    <m/>
    <x v="11"/>
    <n v="6.6000000000000014"/>
    <m/>
    <x v="27"/>
    <n v="150.00000000000003"/>
    <n v="18.644223"/>
    <n v="15"/>
    <n v="0.5"/>
    <x v="19"/>
    <n v="33.333333333333336"/>
    <n v="12.892556333333333"/>
  </r>
  <r>
    <s v="Tammin"/>
    <x v="8"/>
    <x v="8"/>
    <n v="2.36"/>
    <x v="274"/>
    <d v="2014-02-17T00:00:00"/>
    <x v="34"/>
    <x v="11"/>
    <d v="2014-04-02T00:00:00"/>
    <n v="56.8"/>
    <m/>
    <x v="11"/>
    <n v="5.1999999999999957"/>
    <m/>
    <x v="27"/>
    <n v="118.18181818181809"/>
    <n v="16.991041636363633"/>
    <n v="15"/>
    <n v="-1.7000000000000028"/>
    <x v="19"/>
    <n v="-113.33333333333353"/>
    <n v="5.577344666666658"/>
  </r>
  <r>
    <s v="Tammin"/>
    <x v="8"/>
    <x v="8"/>
    <n v="2.36"/>
    <x v="275"/>
    <d v="2014-02-17T00:00:00"/>
    <x v="76"/>
    <x v="11"/>
    <d v="2014-04-02T00:00:00"/>
    <n v="61"/>
    <m/>
    <x v="11"/>
    <n v="5.2000000000000028"/>
    <m/>
    <x v="27"/>
    <n v="118.18181818181824"/>
    <n v="17.701219636363639"/>
    <n v="15"/>
    <n v="-0.5"/>
    <x v="19"/>
    <n v="-33.333333333333336"/>
    <n v="10.231522666666667"/>
  </r>
  <r>
    <s v="Tammin"/>
    <x v="8"/>
    <x v="8"/>
    <n v="2.36"/>
    <x v="276"/>
    <d v="2014-02-17T00:00:00"/>
    <x v="75"/>
    <x v="11"/>
    <d v="2014-04-02T00:00:00"/>
    <n v="60.8"/>
    <m/>
    <x v="11"/>
    <n v="5.1999999999999957"/>
    <m/>
    <x v="27"/>
    <n v="118.18181818181809"/>
    <n v="17.667401636363628"/>
    <n v="15"/>
    <n v="-0.70000000000000284"/>
    <x v="19"/>
    <n v="-46.666666666666856"/>
    <n v="9.540371333333324"/>
  </r>
  <r>
    <s v="Tammin"/>
    <x v="8"/>
    <x v="8"/>
    <n v="2.36"/>
    <x v="277"/>
    <d v="2014-02-17T00:00:00"/>
    <x v="73"/>
    <x v="11"/>
    <d v="2014-04-02T00:00:00"/>
    <n v="54.8"/>
    <m/>
    <x v="11"/>
    <n v="1.1999999999999957"/>
    <m/>
    <x v="27"/>
    <n v="27.272727272727174"/>
    <n v="12.509223454545451"/>
    <n v="15"/>
    <n v="-2.7000000000000028"/>
    <x v="19"/>
    <n v="-180.0000000000002"/>
    <n v="2.2906779999999909"/>
  </r>
  <r>
    <s v="Tammin"/>
    <x v="8"/>
    <x v="8"/>
    <n v="2.36"/>
    <x v="278"/>
    <d v="2014-02-17T00:00:00"/>
    <x v="40"/>
    <x v="11"/>
    <d v="2014-04-02T00:00:00"/>
    <n v="60.6"/>
    <m/>
    <x v="11"/>
    <n v="3"/>
    <m/>
    <x v="27"/>
    <n v="68.181818181818173"/>
    <n v="15.354582636363636"/>
    <n v="15"/>
    <n v="-1.3999999999999986"/>
    <x v="19"/>
    <n v="-93.333333333333243"/>
    <n v="7.3918856666666715"/>
  </r>
  <r>
    <s v="Tammin"/>
    <x v="8"/>
    <x v="8"/>
    <n v="2.36"/>
    <x v="279"/>
    <d v="2014-02-17T00:00:00"/>
    <x v="92"/>
    <x v="11"/>
    <d v="2014-04-02T00:00:00"/>
    <n v="52.2"/>
    <m/>
    <x v="11"/>
    <n v="1.8000000000000043"/>
    <m/>
    <x v="27"/>
    <n v="40.909090909091006"/>
    <n v="12.691135181818185"/>
    <n v="15"/>
    <n v="0.20000000000000284"/>
    <x v="19"/>
    <n v="13.333333333333524"/>
    <n v="11.331650333333341"/>
  </r>
  <r>
    <s v="Tammin"/>
    <x v="8"/>
    <x v="8"/>
    <n v="2.36"/>
    <x v="280"/>
    <d v="2014-02-17T00:00:00"/>
    <x v="85"/>
    <x v="11"/>
    <d v="2014-04-02T00:00:00"/>
    <n v="56.6"/>
    <m/>
    <x v="11"/>
    <n v="7"/>
    <m/>
    <x v="27"/>
    <n v="159.09090909090909"/>
    <n v="18.821860818181818"/>
    <n v="15"/>
    <n v="0.10000000000000142"/>
    <x v="19"/>
    <n v="6.666666666666762"/>
    <n v="11.30734566666667"/>
  </r>
  <r>
    <s v="Tammin"/>
    <x v="8"/>
    <x v="8"/>
    <n v="2.36"/>
    <x v="281"/>
    <d v="2014-02-17T00:00:00"/>
    <x v="90"/>
    <x v="11"/>
    <d v="2014-04-02T00:00:00"/>
    <n v="55.6"/>
    <m/>
    <x v="11"/>
    <n v="6.2000000000000028"/>
    <m/>
    <x v="27"/>
    <n v="140.90909090909099"/>
    <n v="17.824043181818183"/>
    <n v="15"/>
    <n v="1.6000000000000014"/>
    <x v="19"/>
    <n v="106.66666666666676"/>
    <n v="16.135891666666669"/>
  </r>
  <r>
    <s v="Tammin"/>
    <x v="8"/>
    <x v="8"/>
    <n v="2.36"/>
    <x v="282"/>
    <d v="2014-02-17T00:00:00"/>
    <x v="101"/>
    <x v="11"/>
    <d v="2014-04-02T00:00:00"/>
    <n v="68"/>
    <m/>
    <x v="11"/>
    <n v="7.6000000000000014"/>
    <m/>
    <x v="27"/>
    <n v="172.72727272727275"/>
    <n v="21.371032545454547"/>
    <n v="15"/>
    <n v="4.5"/>
    <x v="19"/>
    <n v="300"/>
    <n v="27.645578"/>
  </r>
  <r>
    <s v="Tammin"/>
    <x v="8"/>
    <x v="8"/>
    <n v="2.36"/>
    <x v="283"/>
    <d v="2014-02-17T00:00:00"/>
    <x v="20"/>
    <x v="11"/>
    <d v="2014-04-02T00:00:00"/>
    <n v="71.599999999999994"/>
    <m/>
    <x v="11"/>
    <n v="13.599999999999994"/>
    <m/>
    <x v="27"/>
    <n v="309.09090909090895"/>
    <n v="28.195213818181809"/>
    <n v="15"/>
    <n v="4.5999999999999943"/>
    <x v="19"/>
    <n v="306.66666666666629"/>
    <n v="28.075698666666646"/>
  </r>
  <r>
    <s v="Tammin"/>
    <x v="8"/>
    <x v="8"/>
    <n v="2.36"/>
    <x v="284"/>
    <d v="2014-02-17T00:00:00"/>
    <x v="78"/>
    <x v="11"/>
    <d v="2014-04-02T00:00:00"/>
    <n v="52.8"/>
    <m/>
    <x v="11"/>
    <n v="0.19999999999999574"/>
    <m/>
    <x v="27"/>
    <n v="4.545454545454449"/>
    <n v="11.135133909090904"/>
    <n v="15"/>
    <n v="0.29999999999999716"/>
    <x v="19"/>
    <n v="19.999999999999808"/>
    <n v="11.897042999999989"/>
  </r>
  <r>
    <s v="Tammin"/>
    <x v="8"/>
    <x v="8"/>
    <n v="2.36"/>
    <x v="285"/>
    <d v="2014-02-17T00:00:00"/>
    <x v="1"/>
    <x v="11"/>
    <d v="2014-04-02T00:00:00"/>
    <n v="58.6"/>
    <m/>
    <x v="11"/>
    <n v="2"/>
    <m/>
    <x v="27"/>
    <n v="45.454545454545453"/>
    <n v="13.980493090909089"/>
    <n v="15"/>
    <n v="-2.8999999999999986"/>
    <x v="19"/>
    <n v="-193.33333333333326"/>
    <n v="2.2082506666666699"/>
  </r>
  <r>
    <s v="Tammin"/>
    <x v="8"/>
    <x v="8"/>
    <n v="2.36"/>
    <x v="286"/>
    <d v="2014-02-17T00:00:00"/>
    <x v="102"/>
    <x v="11"/>
    <d v="2014-04-02T00:00:00"/>
    <n v="68.400000000000006"/>
    <m/>
    <x v="11"/>
    <n v="9.8000000000000043"/>
    <m/>
    <x v="27"/>
    <n v="222.72727272727283"/>
    <n v="23.717669545454548"/>
    <n v="15"/>
    <n v="3.9000000000000057"/>
    <x v="19"/>
    <n v="260.0000000000004"/>
    <n v="25.555215000000018"/>
  </r>
  <r>
    <s v="Tammin"/>
    <x v="8"/>
    <x v="8"/>
    <n v="2.36"/>
    <x v="287"/>
    <d v="2014-02-17T00:00:00"/>
    <x v="1"/>
    <x v="11"/>
    <d v="2014-04-02T00:00:00"/>
    <n v="58.2"/>
    <m/>
    <x v="11"/>
    <n v="1.6000000000000014"/>
    <m/>
    <x v="27"/>
    <n v="36.363636363636395"/>
    <n v="13.498493272727275"/>
    <n v="15"/>
    <n v="-0.79999999999999716"/>
    <x v="19"/>
    <n v="-53.333333333333144"/>
    <n v="9.0764326666666761"/>
  </r>
  <r>
    <s v="Tammin"/>
    <x v="8"/>
    <x v="8"/>
    <n v="2.36"/>
    <x v="288"/>
    <d v="2014-02-17T00:00:00"/>
    <x v="16"/>
    <x v="11"/>
    <d v="2014-04-02T00:00:00"/>
    <n v="70.2"/>
    <m/>
    <x v="11"/>
    <n v="6.2000000000000028"/>
    <m/>
    <x v="27"/>
    <n v="140.90909090909099"/>
    <n v="20.292757181818182"/>
    <n v="15"/>
    <n v="1.7000000000000028"/>
    <x v="19"/>
    <n v="113.33333333333353"/>
    <n v="18.933272333333342"/>
  </r>
  <r>
    <s v="Tammin"/>
    <x v="8"/>
    <x v="8"/>
    <n v="2.36"/>
    <x v="289"/>
    <d v="2014-02-17T00:00:00"/>
    <x v="87"/>
    <x v="11"/>
    <d v="2014-04-02T00:00:00"/>
    <n v="60.2"/>
    <m/>
    <x v="11"/>
    <n v="8.8000000000000043"/>
    <m/>
    <x v="27"/>
    <n v="200.00000000000009"/>
    <n v="21.295222000000003"/>
    <n v="15"/>
    <n v="3.7000000000000028"/>
    <x v="19"/>
    <n v="246.66666666666686"/>
    <n v="23.595888666666674"/>
  </r>
  <r>
    <s v="Tammin"/>
    <x v="8"/>
    <x v="8"/>
    <n v="2.36"/>
    <x v="290"/>
    <d v="2014-02-17T00:00:00"/>
    <x v="103"/>
    <x v="11"/>
    <d v="2014-04-02T00:00:00"/>
    <n v="51.8"/>
    <m/>
    <x v="11"/>
    <n v="2.7999999999999972"/>
    <m/>
    <x v="27"/>
    <n v="63.636363636363576"/>
    <n v="13.659408727272723"/>
    <n v="15"/>
    <n v="2.2999999999999972"/>
    <x v="19"/>
    <n v="153.33333333333314"/>
    <n v="18.081469333333324"/>
  </r>
  <r>
    <s v="Tammin"/>
    <x v="8"/>
    <x v="8"/>
    <n v="2.36"/>
    <x v="291"/>
    <d v="2014-02-17T00:00:00"/>
    <x v="12"/>
    <x v="11"/>
    <d v="2014-04-02T00:00:00"/>
    <n v="59.6"/>
    <m/>
    <x v="11"/>
    <n v="6.6000000000000014"/>
    <m/>
    <x v="27"/>
    <n v="150.00000000000003"/>
    <n v="18.914766999999998"/>
    <n v="15"/>
    <n v="0.60000000000000142"/>
    <x v="19"/>
    <n v="40.000000000000099"/>
    <n v="13.491767000000003"/>
  </r>
  <r>
    <s v="Tammin"/>
    <x v="8"/>
    <x v="8"/>
    <n v="2.36"/>
    <x v="292"/>
    <d v="2014-02-17T00:00:00"/>
    <x v="30"/>
    <x v="11"/>
    <d v="2014-04-02T00:00:00"/>
    <n v="59.2"/>
    <m/>
    <x v="11"/>
    <n v="5.4000000000000057"/>
    <m/>
    <x v="27"/>
    <n v="122.72727272727285"/>
    <n v="17.604039545454551"/>
    <n v="15"/>
    <n v="-0.79999999999999716"/>
    <x v="19"/>
    <n v="-53.333333333333144"/>
    <n v="8.9242516666666756"/>
  </r>
  <r>
    <s v="Tammin"/>
    <x v="8"/>
    <x v="8"/>
    <n v="2.36"/>
    <x v="293"/>
    <d v="2014-02-17T00:00:00"/>
    <x v="74"/>
    <x v="11"/>
    <d v="2014-04-02T00:00:00"/>
    <n v="58.3"/>
    <m/>
    <x v="11"/>
    <n v="6.0999999999999943"/>
    <m/>
    <x v="27"/>
    <n v="138.63636363636351"/>
    <n v="18.17699522727272"/>
    <n v="15"/>
    <n v="0.29999999999999716"/>
    <x v="19"/>
    <n v="19.999999999999808"/>
    <n v="12.32822249999999"/>
  </r>
  <r>
    <s v="Tammin"/>
    <x v="8"/>
    <x v="8"/>
    <n v="2.36"/>
    <x v="294"/>
    <d v="2014-02-17T00:00:00"/>
    <x v="24"/>
    <x v="11"/>
    <d v="2014-04-02T00:00:00"/>
    <n v="59.8"/>
    <m/>
    <x v="11"/>
    <n v="4.5999999999999943"/>
    <m/>
    <x v="27"/>
    <n v="104.54545454545442"/>
    <n v="16.876765909090899"/>
    <n v="15"/>
    <n v="0.79999999999999716"/>
    <x v="19"/>
    <n v="53.333333333333144"/>
    <n v="14.352008333333323"/>
  </r>
  <r>
    <s v="Tammin"/>
    <x v="8"/>
    <x v="8"/>
    <n v="2.36"/>
    <x v="295"/>
    <d v="2014-02-17T00:00:00"/>
    <x v="34"/>
    <x v="11"/>
    <d v="2014-04-02T00:00:00"/>
    <n v="57.4"/>
    <m/>
    <x v="11"/>
    <n v="5.7999999999999972"/>
    <m/>
    <x v="27"/>
    <n v="131.81818181818176"/>
    <n v="17.714041363636358"/>
    <n v="15"/>
    <n v="-3.1000000000000014"/>
    <x v="19"/>
    <n v="-206.66666666666674"/>
    <n v="1.0267383333333289"/>
  </r>
  <r>
    <s v="Tammin"/>
    <x v="8"/>
    <x v="8"/>
    <n v="2.36"/>
    <x v="296"/>
    <d v="2014-02-17T00:00:00"/>
    <x v="34"/>
    <x v="11"/>
    <d v="2014-04-02T00:00:00"/>
    <n v="54.2"/>
    <m/>
    <x v="11"/>
    <n v="2.6000000000000014"/>
    <m/>
    <x v="27"/>
    <n v="59.090909090909122"/>
    <n v="13.858042818181822"/>
    <n v="15"/>
    <n v="0.70000000000000284"/>
    <x v="19"/>
    <n v="46.666666666666856"/>
    <n v="13.245527666666677"/>
  </r>
  <r>
    <s v="Tammin"/>
    <x v="8"/>
    <x v="8"/>
    <n v="2.36"/>
    <x v="297"/>
    <d v="2014-02-17T00:00:00"/>
    <x v="74"/>
    <x v="11"/>
    <d v="2014-04-02T00:00:00"/>
    <n v="58.2"/>
    <m/>
    <x v="11"/>
    <n v="6"/>
    <m/>
    <x v="27"/>
    <n v="136.36363636363635"/>
    <n v="18.056495272727272"/>
    <n v="15"/>
    <n v="-0.29999999999999716"/>
    <x v="19"/>
    <n v="-19.999999999999808"/>
    <n v="10.347768000000009"/>
  </r>
  <r>
    <s v="Tammin"/>
    <x v="8"/>
    <x v="8"/>
    <n v="2.36"/>
    <x v="298"/>
    <d v="2014-02-17T00:00:00"/>
    <x v="42"/>
    <x v="11"/>
    <d v="2014-04-02T00:00:00"/>
    <n v="59.6"/>
    <m/>
    <x v="11"/>
    <n v="4.2000000000000028"/>
    <m/>
    <x v="27"/>
    <n v="95.45454545454551"/>
    <n v="16.428584090909091"/>
    <n v="15"/>
    <n v="-0.39999999999999858"/>
    <x v="19"/>
    <n v="-26.666666666666572"/>
    <n v="10.408008333333337"/>
  </r>
  <r>
    <s v="Tammin"/>
    <x v="8"/>
    <x v="8"/>
    <n v="2.36"/>
    <x v="299"/>
    <d v="2014-02-17T00:00:00"/>
    <x v="18"/>
    <x v="11"/>
    <d v="2014-04-02T00:00:00"/>
    <n v="60.2"/>
    <m/>
    <x v="11"/>
    <n v="2.4000000000000057"/>
    <m/>
    <x v="27"/>
    <n v="54.545454545454675"/>
    <n v="14.665400909090915"/>
    <n v="15"/>
    <n v="-2.2999999999999972"/>
    <x v="19"/>
    <n v="-153.33333333333314"/>
    <n v="4.4169766666666757"/>
  </r>
  <r>
    <s v="Tammin"/>
    <x v="8"/>
    <x v="8"/>
    <n v="2.36"/>
    <x v="300"/>
    <d v="2014-02-17T00:00:00"/>
    <x v="104"/>
    <x v="11"/>
    <d v="2014-04-02T00:00:00"/>
    <n v="63.6"/>
    <m/>
    <x v="11"/>
    <n v="1.2000000000000028"/>
    <m/>
    <x v="27"/>
    <n v="27.272727272727337"/>
    <n v="13.997215454545456"/>
    <n v="15"/>
    <n v="-1.3999999999999986"/>
    <x v="19"/>
    <n v="-93.333333333333243"/>
    <n v="8.0513366666666712"/>
  </r>
  <r>
    <s v="Tammin"/>
    <x v="8"/>
    <x v="8"/>
    <n v="2.36"/>
    <x v="301"/>
    <d v="2014-02-17T00:00:00"/>
    <x v="38"/>
    <x v="11"/>
    <d v="2014-04-02T00:00:00"/>
    <n v="56.6"/>
    <m/>
    <x v="11"/>
    <n v="6.3999999999999986"/>
    <m/>
    <x v="27"/>
    <n v="145.45454545454541"/>
    <n v="18.20031509090909"/>
    <n v="15"/>
    <n v="0.60000000000000142"/>
    <x v="19"/>
    <n v="40.000000000000099"/>
    <n v="13.001406000000005"/>
  </r>
  <r>
    <s v="Tammin"/>
    <x v="8"/>
    <x v="8"/>
    <n v="2.36"/>
    <x v="302"/>
    <d v="2014-02-17T00:00:00"/>
    <x v="74"/>
    <x v="11"/>
    <d v="2014-04-02T00:00:00"/>
    <n v="60.4"/>
    <m/>
    <x v="11"/>
    <n v="8.1999999999999957"/>
    <m/>
    <x v="27"/>
    <n v="186.36363636363626"/>
    <n v="20.707494272727267"/>
    <n v="15"/>
    <n v="-0.10000000000000142"/>
    <x v="19"/>
    <n v="-6.666666666666762"/>
    <n v="11.191100333333328"/>
  </r>
  <r>
    <s v="Tammin "/>
    <x v="0"/>
    <x v="0"/>
    <n v="1.98"/>
    <x v="0"/>
    <d v="2008-01-29T00:00:00"/>
    <x v="0"/>
    <x v="0"/>
    <d v="2008-03-18T00:00:00"/>
    <n v="62.2"/>
    <n v="2.75"/>
    <x v="12"/>
    <n v="8.2000000000000028"/>
    <n v="0.25"/>
    <x v="28"/>
    <n v="167.34693877551027"/>
    <n v="20.074333081632656"/>
    <n v="7"/>
    <n v="0.20000000000000284"/>
    <x v="0"/>
    <n v="28.571428571428978"/>
    <n v="13.232700428571448"/>
  </r>
  <r>
    <s v="Tammin "/>
    <x v="0"/>
    <x v="0"/>
    <n v="1.98"/>
    <x v="1"/>
    <d v="2008-01-29T00:00:00"/>
    <x v="1"/>
    <x v="0"/>
    <d v="2008-03-18T00:00:00"/>
    <n v="62.2"/>
    <n v="2.5"/>
    <x v="12"/>
    <n v="5.6000000000000014"/>
    <n v="0"/>
    <x v="28"/>
    <n v="114.28571428571431"/>
    <n v="17.678231714285715"/>
    <n v="7"/>
    <n v="-1"/>
    <x v="0"/>
    <n v="-142.85714285714286"/>
    <n v="5.0010888571428582"/>
  </r>
  <r>
    <s v="Tammin "/>
    <x v="0"/>
    <x v="0"/>
    <n v="1.98"/>
    <x v="2"/>
    <d v="2008-01-29T00:00:00"/>
    <x v="1"/>
    <x v="1"/>
    <d v="2008-03-18T00:00:00"/>
    <n v="64"/>
    <n v="3"/>
    <x v="12"/>
    <n v="7.3999999999999986"/>
    <n v="-0.25"/>
    <x v="28"/>
    <n v="151.02040816326527"/>
    <n v="19.641433122448976"/>
    <n v="7"/>
    <n v="-1.2000000000000028"/>
    <x v="0"/>
    <n v="-171.42857142857184"/>
    <n v="3.7446984285714073"/>
  </r>
  <r>
    <s v="Tammin "/>
    <x v="0"/>
    <x v="0"/>
    <n v="1.98"/>
    <x v="3"/>
    <d v="2008-01-29T00:00:00"/>
    <x v="2"/>
    <x v="1"/>
    <d v="2008-03-18T00:00:00"/>
    <n v="68.2"/>
    <n v="3"/>
    <x v="12"/>
    <n v="4.6000000000000014"/>
    <n v="-0.25"/>
    <x v="28"/>
    <n v="93.877551020408191"/>
    <n v="17.771194265306125"/>
    <n v="7"/>
    <n v="-0.59999999999999432"/>
    <x v="0"/>
    <n v="-85.714285714284898"/>
    <n v="8.9173167142857555"/>
  </r>
  <r>
    <s v="Tammin "/>
    <x v="0"/>
    <x v="0"/>
    <n v="1.98"/>
    <x v="4"/>
    <d v="2008-01-29T00:00:00"/>
    <x v="3"/>
    <x v="2"/>
    <d v="2008-03-18T00:00:00"/>
    <n v="60"/>
    <n v="2"/>
    <x v="12"/>
    <n v="7.6000000000000014"/>
    <n v="0"/>
    <x v="28"/>
    <n v="155.10204081632656"/>
    <n v="19.149388612244898"/>
    <n v="7"/>
    <n v="-0.60000000000000142"/>
    <x v="0"/>
    <n v="-85.714285714285921"/>
    <n v="7.2771437142857041"/>
  </r>
  <r>
    <s v="Tammin "/>
    <x v="0"/>
    <x v="0"/>
    <n v="1.98"/>
    <x v="5"/>
    <d v="2008-01-29T00:00:00"/>
    <x v="4"/>
    <x v="0"/>
    <d v="2008-03-18T00:00:00"/>
    <n v="60.8"/>
    <n v="2.5"/>
    <x v="12"/>
    <n v="7.5999999999999943"/>
    <n v="0"/>
    <x v="28"/>
    <n v="155.10204081632642"/>
    <n v="19.284660612244892"/>
    <n v="7"/>
    <n v="0.39999999999999858"/>
    <x v="0"/>
    <n v="57.14285714285694"/>
    <n v="14.455272857142848"/>
  </r>
  <r>
    <s v="Tammin "/>
    <x v="0"/>
    <x v="0"/>
    <n v="1.98"/>
    <x v="6"/>
    <d v="2008-01-29T00:00:00"/>
    <x v="5"/>
    <x v="3"/>
    <d v="2008-03-18T00:00:00"/>
    <n v="65.8"/>
    <n v="1.75"/>
    <x v="12"/>
    <n v="5.5999999999999943"/>
    <n v="-0.5"/>
    <x v="28"/>
    <n v="114.28571428571418"/>
    <n v="18.286955714285707"/>
    <n v="7"/>
    <n v="-2.7999999999999972"/>
    <x v="0"/>
    <n v="-399.9999999999996"/>
    <n v="-7.0673299999999788"/>
  </r>
  <r>
    <s v="Tammin "/>
    <x v="0"/>
    <x v="0"/>
    <n v="1.98"/>
    <x v="7"/>
    <d v="2008-01-29T00:00:00"/>
    <x v="5"/>
    <x v="4"/>
    <d v="2008-03-18T00:00:00"/>
    <n v="69.2"/>
    <n v="3"/>
    <x v="12"/>
    <n v="9"/>
    <n v="0"/>
    <x v="28"/>
    <n v="183.67346938775512"/>
    <n v="21.995225040816326"/>
    <n v="7"/>
    <n v="0.60000000000000853"/>
    <x v="0"/>
    <n v="85.71428571428693"/>
    <n v="17.165837285714346"/>
  </r>
  <r>
    <s v="Tammin "/>
    <x v="0"/>
    <x v="0"/>
    <n v="1.98"/>
    <x v="8"/>
    <d v="2008-01-29T00:00:00"/>
    <x v="6"/>
    <x v="5"/>
    <d v="2008-03-18T00:00:00"/>
    <n v="62.6"/>
    <n v="1.75"/>
    <x v="12"/>
    <n v="12"/>
    <n v="0"/>
    <x v="28"/>
    <n v="244.89795918367346"/>
    <n v="23.6439633877551"/>
    <n v="7"/>
    <n v="-1.1999999999999957"/>
    <x v="0"/>
    <n v="-171.42857142857082"/>
    <n v="3.1190654285714583"/>
  </r>
  <r>
    <s v="Tammin "/>
    <x v="0"/>
    <x v="0"/>
    <n v="1.98"/>
    <x v="9"/>
    <d v="2008-01-29T00:00:00"/>
    <x v="7"/>
    <x v="0"/>
    <d v="2008-03-18T00:00:00"/>
    <n v="69.2"/>
    <n v="2.5"/>
    <x v="12"/>
    <n v="6"/>
    <n v="0"/>
    <x v="28"/>
    <n v="122.44897959183673"/>
    <n v="19.230492693877551"/>
    <n v="7"/>
    <n v="-2.7999999999999972"/>
    <x v="0"/>
    <n v="-399.9999999999996"/>
    <n v="-6.5262419999999786"/>
  </r>
  <r>
    <s v="Tammin "/>
    <x v="0"/>
    <x v="0"/>
    <n v="1.98"/>
    <x v="10"/>
    <d v="2008-01-29T00:00:00"/>
    <x v="8"/>
    <x v="6"/>
    <d v="2008-03-18T00:00:00"/>
    <n v="64.2"/>
    <n v="3"/>
    <x v="12"/>
    <n v="7"/>
    <n v="-0.5"/>
    <x v="28"/>
    <n v="142.85714285714286"/>
    <n v="19.306620142857142"/>
    <n v="7"/>
    <n v="-0.79999999999999716"/>
    <x v="0"/>
    <n v="-114.28571428571388"/>
    <n v="6.6294772857143052"/>
  </r>
  <r>
    <s v="Tammin "/>
    <x v="0"/>
    <x v="0"/>
    <n v="1.98"/>
    <x v="11"/>
    <d v="2008-01-29T00:00:00"/>
    <x v="9"/>
    <x v="3"/>
    <d v="2008-03-18T00:00:00"/>
    <n v="57.2"/>
    <n v="2.75"/>
    <x v="12"/>
    <n v="9"/>
    <n v="0.5"/>
    <x v="28"/>
    <n v="183.67346938775512"/>
    <n v="19.966145040816325"/>
    <n v="7"/>
    <n v="-0.39999999999999858"/>
    <x v="0"/>
    <n v="-57.14285714285694"/>
    <n v="8.0939001428571515"/>
  </r>
  <r>
    <s v="Tammin "/>
    <x v="0"/>
    <x v="0"/>
    <n v="1.98"/>
    <x v="12"/>
    <d v="2008-01-29T00:00:00"/>
    <x v="10"/>
    <x v="0"/>
    <d v="2008-03-18T00:00:00"/>
    <n v="70"/>
    <n v="2.25"/>
    <x v="12"/>
    <n v="3.5999999999999943"/>
    <n v="-0.25"/>
    <x v="28"/>
    <n v="73.46938775510192"/>
    <n v="17.153978816326525"/>
    <n v="7"/>
    <n v="-0.79999999999999716"/>
    <x v="0"/>
    <n v="-114.28571428571388"/>
    <n v="7.8976522857143063"/>
  </r>
  <r>
    <s v="Tammin "/>
    <x v="0"/>
    <x v="0"/>
    <n v="1.98"/>
    <x v="13"/>
    <d v="2008-01-29T00:00:00"/>
    <x v="11"/>
    <x v="2"/>
    <d v="2008-03-18T00:00:00"/>
    <n v="53.2"/>
    <n v="2.25"/>
    <x v="12"/>
    <n v="4.8000000000000043"/>
    <n v="0.25"/>
    <x v="28"/>
    <n v="97.959183673469482"/>
    <n v="15.419159755102044"/>
    <n v="7"/>
    <n v="-1.1999999999999957"/>
    <x v="0"/>
    <n v="-171.42857142857082"/>
    <n v="2.1383434285714564"/>
  </r>
  <r>
    <s v="Tammin "/>
    <x v="0"/>
    <x v="0"/>
    <n v="1.98"/>
    <x v="14"/>
    <d v="2008-01-29T00:00:00"/>
    <x v="12"/>
    <x v="2"/>
    <d v="2008-03-18T00:00:00"/>
    <n v="61.8"/>
    <n v="1.75"/>
    <x v="12"/>
    <n v="8.7999999999999972"/>
    <n v="-0.25"/>
    <x v="28"/>
    <n v="179.5918367346938"/>
    <n v="20.559643551020404"/>
    <n v="7"/>
    <n v="0.39999999999999858"/>
    <x v="0"/>
    <n v="57.14285714285694"/>
    <n v="14.522908857142845"/>
  </r>
  <r>
    <s v="Tammin "/>
    <x v="0"/>
    <x v="0"/>
    <n v="1.98"/>
    <x v="15"/>
    <d v="2008-01-29T00:00:00"/>
    <x v="13"/>
    <x v="2"/>
    <d v="2008-03-18T00:00:00"/>
    <n v="67.2"/>
    <n v="2.25"/>
    <x v="12"/>
    <n v="7.2000000000000028"/>
    <n v="0.25"/>
    <x v="28"/>
    <n v="146.93877551020415"/>
    <n v="19.998205632653065"/>
    <n v="7"/>
    <n v="1.7999999999999972"/>
    <x v="0"/>
    <n v="257.14285714285671"/>
    <n v="25.431266857142838"/>
  </r>
  <r>
    <s v="Tammin "/>
    <x v="0"/>
    <x v="0"/>
    <n v="1.98"/>
    <x v="16"/>
    <d v="2008-01-29T00:00:00"/>
    <x v="14"/>
    <x v="4"/>
    <d v="2008-03-18T00:00:00"/>
    <n v="69"/>
    <n v="3"/>
    <x v="12"/>
    <n v="4.7999999999999972"/>
    <n v="0"/>
    <x v="28"/>
    <n v="97.959183673469326"/>
    <n v="18.090781755102036"/>
    <n v="7"/>
    <n v="-0.79999999999999716"/>
    <x v="0"/>
    <n v="-114.28571428571388"/>
    <n v="7.6271082857143053"/>
  </r>
  <r>
    <s v="Tammin "/>
    <x v="0"/>
    <x v="0"/>
    <n v="1.98"/>
    <x v="17"/>
    <d v="2008-01-29T00:00:00"/>
    <x v="15"/>
    <x v="0"/>
    <d v="2008-03-18T00:00:00"/>
    <n v="66"/>
    <n v="2"/>
    <x v="12"/>
    <n v="9.6000000000000014"/>
    <n v="-0.5"/>
    <x v="28"/>
    <n v="195.91836734693879"/>
    <n v="22.007083510204083"/>
    <n v="7"/>
    <n v="0.40000000000000568"/>
    <x v="0"/>
    <n v="57.142857142857956"/>
    <n v="15.165450857142897"/>
  </r>
  <r>
    <s v="Tammin "/>
    <x v="0"/>
    <x v="0"/>
    <n v="1.98"/>
    <x v="18"/>
    <d v="2008-01-29T00:00:00"/>
    <x v="16"/>
    <x v="4"/>
    <d v="2008-03-18T00:00:00"/>
    <n v="69"/>
    <n v="3"/>
    <x v="12"/>
    <n v="5"/>
    <n v="0"/>
    <x v="28"/>
    <n v="102.04081632653062"/>
    <n v="18.275097244897957"/>
    <n v="7"/>
    <n v="-2"/>
    <x v="0"/>
    <n v="-285.71428571428572"/>
    <n v="-0.84122928571428446"/>
  </r>
  <r>
    <s v="Tammin "/>
    <x v="0"/>
    <x v="0"/>
    <n v="1.98"/>
    <x v="19"/>
    <d v="2008-01-29T00:00:00"/>
    <x v="0"/>
    <x v="0"/>
    <d v="2008-03-18T00:00:00"/>
    <n v="60.4"/>
    <n v="2.75"/>
    <x v="12"/>
    <n v="6.3999999999999986"/>
    <n v="0.25"/>
    <x v="28"/>
    <n v="130.61224489795916"/>
    <n v="18.111131673469387"/>
    <n v="7"/>
    <n v="-1"/>
    <x v="0"/>
    <n v="-142.85714285714286"/>
    <n v="4.6290908571428586"/>
  </r>
  <r>
    <s v="Tammin "/>
    <x v="0"/>
    <x v="0"/>
    <n v="1.98"/>
    <x v="20"/>
    <d v="2008-01-29T00:00:00"/>
    <x v="17"/>
    <x v="5"/>
    <d v="2008-03-18T00:00:00"/>
    <n v="68.400000000000006"/>
    <n v="1.75"/>
    <x v="12"/>
    <n v="9.2000000000000028"/>
    <n v="0"/>
    <x v="28"/>
    <n v="187.75510204081638"/>
    <n v="22.044268530612246"/>
    <n v="7"/>
    <n v="-1.7999999999999972"/>
    <x v="0"/>
    <n v="-257.14285714285671"/>
    <n v="0.11079914285716264"/>
  </r>
  <r>
    <s v="Tammin "/>
    <x v="0"/>
    <x v="0"/>
    <n v="1.98"/>
    <x v="21"/>
    <d v="2008-01-29T00:00:00"/>
    <x v="18"/>
    <x v="5"/>
    <d v="2008-03-18T00:00:00"/>
    <n v="64.2"/>
    <n v="2"/>
    <x v="12"/>
    <n v="6.4000000000000057"/>
    <n v="0.25"/>
    <x v="28"/>
    <n v="130.6122448979593"/>
    <n v="18.753673673469393"/>
    <n v="7"/>
    <n v="-1"/>
    <x v="0"/>
    <n v="-142.85714285714286"/>
    <n v="5.2716328571428575"/>
  </r>
  <r>
    <s v="Tammin "/>
    <x v="0"/>
    <x v="0"/>
    <n v="1.98"/>
    <x v="22"/>
    <d v="2008-01-29T00:00:00"/>
    <x v="19"/>
    <x v="7"/>
    <d v="2008-03-18T00:00:00"/>
    <n v="68.2"/>
    <n v="3"/>
    <x v="12"/>
    <n v="12"/>
    <n v="0.25"/>
    <x v="28"/>
    <n v="244.89795918367346"/>
    <n v="24.5908673877551"/>
    <n v="7"/>
    <n v="-0.39999999999999147"/>
    <x v="0"/>
    <n v="-57.142857142855924"/>
    <n v="9.7002551428572019"/>
  </r>
  <r>
    <s v="Tammin "/>
    <x v="0"/>
    <x v="0"/>
    <n v="1.98"/>
    <x v="23"/>
    <d v="2008-01-29T00:00:00"/>
    <x v="20"/>
    <x v="3"/>
    <d v="2008-03-18T00:00:00"/>
    <n v="65"/>
    <n v="2.5"/>
    <x v="12"/>
    <n v="7"/>
    <n v="0.25"/>
    <x v="28"/>
    <n v="142.85714285714286"/>
    <n v="19.441892142857142"/>
    <n v="7"/>
    <n v="-2.5999999999999943"/>
    <x v="0"/>
    <n v="-371.42857142857059"/>
    <n v="-5.9123935714285292"/>
  </r>
  <r>
    <s v="Tammin "/>
    <x v="0"/>
    <x v="0"/>
    <n v="1.98"/>
    <x v="24"/>
    <d v="2008-01-29T00:00:00"/>
    <x v="21"/>
    <x v="3"/>
    <d v="2008-03-18T00:00:00"/>
    <n v="70.2"/>
    <n v="3"/>
    <x v="12"/>
    <n v="3.2000000000000028"/>
    <n v="0.75"/>
    <x v="28"/>
    <n v="65.30612244897965"/>
    <n v="16.819165836734697"/>
    <n v="7"/>
    <n v="-1.3999999999999915"/>
    <x v="0"/>
    <n v="-199.99999999999878"/>
    <n v="3.7395740000000597"/>
  </r>
  <r>
    <s v="Tammin "/>
    <x v="0"/>
    <x v="0"/>
    <n v="1.98"/>
    <x v="25"/>
    <d v="2008-01-29T00:00:00"/>
    <x v="22"/>
    <x v="4"/>
    <d v="2008-03-18T00:00:00"/>
    <n v="77.599999999999994"/>
    <n v="3"/>
    <x v="12"/>
    <n v="7"/>
    <n v="0"/>
    <x v="28"/>
    <n v="142.85714285714286"/>
    <n v="21.57242614285714"/>
    <n v="7"/>
    <n v="-1.8000000000000114"/>
    <x v="0"/>
    <n v="-257.14285714285876"/>
    <n v="1.8524261428570608"/>
  </r>
  <r>
    <s v="Tammin "/>
    <x v="0"/>
    <x v="0"/>
    <n v="1.98"/>
    <x v="26"/>
    <d v="2008-01-29T00:00:00"/>
    <x v="23"/>
    <x v="0"/>
    <d v="2008-03-18T00:00:00"/>
    <n v="70.8"/>
    <n v="1.75"/>
    <x v="12"/>
    <n v="9.1999999999999957"/>
    <n v="-0.75"/>
    <x v="28"/>
    <n v="187.75510204081624"/>
    <n v="22.450084530612237"/>
    <n v="7"/>
    <n v="-0.60000000000000853"/>
    <x v="0"/>
    <n v="-85.71428571428693"/>
    <n v="8.9680437142856526"/>
  </r>
  <r>
    <s v="Tammin "/>
    <x v="0"/>
    <x v="0"/>
    <n v="1.98"/>
    <x v="27"/>
    <d v="2008-01-29T00:00:00"/>
    <x v="13"/>
    <x v="0"/>
    <d v="2008-03-18T00:00:00"/>
    <n v="67.400000000000006"/>
    <n v="2.5"/>
    <x v="12"/>
    <n v="7.4000000000000057"/>
    <n v="0"/>
    <x v="28"/>
    <n v="151.02040816326542"/>
    <n v="20.216339122448986"/>
    <n v="7"/>
    <n v="0.40000000000000568"/>
    <x v="0"/>
    <n v="57.142857142857956"/>
    <n v="15.588175857142897"/>
  </r>
  <r>
    <s v="Tammin "/>
    <x v="0"/>
    <x v="0"/>
    <n v="1.98"/>
    <x v="28"/>
    <d v="2008-01-29T00:00:00"/>
    <x v="20"/>
    <x v="4"/>
    <d v="2008-03-18T00:00:00"/>
    <n v="63.6"/>
    <n v="2.75"/>
    <x v="12"/>
    <n v="5.6000000000000014"/>
    <n v="-0.25"/>
    <x v="28"/>
    <n v="114.28571428571431"/>
    <n v="17.914957714285713"/>
    <n v="7"/>
    <n v="-1.9999999999999929"/>
    <x v="0"/>
    <n v="-285.7142857142847"/>
    <n v="-1.8050422857142365"/>
  </r>
  <r>
    <s v="Tammin "/>
    <x v="0"/>
    <x v="0"/>
    <n v="1.98"/>
    <x v="29"/>
    <d v="2008-01-29T00:00:00"/>
    <x v="24"/>
    <x v="0"/>
    <d v="2008-03-18T00:00:00"/>
    <n v="52.4"/>
    <n v="2.5"/>
    <x v="12"/>
    <n v="-2.8000000000000043"/>
    <n v="0"/>
    <x v="28"/>
    <n v="-57.142857142857231"/>
    <n v="8.2798991428571362"/>
    <n v="7"/>
    <n v="-7.6000000000000014"/>
    <x v="0"/>
    <n v="-1085.7142857142858"/>
    <n v="-42.428672285714285"/>
  </r>
  <r>
    <s v="Tammin "/>
    <x v="0"/>
    <x v="0"/>
    <n v="1.98"/>
    <x v="30"/>
    <d v="2008-01-29T00:00:00"/>
    <x v="25"/>
    <x v="2"/>
    <d v="2008-03-18T00:00:00"/>
    <n v="67.2"/>
    <n v="3"/>
    <x v="12"/>
    <n v="6.6000000000000014"/>
    <n v="1"/>
    <x v="28"/>
    <n v="134.69387755102045"/>
    <n v="19.445259163265309"/>
    <n v="7"/>
    <n v="0.20000000000000284"/>
    <x v="0"/>
    <n v="28.571428571428978"/>
    <n v="14.21342242857145"/>
  </r>
  <r>
    <s v="Tammin "/>
    <x v="0"/>
    <x v="0"/>
    <n v="1.98"/>
    <x v="31"/>
    <d v="2008-01-29T00:00:00"/>
    <x v="26"/>
    <x v="5"/>
    <d v="2008-03-18T00:00:00"/>
    <n v="70.2"/>
    <n v="1.75"/>
    <x v="12"/>
    <n v="5.7999999999999972"/>
    <n v="0"/>
    <x v="28"/>
    <n v="118.36734693877546"/>
    <n v="19.215267204081631"/>
    <n v="7"/>
    <n v="0.40000000000000568"/>
    <x v="0"/>
    <n v="57.142857142857956"/>
    <n v="16.196899857142899"/>
  </r>
  <r>
    <s v="Tammin "/>
    <x v="0"/>
    <x v="0"/>
    <n v="1.98"/>
    <x v="32"/>
    <d v="2008-01-29T00:00:00"/>
    <x v="0"/>
    <x v="5"/>
    <d v="2008-03-18T00:00:00"/>
    <n v="65.400000000000006"/>
    <n v="1.75"/>
    <x v="12"/>
    <n v="11.400000000000006"/>
    <n v="0"/>
    <x v="28"/>
    <n v="232.65306122448993"/>
    <n v="23.564468918367353"/>
    <n v="7"/>
    <n v="3.0000000000000071"/>
    <x v="0"/>
    <n v="428.57142857142958"/>
    <n v="33.223244428571476"/>
  </r>
  <r>
    <s v="Tammin "/>
    <x v="0"/>
    <x v="0"/>
    <n v="1.98"/>
    <x v="33"/>
    <d v="2008-01-29T00:00:00"/>
    <x v="27"/>
    <x v="2"/>
    <d v="2008-03-18T00:00:00"/>
    <n v="72"/>
    <n v="2.25"/>
    <x v="12"/>
    <n v="1"/>
    <n v="0.25"/>
    <x v="28"/>
    <n v="20.408163265306122"/>
    <n v="15.09605744897959"/>
    <n v="7"/>
    <n v="-0.79999999999999716"/>
    <x v="0"/>
    <n v="-114.28571428571388"/>
    <n v="8.4556492857143049"/>
  </r>
  <r>
    <s v="Tammin "/>
    <x v="0"/>
    <x v="0"/>
    <n v="1.98"/>
    <x v="0"/>
    <d v="2008-01-29T00:00:00"/>
    <x v="0"/>
    <x v="0"/>
    <d v="2008-03-25T00:00:00"/>
    <n v="58.2"/>
    <n v="2"/>
    <x v="13"/>
    <n v="4.2000000000000028"/>
    <n v="-0.5"/>
    <x v="29"/>
    <n v="75.000000000000057"/>
    <n v="15.183449000000003"/>
    <n v="7"/>
    <n v="-4"/>
    <x v="0"/>
    <n v="-571.42857142857144"/>
    <n v="-16.685479571428566"/>
  </r>
  <r>
    <s v="Tammin "/>
    <x v="0"/>
    <x v="0"/>
    <n v="1.98"/>
    <x v="1"/>
    <d v="2008-01-29T00:00:00"/>
    <x v="1"/>
    <x v="0"/>
    <d v="2008-03-25T00:00:00"/>
    <n v="57.8"/>
    <n v="2.5"/>
    <x v="13"/>
    <n v="1.1999999999999957"/>
    <n v="0"/>
    <x v="29"/>
    <n v="21.428571428571352"/>
    <n v="12.728376571428567"/>
    <n v="7"/>
    <n v="-4.4000000000000057"/>
    <x v="0"/>
    <n v="-628.57142857142935"/>
    <n v="-19.316623428571464"/>
  </r>
  <r>
    <s v="Tammin "/>
    <x v="0"/>
    <x v="0"/>
    <n v="1.98"/>
    <x v="2"/>
    <d v="2008-01-29T00:00:00"/>
    <x v="1"/>
    <x v="1"/>
    <d v="2008-03-25T00:00:00"/>
    <n v="62.6"/>
    <n v="2.75"/>
    <x v="13"/>
    <n v="6"/>
    <n v="-0.5"/>
    <x v="29"/>
    <n v="107.14285714285714"/>
    <n v="17.359906857142857"/>
    <n v="7"/>
    <n v="-1.3999999999999986"/>
    <x v="0"/>
    <n v="-199.9999999999998"/>
    <n v="2.2177640000000114"/>
  </r>
  <r>
    <s v="Tammin "/>
    <x v="0"/>
    <x v="0"/>
    <n v="1.98"/>
    <x v="3"/>
    <d v="2008-01-29T00:00:00"/>
    <x v="2"/>
    <x v="1"/>
    <d v="2008-03-25T00:00:00"/>
    <n v="65.599999999999994"/>
    <n v="2.75"/>
    <x v="13"/>
    <n v="1.9999999999999929"/>
    <n v="-0.5"/>
    <x v="29"/>
    <n v="35.714285714285587"/>
    <n v="14.683928285714277"/>
    <n v="7"/>
    <n v="-2.6000000000000085"/>
    <x v="0"/>
    <n v="-371.42857142857264"/>
    <n v="-5.3882145714286338"/>
  </r>
  <r>
    <s v="Tammin "/>
    <x v="0"/>
    <x v="0"/>
    <n v="1.98"/>
    <x v="4"/>
    <d v="2008-01-29T00:00:00"/>
    <x v="3"/>
    <x v="2"/>
    <d v="2008-03-25T00:00:00"/>
    <n v="59"/>
    <n v="2"/>
    <x v="13"/>
    <n v="6.6000000000000014"/>
    <n v="0"/>
    <x v="29"/>
    <n v="117.85714285714289"/>
    <n v="17.228670142857144"/>
    <n v="7"/>
    <n v="-1"/>
    <x v="0"/>
    <n v="-142.85714285714286"/>
    <n v="4.3754558571428577"/>
  </r>
  <r>
    <s v="Tammin "/>
    <x v="0"/>
    <x v="0"/>
    <n v="1.98"/>
    <x v="5"/>
    <d v="2008-01-29T00:00:00"/>
    <x v="4"/>
    <x v="0"/>
    <d v="2008-03-25T00:00:00"/>
    <n v="58.4"/>
    <n v="2.25"/>
    <x v="13"/>
    <n v="5.1999999999999957"/>
    <n v="-0.25"/>
    <x v="29"/>
    <n v="92.857142857142776"/>
    <n v="16.013079142857137"/>
    <n v="7"/>
    <n v="-2.3999999999999986"/>
    <x v="0"/>
    <n v="-342.85714285714266"/>
    <n v="-5.4676351428571301"/>
  </r>
  <r>
    <s v="Tammin "/>
    <x v="0"/>
    <x v="0"/>
    <n v="1.98"/>
    <x v="6"/>
    <d v="2008-01-29T00:00:00"/>
    <x v="5"/>
    <x v="3"/>
    <d v="2008-03-25T00:00:00"/>
    <n v="64.2"/>
    <n v="2.25"/>
    <x v="13"/>
    <n v="4"/>
    <n v="0"/>
    <x v="29"/>
    <n v="71.428571428571431"/>
    <n v="16.038826571428572"/>
    <n v="7"/>
    <n v="-1.5999999999999943"/>
    <x v="0"/>
    <n v="-228.57142857142776"/>
    <n v="1.2488265714286122"/>
  </r>
  <r>
    <s v="Tammin "/>
    <x v="0"/>
    <x v="0"/>
    <n v="1.98"/>
    <x v="7"/>
    <d v="2008-01-29T00:00:00"/>
    <x v="5"/>
    <x v="4"/>
    <d v="2008-03-25T00:00:00"/>
    <n v="65.8"/>
    <n v="2.75"/>
    <x v="13"/>
    <n v="5.5999999999999943"/>
    <n v="-0.25"/>
    <x v="29"/>
    <n v="99.999999999999901"/>
    <n v="17.582669999999993"/>
    <n v="7"/>
    <n v="-3.4000000000000057"/>
    <x v="0"/>
    <n v="-485.71428571428652"/>
    <n v="-11.293044285714325"/>
  </r>
  <r>
    <s v="Tammin "/>
    <x v="0"/>
    <x v="0"/>
    <n v="1.98"/>
    <x v="8"/>
    <d v="2008-01-29T00:00:00"/>
    <x v="6"/>
    <x v="5"/>
    <d v="2008-03-25T00:00:00"/>
    <n v="65.2"/>
    <n v="1.75"/>
    <x v="13"/>
    <n v="14.600000000000001"/>
    <n v="0"/>
    <x v="29"/>
    <n v="260.71428571428572"/>
    <n v="24.643525285714286"/>
    <n v="7"/>
    <n v="2.6000000000000014"/>
    <x v="0"/>
    <n v="371.42857142857162"/>
    <n v="30.101739571428581"/>
  </r>
  <r>
    <s v="Tammin "/>
    <x v="0"/>
    <x v="0"/>
    <n v="1.98"/>
    <x v="9"/>
    <d v="2008-01-29T00:00:00"/>
    <x v="7"/>
    <x v="0"/>
    <d v="2008-03-25T00:00:00"/>
    <n v="68.400000000000006"/>
    <n v="2.5"/>
    <x v="13"/>
    <n v="5.2000000000000028"/>
    <n v="0"/>
    <x v="29"/>
    <n v="92.857142857142904"/>
    <n v="17.703979142857143"/>
    <n v="7"/>
    <n v="-0.79999999999999716"/>
    <x v="0"/>
    <n v="-114.28571428571388"/>
    <n v="7.4918362857143066"/>
  </r>
  <r>
    <s v="Tammin "/>
    <x v="0"/>
    <x v="0"/>
    <n v="1.98"/>
    <x v="10"/>
    <d v="2008-01-29T00:00:00"/>
    <x v="8"/>
    <x v="6"/>
    <d v="2008-03-25T00:00:00"/>
    <n v="61.4"/>
    <n v="2.75"/>
    <x v="13"/>
    <n v="4.1999999999999957"/>
    <n v="-0.75"/>
    <x v="29"/>
    <n v="74.999999999999929"/>
    <n v="15.724536999999994"/>
    <n v="7"/>
    <n v="-2.8000000000000043"/>
    <x v="0"/>
    <n v="-400.00000000000063"/>
    <n v="-7.6929630000000326"/>
  </r>
  <r>
    <s v="Tammin "/>
    <x v="0"/>
    <x v="0"/>
    <n v="1.98"/>
    <x v="11"/>
    <d v="2008-01-29T00:00:00"/>
    <x v="9"/>
    <x v="3"/>
    <d v="2008-03-25T00:00:00"/>
    <n v="56"/>
    <n v="2.25"/>
    <x v="13"/>
    <n v="7.7999999999999972"/>
    <n v="0"/>
    <x v="29"/>
    <n v="139.28571428571422"/>
    <n v="17.676374714285707"/>
    <n v="7"/>
    <n v="-1.2000000000000028"/>
    <x v="0"/>
    <n v="-171.42857142857184"/>
    <n v="2.3581604285714075"/>
  </r>
  <r>
    <s v="Tammin "/>
    <x v="0"/>
    <x v="0"/>
    <n v="1.98"/>
    <x v="12"/>
    <d v="2008-01-29T00:00:00"/>
    <x v="10"/>
    <x v="0"/>
    <d v="2008-03-25T00:00:00"/>
    <n v="68.599999999999994"/>
    <n v="2.5"/>
    <x v="13"/>
    <n v="2.1999999999999886"/>
    <n v="0"/>
    <x v="29"/>
    <n v="39.285714285714086"/>
    <n v="15.350360714285705"/>
    <n v="7"/>
    <n v="-1.4000000000000057"/>
    <x v="0"/>
    <n v="-200.00000000000082"/>
    <n v="3.5535749999999595"/>
  </r>
  <r>
    <s v="Tammin "/>
    <x v="0"/>
    <x v="0"/>
    <n v="1.98"/>
    <x v="13"/>
    <d v="2008-01-29T00:00:00"/>
    <x v="11"/>
    <x v="2"/>
    <d v="2008-03-25T00:00:00"/>
    <n v="51"/>
    <n v="2"/>
    <x v="13"/>
    <n v="2.6000000000000014"/>
    <n v="0"/>
    <x v="29"/>
    <n v="46.428571428571452"/>
    <n v="12.692701571428572"/>
    <n v="7"/>
    <n v="-2.2000000000000028"/>
    <x v="0"/>
    <n v="-314.28571428571468"/>
    <n v="-5.0905127142857332"/>
  </r>
  <r>
    <s v="Tammin "/>
    <x v="0"/>
    <x v="0"/>
    <n v="1.98"/>
    <x v="14"/>
    <d v="2008-01-29T00:00:00"/>
    <x v="12"/>
    <x v="2"/>
    <d v="2008-03-25T00:00:00"/>
    <n v="58.6"/>
    <n v="2"/>
    <x v="13"/>
    <n v="5.6000000000000014"/>
    <n v="0"/>
    <x v="29"/>
    <n v="100.00000000000001"/>
    <n v="16.365221999999999"/>
    <n v="7"/>
    <n v="-3.1999999999999957"/>
    <x v="0"/>
    <n v="-457.14285714285654"/>
    <n v="-11.101920857142826"/>
  </r>
  <r>
    <s v="Tammin "/>
    <x v="0"/>
    <x v="0"/>
    <n v="1.98"/>
    <x v="15"/>
    <d v="2008-01-29T00:00:00"/>
    <x v="13"/>
    <x v="2"/>
    <d v="2008-03-25T00:00:00"/>
    <n v="70.400000000000006"/>
    <n v="2"/>
    <x v="13"/>
    <n v="10.400000000000006"/>
    <n v="0"/>
    <x v="29"/>
    <n v="185.71428571428581"/>
    <n v="22.180382285714288"/>
    <n v="7"/>
    <n v="3.2000000000000028"/>
    <x v="0"/>
    <n v="457.14285714285757"/>
    <n v="35.561810857142881"/>
  </r>
  <r>
    <s v="Tammin "/>
    <x v="0"/>
    <x v="0"/>
    <n v="1.98"/>
    <x v="16"/>
    <d v="2008-01-29T00:00:00"/>
    <x v="14"/>
    <x v="4"/>
    <d v="2008-03-25T00:00:00"/>
    <n v="65.599999999999994"/>
    <n v="2.5"/>
    <x v="13"/>
    <n v="1.3999999999999915"/>
    <n v="-0.5"/>
    <x v="29"/>
    <n v="24.999999999999847"/>
    <n v="14.206440999999993"/>
    <n v="7"/>
    <n v="-3.4000000000000057"/>
    <x v="0"/>
    <n v="-485.71428571428652"/>
    <n v="-10.971773285714324"/>
  </r>
  <r>
    <s v="Tammin "/>
    <x v="0"/>
    <x v="0"/>
    <n v="1.98"/>
    <x v="17"/>
    <d v="2008-01-29T00:00:00"/>
    <x v="15"/>
    <x v="0"/>
    <d v="2008-03-25T00:00:00"/>
    <n v="61.6"/>
    <n v="2.5"/>
    <x v="13"/>
    <n v="5.2000000000000028"/>
    <n v="0"/>
    <x v="29"/>
    <n v="92.857142857142904"/>
    <n v="16.554167142857146"/>
    <n v="7"/>
    <n v="-4.3999999999999986"/>
    <x v="0"/>
    <n v="-628.57142857142833"/>
    <n v="-19.012261428571414"/>
  </r>
  <r>
    <s v="Tammin "/>
    <x v="0"/>
    <x v="0"/>
    <n v="1.98"/>
    <x v="18"/>
    <d v="2008-01-29T00:00:00"/>
    <x v="16"/>
    <x v="4"/>
    <d v="2008-03-25T00:00:00"/>
    <n v="66.2"/>
    <n v="2.75"/>
    <x v="13"/>
    <n v="2.2000000000000028"/>
    <n v="-0.25"/>
    <x v="29"/>
    <n v="39.285714285714334"/>
    <n v="14.944544714285716"/>
    <n v="7"/>
    <n v="-2.7999999999999972"/>
    <x v="0"/>
    <n v="-399.9999999999996"/>
    <n v="-6.7122409999999793"/>
  </r>
  <r>
    <s v="Tammin "/>
    <x v="0"/>
    <x v="0"/>
    <n v="1.98"/>
    <x v="19"/>
    <d v="2008-01-29T00:00:00"/>
    <x v="0"/>
    <x v="0"/>
    <d v="2008-03-25T00:00:00"/>
    <n v="56"/>
    <n v="2.25"/>
    <x v="13"/>
    <n v="2"/>
    <n v="-0.25"/>
    <x v="29"/>
    <n v="35.714285714285715"/>
    <n v="13.060664285714285"/>
    <n v="7"/>
    <n v="-4.3999999999999986"/>
    <x v="0"/>
    <n v="-628.57142857142833"/>
    <n v="-19.688621428571416"/>
  </r>
  <r>
    <s v="Tammin "/>
    <x v="0"/>
    <x v="0"/>
    <n v="1.98"/>
    <x v="20"/>
    <d v="2008-01-29T00:00:00"/>
    <x v="17"/>
    <x v="5"/>
    <d v="2008-03-25T00:00:00"/>
    <n v="67.8"/>
    <n v="1.75"/>
    <x v="13"/>
    <n v="8.5999999999999943"/>
    <n v="0"/>
    <x v="29"/>
    <n v="153.57142857142847"/>
    <n v="20.308286428571421"/>
    <n v="7"/>
    <n v="-0.60000000000000853"/>
    <x v="0"/>
    <n v="-85.71428571428693"/>
    <n v="8.5115007142856527"/>
  </r>
  <r>
    <s v="Tammin "/>
    <x v="0"/>
    <x v="0"/>
    <n v="1.98"/>
    <x v="21"/>
    <d v="2008-01-29T00:00:00"/>
    <x v="18"/>
    <x v="5"/>
    <d v="2008-03-25T00:00:00"/>
    <n v="61"/>
    <n v="1.75"/>
    <x v="13"/>
    <n v="3.2000000000000028"/>
    <n v="0"/>
    <x v="29"/>
    <n v="57.142857142857196"/>
    <n v="14.86108885714286"/>
    <n v="7"/>
    <n v="-3.2000000000000028"/>
    <x v="0"/>
    <n v="-457.14285714285757"/>
    <n v="-10.493196857142879"/>
  </r>
  <r>
    <s v="Tammin "/>
    <x v="0"/>
    <x v="0"/>
    <n v="1.98"/>
    <x v="22"/>
    <d v="2008-01-29T00:00:00"/>
    <x v="19"/>
    <x v="7"/>
    <d v="2008-03-25T00:00:00"/>
    <n v="65.8"/>
    <n v="2.75"/>
    <x v="13"/>
    <n v="9.5999999999999943"/>
    <n v="0"/>
    <x v="29"/>
    <n v="171.42857142857133"/>
    <n v="20.765918571428564"/>
    <n v="7"/>
    <n v="-2.4000000000000057"/>
    <x v="0"/>
    <n v="-342.85714285714369"/>
    <n v="-4.5883671428571837"/>
  </r>
  <r>
    <s v="Tammin "/>
    <x v="0"/>
    <x v="0"/>
    <n v="1.98"/>
    <x v="23"/>
    <d v="2008-01-29T00:00:00"/>
    <x v="20"/>
    <x v="3"/>
    <d v="2008-03-25T00:00:00"/>
    <n v="64"/>
    <n v="2.25"/>
    <x v="13"/>
    <n v="6"/>
    <n v="0"/>
    <x v="29"/>
    <n v="107.14285714285714"/>
    <n v="17.596632857142858"/>
    <n v="7"/>
    <n v="-1"/>
    <x v="0"/>
    <n v="-142.85714285714286"/>
    <n v="5.2716328571428575"/>
  </r>
  <r>
    <s v="Tammin "/>
    <x v="0"/>
    <x v="0"/>
    <n v="1.98"/>
    <x v="24"/>
    <d v="2008-01-29T00:00:00"/>
    <x v="21"/>
    <x v="3"/>
    <d v="2008-03-25T00:00:00"/>
    <n v="69.400000000000006"/>
    <n v="2.25"/>
    <x v="13"/>
    <n v="2.4000000000000057"/>
    <n v="0"/>
    <x v="29"/>
    <n v="42.857142857142961"/>
    <n v="15.644795142857149"/>
    <n v="7"/>
    <n v="-0.79999999999999716"/>
    <x v="0"/>
    <n v="-114.28571428571388"/>
    <n v="7.8976522857143063"/>
  </r>
  <r>
    <s v="Tammin "/>
    <x v="0"/>
    <x v="0"/>
    <n v="1.98"/>
    <x v="25"/>
    <d v="2008-01-29T00:00:00"/>
    <x v="22"/>
    <x v="4"/>
    <d v="2008-03-25T00:00:00"/>
    <n v="74.599999999999994"/>
    <n v="2.5"/>
    <x v="13"/>
    <n v="4"/>
    <n v="-0.5"/>
    <x v="29"/>
    <n v="71.428571428571431"/>
    <n v="17.797362571428568"/>
    <n v="7"/>
    <n v="-3"/>
    <x v="0"/>
    <n v="-428.57142857142856"/>
    <n v="-6.8526374285714287"/>
  </r>
  <r>
    <s v="Tammin "/>
    <x v="0"/>
    <x v="0"/>
    <n v="1.98"/>
    <x v="26"/>
    <d v="2008-01-29T00:00:00"/>
    <x v="23"/>
    <x v="0"/>
    <d v="2008-03-25T00:00:00"/>
    <n v="69.2"/>
    <n v="2.5"/>
    <x v="13"/>
    <n v="7.6000000000000014"/>
    <n v="0"/>
    <x v="29"/>
    <n v="135.71428571428572"/>
    <n v="19.749200285714288"/>
    <n v="7"/>
    <n v="-1.5999999999999943"/>
    <x v="0"/>
    <n v="-228.57142857142776"/>
    <n v="1.7899145714286124"/>
  </r>
  <r>
    <s v="Tammin "/>
    <x v="0"/>
    <x v="0"/>
    <n v="1.98"/>
    <x v="27"/>
    <d v="2008-01-29T00:00:00"/>
    <x v="13"/>
    <x v="0"/>
    <d v="2008-03-25T00:00:00"/>
    <n v="63.2"/>
    <n v="2.5"/>
    <x v="13"/>
    <n v="3.2000000000000028"/>
    <n v="0"/>
    <x v="29"/>
    <n v="57.142857142857196"/>
    <n v="15.23308685714286"/>
    <n v="7"/>
    <n v="-4.2000000000000028"/>
    <x v="0"/>
    <n v="-600.00000000000045"/>
    <n v="-17.16405600000002"/>
  </r>
  <r>
    <s v="Tammin "/>
    <x v="0"/>
    <x v="0"/>
    <n v="1.98"/>
    <x v="28"/>
    <d v="2008-01-29T00:00:00"/>
    <x v="20"/>
    <x v="4"/>
    <d v="2008-03-25T00:00:00"/>
    <n v="61.6"/>
    <n v="2.25"/>
    <x v="13"/>
    <n v="3.6000000000000014"/>
    <n v="-0.75"/>
    <x v="29"/>
    <n v="64.285714285714306"/>
    <n v="15.280867714285714"/>
    <n v="7"/>
    <n v="-2"/>
    <x v="0"/>
    <n v="-285.71428571428572"/>
    <n v="-1.9741322857142851"/>
  </r>
  <r>
    <s v="Tammin "/>
    <x v="0"/>
    <x v="0"/>
    <n v="1.98"/>
    <x v="29"/>
    <d v="2008-01-29T00:00:00"/>
    <x v="24"/>
    <x v="0"/>
    <d v="2008-03-25T00:00:00"/>
    <n v="61.2"/>
    <n v="2.5"/>
    <x v="13"/>
    <n v="6"/>
    <n v="0"/>
    <x v="29"/>
    <n v="107.14285714285714"/>
    <n v="17.123180857142856"/>
    <n v="7"/>
    <n v="8.8000000000000043"/>
    <x v="0"/>
    <n v="1257.1428571428578"/>
    <n v="73.818180857142892"/>
  </r>
  <r>
    <s v="Tammin "/>
    <x v="0"/>
    <x v="0"/>
    <n v="1.98"/>
    <x v="30"/>
    <d v="2008-01-29T00:00:00"/>
    <x v="25"/>
    <x v="2"/>
    <d v="2008-03-25T00:00:00"/>
    <n v="70.400000000000006"/>
    <n v="2"/>
    <x v="13"/>
    <n v="9.8000000000000043"/>
    <n v="0"/>
    <x v="29"/>
    <n v="175.00000000000009"/>
    <n v="21.702895000000002"/>
    <n v="7"/>
    <n v="3.2000000000000028"/>
    <x v="0"/>
    <n v="457.14285714285757"/>
    <n v="35.612537857142875"/>
  </r>
  <r>
    <s v="Tammin "/>
    <x v="0"/>
    <x v="0"/>
    <n v="1.98"/>
    <x v="31"/>
    <d v="2008-01-29T00:00:00"/>
    <x v="26"/>
    <x v="5"/>
    <d v="2008-03-25T00:00:00"/>
    <n v="70.599999999999994"/>
    <n v="1.75"/>
    <x v="13"/>
    <n v="6.1999999999999886"/>
    <n v="0"/>
    <x v="29"/>
    <n v="110.71428571428551"/>
    <n v="18.871789285714275"/>
    <n v="7"/>
    <n v="0.39999999999999147"/>
    <x v="0"/>
    <n v="57.142857142855924"/>
    <n v="16.230717857142796"/>
  </r>
  <r>
    <s v="Tammin "/>
    <x v="0"/>
    <x v="0"/>
    <n v="1.98"/>
    <x v="32"/>
    <d v="2008-01-29T00:00:00"/>
    <x v="0"/>
    <x v="5"/>
    <d v="2008-03-25T00:00:00"/>
    <n v="66.400000000000006"/>
    <n v="1.75"/>
    <x v="13"/>
    <n v="12.400000000000006"/>
    <n v="0"/>
    <x v="29"/>
    <n v="221.42857142857153"/>
    <n v="23.095646571428574"/>
    <n v="7"/>
    <n v="1"/>
    <x v="0"/>
    <n v="142.85714285714286"/>
    <n v="19.222075142857143"/>
  </r>
  <r>
    <s v="Tammin "/>
    <x v="0"/>
    <x v="0"/>
    <n v="1.98"/>
    <x v="33"/>
    <d v="2008-01-29T00:00:00"/>
    <x v="27"/>
    <x v="2"/>
    <d v="2008-03-25T00:00:00"/>
    <n v="66.400000000000006"/>
    <n v="2"/>
    <x v="13"/>
    <n v="-4.5999999999999943"/>
    <n v="0"/>
    <x v="29"/>
    <n v="-82.142857142857039"/>
    <n v="9.5668401428571492"/>
    <n v="7"/>
    <n v="-5.5999999999999943"/>
    <x v="0"/>
    <n v="-799.9999999999992"/>
    <n v="-25.82351699999995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3">
  <r>
    <x v="0"/>
    <x v="0"/>
    <n v="14"/>
    <n v="1.98"/>
    <s v="2008CSR-1016"/>
    <d v="2008-01-29T00:00:00"/>
    <n v="54"/>
    <x v="0"/>
    <d v="2008-02-05T00:00:00"/>
    <n v="58.2"/>
    <m/>
    <n v="7"/>
    <n v="4.2000000000000028"/>
    <m/>
    <x v="0"/>
    <n v="600.00000000000045"/>
    <n v="41.065949000000018"/>
    <n v="7"/>
    <n v="4.2000000000000028"/>
    <n v="13.86"/>
    <n v="600.00000000000045"/>
    <n v="41.065949000000018"/>
    <n v="18.02675"/>
    <n v="43.291555329576042"/>
  </r>
  <r>
    <x v="0"/>
    <x v="0"/>
    <n v="14"/>
    <n v="1.98"/>
    <s v="2008CSR-1019"/>
    <d v="2008-01-29T00:00:00"/>
    <n v="56.6"/>
    <x v="0"/>
    <d v="2008-02-05T00:00:00"/>
    <n v="62.4"/>
    <m/>
    <n v="7"/>
    <n v="5.7999999999999972"/>
    <m/>
    <x v="0"/>
    <n v="828.57142857142821"/>
    <n v="52.909426428571408"/>
    <n v="7"/>
    <n v="5.7999999999999972"/>
    <n v="13.86"/>
    <n v="828.57142857142821"/>
    <n v="52.909426428571408"/>
    <n v="18.02675"/>
    <n v="55.776900752704648"/>
  </r>
  <r>
    <x v="0"/>
    <x v="0"/>
    <n v="14"/>
    <n v="1.98"/>
    <s v="2008CSR-1045"/>
    <d v="2008-01-29T00:00:00"/>
    <n v="56.6"/>
    <x v="1"/>
    <d v="2008-02-05T00:00:00"/>
    <n v="60.8"/>
    <m/>
    <n v="7"/>
    <n v="4.1999999999999957"/>
    <m/>
    <x v="0"/>
    <n v="599.99999999999943"/>
    <n v="41.505582999999973"/>
    <n v="7"/>
    <n v="4.1999999999999957"/>
    <n v="13.86"/>
    <n v="599.99999999999943"/>
    <n v="41.505582999999973"/>
    <n v="14.915374999999999"/>
    <n v="36.203002049042368"/>
  </r>
  <r>
    <x v="0"/>
    <x v="0"/>
    <n v="14"/>
    <n v="1.98"/>
    <s v="2008CSR-1137"/>
    <d v="2008-01-29T00:00:00"/>
    <n v="63.6"/>
    <x v="1"/>
    <d v="2008-02-05T00:00:00"/>
    <n v="68"/>
    <m/>
    <n v="7"/>
    <n v="4.3999999999999986"/>
    <m/>
    <x v="0"/>
    <n v="628.57142857142833"/>
    <n v="44.114693428571414"/>
    <n v="7"/>
    <n v="4.3999999999999986"/>
    <n v="13.86"/>
    <n v="628.57142857142833"/>
    <n v="44.114693428571414"/>
    <n v="14.915374999999999"/>
    <n v="38.47878336240808"/>
  </r>
  <r>
    <x v="0"/>
    <x v="0"/>
    <n v="14"/>
    <n v="1.98"/>
    <s v="2008CSR-1203"/>
    <d v="2008-01-29T00:00:00"/>
    <n v="52.4"/>
    <x v="2"/>
    <d v="2008-02-05T00:00:00"/>
    <n v="58"/>
    <m/>
    <n v="7"/>
    <n v="5.6000000000000014"/>
    <m/>
    <x v="0"/>
    <n v="800.00000000000011"/>
    <n v="50.773768000000004"/>
    <n v="7"/>
    <n v="5.6000000000000014"/>
    <n v="13.86"/>
    <n v="800.00000000000011"/>
    <n v="50.773768000000004"/>
    <n v="20.100999999999999"/>
    <n v="59.684415822690056"/>
  </r>
  <r>
    <x v="0"/>
    <x v="0"/>
    <n v="14"/>
    <n v="1.98"/>
    <s v="2008CSR-1211"/>
    <d v="2008-01-29T00:00:00"/>
    <n v="53.2"/>
    <x v="0"/>
    <d v="2008-02-05T00:00:00"/>
    <n v="57.2"/>
    <m/>
    <n v="7"/>
    <n v="4"/>
    <m/>
    <x v="0"/>
    <n v="571.42857142857144"/>
    <n v="39.50519657142857"/>
    <n v="7"/>
    <n v="4"/>
    <n v="13.86"/>
    <n v="571.42857142857144"/>
    <n v="39.50519657142857"/>
    <n v="18.02675"/>
    <n v="41.646216508421048"/>
  </r>
  <r>
    <x v="0"/>
    <x v="0"/>
    <n v="14"/>
    <n v="1.98"/>
    <s v="2008CSR-1231"/>
    <d v="2008-01-29T00:00:00"/>
    <n v="60.2"/>
    <x v="3"/>
    <d v="2008-02-05T00:00:00"/>
    <n v="66"/>
    <m/>
    <n v="7"/>
    <n v="5.7999999999999972"/>
    <m/>
    <x v="0"/>
    <n v="828.57142857142821"/>
    <n v="53.518150428571403"/>
    <n v="7"/>
    <n v="5.7999999999999972"/>
    <n v="13.86"/>
    <n v="828.57142857142821"/>
    <n v="53.518150428571403"/>
    <n v="19.063874999999999"/>
    <n v="59.664522222308868"/>
  </r>
  <r>
    <x v="0"/>
    <x v="0"/>
    <n v="14"/>
    <n v="1.98"/>
    <s v="2008CSR-1250"/>
    <d v="2008-01-29T00:00:00"/>
    <n v="60.2"/>
    <x v="4"/>
    <d v="2008-02-05T00:00:00"/>
    <n v="64.2"/>
    <m/>
    <n v="7"/>
    <n v="4"/>
    <m/>
    <x v="0"/>
    <n v="571.4"/>
    <n v="40.700000000000003"/>
    <n v="7"/>
    <n v="4"/>
    <n v="13.86"/>
    <n v="571.42857142857144"/>
    <n v="40.688826571428564"/>
    <n v="15.952499999999999"/>
    <n v="37.958392156766905"/>
  </r>
  <r>
    <x v="0"/>
    <x v="0"/>
    <n v="14"/>
    <n v="1.98"/>
    <s v="2008CSR-1251"/>
    <d v="2008-01-29T00:00:00"/>
    <n v="50.6"/>
    <x v="5"/>
    <d v="2008-02-05T00:00:00"/>
    <n v="60"/>
    <m/>
    <n v="7"/>
    <n v="9.3999999999999986"/>
    <m/>
    <x v="0"/>
    <n v="1342.8571428571427"/>
    <n v="77.553534142857131"/>
    <n v="7"/>
    <n v="9.3999999999999986"/>
    <n v="13.86"/>
    <n v="1342.8571428571427"/>
    <n v="77.553534142857131"/>
    <n v="21.138124999999999"/>
    <n v="95.867619818917049"/>
  </r>
  <r>
    <x v="0"/>
    <x v="0"/>
    <n v="14"/>
    <n v="1.98"/>
    <s v="2008CSR-1299"/>
    <d v="2008-01-29T00:00:00"/>
    <n v="63.2"/>
    <x v="0"/>
    <d v="2008-02-05T00:00:00"/>
    <n v="68.599999999999994"/>
    <m/>
    <n v="7"/>
    <n v="5.3999999999999915"/>
    <m/>
    <x v="0"/>
    <n v="771.42857142857019"/>
    <n v="51.174459571428514"/>
    <n v="7"/>
    <n v="5.3999999999999915"/>
    <n v="13.86"/>
    <n v="771.42857142857019"/>
    <n v="51.174459571428514"/>
    <n v="18.02675"/>
    <n v="53.947905794108117"/>
  </r>
  <r>
    <x v="0"/>
    <x v="0"/>
    <n v="14"/>
    <n v="1.98"/>
    <s v="2008CSR-1343"/>
    <d v="2008-01-29T00:00:00"/>
    <n v="57.2"/>
    <x v="6"/>
    <d v="2008-02-05T00:00:00"/>
    <n v="65.2"/>
    <m/>
    <n v="7"/>
    <n v="8"/>
    <m/>
    <x v="0"/>
    <n v="1142.8571428571429"/>
    <n v="68.69116514285713"/>
    <n v="7"/>
    <n v="8"/>
    <n v="13.86"/>
    <n v="1142.8571428571429"/>
    <n v="68.69116514285713"/>
    <n v="13.878249999999998"/>
    <n v="55.749307756950685"/>
  </r>
  <r>
    <x v="0"/>
    <x v="0"/>
    <n v="14"/>
    <n v="1.98"/>
    <s v="2008CSR-1394"/>
    <d v="2008-01-29T00:00:00"/>
    <n v="48.2"/>
    <x v="3"/>
    <d v="2008-02-05T00:00:00"/>
    <n v="55.8"/>
    <m/>
    <n v="7"/>
    <n v="7.5999999999999943"/>
    <m/>
    <x v="0"/>
    <n v="1085.7142857142849"/>
    <n v="64.318394285714248"/>
    <n v="7"/>
    <n v="7.5999999999999943"/>
    <n v="13.86"/>
    <n v="1085.7142857142849"/>
    <n v="64.318394285714248"/>
    <n v="19.063874999999999"/>
    <n v="71.705136190852087"/>
  </r>
  <r>
    <x v="0"/>
    <x v="0"/>
    <n v="14"/>
    <n v="1.98"/>
    <s v="2008CSR-1475"/>
    <d v="2008-01-29T00:00:00"/>
    <n v="66.400000000000006"/>
    <x v="0"/>
    <d v="2008-02-05T00:00:00"/>
    <n v="67.8"/>
    <m/>
    <n v="7"/>
    <n v="1.3999999999999915"/>
    <m/>
    <x v="0"/>
    <n v="199.99999999999878"/>
    <n v="23.205938999999937"/>
    <n v="7"/>
    <n v="1.3999999999999915"/>
    <n v="13.86"/>
    <n v="199.99999999999878"/>
    <n v="23.205938999999937"/>
    <n v="18.02675"/>
    <n v="24.463605898728002"/>
  </r>
  <r>
    <x v="0"/>
    <x v="0"/>
    <n v="14"/>
    <n v="1.98"/>
    <s v="2008CSR-1506"/>
    <d v="2008-01-29T00:00:00"/>
    <n v="48.4"/>
    <x v="2"/>
    <d v="2008-02-05T00:00:00"/>
    <n v="49.4"/>
    <m/>
    <n v="7"/>
    <n v="1"/>
    <m/>
    <x v="0"/>
    <n v="142.85714285714286"/>
    <n v="17.311358142857141"/>
    <n v="7"/>
    <n v="1"/>
    <n v="13.86"/>
    <n v="142.85714285714286"/>
    <n v="17.311358142857141"/>
    <n v="20.100999999999999"/>
    <n v="20.349450878922301"/>
  </r>
  <r>
    <x v="0"/>
    <x v="0"/>
    <n v="14"/>
    <n v="1.98"/>
    <s v="2008CSR-159"/>
    <d v="2008-01-29T00:00:00"/>
    <n v="53"/>
    <x v="2"/>
    <d v="2008-02-05T00:00:00"/>
    <n v="59"/>
    <m/>
    <n v="7"/>
    <n v="6"/>
    <m/>
    <x v="0"/>
    <n v="857.14285714285711"/>
    <n v="53.726182857142852"/>
    <n v="7"/>
    <n v="6"/>
    <n v="13.86"/>
    <n v="857.14285714285711"/>
    <n v="53.726182857142852"/>
    <n v="20.100999999999999"/>
    <n v="63.154970854469497"/>
  </r>
  <r>
    <x v="0"/>
    <x v="0"/>
    <n v="14"/>
    <n v="1.98"/>
    <s v="2008CSR-1646"/>
    <d v="2008-01-29T00:00:00"/>
    <n v="60"/>
    <x v="2"/>
    <d v="2008-02-05T00:00:00"/>
    <n v="65"/>
    <m/>
    <n v="7"/>
    <n v="5"/>
    <m/>
    <x v="0"/>
    <n v="714.28571428571433"/>
    <n v="47.782410714285717"/>
    <n v="7"/>
    <n v="5"/>
    <n v="13.86"/>
    <n v="714.28571428571433"/>
    <n v="47.782410714285717"/>
    <n v="20.100999999999999"/>
    <n v="56.168084079991644"/>
  </r>
  <r>
    <x v="0"/>
    <x v="0"/>
    <n v="14"/>
    <n v="1.98"/>
    <s v="2008CSR-1675"/>
    <d v="2008-01-29T00:00:00"/>
    <n v="64.2"/>
    <x v="4"/>
    <d v="2008-02-05T00:00:00"/>
    <n v="69.8"/>
    <m/>
    <n v="7"/>
    <n v="5.5999999999999943"/>
    <m/>
    <x v="0"/>
    <n v="799.9999999999992"/>
    <n v="52.769029999999958"/>
    <n v="7"/>
    <n v="5.5999999999999943"/>
    <n v="13.86"/>
    <n v="799.9999999999992"/>
    <n v="52.769029999999958"/>
    <n v="15.952499999999999"/>
    <n v="49.227950355263111"/>
  </r>
  <r>
    <x v="0"/>
    <x v="0"/>
    <n v="14"/>
    <n v="1.98"/>
    <s v="2008CSR-1711"/>
    <d v="2008-01-29T00:00:00"/>
    <n v="56.4"/>
    <x v="0"/>
    <d v="2008-02-05T00:00:00"/>
    <n v="63.8"/>
    <m/>
    <n v="7"/>
    <n v="7.3999999999999986"/>
    <m/>
    <x v="0"/>
    <n v="1057.1428571428569"/>
    <n v="64.279451857142845"/>
    <n v="7"/>
    <n v="7.3999999999999986"/>
    <n v="13.86"/>
    <n v="1057.1428571428569"/>
    <n v="64.279451857142845"/>
    <n v="18.02675"/>
    <n v="67.763135015540925"/>
  </r>
  <r>
    <x v="0"/>
    <x v="0"/>
    <n v="14"/>
    <n v="1.98"/>
    <s v="2008CSR-1759"/>
    <d v="2008-01-29T00:00:00"/>
    <n v="64"/>
    <x v="4"/>
    <d v="2008-02-05T00:00:00"/>
    <n v="67.599999999999994"/>
    <m/>
    <n v="7"/>
    <n v="3.5999999999999943"/>
    <m/>
    <x v="0"/>
    <n v="514.28571428571342"/>
    <n v="38.480407714285676"/>
    <n v="7"/>
    <n v="3.5999999999999943"/>
    <n v="13.86"/>
    <n v="514.28571428571342"/>
    <n v="38.480407714285676"/>
    <n v="15.952499999999999"/>
    <n v="35.898169828195449"/>
  </r>
  <r>
    <x v="0"/>
    <x v="0"/>
    <n v="14"/>
    <n v="1.98"/>
    <s v="2008CSR-1781"/>
    <d v="2008-01-29T00:00:00"/>
    <n v="54"/>
    <x v="0"/>
    <d v="2008-02-05T00:00:00"/>
    <n v="57.8"/>
    <m/>
    <n v="7"/>
    <n v="3.7999999999999972"/>
    <m/>
    <x v="0"/>
    <n v="542.85714285714243"/>
    <n v="38.214988142857123"/>
    <n v="7"/>
    <n v="3.7999999999999972"/>
    <n v="13.86"/>
    <n v="542.85714285714243"/>
    <n v="38.214988142857123"/>
    <n v="18.02675"/>
    <n v="40.286084064575995"/>
  </r>
  <r>
    <x v="0"/>
    <x v="0"/>
    <n v="14"/>
    <n v="1.98"/>
    <s v="2008CSR-18"/>
    <d v="2008-01-29T00:00:00"/>
    <n v="59.2"/>
    <x v="5"/>
    <d v="2008-02-05T00:00:00"/>
    <n v="64"/>
    <m/>
    <n v="7"/>
    <n v="4.7999999999999972"/>
    <m/>
    <x v="0"/>
    <n v="685.71428571428532"/>
    <n v="46.221658285714255"/>
    <n v="7"/>
    <n v="4.7999999999999972"/>
    <n v="13.86"/>
    <n v="685.71428571428532"/>
    <n v="46.221658285714255"/>
    <n v="21.138124999999999"/>
    <n v="57.136794769047569"/>
  </r>
  <r>
    <x v="0"/>
    <x v="0"/>
    <n v="14"/>
    <n v="1.98"/>
    <s v="2008CSR-2130"/>
    <d v="2008-01-29T00:00:00"/>
    <n v="57.8"/>
    <x v="5"/>
    <d v="2008-02-05T00:00:00"/>
    <n v="61.4"/>
    <m/>
    <n v="7"/>
    <n v="3.6000000000000014"/>
    <m/>
    <x v="0"/>
    <n v="514.28571428571445"/>
    <n v="37.432049714285725"/>
    <n v="7"/>
    <n v="3.6000000000000014"/>
    <n v="13.86"/>
    <n v="514.28571428571445"/>
    <n v="37.432049714285725"/>
    <n v="21.138124999999999"/>
    <n v="46.271540693964084"/>
  </r>
  <r>
    <x v="0"/>
    <x v="0"/>
    <n v="14"/>
    <n v="1.98"/>
    <s v="2008CSR-2152"/>
    <d v="2008-01-29T00:00:00"/>
    <n v="56.2"/>
    <x v="7"/>
    <d v="2008-02-05T00:00:00"/>
    <n v="64.8"/>
    <m/>
    <n v="7"/>
    <n v="8.5999999999999943"/>
    <m/>
    <x v="0"/>
    <n v="1228.5714285714278"/>
    <n v="72.798516428571389"/>
    <n v="7"/>
    <n v="8.5999999999999943"/>
    <n v="13.86"/>
    <n v="1228.5714285714278"/>
    <n v="72.798516428571389"/>
    <n v="16.989624999999997"/>
    <n v="72.328625419752441"/>
  </r>
  <r>
    <x v="0"/>
    <x v="0"/>
    <n v="14"/>
    <n v="1.98"/>
    <s v="2008CSR-2265"/>
    <d v="2008-01-29T00:00:00"/>
    <n v="58"/>
    <x v="3"/>
    <d v="2008-02-05T00:00:00"/>
    <n v="64.2"/>
    <m/>
    <n v="7"/>
    <n v="6.2000000000000028"/>
    <m/>
    <x v="0"/>
    <n v="885.71428571428612"/>
    <n v="55.997113285714299"/>
    <n v="7"/>
    <n v="6.2000000000000028"/>
    <n v="13.86"/>
    <n v="885.71428571428612"/>
    <n v="55.997113285714299"/>
    <n v="19.063874999999999"/>
    <n v="62.428185265479335"/>
  </r>
  <r>
    <x v="0"/>
    <x v="0"/>
    <n v="14"/>
    <n v="1.98"/>
    <s v="2008CSR-2366"/>
    <d v="2008-01-29T00:00:00"/>
    <n v="67"/>
    <x v="3"/>
    <d v="2008-02-05T00:00:00"/>
    <n v="67.8"/>
    <m/>
    <n v="7"/>
    <n v="0.79999999999999716"/>
    <m/>
    <x v="0"/>
    <n v="114.28571428571388"/>
    <n v="19.030951714285692"/>
    <n v="7"/>
    <n v="0.79999999999999716"/>
    <n v="13.86"/>
    <n v="114.28571428571388"/>
    <n v="19.030951714285692"/>
    <n v="19.063874999999999"/>
    <n v="21.216589743402228"/>
  </r>
  <r>
    <x v="0"/>
    <x v="0"/>
    <n v="14"/>
    <n v="1.98"/>
    <s v="2008CSR-2395"/>
    <d v="2008-01-29T00:00:00"/>
    <n v="70.599999999999994"/>
    <x v="4"/>
    <d v="2008-02-05T00:00:00"/>
    <n v="68.2"/>
    <m/>
    <n v="7"/>
    <n v="-2.3999999999999915"/>
    <m/>
    <x v="0"/>
    <n v="-342.85714285714164"/>
    <n v="-3.1680111428570825"/>
    <n v="7"/>
    <n v="-2.3999999999999915"/>
    <n v="13.86"/>
    <n v="-342.85714285714164"/>
    <n v="-3.1680111428570825"/>
    <n v="15.952499999999999"/>
    <n v="-2.9554209214285145"/>
  </r>
  <r>
    <x v="0"/>
    <x v="0"/>
    <n v="14"/>
    <n v="1.98"/>
    <s v="2008CSR-2415"/>
    <d v="2008-01-29T00:00:00"/>
    <n v="61.6"/>
    <x v="0"/>
    <d v="2008-02-05T00:00:00"/>
    <n v="67"/>
    <m/>
    <n v="7"/>
    <n v="5.3999999999999986"/>
    <m/>
    <x v="0"/>
    <n v="771.42857142857122"/>
    <n v="50.903915571428563"/>
    <n v="7"/>
    <n v="5.3999999999999986"/>
    <n v="13.86"/>
    <n v="771.42857142857122"/>
    <n v="50.903915571428563"/>
    <n v="18.02675"/>
    <n v="53.662699416798233"/>
  </r>
  <r>
    <x v="0"/>
    <x v="0"/>
    <n v="14"/>
    <n v="1.98"/>
    <s v="2008CSR-269"/>
    <d v="2008-01-29T00:00:00"/>
    <n v="60"/>
    <x v="0"/>
    <d v="2008-02-05T00:00:00"/>
    <n v="63"/>
    <m/>
    <n v="7"/>
    <n v="3"/>
    <m/>
    <x v="0"/>
    <n v="428.57142857142856"/>
    <n v="33.527606428571424"/>
    <n v="7"/>
    <n v="3"/>
    <n v="13.86"/>
    <n v="428.57142857142856"/>
    <n v="33.527606428571424"/>
    <n v="18.02675"/>
    <n v="35.344665449488296"/>
  </r>
  <r>
    <x v="0"/>
    <x v="0"/>
    <n v="14"/>
    <n v="1.98"/>
    <s v="2008CSR-31"/>
    <d v="2008-01-29T00:00:00"/>
    <n v="58"/>
    <x v="4"/>
    <d v="2008-02-05T00:00:00"/>
    <n v="62"/>
    <m/>
    <n v="7"/>
    <n v="4"/>
    <m/>
    <x v="0"/>
    <n v="571.42857142857144"/>
    <n v="40.316828571428566"/>
    <n v="7"/>
    <n v="4"/>
    <n v="13.86"/>
    <n v="571.42857142857144"/>
    <n v="40.316828571428566"/>
    <n v="15.952499999999999"/>
    <n v="37.611357180451115"/>
  </r>
  <r>
    <x v="0"/>
    <x v="0"/>
    <n v="14"/>
    <n v="1.98"/>
    <s v="2008CSR-336"/>
    <d v="2008-01-29T00:00:00"/>
    <n v="55.2"/>
    <x v="0"/>
    <d v="2008-02-05T00:00:00"/>
    <n v="62"/>
    <m/>
    <n v="7"/>
    <n v="6.7999999999999972"/>
    <m/>
    <x v="0"/>
    <n v="971.42857142857099"/>
    <n v="59.800102571428546"/>
    <n v="7"/>
    <n v="6.7999999999999972"/>
    <n v="13.86"/>
    <n v="971.42857142857099"/>
    <n v="59.800102571428546"/>
    <n v="18.02675"/>
    <n v="63.041023335058441"/>
  </r>
  <r>
    <x v="0"/>
    <x v="0"/>
    <n v="14"/>
    <n v="1.98"/>
    <s v="2008CSR-362"/>
    <d v="2008-01-29T00:00:00"/>
    <n v="60.6"/>
    <x v="2"/>
    <d v="2008-02-05T00:00:00"/>
    <n v="60.4"/>
    <m/>
    <n v="7"/>
    <n v="-0.20000000000000284"/>
    <m/>
    <x v="0"/>
    <n v="-28.571428571428978"/>
    <n v="10.82137357142855"/>
    <n v="7"/>
    <n v="-0.20000000000000284"/>
    <n v="13.86"/>
    <n v="-28.571428571428978"/>
    <n v="10.82137357142855"/>
    <n v="20.100999999999999"/>
    <n v="12.720492991771067"/>
  </r>
  <r>
    <x v="0"/>
    <x v="0"/>
    <n v="14"/>
    <n v="1.98"/>
    <s v="2008CSR-4"/>
    <d v="2008-01-29T00:00:00"/>
    <n v="64.400000000000006"/>
    <x v="5"/>
    <d v="2008-02-05T00:00:00"/>
    <n v="64.400000000000006"/>
    <m/>
    <n v="7"/>
    <n v="0"/>
    <m/>
    <x v="0"/>
    <n v="0"/>
    <n v="12.889396"/>
    <n v="7"/>
    <n v="0"/>
    <n v="13.86"/>
    <n v="0"/>
    <n v="12.889396"/>
    <n v="21.138124999999999"/>
    <n v="15.933196714766078"/>
  </r>
  <r>
    <x v="0"/>
    <x v="0"/>
    <n v="14"/>
    <n v="1.98"/>
    <s v="2008CSR-797"/>
    <d v="2008-01-29T00:00:00"/>
    <n v="54"/>
    <x v="5"/>
    <d v="2008-02-05T00:00:00"/>
    <n v="61"/>
    <m/>
    <n v="7"/>
    <n v="7"/>
    <m/>
    <x v="0"/>
    <n v="1000"/>
    <n v="61.022674999999992"/>
    <n v="7"/>
    <n v="7"/>
    <n v="13.86"/>
    <n v="1000"/>
    <n v="61.022674999999992"/>
    <n v="21.138124999999999"/>
    <n v="75.433036958150566"/>
  </r>
  <r>
    <x v="0"/>
    <x v="0"/>
    <n v="14"/>
    <n v="1.98"/>
    <s v="2008CSR-82"/>
    <d v="2008-01-29T00:00:00"/>
    <n v="71"/>
    <x v="2"/>
    <d v="2008-02-05T00:00:00"/>
    <n v="69.400000000000006"/>
    <m/>
    <n v="7"/>
    <n v="-1.5999999999999943"/>
    <m/>
    <x v="0"/>
    <n v="-228.57142857142776"/>
    <n v="2.6015465714286119"/>
    <n v="7"/>
    <n v="-1.5999999999999943"/>
    <n v="13.86"/>
    <n v="-228.57142857142776"/>
    <n v="2.6015465714286119"/>
    <n v="20.100999999999999"/>
    <n v="3.0581103878530129"/>
  </r>
  <r>
    <x v="1"/>
    <x v="1"/>
    <n v="29"/>
    <n v="3.96"/>
    <s v="2008HSR-1001"/>
    <d v="2008-01-29T00:00:00"/>
    <n v="50.8"/>
    <x v="5"/>
    <d v="2008-02-05T00:00:00"/>
    <n v="56.4"/>
    <m/>
    <n v="7"/>
    <n v="5.6000000000000014"/>
    <m/>
    <x v="1"/>
    <n v="800.00000000000011"/>
    <n v="50.503224000000003"/>
    <n v="7"/>
    <n v="5.6000000000000014"/>
    <n v="27.72"/>
    <n v="800.00000000000011"/>
    <n v="50.503224000000003"/>
    <n v="21.138124999999999"/>
    <n v="62.429442211403504"/>
  </r>
  <r>
    <x v="1"/>
    <x v="1"/>
    <n v="29"/>
    <n v="3.96"/>
    <s v="2008HSR-1027"/>
    <d v="2008-01-29T00:00:00"/>
    <n v="59.6"/>
    <x v="5"/>
    <d v="2008-02-05T00:00:00"/>
    <n v="64.599999999999994"/>
    <m/>
    <n v="7"/>
    <n v="4.9999999999999929"/>
    <m/>
    <x v="1"/>
    <n v="714.28571428571331"/>
    <n v="47.714774714285667"/>
    <n v="7"/>
    <n v="4.9999999999999929"/>
    <n v="27.72"/>
    <n v="714.28571428571331"/>
    <n v="47.714774714285667"/>
    <n v="21.138124999999999"/>
    <n v="58.982507149556113"/>
  </r>
  <r>
    <x v="1"/>
    <x v="1"/>
    <n v="29"/>
    <n v="3.96"/>
    <s v="2008HSR-117"/>
    <d v="2008-01-29T00:00:00"/>
    <n v="53.8"/>
    <x v="2"/>
    <d v="2008-02-05T00:00:00"/>
    <n v="58.6"/>
    <m/>
    <n v="7"/>
    <n v="4.8000000000000043"/>
    <m/>
    <x v="1"/>
    <n v="685.71428571428623"/>
    <n v="45.308572285714305"/>
    <n v="7"/>
    <n v="4.8000000000000043"/>
    <n v="27.72"/>
    <n v="685.71428571428623"/>
    <n v="45.308572285714305"/>
    <n v="20.100999999999999"/>
    <n v="53.260094240651647"/>
  </r>
  <r>
    <x v="1"/>
    <x v="1"/>
    <n v="29"/>
    <n v="3.96"/>
    <s v="2008HSR-1185"/>
    <d v="2008-01-29T00:00:00"/>
    <n v="61.4"/>
    <x v="0"/>
    <d v="2008-02-05T00:00:00"/>
    <n v="66"/>
    <m/>
    <n v="7"/>
    <n v="4.6000000000000014"/>
    <m/>
    <x v="1"/>
    <n v="657.14285714285734"/>
    <n v="45.16817585714287"/>
    <n v="7"/>
    <n v="4.6000000000000014"/>
    <n v="27.72"/>
    <n v="657.14285714285734"/>
    <n v="45.16817585714287"/>
    <n v="18.02675"/>
    <n v="47.616106089634506"/>
  </r>
  <r>
    <x v="1"/>
    <x v="1"/>
    <n v="29"/>
    <n v="3.96"/>
    <s v="2008HSR-1273"/>
    <d v="2008-01-29T00:00:00"/>
    <n v="55"/>
    <x v="8"/>
    <d v="2008-02-05T00:00:00"/>
    <n v="60.2"/>
    <m/>
    <n v="7"/>
    <n v="5.2000000000000028"/>
    <m/>
    <x v="1"/>
    <n v="742.85714285714323"/>
    <n v="48.362441142857158"/>
    <n v="7"/>
    <n v="5.2000000000000028"/>
    <n v="27.72"/>
    <n v="742.85714285714323"/>
    <n v="48.362441142857158"/>
    <n v="22.175249999999998"/>
    <n v="62.716328827669187"/>
  </r>
  <r>
    <x v="1"/>
    <x v="1"/>
    <n v="29"/>
    <n v="3.96"/>
    <s v="2008HSR-1283"/>
    <d v="2008-01-29T00:00:00"/>
    <n v="61"/>
    <x v="0"/>
    <d v="2008-02-05T00:00:00"/>
    <n v="62.2"/>
    <m/>
    <n v="7"/>
    <n v="1.2000000000000028"/>
    <m/>
    <x v="1"/>
    <n v="171.42857142857184"/>
    <n v="20.867372571428589"/>
    <n v="7"/>
    <n v="1.2000000000000028"/>
    <n v="27.72"/>
    <n v="171.42857142857184"/>
    <n v="20.867372571428589"/>
    <n v="18.02675"/>
    <n v="21.998298742807034"/>
  </r>
  <r>
    <x v="1"/>
    <x v="1"/>
    <n v="29"/>
    <n v="3.96"/>
    <s v="2008HSR-1337"/>
    <d v="2008-01-29T00:00:00"/>
    <n v="51.6"/>
    <x v="3"/>
    <d v="2008-02-05T00:00:00"/>
    <n v="55.4"/>
    <m/>
    <n v="7"/>
    <n v="3.7999999999999972"/>
    <m/>
    <x v="1"/>
    <n v="542.85714285714243"/>
    <n v="37.809172142857122"/>
    <n v="7"/>
    <n v="3.7999999999999972"/>
    <n v="27.72"/>
    <n v="542.85714285714243"/>
    <n v="37.809172142857122"/>
    <n v="19.063874999999999"/>
    <n v="42.151422899702354"/>
  </r>
  <r>
    <x v="1"/>
    <x v="1"/>
    <n v="29"/>
    <n v="3.96"/>
    <s v="2008HSR-1468"/>
    <d v="2008-01-29T00:00:00"/>
    <n v="60.2"/>
    <x v="5"/>
    <d v="2008-02-05T00:00:00"/>
    <n v="66.8"/>
    <m/>
    <n v="7"/>
    <n v="6.5999999999999943"/>
    <m/>
    <x v="1"/>
    <n v="942.85714285714209"/>
    <n v="59.220072142857099"/>
    <n v="7"/>
    <n v="6.5999999999999943"/>
    <n v="27.72"/>
    <n v="942.85714285714209"/>
    <n v="59.220072142857099"/>
    <n v="21.138124999999999"/>
    <n v="73.204753652908252"/>
  </r>
  <r>
    <x v="1"/>
    <x v="1"/>
    <n v="29"/>
    <n v="3.96"/>
    <s v="2008HSR-155"/>
    <d v="2008-01-29T00:00:00"/>
    <n v="51.6"/>
    <x v="5"/>
    <d v="2008-02-05T00:00:00"/>
    <n v="56.8"/>
    <m/>
    <n v="7"/>
    <n v="5.1999999999999957"/>
    <m/>
    <x v="1"/>
    <n v="742.85714285714221"/>
    <n v="47.787535142857109"/>
    <n v="7"/>
    <n v="5.1999999999999957"/>
    <n v="27.72"/>
    <n v="742.85714285714221"/>
    <n v="47.787535142857109"/>
    <n v="21.138124999999999"/>
    <n v="59.072449783134871"/>
  </r>
  <r>
    <x v="1"/>
    <x v="1"/>
    <n v="29"/>
    <n v="3.96"/>
    <s v="2008HSR-1604"/>
    <d v="2008-01-29T00:00:00"/>
    <n v="60.2"/>
    <x v="5"/>
    <d v="2008-02-05T00:00:00"/>
    <n v="65.599999999999994"/>
    <m/>
    <n v="7"/>
    <n v="5.3999999999999915"/>
    <m/>
    <x v="1"/>
    <n v="771.42857142857019"/>
    <n v="50.667189571428509"/>
    <n v="7"/>
    <n v="5.3999999999999915"/>
    <n v="27.72"/>
    <n v="771.42857142857019"/>
    <n v="50.667189571428509"/>
    <n v="21.138124999999999"/>
    <n v="62.632127868979659"/>
  </r>
  <r>
    <x v="1"/>
    <x v="1"/>
    <n v="29"/>
    <n v="3.96"/>
    <s v="2008HSR-1605"/>
    <d v="2008-01-29T00:00:00"/>
    <n v="54.6"/>
    <x v="3"/>
    <d v="2008-02-05T00:00:00"/>
    <n v="62"/>
    <m/>
    <n v="7"/>
    <n v="7.3999999999999986"/>
    <m/>
    <x v="1"/>
    <n v="1057.1428571428569"/>
    <n v="63.975089857142848"/>
    <n v="7"/>
    <n v="7.3999999999999986"/>
    <n v="27.72"/>
    <n v="1057.1428571428569"/>
    <n v="63.975089857142848"/>
    <n v="19.063874999999999"/>
    <n v="71.322404453236189"/>
  </r>
  <r>
    <x v="1"/>
    <x v="1"/>
    <n v="29"/>
    <n v="3.96"/>
    <s v="2008HSR-1625"/>
    <d v="2008-01-29T00:00:00"/>
    <n v="64.599999999999994"/>
    <x v="0"/>
    <d v="2008-02-05T00:00:00"/>
    <n v="70.599999999999994"/>
    <m/>
    <n v="7"/>
    <n v="6"/>
    <m/>
    <x v="1"/>
    <n v="857.14285714285711"/>
    <n v="55.687626857142853"/>
    <n v="7"/>
    <n v="6"/>
    <n v="27.72"/>
    <n v="857.14285714285711"/>
    <n v="55.687626857142853"/>
    <n v="18.02675"/>
    <n v="58.705668271754369"/>
  </r>
  <r>
    <x v="1"/>
    <x v="1"/>
    <n v="29"/>
    <n v="3.96"/>
    <s v="2008HSR-1644"/>
    <d v="2008-01-29T00:00:00"/>
    <n v="62.8"/>
    <x v="0"/>
    <d v="2008-02-05T00:00:00"/>
    <n v="69.400000000000006"/>
    <m/>
    <n v="7"/>
    <n v="6.6000000000000085"/>
    <m/>
    <x v="1"/>
    <n v="942.85714285714403"/>
    <n v="59.659706142857196"/>
    <n v="7"/>
    <n v="6.6000000000000085"/>
    <n v="27.72"/>
    <n v="942.85714285714403"/>
    <n v="59.659706142857196"/>
    <n v="18.02675"/>
    <n v="62.893017994780756"/>
  </r>
  <r>
    <x v="1"/>
    <x v="1"/>
    <n v="29"/>
    <n v="3.96"/>
    <s v="2008HSR-1674"/>
    <d v="2008-01-29T00:00:00"/>
    <n v="50.2"/>
    <x v="8"/>
    <d v="2008-02-05T00:00:00"/>
    <n v="52.8"/>
    <m/>
    <n v="7"/>
    <n v="2.5999999999999943"/>
    <m/>
    <x v="1"/>
    <n v="371.42857142857059"/>
    <n v="29.019563571428527"/>
    <n v="7"/>
    <n v="2.5999999999999943"/>
    <n v="27.72"/>
    <n v="371.42857142857059"/>
    <n v="29.019563571428527"/>
    <n v="22.175249999999998"/>
    <n v="37.632519127913469"/>
  </r>
  <r>
    <x v="1"/>
    <x v="1"/>
    <n v="29"/>
    <n v="3.96"/>
    <s v="2008HSR-1682"/>
    <d v="2008-01-29T00:00:00"/>
    <n v="60.8"/>
    <x v="3"/>
    <d v="2008-02-05T00:00:00"/>
    <n v="68.2"/>
    <m/>
    <n v="7"/>
    <n v="7.4000000000000057"/>
    <m/>
    <x v="1"/>
    <n v="1057.142857142858"/>
    <n v="65.023447857142898"/>
    <n v="7"/>
    <n v="7.4000000000000057"/>
    <n v="27.72"/>
    <n v="1057.142857142858"/>
    <n v="65.023447857142898"/>
    <n v="19.063874999999999"/>
    <n v="72.491162691087141"/>
  </r>
  <r>
    <x v="1"/>
    <x v="1"/>
    <n v="29"/>
    <n v="3.96"/>
    <s v="2008HSR-1726"/>
    <d v="2008-01-29T00:00:00"/>
    <n v="57.6"/>
    <x v="4"/>
    <d v="2008-02-05T00:00:00"/>
    <n v="63.4"/>
    <m/>
    <n v="7"/>
    <n v="5.7999999999999972"/>
    <m/>
    <x v="1"/>
    <n v="828.57142857142821"/>
    <n v="53.078516428571405"/>
    <n v="7"/>
    <n v="5.7999999999999972"/>
    <n v="27.72"/>
    <n v="828.57142857142821"/>
    <n v="53.078516428571405"/>
    <n v="15.952499999999999"/>
    <n v="49.516668615601475"/>
  </r>
  <r>
    <x v="1"/>
    <x v="1"/>
    <n v="29"/>
    <n v="3.96"/>
    <s v="2008HSR-1729"/>
    <d v="2008-01-29T00:00:00"/>
    <n v="68.8"/>
    <x v="6"/>
    <d v="2008-02-05T00:00:00"/>
    <n v="69.8"/>
    <m/>
    <n v="7"/>
    <n v="1"/>
    <m/>
    <x v="1"/>
    <n v="142.85714285714286"/>
    <n v="20.76079414285714"/>
    <n v="7"/>
    <n v="1"/>
    <n v="27.72"/>
    <n v="142.85714285714286"/>
    <n v="20.76079414285714"/>
    <n v="13.878249999999998"/>
    <n v="16.84932697737468"/>
  </r>
  <r>
    <x v="1"/>
    <x v="1"/>
    <n v="29"/>
    <n v="3.96"/>
    <s v="2008HSR-1762"/>
    <d v="2008-01-29T00:00:00"/>
    <n v="57.6"/>
    <x v="3"/>
    <d v="2008-02-05T00:00:00"/>
    <n v="66"/>
    <m/>
    <n v="7"/>
    <n v="8.3999999999999986"/>
    <m/>
    <x v="1"/>
    <n v="1199.9999999999998"/>
    <n v="71.609761999999989"/>
    <n v="7"/>
    <n v="8.3999999999999986"/>
    <n v="27.72"/>
    <n v="1199.9999999999998"/>
    <n v="71.609761999999989"/>
    <n v="19.063874999999999"/>
    <n v="79.833891903377165"/>
  </r>
  <r>
    <x v="1"/>
    <x v="1"/>
    <n v="29"/>
    <n v="3.96"/>
    <s v="2008HSR-1766"/>
    <d v="2008-01-29T00:00:00"/>
    <n v="55.4"/>
    <x v="5"/>
    <d v="2008-02-05T00:00:00"/>
    <n v="62.8"/>
    <m/>
    <n v="7"/>
    <n v="7.3999999999999986"/>
    <m/>
    <x v="1"/>
    <n v="1057.1428571428569"/>
    <n v="64.110361857142834"/>
    <n v="7"/>
    <n v="7.3999999999999986"/>
    <n v="27.72"/>
    <n v="1057.1428571428569"/>
    <n v="64.110361857142834"/>
    <n v="21.138124999999999"/>
    <n v="79.249873843948365"/>
  </r>
  <r>
    <x v="1"/>
    <x v="1"/>
    <n v="29"/>
    <n v="3.96"/>
    <s v="2008HSR-209"/>
    <d v="2008-01-29T00:00:00"/>
    <n v="53.8"/>
    <x v="3"/>
    <d v="2008-02-05T00:00:00"/>
    <n v="58"/>
    <m/>
    <n v="7"/>
    <n v="4.2000000000000028"/>
    <m/>
    <x v="1"/>
    <n v="600.00000000000045"/>
    <n v="41.032131000000021"/>
    <n v="7"/>
    <n v="4.2000000000000028"/>
    <n v="27.72"/>
    <n v="600.00000000000045"/>
    <n v="41.032131000000021"/>
    <n v="19.063874999999999"/>
    <n v="45.744527272960539"/>
  </r>
  <r>
    <x v="1"/>
    <x v="1"/>
    <n v="29"/>
    <n v="3.96"/>
    <s v="2008HSR-2181"/>
    <d v="2008-01-29T00:00:00"/>
    <n v="59.2"/>
    <x v="3"/>
    <d v="2008-02-05T00:00:00"/>
    <n v="61.6"/>
    <m/>
    <n v="7"/>
    <n v="2.3999999999999986"/>
    <m/>
    <x v="1"/>
    <n v="342.85714285714266"/>
    <n v="29.115893142857132"/>
    <n v="7"/>
    <n v="2.3999999999999986"/>
    <n v="27.72"/>
    <n v="342.85714285714266"/>
    <n v="29.115893142857132"/>
    <n v="19.063874999999999"/>
    <n v="32.4597513092857"/>
  </r>
  <r>
    <x v="1"/>
    <x v="1"/>
    <n v="29"/>
    <n v="3.96"/>
    <s v="2008HSR-2190"/>
    <d v="2008-01-29T00:00:00"/>
    <n v="58"/>
    <x v="5"/>
    <d v="2008-02-05T00:00:00"/>
    <n v="70.599999999999994"/>
    <m/>
    <n v="7"/>
    <n v="12.599999999999994"/>
    <m/>
    <x v="1"/>
    <n v="1799.9999999999991"/>
    <n v="101.61248699999996"/>
    <n v="7"/>
    <n v="12.599999999999994"/>
    <n v="27.72"/>
    <n v="1799.9999999999991"/>
    <n v="101.61248699999996"/>
    <n v="21.138124999999999"/>
    <n v="125.60803811502186"/>
  </r>
  <r>
    <x v="1"/>
    <x v="1"/>
    <n v="29"/>
    <n v="3.96"/>
    <s v="2008HSR-2192"/>
    <d v="2008-01-29T00:00:00"/>
    <n v="68"/>
    <x v="4"/>
    <d v="2008-02-05T00:00:00"/>
    <n v="71.8"/>
    <m/>
    <n v="7"/>
    <n v="3.7999999999999972"/>
    <m/>
    <x v="1"/>
    <n v="542.85714285714243"/>
    <n v="40.582248142857125"/>
    <n v="7"/>
    <n v="3.7999999999999972"/>
    <n v="27.72"/>
    <n v="542.85714285714243"/>
    <n v="40.582248142857125"/>
    <n v="15.952499999999999"/>
    <n v="37.858965701691709"/>
  </r>
  <r>
    <x v="1"/>
    <x v="1"/>
    <n v="29"/>
    <n v="3.96"/>
    <s v="2008HSR-2195"/>
    <d v="2008-01-29T00:00:00"/>
    <n v="64.599999999999994"/>
    <x v="4"/>
    <d v="2008-02-05T00:00:00"/>
    <n v="62.8"/>
    <m/>
    <n v="7"/>
    <n v="-1.7999999999999972"/>
    <m/>
    <x v="1"/>
    <n v="-257.14285714285671"/>
    <n v="9.3890142857162573E-2"/>
    <n v="7"/>
    <n v="-1.7999999999999972"/>
    <n v="27.72"/>
    <n v="-257.14285714285671"/>
    <n v="9.3890142857162573E-2"/>
    <n v="15.952499999999999"/>
    <n v="8.7589620112800332E-2"/>
  </r>
  <r>
    <x v="1"/>
    <x v="1"/>
    <n v="29"/>
    <n v="3.96"/>
    <s v="2008HSR-221"/>
    <d v="2008-01-29T00:00:00"/>
    <n v="56"/>
    <x v="2"/>
    <d v="2008-02-05T00:00:00"/>
    <n v="55.8"/>
    <m/>
    <n v="7"/>
    <n v="-0.20000000000000284"/>
    <m/>
    <x v="1"/>
    <n v="-28.571428571428978"/>
    <n v="10.043559571428551"/>
    <n v="7"/>
    <n v="-0.20000000000000284"/>
    <n v="27.72"/>
    <n v="-28.571428571428978"/>
    <n v="10.043559571428551"/>
    <n v="20.100999999999999"/>
    <n v="11.80617490908101"/>
  </r>
  <r>
    <x v="1"/>
    <x v="1"/>
    <n v="29"/>
    <n v="3.96"/>
    <s v="2008HSR-2228"/>
    <d v="2008-01-29T00:00:00"/>
    <n v="62.8"/>
    <x v="2"/>
    <d v="2008-02-05T00:00:00"/>
    <n v="66"/>
    <m/>
    <n v="7"/>
    <n v="3.2000000000000028"/>
    <m/>
    <x v="1"/>
    <n v="457.14285714285757"/>
    <n v="35.42653885714288"/>
    <n v="7"/>
    <n v="3.2000000000000028"/>
    <n v="27.72"/>
    <n v="457.14285714285757"/>
    <n v="35.42653885714288"/>
    <n v="20.100999999999999"/>
    <n v="41.643792840200526"/>
  </r>
  <r>
    <x v="1"/>
    <x v="1"/>
    <n v="29"/>
    <n v="3.96"/>
    <s v="2008HSR-2858"/>
    <d v="2008-01-29T00:00:00"/>
    <n v="59"/>
    <x v="3"/>
    <d v="2008-02-05T00:00:00"/>
    <n v="63.6"/>
    <m/>
    <n v="7"/>
    <n v="4.6000000000000014"/>
    <m/>
    <x v="1"/>
    <n v="657.14285714285734"/>
    <n v="44.762359857142869"/>
    <n v="7"/>
    <n v="4.6000000000000014"/>
    <n v="27.72"/>
    <n v="657.14285714285734"/>
    <n v="44.762359857142869"/>
    <n v="19.063874999999999"/>
    <n v="49.903159825823941"/>
  </r>
  <r>
    <x v="1"/>
    <x v="1"/>
    <n v="29"/>
    <n v="3.96"/>
    <s v="2008HSR-345"/>
    <d v="2008-01-29T00:00:00"/>
    <n v="56.4"/>
    <x v="2"/>
    <d v="2008-02-05T00:00:00"/>
    <n v="61"/>
    <m/>
    <n v="7"/>
    <n v="4.6000000000000014"/>
    <m/>
    <x v="1"/>
    <n v="657.14285714285734"/>
    <n v="44.322725857142871"/>
    <n v="7"/>
    <n v="4.6000000000000014"/>
    <n v="27.72"/>
    <n v="657.14285714285734"/>
    <n v="44.322725857142871"/>
    <n v="20.100999999999999"/>
    <n v="52.101234646457819"/>
  </r>
  <r>
    <x v="1"/>
    <x v="1"/>
    <n v="29"/>
    <n v="3.96"/>
    <s v="2008HSR-356"/>
    <d v="2008-01-29T00:00:00"/>
    <n v="58"/>
    <x v="3"/>
    <d v="2008-02-05T00:00:00"/>
    <n v="62.4"/>
    <m/>
    <n v="7"/>
    <n v="4.3999999999999986"/>
    <m/>
    <x v="1"/>
    <n v="628.57142857142833"/>
    <n v="43.167789428571417"/>
    <n v="7"/>
    <n v="4.3999999999999986"/>
    <n v="27.72"/>
    <n v="628.57142857142833"/>
    <n v="43.167789428571417"/>
    <n v="19.063874999999999"/>
    <n v="48.125458578515023"/>
  </r>
  <r>
    <x v="1"/>
    <x v="1"/>
    <n v="29"/>
    <n v="3.96"/>
    <s v="2008HSR-457"/>
    <d v="2008-01-29T00:00:00"/>
    <n v="56"/>
    <x v="4"/>
    <d v="2008-02-05T00:00:00"/>
    <n v="63"/>
    <m/>
    <n v="7"/>
    <n v="7"/>
    <m/>
    <x v="1"/>
    <n v="1000"/>
    <n v="61.360855000000001"/>
    <n v="7"/>
    <n v="7"/>
    <n v="27.72"/>
    <n v="1000"/>
    <n v="61.360855000000001"/>
    <n v="15.952499999999999"/>
    <n v="57.243218677631567"/>
  </r>
  <r>
    <x v="1"/>
    <x v="1"/>
    <n v="29"/>
    <n v="3.96"/>
    <s v="2008HSR-891"/>
    <d v="2008-01-29T00:00:00"/>
    <n v="63.8"/>
    <x v="5"/>
    <d v="2008-02-05T00:00:00"/>
    <n v="66"/>
    <m/>
    <n v="7"/>
    <n v="2.2000000000000028"/>
    <m/>
    <x v="1"/>
    <n v="314.28571428571468"/>
    <n v="28.468226714285734"/>
    <n v="7"/>
    <n v="2.2000000000000028"/>
    <n v="27.72"/>
    <n v="314.28571428571468"/>
    <n v="28.468226714285734"/>
    <n v="21.138124999999999"/>
    <n v="35.190931860521111"/>
  </r>
  <r>
    <x v="1"/>
    <x v="1"/>
    <n v="29"/>
    <n v="3.96"/>
    <s v="2008HSR-901"/>
    <d v="2008-01-29T00:00:00"/>
    <n v="58.2"/>
    <x v="5"/>
    <d v="2008-02-05T00:00:00"/>
    <n v="63.2"/>
    <m/>
    <n v="7"/>
    <n v="5"/>
    <m/>
    <x v="1"/>
    <n v="714.28571428571433"/>
    <n v="47.478048714285713"/>
    <n v="7"/>
    <n v="5"/>
    <n v="27.72"/>
    <n v="714.28571428571433"/>
    <n v="47.478048714285713"/>
    <n v="21.138124999999999"/>
    <n v="58.689878858401201"/>
  </r>
  <r>
    <x v="1"/>
    <x v="1"/>
    <n v="29"/>
    <n v="3.96"/>
    <s v="2008HSR-913"/>
    <d v="2008-01-29T00:00:00"/>
    <n v="51"/>
    <x v="2"/>
    <d v="2008-02-05T00:00:00"/>
    <n v="56"/>
    <m/>
    <n v="7"/>
    <n v="5"/>
    <m/>
    <x v="1"/>
    <n v="714.28571428571433"/>
    <n v="46.260600714285715"/>
    <n v="7"/>
    <n v="5"/>
    <n v="27.72"/>
    <n v="714.28571428571433"/>
    <n v="46.260600714285715"/>
    <n v="20.100999999999999"/>
    <n v="54.379200874728483"/>
  </r>
  <r>
    <x v="1"/>
    <x v="1"/>
    <n v="29"/>
    <n v="3.96"/>
    <s v="2008HSR-997"/>
    <d v="2008-01-29T00:00:00"/>
    <n v="57.8"/>
    <x v="3"/>
    <d v="2008-02-05T00:00:00"/>
    <n v="61.6"/>
    <m/>
    <n v="7"/>
    <n v="3.8000000000000043"/>
    <m/>
    <x v="1"/>
    <n v="542.85714285714346"/>
    <n v="38.857530142857172"/>
    <n v="7"/>
    <n v="3.8000000000000043"/>
    <n v="27.72"/>
    <n v="542.85714285714346"/>
    <n v="38.857530142857172"/>
    <n v="19.063874999999999"/>
    <n v="43.320181137553284"/>
  </r>
  <r>
    <x v="2"/>
    <x v="2"/>
    <n v="110"/>
    <n v="2.2000000000000002"/>
    <s v="WMG1-1"/>
    <d v="2015-12-08T00:00:00"/>
    <n v="60"/>
    <x v="6"/>
    <d v="2015-12-21T00:00:00"/>
    <n v="64"/>
    <n v="3.5"/>
    <n v="13"/>
    <n v="4"/>
    <n v="0"/>
    <x v="2"/>
    <n v="307.69230769230774"/>
    <n v="27.652810769230769"/>
    <n v="13"/>
    <n v="4"/>
    <n v="28.6"/>
    <n v="307.69230769230774"/>
    <n v="27.652810769230769"/>
    <n v="13.878249999999998"/>
    <n v="22.442843336729641"/>
  </r>
  <r>
    <x v="2"/>
    <x v="2"/>
    <n v="110"/>
    <n v="2.2000000000000002"/>
    <s v="WMG1-10"/>
    <d v="2015-12-08T00:00:00"/>
    <n v="60"/>
    <x v="4"/>
    <d v="2015-12-21T00:00:00"/>
    <n v="64"/>
    <n v="3.5"/>
    <n v="13"/>
    <n v="4"/>
    <n v="0.5"/>
    <x v="2"/>
    <n v="307.69230769230774"/>
    <n v="27.652810769230769"/>
    <n v="13"/>
    <n v="4"/>
    <n v="28.6"/>
    <n v="307.69230769230774"/>
    <n v="27.652810769230769"/>
    <n v="15.952499999999999"/>
    <n v="25.797161625506067"/>
  </r>
  <r>
    <x v="2"/>
    <x v="2"/>
    <n v="110"/>
    <n v="2.2000000000000002"/>
    <s v="WMG1-11"/>
    <d v="2015-12-08T00:00:00"/>
    <n v="62.5"/>
    <x v="6"/>
    <d v="2015-12-21T00:00:00"/>
    <n v="67"/>
    <n v="4"/>
    <n v="13"/>
    <n v="4.5"/>
    <n v="0.5"/>
    <x v="2"/>
    <n v="346.15384615384613"/>
    <n v="30.013962115384611"/>
    <n v="13"/>
    <n v="4.5"/>
    <n v="28.6"/>
    <n v="346.15384615384613"/>
    <n v="30.013962115384611"/>
    <n v="13.878249999999998"/>
    <n v="24.359138580575227"/>
  </r>
  <r>
    <x v="2"/>
    <x v="2"/>
    <n v="110"/>
    <n v="2.2000000000000002"/>
    <s v="WMG1-12"/>
    <d v="2015-12-08T00:00:00"/>
    <n v="58"/>
    <x v="6"/>
    <d v="2015-12-21T00:00:00"/>
    <n v="62.5"/>
    <n v="3.5"/>
    <n v="13"/>
    <n v="4.5"/>
    <n v="0"/>
    <x v="2"/>
    <n v="346.15384615384613"/>
    <n v="29.253057115384614"/>
    <n v="13"/>
    <n v="4.5"/>
    <n v="28.6"/>
    <n v="346.15384615384613"/>
    <n v="29.253057115384614"/>
    <n v="13.878249999999998"/>
    <n v="23.741592977285755"/>
  </r>
  <r>
    <x v="2"/>
    <x v="2"/>
    <n v="110"/>
    <n v="2.2000000000000002"/>
    <s v="WMG1-13"/>
    <d v="2015-12-08T00:00:00"/>
    <n v="57.5"/>
    <x v="4"/>
    <d v="2015-12-21T00:00:00"/>
    <n v="62.5"/>
    <n v="3"/>
    <n v="13"/>
    <n v="5"/>
    <n v="0"/>
    <x v="2"/>
    <n v="384.61538461538464"/>
    <n v="31.106938461538459"/>
    <n v="13"/>
    <n v="5"/>
    <n v="28.6"/>
    <n v="384.61538461538464"/>
    <n v="31.106938461538459"/>
    <n v="15.952499999999999"/>
    <n v="29.019499170040479"/>
  </r>
  <r>
    <x v="2"/>
    <x v="2"/>
    <n v="110"/>
    <n v="2.2000000000000002"/>
    <s v="WMG1-14"/>
    <d v="2015-12-08T00:00:00"/>
    <n v="59.5"/>
    <x v="4"/>
    <d v="2015-12-21T00:00:00"/>
    <n v="58"/>
    <n v="3"/>
    <n v="13"/>
    <n v="-1.5"/>
    <n v="0"/>
    <x v="2"/>
    <n v="-115.38461538461539"/>
    <n v="6.2455759615384601"/>
    <n v="13"/>
    <n v="-1.5"/>
    <n v="28.6"/>
    <n v="-115.38461538461539"/>
    <n v="6.2455759615384601"/>
    <n v="15.952499999999999"/>
    <n v="5.8264649430667994"/>
  </r>
  <r>
    <x v="2"/>
    <x v="2"/>
    <n v="110"/>
    <n v="2.2000000000000002"/>
    <s v="WMG1-15"/>
    <d v="2015-12-08T00:00:00"/>
    <n v="62"/>
    <x v="4"/>
    <d v="2015-12-21T00:00:00"/>
    <n v="68"/>
    <n v="3.5"/>
    <n v="13"/>
    <n v="6"/>
    <n v="0.5"/>
    <x v="2"/>
    <n v="461.53846153846155"/>
    <n v="35.744696153846157"/>
    <n v="13"/>
    <n v="6"/>
    <n v="28.6"/>
    <n v="461.53846153846155"/>
    <n v="35.744696153846157"/>
    <n v="15.952499999999999"/>
    <n v="33.346038911943317"/>
  </r>
  <r>
    <x v="2"/>
    <x v="2"/>
    <n v="110"/>
    <n v="2.2000000000000002"/>
    <s v="WMG1-16"/>
    <d v="2015-12-08T00:00:00"/>
    <n v="58.5"/>
    <x v="4"/>
    <d v="2015-12-21T00:00:00"/>
    <n v="62.5"/>
    <n v="3"/>
    <n v="13"/>
    <n v="4"/>
    <n v="0"/>
    <x v="2"/>
    <n v="307.69230769230774"/>
    <n v="27.399175769230766"/>
    <n v="13"/>
    <n v="4"/>
    <n v="28.6"/>
    <n v="307.69230769230774"/>
    <n v="27.399175769230766"/>
    <n v="15.952499999999999"/>
    <n v="25.560546868927119"/>
  </r>
  <r>
    <x v="2"/>
    <x v="2"/>
    <n v="110"/>
    <n v="2.2000000000000002"/>
    <s v="WMG1-17"/>
    <d v="2015-12-08T00:00:00"/>
    <n v="59"/>
    <x v="4"/>
    <d v="2015-12-21T00:00:00"/>
    <n v="62.5"/>
    <n v="3.5"/>
    <n v="13"/>
    <n v="3.5"/>
    <n v="0.5"/>
    <x v="2"/>
    <n v="269.23076923076923"/>
    <n v="25.545294423076921"/>
    <n v="13"/>
    <n v="3.5"/>
    <n v="28.6"/>
    <n v="269.23076923076923"/>
    <n v="25.545294423076921"/>
    <n v="15.952499999999999"/>
    <n v="23.831070718370437"/>
  </r>
  <r>
    <x v="2"/>
    <x v="2"/>
    <n v="110"/>
    <n v="2.2000000000000002"/>
    <s v="WMG1-18"/>
    <d v="2015-12-08T00:00:00"/>
    <n v="57"/>
    <x v="4"/>
    <d v="2015-12-21T00:00:00"/>
    <n v="62.5"/>
    <n v="3"/>
    <n v="13"/>
    <n v="5.5"/>
    <n v="0"/>
    <x v="2"/>
    <n v="423.07692307692309"/>
    <n v="32.960819807692303"/>
    <n v="13"/>
    <n v="5.5"/>
    <n v="28.6"/>
    <n v="423.07692307692309"/>
    <n v="32.960819807692303"/>
    <n v="15.952499999999999"/>
    <n v="30.748975320597161"/>
  </r>
  <r>
    <x v="2"/>
    <x v="2"/>
    <n v="110"/>
    <n v="2.2000000000000002"/>
    <s v="WMG1-19"/>
    <d v="2015-12-08T00:00:00"/>
    <n v="60.5"/>
    <x v="4"/>
    <d v="2015-12-21T00:00:00"/>
    <n v="63.5"/>
    <n v="3"/>
    <n v="13"/>
    <n v="3"/>
    <n v="0"/>
    <x v="2"/>
    <n v="230.76923076923077"/>
    <n v="23.860503076923077"/>
    <n v="13"/>
    <n v="3"/>
    <n v="28.6"/>
    <n v="230.76923076923077"/>
    <n v="23.860503076923077"/>
    <n v="15.952499999999999"/>
    <n v="22.259337738866392"/>
  </r>
  <r>
    <x v="2"/>
    <x v="2"/>
    <n v="110"/>
    <n v="2.2000000000000002"/>
    <s v="WMG1-2"/>
    <d v="2015-12-08T00:00:00"/>
    <n v="60.5"/>
    <x v="4"/>
    <d v="2015-12-21T00:00:00"/>
    <n v="67"/>
    <n v="3.5"/>
    <n v="13"/>
    <n v="6.5"/>
    <n v="0.5"/>
    <x v="2"/>
    <n v="500"/>
    <n v="37.4294875"/>
    <n v="13"/>
    <n v="6.5"/>
    <n v="28.6"/>
    <n v="500"/>
    <n v="37.4294875"/>
    <n v="15.952499999999999"/>
    <n v="34.917771891447366"/>
  </r>
  <r>
    <x v="2"/>
    <x v="2"/>
    <n v="110"/>
    <n v="2.2000000000000002"/>
    <s v="WMG1-20"/>
    <d v="2015-12-08T00:00:00"/>
    <n v="59.5"/>
    <x v="0"/>
    <d v="2015-12-21T00:00:00"/>
    <n v="59"/>
    <n v="3"/>
    <n v="13"/>
    <n v="-0.5"/>
    <n v="0.5"/>
    <x v="2"/>
    <n v="-38.461538461538467"/>
    <n v="10.122428653846153"/>
    <n v="13"/>
    <n v="-0.5"/>
    <n v="28.6"/>
    <n v="-38.461538461538467"/>
    <n v="10.122428653846153"/>
    <n v="18.02675"/>
    <n v="10.671022850042171"/>
  </r>
  <r>
    <x v="2"/>
    <x v="2"/>
    <n v="110"/>
    <n v="2.2000000000000002"/>
    <s v="WMG1-3"/>
    <d v="2015-12-08T00:00:00"/>
    <n v="58"/>
    <x v="4"/>
    <d v="2015-12-21T00:00:00"/>
    <n v="60.5"/>
    <n v="3"/>
    <n v="13"/>
    <n v="2.5"/>
    <n v="0"/>
    <x v="2"/>
    <n v="192.30769230769232"/>
    <n v="21.499351730769227"/>
    <n v="13"/>
    <n v="2.5"/>
    <n v="28.6"/>
    <n v="192.30769230769232"/>
    <n v="21.499351730769227"/>
    <n v="15.952499999999999"/>
    <n v="20.056632075151814"/>
  </r>
  <r>
    <x v="2"/>
    <x v="2"/>
    <n v="110"/>
    <n v="2.2000000000000002"/>
    <s v="WMG1-31"/>
    <d v="2015-12-08T00:00:00"/>
    <n v="63.5"/>
    <x v="4"/>
    <d v="2015-12-21T00:00:00"/>
    <n v="69"/>
    <n v="3.5"/>
    <n v="13"/>
    <n v="5.5"/>
    <n v="0.5"/>
    <x v="2"/>
    <n v="423.07692307692309"/>
    <n v="34.059904807692305"/>
    <n v="13"/>
    <n v="5.5"/>
    <n v="28.6"/>
    <n v="423.07692307692309"/>
    <n v="34.059904807692305"/>
    <n v="15.952499999999999"/>
    <n v="31.774305932439262"/>
  </r>
  <r>
    <x v="2"/>
    <x v="2"/>
    <n v="110"/>
    <n v="2.2000000000000002"/>
    <s v="WMG1-32"/>
    <d v="2015-12-08T00:00:00"/>
    <n v="60.5"/>
    <x v="4"/>
    <d v="2015-12-21T00:00:00"/>
    <n v="66"/>
    <n v="3.5"/>
    <n v="13"/>
    <n v="5.5"/>
    <n v="0.5"/>
    <x v="2"/>
    <n v="423.07692307692309"/>
    <n v="33.552634807692307"/>
    <n v="13"/>
    <n v="5.5"/>
    <n v="28.6"/>
    <n v="423.07692307692309"/>
    <n v="33.552634807692307"/>
    <n v="15.952499999999999"/>
    <n v="31.301076419281369"/>
  </r>
  <r>
    <x v="2"/>
    <x v="2"/>
    <n v="110"/>
    <n v="2.2000000000000002"/>
    <s v="WMG1-33"/>
    <d v="2015-12-08T00:00:00"/>
    <n v="58.5"/>
    <x v="4"/>
    <d v="2015-12-21T00:00:00"/>
    <n v="64.5"/>
    <n v="3.5"/>
    <n v="13"/>
    <n v="6"/>
    <n v="0.5"/>
    <x v="2"/>
    <n v="461.53846153846155"/>
    <n v="35.152881153846153"/>
    <n v="13"/>
    <n v="6"/>
    <n v="28.6"/>
    <n v="461.53846153846155"/>
    <n v="35.152881153846153"/>
    <n v="15.952499999999999"/>
    <n v="32.793937813259106"/>
  </r>
  <r>
    <x v="2"/>
    <x v="2"/>
    <n v="110"/>
    <n v="2.2000000000000002"/>
    <s v="WMG1-34"/>
    <d v="2015-12-08T00:00:00"/>
    <n v="60"/>
    <x v="4"/>
    <d v="2015-12-21T00:00:00"/>
    <n v="65"/>
    <n v="3.5"/>
    <n v="13"/>
    <n v="5"/>
    <n v="0.5"/>
    <x v="2"/>
    <n v="384.61538461538464"/>
    <n v="31.529663461538462"/>
    <n v="13"/>
    <n v="5"/>
    <n v="28.6"/>
    <n v="384.61538461538464"/>
    <n v="31.529663461538462"/>
    <n v="15.952499999999999"/>
    <n v="29.413857097672061"/>
  </r>
  <r>
    <x v="2"/>
    <x v="2"/>
    <n v="110"/>
    <n v="2.2000000000000002"/>
    <s v="WMG1-35"/>
    <d v="2015-12-08T00:00:00"/>
    <n v="59.5"/>
    <x v="4"/>
    <d v="2015-12-21T00:00:00"/>
    <n v="65.5"/>
    <n v="3"/>
    <n v="13"/>
    <n v="6"/>
    <n v="0"/>
    <x v="2"/>
    <n v="461.53846153846155"/>
    <n v="35.321971153846157"/>
    <n v="13"/>
    <n v="6"/>
    <n v="28.6"/>
    <n v="461.53846153846155"/>
    <n v="35.321971153846157"/>
    <n v="15.952499999999999"/>
    <n v="32.951680984311736"/>
  </r>
  <r>
    <x v="2"/>
    <x v="2"/>
    <n v="110"/>
    <n v="2.2000000000000002"/>
    <s v="WMG1-36"/>
    <d v="2015-12-08T00:00:00"/>
    <n v="62"/>
    <x v="4"/>
    <d v="2015-12-21T00:00:00"/>
    <n v="68"/>
    <n v="3.5"/>
    <n v="13"/>
    <n v="6"/>
    <n v="0.5"/>
    <x v="2"/>
    <n v="461.53846153846155"/>
    <n v="35.744696153846157"/>
    <n v="13"/>
    <n v="6"/>
    <n v="28.6"/>
    <n v="461.53846153846155"/>
    <n v="35.744696153846157"/>
    <n v="15.952499999999999"/>
    <n v="33.346038911943317"/>
  </r>
  <r>
    <x v="2"/>
    <x v="2"/>
    <n v="110"/>
    <n v="2.2000000000000002"/>
    <s v="WMG1-37"/>
    <d v="2015-12-08T00:00:00"/>
    <n v="60.5"/>
    <x v="4"/>
    <d v="2015-12-21T00:00:00"/>
    <n v="66"/>
    <n v="3.5"/>
    <n v="13"/>
    <n v="5.5"/>
    <n v="0.5"/>
    <x v="2"/>
    <n v="423.07692307692309"/>
    <n v="33.552634807692307"/>
    <n v="13"/>
    <n v="5.5"/>
    <n v="28.6"/>
    <n v="423.07692307692309"/>
    <n v="33.552634807692307"/>
    <n v="15.952499999999999"/>
    <n v="31.301076419281369"/>
  </r>
  <r>
    <x v="2"/>
    <x v="2"/>
    <n v="110"/>
    <n v="2.2000000000000002"/>
    <s v="WMG1-38"/>
    <d v="2015-12-08T00:00:00"/>
    <n v="62.5"/>
    <x v="4"/>
    <d v="2015-12-21T00:00:00"/>
    <n v="67"/>
    <n v="3.5"/>
    <n v="13"/>
    <n v="4.5"/>
    <n v="0.5"/>
    <x v="2"/>
    <n v="346.15384615384613"/>
    <n v="30.013962115384611"/>
    <n v="13"/>
    <n v="4.5"/>
    <n v="28.6"/>
    <n v="346.15384615384613"/>
    <n v="30.013962115384611"/>
    <n v="15.952499999999999"/>
    <n v="27.999867289220639"/>
  </r>
  <r>
    <x v="2"/>
    <x v="2"/>
    <n v="110"/>
    <n v="2.2000000000000002"/>
    <s v="WMG1-39"/>
    <d v="2015-12-08T00:00:00"/>
    <n v="60.5"/>
    <x v="4"/>
    <d v="2015-12-21T00:00:00"/>
    <n v="66.5"/>
    <n v="3.5"/>
    <n v="13"/>
    <n v="6"/>
    <n v="0.5"/>
    <x v="2"/>
    <n v="461.53846153846155"/>
    <n v="35.491061153846154"/>
    <n v="13"/>
    <n v="6"/>
    <n v="28.6"/>
    <n v="461.53846153846155"/>
    <n v="35.491061153846154"/>
    <n v="15.952499999999999"/>
    <n v="33.109424155364373"/>
  </r>
  <r>
    <x v="2"/>
    <x v="2"/>
    <n v="110"/>
    <n v="2.2000000000000002"/>
    <s v="WMG1-4"/>
    <d v="2015-12-08T00:00:00"/>
    <n v="60"/>
    <x v="4"/>
    <d v="2015-12-21T00:00:00"/>
    <n v="61"/>
    <n v="3"/>
    <n v="13"/>
    <n v="1"/>
    <n v="0"/>
    <x v="2"/>
    <n v="76.923076923076934"/>
    <n v="16.022252692307692"/>
    <n v="13"/>
    <n v="1"/>
    <n v="28.6"/>
    <n v="76.923076923076934"/>
    <n v="16.022252692307692"/>
    <n v="15.952499999999999"/>
    <n v="14.947075209008094"/>
  </r>
  <r>
    <x v="2"/>
    <x v="2"/>
    <n v="110"/>
    <n v="2.2000000000000002"/>
    <s v="WMG1-40"/>
    <d v="2015-12-08T00:00:00"/>
    <n v="59"/>
    <x v="4"/>
    <d v="2015-12-21T00:00:00"/>
    <n v="62.5"/>
    <n v="3.5"/>
    <n v="13"/>
    <n v="3.5"/>
    <n v="0.5"/>
    <x v="2"/>
    <n v="269.23076923076923"/>
    <n v="25.545294423076921"/>
    <n v="13"/>
    <n v="3.5"/>
    <n v="28.6"/>
    <n v="269.23076923076923"/>
    <n v="25.545294423076921"/>
    <n v="15.952499999999999"/>
    <n v="23.831070718370437"/>
  </r>
  <r>
    <x v="2"/>
    <x v="2"/>
    <n v="110"/>
    <n v="2.2000000000000002"/>
    <s v="WMG1-5"/>
    <d v="2015-12-08T00:00:00"/>
    <n v="63.5"/>
    <x v="6"/>
    <d v="2015-12-21T00:00:00"/>
    <n v="71"/>
    <n v="4"/>
    <n v="13"/>
    <n v="7.5"/>
    <n v="0.5"/>
    <x v="2"/>
    <n v="576.92307692307691"/>
    <n v="41.813610192307692"/>
    <n v="13"/>
    <n v="7.5"/>
    <n v="28.6"/>
    <n v="576.92307692307691"/>
    <n v="41.813610192307692"/>
    <n v="13.878249999999998"/>
    <n v="33.93565705563708"/>
  </r>
  <r>
    <x v="2"/>
    <x v="2"/>
    <n v="110"/>
    <n v="2.2000000000000002"/>
    <s v="WMG1-6"/>
    <d v="2015-12-08T00:00:00"/>
    <n v="59.5"/>
    <x v="4"/>
    <d v="2015-12-21T00:00:00"/>
    <n v="65.5"/>
    <n v="3.5"/>
    <n v="13"/>
    <n v="6"/>
    <n v="0.5"/>
    <x v="2"/>
    <n v="461.53846153846155"/>
    <n v="35.321971153846157"/>
    <n v="13"/>
    <n v="6"/>
    <n v="28.6"/>
    <n v="461.53846153846155"/>
    <n v="35.321971153846157"/>
    <n v="15.952499999999999"/>
    <n v="32.951680984311736"/>
  </r>
  <r>
    <x v="2"/>
    <x v="2"/>
    <n v="110"/>
    <n v="2.2000000000000002"/>
    <s v="WMG1-7"/>
    <d v="2015-12-08T00:00:00"/>
    <n v="58.5"/>
    <x v="6"/>
    <d v="2015-12-21T00:00:00"/>
    <n v="59.5"/>
    <n v="3.5"/>
    <n v="13"/>
    <n v="1"/>
    <n v="0"/>
    <x v="2"/>
    <n v="76.923076923076934"/>
    <n v="15.768617692307693"/>
    <n v="13"/>
    <n v="1"/>
    <n v="28.6"/>
    <n v="76.923076923076934"/>
    <n v="15.768617692307693"/>
    <n v="13.878249999999998"/>
    <n v="12.797708683524514"/>
  </r>
  <r>
    <x v="2"/>
    <x v="2"/>
    <n v="110"/>
    <n v="2.2000000000000002"/>
    <s v="WMG1-8"/>
    <d v="2015-12-08T00:00:00"/>
    <n v="64.5"/>
    <x v="6"/>
    <d v="2015-12-21T00:00:00"/>
    <n v="70"/>
    <n v="4"/>
    <n v="13"/>
    <n v="5.5"/>
    <n v="0.5"/>
    <x v="2"/>
    <n v="423.07692307692309"/>
    <n v="34.228994807692303"/>
    <n v="13"/>
    <n v="5.5"/>
    <n v="28.6"/>
    <n v="423.07692307692309"/>
    <n v="34.228994807692303"/>
    <n v="13.878249999999998"/>
    <n v="27.780031999406759"/>
  </r>
  <r>
    <x v="2"/>
    <x v="2"/>
    <n v="110"/>
    <n v="2.2000000000000002"/>
    <s v="WMG1-9"/>
    <d v="2015-12-08T00:00:00"/>
    <n v="57"/>
    <x v="6"/>
    <d v="2015-12-21T00:00:00"/>
    <n v="60.5"/>
    <n v="3.5"/>
    <n v="13"/>
    <n v="3.5"/>
    <n v="0"/>
    <x v="2"/>
    <n v="269.23076923076923"/>
    <n v="25.20711442307692"/>
    <n v="13"/>
    <n v="3.5"/>
    <n v="28.6"/>
    <n v="269.23076923076923"/>
    <n v="25.20711442307692"/>
    <n v="13.878249999999998"/>
    <n v="20.457931914740772"/>
  </r>
  <r>
    <x v="3"/>
    <x v="3"/>
    <n v="46"/>
    <n v="3.16"/>
    <s v="MADFIG-21"/>
    <d v="2016-01-05T00:00:00"/>
    <n v="74"/>
    <x v="9"/>
    <d v="2016-01-19T00:00:00"/>
    <n v="78"/>
    <n v="5"/>
    <n v="14"/>
    <n v="4"/>
    <n v="1"/>
    <x v="3"/>
    <n v="285.71428571428572"/>
    <n v="28.936554285714283"/>
    <n v="14"/>
    <n v="4"/>
    <n v="44.24"/>
    <n v="285.71428571428572"/>
    <n v="28.936554285714283"/>
    <n v="11.803999999999998"/>
    <n v="19.974683437928149"/>
  </r>
  <r>
    <x v="3"/>
    <x v="3"/>
    <n v="46"/>
    <n v="3.16"/>
    <s v="MADFIG-22"/>
    <d v="2016-01-05T00:00:00"/>
    <n v="78"/>
    <x v="10"/>
    <d v="2016-01-19T00:00:00"/>
    <n v="77"/>
    <n v="5"/>
    <n v="14"/>
    <n v="-1"/>
    <n v="0"/>
    <x v="3"/>
    <n v="-71.428571428571431"/>
    <n v="11.583046428571429"/>
    <n v="14"/>
    <n v="-1"/>
    <n v="44.24"/>
    <n v="-71.428571428571431"/>
    <n v="11.583046428571429"/>
    <n v="7.6555"/>
    <n v="5.1856147329782782"/>
  </r>
  <r>
    <x v="3"/>
    <x v="3"/>
    <n v="46"/>
    <n v="3.16"/>
    <s v="MADFIG-23"/>
    <d v="2016-01-05T00:00:00"/>
    <n v="74.5"/>
    <x v="10"/>
    <d v="2016-01-19T00:00:00"/>
    <n v="74"/>
    <n v="4"/>
    <n v="14"/>
    <n v="-0.5"/>
    <n v="-1"/>
    <x v="3"/>
    <n v="-35.714285714285715"/>
    <n v="12.794218214285713"/>
    <n v="14"/>
    <n v="-0.5"/>
    <n v="44.24"/>
    <n v="-35.714285714285715"/>
    <n v="12.794218214285713"/>
    <n v="7.6555"/>
    <n v="5.7278443005534658"/>
  </r>
  <r>
    <x v="3"/>
    <x v="3"/>
    <n v="46"/>
    <n v="3.16"/>
    <s v="MADFIG-24"/>
    <d v="2016-01-05T00:00:00"/>
    <n v="76.5"/>
    <x v="9"/>
    <d v="2016-01-19T00:00:00"/>
    <n v="78"/>
    <n v="4"/>
    <n v="14"/>
    <n v="1.5"/>
    <n v="0"/>
    <x v="3"/>
    <n v="107.14285714285714"/>
    <n v="20.344345357142856"/>
    <n v="14"/>
    <n v="1.5"/>
    <n v="44.24"/>
    <n v="107.14285714285714"/>
    <n v="20.344345357142856"/>
    <n v="11.803999999999998"/>
    <n v="14.043546935421883"/>
  </r>
  <r>
    <x v="3"/>
    <x v="3"/>
    <n v="46"/>
    <n v="3.16"/>
    <s v="MADFIG-25"/>
    <d v="2016-01-05T00:00:00"/>
    <n v="75.5"/>
    <x v="4"/>
    <d v="2016-01-19T00:00:00"/>
    <n v="75"/>
    <n v="3"/>
    <n v="14"/>
    <n v="-0.5"/>
    <n v="0"/>
    <x v="3"/>
    <n v="-35.714285714285715"/>
    <n v="12.963308214285712"/>
    <n v="14"/>
    <n v="-0.5"/>
    <n v="44.24"/>
    <n v="-35.714285714285715"/>
    <n v="12.963308214285712"/>
    <n v="15.952499999999999"/>
    <n v="12.093402005169169"/>
  </r>
  <r>
    <x v="3"/>
    <x v="3"/>
    <n v="46"/>
    <n v="3.16"/>
    <s v="MADFIG-26"/>
    <d v="2016-01-05T00:00:00"/>
    <n v="78"/>
    <x v="4"/>
    <d v="2016-01-19T00:00:00"/>
    <n v="81"/>
    <n v="3"/>
    <n v="14"/>
    <n v="3"/>
    <n v="0"/>
    <x v="3"/>
    <n v="214.28571428571428"/>
    <n v="26.006940714285712"/>
    <n v="14"/>
    <n v="3"/>
    <n v="44.24"/>
    <n v="214.28571428571428"/>
    <n v="26.006940714285712"/>
    <n v="15.952499999999999"/>
    <n v="24.261738113721798"/>
  </r>
  <r>
    <x v="3"/>
    <x v="3"/>
    <n v="46"/>
    <n v="3.16"/>
    <s v="MADFIG-27"/>
    <d v="2016-01-05T00:00:00"/>
    <n v="77.5"/>
    <x v="4"/>
    <d v="2016-01-19T00:00:00"/>
    <n v="77.5"/>
    <n v="4"/>
    <n v="14"/>
    <n v="0"/>
    <n v="1"/>
    <x v="3"/>
    <n v="0"/>
    <n v="15.104474999999999"/>
    <n v="14"/>
    <n v="0"/>
    <n v="44.24"/>
    <n v="0"/>
    <n v="15.104474999999999"/>
    <n v="15.952499999999999"/>
    <n v="14.090885230263154"/>
  </r>
  <r>
    <x v="3"/>
    <x v="3"/>
    <n v="46"/>
    <n v="3.16"/>
    <s v="MADFIG-28"/>
    <d v="2016-01-05T00:00:00"/>
    <n v="72.5"/>
    <x v="9"/>
    <d v="2016-01-19T00:00:00"/>
    <n v="73"/>
    <n v="3.5"/>
    <n v="14"/>
    <n v="0.5"/>
    <n v="-0.5"/>
    <x v="3"/>
    <n v="35.714285714285715"/>
    <n v="16.062011785714283"/>
    <n v="14"/>
    <n v="0.5"/>
    <n v="44.24"/>
    <n v="35.714285714285715"/>
    <n v="16.062011785714283"/>
    <n v="11.803999999999998"/>
    <n v="11.087484626817039"/>
  </r>
  <r>
    <x v="3"/>
    <x v="3"/>
    <n v="46"/>
    <n v="3.16"/>
    <s v="MADFIG-29"/>
    <d v="2016-01-05T00:00:00"/>
    <n v="77.5"/>
    <x v="9"/>
    <d v="2016-01-19T00:00:00"/>
    <n v="77"/>
    <n v="4"/>
    <n v="14"/>
    <n v="-0.5"/>
    <n v="0"/>
    <x v="3"/>
    <n v="-35.714285714285715"/>
    <n v="13.301488214285714"/>
    <n v="14"/>
    <n v="-0.5"/>
    <n v="44.24"/>
    <n v="-35.714285714285715"/>
    <n v="13.301488214285714"/>
    <n v="11.803999999999998"/>
    <n v="9.1819161918964056"/>
  </r>
  <r>
    <x v="3"/>
    <x v="3"/>
    <n v="46"/>
    <n v="3.16"/>
    <s v="MADFIG-30"/>
    <d v="2016-01-05T00:00:00"/>
    <n v="76"/>
    <x v="4"/>
    <d v="2016-01-19T00:00:00"/>
    <n v="73"/>
    <n v="3"/>
    <n v="14"/>
    <n v="-3"/>
    <n v="0"/>
    <x v="3"/>
    <n v="-214.28571428571428"/>
    <n v="4.0329192857142857"/>
    <n v="14"/>
    <n v="-3"/>
    <n v="44.24"/>
    <n v="-214.28571428571428"/>
    <n v="4.0329192857142857"/>
    <n v="15.952499999999999"/>
    <n v="3.7622891757518793"/>
  </r>
  <r>
    <x v="3"/>
    <x v="3"/>
    <n v="46"/>
    <n v="3.16"/>
    <s v="MADFIG-31"/>
    <d v="2016-01-05T00:00:00"/>
    <n v="73"/>
    <x v="4"/>
    <d v="2016-01-19T00:00:00"/>
    <n v="72.5"/>
    <n v="3"/>
    <n v="14"/>
    <n v="-0.5"/>
    <n v="0"/>
    <x v="3"/>
    <n v="-35.714285714285715"/>
    <n v="12.540583214285713"/>
    <n v="14"/>
    <n v="-0.5"/>
    <n v="44.24"/>
    <n v="-35.714285714285715"/>
    <n v="12.540583214285713"/>
    <n v="15.952499999999999"/>
    <n v="11.699044077537591"/>
  </r>
  <r>
    <x v="3"/>
    <x v="3"/>
    <n v="46"/>
    <n v="3.16"/>
    <s v="MADFIG-32"/>
    <d v="2016-01-05T00:00:00"/>
    <n v="77"/>
    <x v="9"/>
    <d v="2016-01-19T00:00:00"/>
    <n v="75"/>
    <n v="4"/>
    <n v="14"/>
    <n v="-2"/>
    <n v="0"/>
    <x v="3"/>
    <n v="-142.85714285714286"/>
    <n v="7.807982857142858"/>
    <n v="14"/>
    <n v="-2"/>
    <n v="44.24"/>
    <n v="-142.85714285714286"/>
    <n v="7.807982857142858"/>
    <n v="11.803999999999998"/>
    <n v="5.3897912073517125"/>
  </r>
  <r>
    <x v="3"/>
    <x v="3"/>
    <n v="46"/>
    <n v="3.16"/>
    <s v="MADFIG-33"/>
    <d v="2016-01-05T00:00:00"/>
    <n v="72.5"/>
    <x v="4"/>
    <d v="2016-01-19T00:00:00"/>
    <n v="71.5"/>
    <n v="3"/>
    <n v="14"/>
    <n v="-1"/>
    <n v="0"/>
    <x v="3"/>
    <n v="-71.428571428571431"/>
    <n v="10.653051428571429"/>
    <n v="14"/>
    <n v="-1"/>
    <n v="44.24"/>
    <n v="-71.428571428571431"/>
    <n v="10.653051428571429"/>
    <n v="15.952499999999999"/>
    <n v="9.9381756090225544"/>
  </r>
  <r>
    <x v="3"/>
    <x v="3"/>
    <n v="46"/>
    <n v="3.16"/>
    <s v="MADFIG-34"/>
    <d v="2016-01-05T00:00:00"/>
    <n v="73.5"/>
    <x v="10"/>
    <d v="2016-01-19T00:00:00"/>
    <n v="71.5"/>
    <n v="4"/>
    <n v="14"/>
    <n v="-2"/>
    <n v="-1"/>
    <x v="3"/>
    <n v="-142.85714285714286"/>
    <n v="7.2161678571428576"/>
    <n v="14"/>
    <n v="-2"/>
    <n v="44.24"/>
    <n v="-142.85714285714286"/>
    <n v="7.2161678571428576"/>
    <n v="7.6555"/>
    <n v="3.2306066099624062"/>
  </r>
  <r>
    <x v="3"/>
    <x v="3"/>
    <n v="46"/>
    <n v="3.16"/>
    <s v="MADFIG-35"/>
    <d v="2016-01-05T00:00:00"/>
    <n v="74"/>
    <x v="10"/>
    <d v="2016-01-19T00:00:00"/>
    <n v="72"/>
    <n v="5"/>
    <n v="14"/>
    <n v="-2"/>
    <n v="0"/>
    <x v="3"/>
    <n v="-142.85714285714286"/>
    <n v="7.3007128571428579"/>
    <n v="14"/>
    <n v="-2"/>
    <n v="44.24"/>
    <n v="-142.85714285714286"/>
    <n v="7.3007128571428579"/>
    <n v="7.6555"/>
    <n v="3.2684565659565581"/>
  </r>
  <r>
    <x v="3"/>
    <x v="3"/>
    <n v="46"/>
    <n v="3.16"/>
    <s v="MADFIG-36"/>
    <d v="2016-01-05T00:00:00"/>
    <n v="75"/>
    <x v="9"/>
    <d v="2016-01-19T00:00:00"/>
    <n v="72"/>
    <n v="4"/>
    <n v="14"/>
    <n v="-3"/>
    <n v="0"/>
    <x v="3"/>
    <n v="-214.28571428571428"/>
    <n v="3.8638292857142869"/>
    <n v="14"/>
    <n v="-3"/>
    <n v="44.24"/>
    <n v="-214.28571428571428"/>
    <n v="3.8638292857142869"/>
    <n v="11.803999999999998"/>
    <n v="2.6671719817878032"/>
  </r>
  <r>
    <x v="3"/>
    <x v="3"/>
    <n v="46"/>
    <n v="3.16"/>
    <s v="MADFIG-37"/>
    <d v="2016-01-05T00:00:00"/>
    <n v="75"/>
    <x v="4"/>
    <d v="2016-01-19T00:00:00"/>
    <n v="73"/>
    <n v="3"/>
    <n v="14"/>
    <n v="-2"/>
    <n v="0"/>
    <x v="3"/>
    <n v="-142.85714285714286"/>
    <n v="7.4698028571428567"/>
    <n v="14"/>
    <n v="-2"/>
    <n v="44.24"/>
    <n v="-142.85714285714286"/>
    <n v="7.4698028571428567"/>
    <n v="15.952499999999999"/>
    <n v="6.9685397706766903"/>
  </r>
  <r>
    <x v="3"/>
    <x v="3"/>
    <n v="46"/>
    <n v="3.16"/>
    <s v="MADFIG-38"/>
    <d v="2016-01-05T00:00:00"/>
    <n v="74.5"/>
    <x v="9"/>
    <d v="2016-01-19T00:00:00"/>
    <n v="74"/>
    <n v="4"/>
    <n v="14"/>
    <n v="-0.5"/>
    <n v="0"/>
    <x v="3"/>
    <n v="-35.714285714285715"/>
    <n v="12.794218214285713"/>
    <n v="14"/>
    <n v="-0.5"/>
    <n v="44.24"/>
    <n v="-35.714285714285715"/>
    <n v="12.794218214285713"/>
    <n v="11.803999999999998"/>
    <n v="8.8317515673350027"/>
  </r>
  <r>
    <x v="3"/>
    <x v="3"/>
    <n v="46"/>
    <n v="3.16"/>
    <s v="MADFIG-39"/>
    <d v="2016-01-05T00:00:00"/>
    <n v="78"/>
    <x v="9"/>
    <d v="2016-01-19T00:00:00"/>
    <n v="76"/>
    <n v="5"/>
    <n v="14"/>
    <n v="-2"/>
    <n v="1"/>
    <x v="3"/>
    <n v="-142.85714285714286"/>
    <n v="7.9770728571428569"/>
    <n v="14"/>
    <n v="-2"/>
    <n v="44.24"/>
    <n v="-142.85714285714286"/>
    <n v="7.9770728571428569"/>
    <n v="11.803999999999998"/>
    <n v="5.5065127488721792"/>
  </r>
  <r>
    <x v="3"/>
    <x v="3"/>
    <n v="46"/>
    <n v="3.16"/>
    <s v="MADFIG-40"/>
    <d v="2016-01-05T00:00:00"/>
    <n v="74"/>
    <x v="4"/>
    <d v="2016-01-19T00:00:00"/>
    <n v="74.5"/>
    <n v="3"/>
    <n v="14"/>
    <n v="0.5"/>
    <n v="0"/>
    <x v="3"/>
    <n v="35.714285714285715"/>
    <n v="16.315646785714286"/>
    <n v="14"/>
    <n v="0.5"/>
    <n v="44.24"/>
    <n v="35.714285714285715"/>
    <n v="16.315646785714286"/>
    <n v="15.952499999999999"/>
    <n v="15.220781014567669"/>
  </r>
  <r>
    <x v="3"/>
    <x v="3"/>
    <n v="46"/>
    <n v="3.16"/>
    <s v="MADFIG-81"/>
    <d v="2016-01-05T00:00:00"/>
    <n v="73.5"/>
    <x v="10"/>
    <d v="2016-01-19T00:00:00"/>
    <n v="70.5"/>
    <n v="3"/>
    <n v="14"/>
    <n v="-3"/>
    <n v="-2"/>
    <x v="3"/>
    <n v="-214.28571428571428"/>
    <n v="3.6101942857142859"/>
    <n v="14"/>
    <n v="-3"/>
    <n v="44.24"/>
    <n v="-214.28571428571428"/>
    <n v="3.6101942857142859"/>
    <n v="7.6555"/>
    <n v="1.6162480908939014"/>
  </r>
  <r>
    <x v="3"/>
    <x v="3"/>
    <n v="46"/>
    <n v="3.16"/>
    <s v="MADFIG-82"/>
    <d v="2016-01-05T00:00:00"/>
    <n v="77.5"/>
    <x v="10"/>
    <d v="2016-01-19T00:00:00"/>
    <n v="78.5"/>
    <n v="4"/>
    <n v="14"/>
    <n v="1"/>
    <n v="-1"/>
    <x v="3"/>
    <n v="71.428571428571431"/>
    <n v="18.710448571428572"/>
    <n v="14"/>
    <n v="1"/>
    <n v="44.24"/>
    <n v="71.428571428571431"/>
    <n v="18.710448571428572"/>
    <n v="7.6555"/>
    <n v="8.3764818151211351"/>
  </r>
  <r>
    <x v="3"/>
    <x v="3"/>
    <n v="46"/>
    <n v="3.16"/>
    <s v="MADFIG-83"/>
    <d v="2016-01-05T00:00:00"/>
    <n v="75"/>
    <x v="4"/>
    <d v="2016-01-19T00:00:00"/>
    <n v="74"/>
    <n v="3"/>
    <n v="14"/>
    <n v="-1"/>
    <n v="0"/>
    <x v="3"/>
    <n v="-71.428571428571431"/>
    <n v="11.075776428571428"/>
    <n v="14"/>
    <n v="-1"/>
    <n v="44.24"/>
    <n v="-71.428571428571431"/>
    <n v="11.075776428571428"/>
    <n v="15.952499999999999"/>
    <n v="10.332533536654134"/>
  </r>
  <r>
    <x v="3"/>
    <x v="3"/>
    <n v="46"/>
    <n v="3.16"/>
    <s v="MADFIG-84"/>
    <d v="2016-01-05T00:00:00"/>
    <n v="78"/>
    <x v="10"/>
    <d v="2016-01-19T00:00:00"/>
    <n v="76.5"/>
    <n v="4"/>
    <n v="14"/>
    <n v="-1.5"/>
    <n v="-1"/>
    <x v="3"/>
    <n v="-107.14285714285714"/>
    <n v="9.7800596428571431"/>
    <n v="14"/>
    <n v="-1.5"/>
    <n v="44.24"/>
    <n v="-107.14285714285714"/>
    <n v="9.7800596428571431"/>
    <n v="7.6555"/>
    <n v="4.3784354734440267"/>
  </r>
  <r>
    <x v="3"/>
    <x v="3"/>
    <n v="46"/>
    <n v="3.16"/>
    <s v="MADFIG-85"/>
    <d v="2016-01-05T00:00:00"/>
    <n v="72"/>
    <x v="10"/>
    <d v="2016-01-19T00:00:00"/>
    <n v="71.5"/>
    <n v="5"/>
    <n v="14"/>
    <n v="-0.5"/>
    <n v="0"/>
    <x v="3"/>
    <n v="-35.714285714285715"/>
    <n v="12.371493214285714"/>
    <n v="14"/>
    <n v="-0.5"/>
    <n v="44.24"/>
    <n v="-35.714285714285715"/>
    <n v="12.371493214285714"/>
    <n v="7.6555"/>
    <n v="5.5385945205827065"/>
  </r>
  <r>
    <x v="3"/>
    <x v="3"/>
    <n v="46"/>
    <n v="3.16"/>
    <s v="MADFIG-86"/>
    <d v="2016-01-05T00:00:00"/>
    <n v="78"/>
    <x v="4"/>
    <d v="2016-01-19T00:00:00"/>
    <n v="77"/>
    <n v="4"/>
    <n v="14"/>
    <n v="-1"/>
    <n v="1"/>
    <x v="3"/>
    <n v="-71.428571428571431"/>
    <n v="11.583046428571429"/>
    <n v="14"/>
    <n v="-1"/>
    <n v="44.24"/>
    <n v="-71.428571428571431"/>
    <n v="11.583046428571429"/>
    <n v="15.952499999999999"/>
    <n v="10.805763049812029"/>
  </r>
  <r>
    <x v="3"/>
    <x v="3"/>
    <n v="46"/>
    <n v="3.16"/>
    <s v="MADFIG-87"/>
    <d v="2016-01-05T00:00:00"/>
    <n v="75"/>
    <x v="10"/>
    <d v="2016-01-19T00:00:00"/>
    <n v="76"/>
    <n v="4"/>
    <n v="14"/>
    <n v="1"/>
    <n v="-1"/>
    <x v="3"/>
    <n v="71.428571428571431"/>
    <n v="18.287723571428572"/>
    <n v="14"/>
    <n v="1"/>
    <n v="44.24"/>
    <n v="71.428571428571431"/>
    <n v="18.287723571428572"/>
    <n v="7.6555"/>
    <n v="8.1872320351503749"/>
  </r>
  <r>
    <x v="3"/>
    <x v="3"/>
    <n v="46"/>
    <n v="3.16"/>
    <s v="MADFIG-88"/>
    <d v="2016-01-05T00:00:00"/>
    <n v="73"/>
    <x v="4"/>
    <d v="2016-01-19T00:00:00"/>
    <n v="75"/>
    <n v="3"/>
    <n v="14"/>
    <n v="2"/>
    <n v="0"/>
    <x v="3"/>
    <n v="142.85714285714286"/>
    <n v="21.555517142857141"/>
    <n v="14"/>
    <n v="2"/>
    <n v="44.24"/>
    <n v="142.85714285714286"/>
    <n v="21.555517142857141"/>
    <n v="15.952499999999999"/>
    <n v="20.109028492481198"/>
  </r>
  <r>
    <x v="3"/>
    <x v="3"/>
    <n v="46"/>
    <n v="3.16"/>
    <s v="MADFIG-89"/>
    <d v="2016-01-05T00:00:00"/>
    <n v="77.5"/>
    <x v="10"/>
    <d v="2016-01-19T00:00:00"/>
    <n v="76"/>
    <n v="3"/>
    <n v="14"/>
    <n v="-1.5"/>
    <n v="-2"/>
    <x v="3"/>
    <n v="-107.14285714285714"/>
    <n v="9.6955146428571428"/>
    <n v="14"/>
    <n v="-1.5"/>
    <n v="44.24"/>
    <n v="-107.14285714285714"/>
    <n v="9.6955146428571428"/>
    <n v="7.6555"/>
    <n v="4.3405855174498749"/>
  </r>
  <r>
    <x v="3"/>
    <x v="3"/>
    <n v="46"/>
    <n v="3.16"/>
    <s v="MADFIG-90"/>
    <d v="2016-01-05T00:00:00"/>
    <n v="75.5"/>
    <x v="10"/>
    <d v="2016-01-19T00:00:00"/>
    <n v="78.5"/>
    <n v="5"/>
    <n v="14"/>
    <n v="3"/>
    <n v="0"/>
    <x v="3"/>
    <n v="214.28571428571428"/>
    <n v="25.584215714285712"/>
    <n v="14"/>
    <n v="3"/>
    <n v="44.24"/>
    <n v="214.28571428571428"/>
    <n v="25.584215714285712"/>
    <n v="7.6555"/>
    <n v="11.453799029281535"/>
  </r>
  <r>
    <x v="0"/>
    <x v="0"/>
    <n v="14"/>
    <n v="1.98"/>
    <s v="2008CSR-1016"/>
    <d v="2008-01-29T00:00:00"/>
    <n v="54"/>
    <x v="0"/>
    <d v="2008-02-12T00:00:00"/>
    <n v="56.2"/>
    <n v="2.5"/>
    <n v="14"/>
    <n v="2.2000000000000028"/>
    <n v="0"/>
    <x v="1"/>
    <n v="157.14285714285734"/>
    <n v="19.064001857142866"/>
    <n v="7"/>
    <n v="-2"/>
    <n v="13.86"/>
    <n v="-285.71428571428572"/>
    <n v="-2.7688552857142845"/>
    <n v="18.02675"/>
    <n v="-2.9189159077046769"/>
  </r>
  <r>
    <x v="0"/>
    <x v="0"/>
    <n v="14"/>
    <n v="1.98"/>
    <s v="2008CSR-1019"/>
    <d v="2008-01-29T00:00:00"/>
    <n v="56.6"/>
    <x v="0"/>
    <d v="2008-02-12T00:00:00"/>
    <n v="62.4"/>
    <n v="2.5"/>
    <n v="14"/>
    <n v="5.7999999999999972"/>
    <n v="0"/>
    <x v="1"/>
    <n v="414.28571428571411"/>
    <n v="32.485140714285706"/>
    <n v="7"/>
    <n v="0"/>
    <n v="13.86"/>
    <n v="0"/>
    <n v="12.060855"/>
    <n v="18.02675"/>
    <n v="12.714503969078946"/>
  </r>
  <r>
    <x v="0"/>
    <x v="0"/>
    <n v="14"/>
    <n v="1.98"/>
    <s v="2008CSR-1045"/>
    <d v="2008-01-29T00:00:00"/>
    <n v="56.6"/>
    <x v="1"/>
    <d v="2008-02-12T00:00:00"/>
    <n v="65.8"/>
    <n v="3.25"/>
    <n v="14"/>
    <n v="9.1999999999999957"/>
    <n v="0"/>
    <x v="1"/>
    <n v="657.14285714285677"/>
    <n v="44.745450857142842"/>
    <n v="7"/>
    <n v="5"/>
    <n v="13.86"/>
    <n v="714.28571428571433"/>
    <n v="47.562593714285711"/>
    <n v="14.915374999999999"/>
    <n v="41.486194223462817"/>
  </r>
  <r>
    <x v="0"/>
    <x v="0"/>
    <n v="14"/>
    <n v="1.98"/>
    <s v="2008CSR-1137"/>
    <d v="2008-01-29T00:00:00"/>
    <n v="63.6"/>
    <x v="1"/>
    <d v="2008-02-12T00:00:00"/>
    <n v="67.400000000000006"/>
    <n v="3.25"/>
    <n v="14"/>
    <n v="3.8000000000000043"/>
    <n v="0"/>
    <x v="1"/>
    <n v="271.42857142857173"/>
    <n v="26.456823571428586"/>
    <n v="7"/>
    <n v="-0.59999999999999432"/>
    <n v="13.86"/>
    <n v="-85.714285714284898"/>
    <n v="8.8496807142857534"/>
    <n v="14.915374999999999"/>
    <n v="7.7190822505169514"/>
  </r>
  <r>
    <x v="0"/>
    <x v="0"/>
    <n v="14"/>
    <n v="1.98"/>
    <s v="2008CSR-1203"/>
    <d v="2008-01-29T00:00:00"/>
    <n v="52.4"/>
    <x v="2"/>
    <d v="2008-02-12T00:00:00"/>
    <n v="59.2"/>
    <n v="2"/>
    <n v="14"/>
    <n v="6.8000000000000043"/>
    <n v="0"/>
    <x v="1"/>
    <n v="485.71428571428606"/>
    <n v="35.380936285714299"/>
    <n v="7"/>
    <n v="1.2000000000000028"/>
    <n v="13.86"/>
    <n v="171.42857142857184"/>
    <n v="19.886650571428589"/>
    <n v="20.100999999999999"/>
    <n v="23.376699598613218"/>
  </r>
  <r>
    <x v="0"/>
    <x v="0"/>
    <n v="14"/>
    <n v="1.98"/>
    <s v="2008CSR-1211"/>
    <d v="2008-01-29T00:00:00"/>
    <n v="53.2"/>
    <x v="0"/>
    <d v="2008-02-12T00:00:00"/>
    <n v="58"/>
    <n v="2.5"/>
    <n v="14"/>
    <n v="4.7999999999999972"/>
    <n v="0"/>
    <x v="1"/>
    <n v="342.85714285714266"/>
    <n v="28.304261142857129"/>
    <n v="7"/>
    <n v="0.79999999999999716"/>
    <n v="13.86"/>
    <n v="114.28571428571388"/>
    <n v="17.035689714285695"/>
    <n v="18.02675"/>
    <n v="17.95895436005846"/>
  </r>
  <r>
    <x v="0"/>
    <x v="0"/>
    <n v="14"/>
    <n v="1.98"/>
    <s v="2008CSR-1231"/>
    <d v="2008-01-29T00:00:00"/>
    <n v="60.2"/>
    <x v="3"/>
    <d v="2008-02-12T00:00:00"/>
    <n v="67"/>
    <n v="2.25"/>
    <n v="14"/>
    <n v="6.7999999999999972"/>
    <n v="0"/>
    <x v="1"/>
    <n v="485.7142857142855"/>
    <n v="36.699838285714272"/>
    <n v="7"/>
    <n v="1"/>
    <n v="13.86"/>
    <n v="142.85714285714286"/>
    <n v="19.796981142857142"/>
    <n v="19.063874999999999"/>
    <n v="22.07059496402255"/>
  </r>
  <r>
    <x v="0"/>
    <x v="0"/>
    <n v="14"/>
    <n v="1.98"/>
    <s v="2008CSR-1250"/>
    <d v="2008-01-29T00:00:00"/>
    <n v="60.2"/>
    <x v="4"/>
    <d v="2008-02-12T00:00:00"/>
    <n v="65.2"/>
    <n v="3"/>
    <n v="14"/>
    <n v="5"/>
    <n v="0"/>
    <x v="1"/>
    <n v="357.14285714285717"/>
    <n v="30.20908585714286"/>
    <n v="7"/>
    <n v="1"/>
    <n v="13.86"/>
    <n v="142.85714285714286"/>
    <n v="19.644800142857143"/>
    <n v="15.952499999999999"/>
    <n v="18.326530659586464"/>
  </r>
  <r>
    <x v="0"/>
    <x v="0"/>
    <n v="14"/>
    <n v="1.98"/>
    <s v="2008CSR-1251"/>
    <d v="2008-01-29T00:00:00"/>
    <n v="50.6"/>
    <x v="5"/>
    <d v="2008-02-12T00:00:00"/>
    <n v="59"/>
    <n v="2"/>
    <n v="14"/>
    <n v="8.3999999999999986"/>
    <n v="0.25"/>
    <x v="1"/>
    <n v="599.99999999999989"/>
    <n v="40.84613199999999"/>
    <n v="7"/>
    <n v="-1"/>
    <n v="13.86"/>
    <n v="-142.85714285714286"/>
    <n v="4.2232748571428571"/>
    <n v="21.138124999999999"/>
    <n v="5.220591335651628"/>
  </r>
  <r>
    <x v="0"/>
    <x v="0"/>
    <n v="14"/>
    <n v="1.98"/>
    <s v="2008CSR-1299"/>
    <d v="2008-01-29T00:00:00"/>
    <n v="63.2"/>
    <x v="0"/>
    <d v="2008-02-12T00:00:00"/>
    <n v="70.2"/>
    <n v="2.5"/>
    <n v="14"/>
    <n v="7"/>
    <n v="0"/>
    <x v="1"/>
    <n v="500"/>
    <n v="37.928303"/>
    <n v="7"/>
    <n v="1.6000000000000085"/>
    <n v="13.86"/>
    <n v="228.57142857142978"/>
    <n v="24.546874428571485"/>
    <n v="18.02675"/>
    <n v="25.877214538318771"/>
  </r>
  <r>
    <x v="0"/>
    <x v="0"/>
    <n v="14"/>
    <n v="1.98"/>
    <s v="2008CSR-1343"/>
    <d v="2008-01-29T00:00:00"/>
    <n v="57.2"/>
    <x v="6"/>
    <d v="2008-02-12T00:00:00"/>
    <n v="62.6"/>
    <n v="3.5"/>
    <n v="14"/>
    <n v="5.3999999999999986"/>
    <n v="0"/>
    <x v="1"/>
    <n v="385.71428571428561"/>
    <n v="31.144205285714282"/>
    <n v="7"/>
    <n v="-2.6000000000000014"/>
    <n v="13.86"/>
    <n v="-371.42857142857162"/>
    <n v="-6.1829375714285781"/>
    <n v="13.878249999999998"/>
    <n v="-5.0180323596888092"/>
  </r>
  <r>
    <x v="0"/>
    <x v="0"/>
    <n v="14"/>
    <n v="1.98"/>
    <s v="2008CSR-1394"/>
    <d v="2008-01-29T00:00:00"/>
    <n v="48.2"/>
    <x v="3"/>
    <d v="2008-02-12T00:00:00"/>
    <n v="55.6"/>
    <n v="2.25"/>
    <n v="14"/>
    <n v="7.3999999999999986"/>
    <n v="0"/>
    <x v="1"/>
    <n v="528.57142857142844"/>
    <n v="36.834342428571425"/>
    <n v="7"/>
    <n v="-0.19999999999999574"/>
    <n v="13.86"/>
    <n v="-28.571428571427962"/>
    <n v="9.3671995714286016"/>
    <n v="19.063874999999999"/>
    <n v="10.442989574840258"/>
  </r>
  <r>
    <x v="0"/>
    <x v="0"/>
    <n v="14"/>
    <n v="1.98"/>
    <s v="2008CSR-1475"/>
    <d v="2008-01-29T00:00:00"/>
    <n v="66.400000000000006"/>
    <x v="0"/>
    <d v="2008-02-12T00:00:00"/>
    <n v="69.8"/>
    <n v="2.5"/>
    <n v="14"/>
    <n v="3.3999999999999915"/>
    <n v="0"/>
    <x v="1"/>
    <n v="242.85714285714224"/>
    <n v="25.487886142857111"/>
    <n v="7"/>
    <n v="2"/>
    <n v="13.86"/>
    <n v="285.71428571428572"/>
    <n v="27.60074328571428"/>
    <n v="18.02675"/>
    <n v="29.096590586301161"/>
  </r>
  <r>
    <x v="0"/>
    <x v="0"/>
    <n v="14"/>
    <n v="1.98"/>
    <s v="2008CSR-1506"/>
    <d v="2008-01-29T00:00:00"/>
    <n v="48.4"/>
    <x v="2"/>
    <d v="2008-02-12T00:00:00"/>
    <n v="51.8"/>
    <n v="2"/>
    <n v="14"/>
    <n v="3.3999999999999986"/>
    <n v="0"/>
    <x v="1"/>
    <n v="242.85714285714275"/>
    <n v="22.444266142857135"/>
    <n v="7"/>
    <n v="2.3999999999999986"/>
    <n v="13.86"/>
    <n v="342.85714285714266"/>
    <n v="27.374266142857127"/>
    <n v="20.100999999999999"/>
    <n v="32.178369809214686"/>
  </r>
  <r>
    <x v="0"/>
    <x v="0"/>
    <n v="14"/>
    <n v="1.98"/>
    <s v="2008CSR-159"/>
    <d v="2008-01-29T00:00:00"/>
    <n v="53"/>
    <x v="2"/>
    <d v="2008-02-12T00:00:00"/>
    <n v="59.4"/>
    <n v="2.25"/>
    <n v="14"/>
    <n v="6.3999999999999986"/>
    <n v="0.25"/>
    <x v="1"/>
    <n v="457.142857142857"/>
    <n v="34.04000085714285"/>
    <n v="7"/>
    <n v="0.39999999999999858"/>
    <n v="13.86"/>
    <n v="57.14285714285694"/>
    <n v="14.320000857142848"/>
    <n v="20.100999999999999"/>
    <n v="16.833119136223878"/>
  </r>
  <r>
    <x v="0"/>
    <x v="0"/>
    <n v="14"/>
    <n v="1.98"/>
    <s v="2008CSR-1646"/>
    <d v="2008-01-29T00:00:00"/>
    <n v="60"/>
    <x v="2"/>
    <d v="2008-02-12T00:00:00"/>
    <n v="66.2"/>
    <n v="2"/>
    <n v="14"/>
    <n v="6.2000000000000028"/>
    <n v="0"/>
    <x v="1"/>
    <n v="442.85714285714306"/>
    <n v="34.50243614285715"/>
    <n v="7"/>
    <n v="1.2000000000000028"/>
    <n v="13.86"/>
    <n v="171.42857142857184"/>
    <n v="21.121007571428592"/>
    <n v="20.100999999999999"/>
    <n v="24.827682642882227"/>
  </r>
  <r>
    <x v="0"/>
    <x v="0"/>
    <n v="14"/>
    <n v="1.98"/>
    <s v="2008CSR-1675"/>
    <d v="2008-01-29T00:00:00"/>
    <n v="64.2"/>
    <x v="4"/>
    <d v="2008-02-12T00:00:00"/>
    <n v="70.400000000000006"/>
    <n v="3"/>
    <n v="14"/>
    <n v="6.2000000000000028"/>
    <n v="0"/>
    <x v="1"/>
    <n v="442.85714285714306"/>
    <n v="35.212614142857149"/>
    <n v="7"/>
    <n v="0.60000000000000853"/>
    <n v="13.86"/>
    <n v="85.71428571428693"/>
    <n v="17.605471285714348"/>
    <n v="15.952499999999999"/>
    <n v="16.424051502067726"/>
  </r>
  <r>
    <x v="0"/>
    <x v="0"/>
    <n v="14"/>
    <n v="1.98"/>
    <s v="2008CSR-1711"/>
    <d v="2008-01-29T00:00:00"/>
    <n v="56.4"/>
    <x v="0"/>
    <d v="2008-02-12T00:00:00"/>
    <n v="62.6"/>
    <n v="2.5"/>
    <n v="14"/>
    <n v="6.2000000000000028"/>
    <n v="0"/>
    <x v="1"/>
    <n v="442.85714285714306"/>
    <n v="33.893712142857154"/>
    <n v="7"/>
    <n v="-1.1999999999999957"/>
    <n v="13.86"/>
    <n v="-171.42857142857082"/>
    <n v="3.6094264285714583"/>
    <n v="18.02675"/>
    <n v="3.8050425655702065"/>
  </r>
  <r>
    <x v="0"/>
    <x v="0"/>
    <n v="14"/>
    <n v="1.98"/>
    <s v="2008CSR-1759"/>
    <d v="2008-01-29T00:00:00"/>
    <n v="64"/>
    <x v="4"/>
    <d v="2008-02-12T00:00:00"/>
    <n v="69.8"/>
    <n v="3"/>
    <n v="14"/>
    <n v="5.7999999999999972"/>
    <n v="0"/>
    <x v="1"/>
    <n v="414.28571428571411"/>
    <n v="33.7364067142857"/>
    <n v="7"/>
    <n v="2.2000000000000028"/>
    <n v="13.86"/>
    <n v="314.28571428571468"/>
    <n v="28.806406714285732"/>
    <n v="15.952499999999999"/>
    <n v="26.873345211090239"/>
  </r>
  <r>
    <x v="0"/>
    <x v="0"/>
    <n v="14"/>
    <n v="1.98"/>
    <s v="2008CSR-1781"/>
    <d v="2008-01-29T00:00:00"/>
    <n v="54"/>
    <x v="0"/>
    <d v="2008-02-12T00:00:00"/>
    <n v="57"/>
    <n v="2.5"/>
    <n v="14"/>
    <n v="3"/>
    <n v="0"/>
    <x v="1"/>
    <n v="214.28571428571428"/>
    <n v="21.948780714285711"/>
    <n v="7"/>
    <n v="-0.79999999999999716"/>
    <n v="13.86"/>
    <n v="-114.28571428571388"/>
    <n v="5.7502092857143055"/>
    <n v="18.02675"/>
    <n v="6.0618470901315993"/>
  </r>
  <r>
    <x v="0"/>
    <x v="0"/>
    <n v="14"/>
    <n v="1.98"/>
    <s v="2008CSR-18"/>
    <d v="2008-01-29T00:00:00"/>
    <n v="59.2"/>
    <x v="5"/>
    <d v="2008-02-12T00:00:00"/>
    <n v="64.400000000000006"/>
    <n v="1.75"/>
    <n v="14"/>
    <n v="5.2000000000000028"/>
    <n v="0"/>
    <x v="1"/>
    <n v="371.42857142857162"/>
    <n v="30.761190571428578"/>
    <n v="7"/>
    <n v="0.40000000000000568"/>
    <n v="13.86"/>
    <n v="57.142857142857956"/>
    <n v="15.266904857142897"/>
    <n v="21.138124999999999"/>
    <n v="18.872148727099045"/>
  </r>
  <r>
    <x v="0"/>
    <x v="0"/>
    <n v="14"/>
    <n v="1.98"/>
    <s v="2008CSR-2130"/>
    <d v="2008-01-29T00:00:00"/>
    <n v="57.8"/>
    <x v="5"/>
    <d v="2008-02-12T00:00:00"/>
    <n v="63.4"/>
    <n v="1.75"/>
    <n v="14"/>
    <n v="5.6000000000000014"/>
    <n v="0"/>
    <x v="1"/>
    <n v="400.00000000000006"/>
    <n v="31.966854000000001"/>
    <n v="7"/>
    <n v="2"/>
    <n v="13.86"/>
    <n v="285.71428571428572"/>
    <n v="26.332568285714281"/>
    <n v="21.138124999999999"/>
    <n v="32.55094268973474"/>
  </r>
  <r>
    <x v="0"/>
    <x v="0"/>
    <n v="14"/>
    <n v="1.98"/>
    <s v="2008CSR-2152"/>
    <d v="2008-01-29T00:00:00"/>
    <n v="56.2"/>
    <x v="7"/>
    <d v="2008-02-12T00:00:00"/>
    <n v="63.6"/>
    <n v="2.75"/>
    <n v="14"/>
    <n v="7.3999999999999986"/>
    <n v="0"/>
    <x v="1"/>
    <n v="528.57142857142844"/>
    <n v="38.187062428571423"/>
    <n v="7"/>
    <n v="-1.1999999999999957"/>
    <n v="13.86"/>
    <n v="-171.42857142857082"/>
    <n v="3.6770624285714586"/>
    <n v="16.989624999999997"/>
    <n v="3.6533281732759271"/>
  </r>
  <r>
    <x v="0"/>
    <x v="0"/>
    <n v="14"/>
    <n v="1.98"/>
    <s v="2008CSR-2265"/>
    <d v="2008-01-29T00:00:00"/>
    <n v="58"/>
    <x v="3"/>
    <d v="2008-02-12T00:00:00"/>
    <n v="65.2"/>
    <n v="2.25"/>
    <n v="14"/>
    <n v="7.2000000000000028"/>
    <n v="0"/>
    <x v="1"/>
    <n v="514.28571428571445"/>
    <n v="37.770229714285719"/>
    <n v="7"/>
    <n v="1"/>
    <n v="13.86"/>
    <n v="142.85714285714286"/>
    <n v="19.458801142857141"/>
    <n v="19.063874999999999"/>
    <n v="21.693576177619043"/>
  </r>
  <r>
    <x v="0"/>
    <x v="0"/>
    <n v="14"/>
    <n v="1.98"/>
    <s v="2008CSR-2366"/>
    <d v="2008-01-29T00:00:00"/>
    <n v="67"/>
    <x v="3"/>
    <d v="2008-02-12T00:00:00"/>
    <n v="68.599999999999994"/>
    <n v="2.25"/>
    <n v="14"/>
    <n v="1.5999999999999943"/>
    <n v="0"/>
    <x v="1"/>
    <n v="114.28571428571388"/>
    <n v="19.098587714285692"/>
    <n v="7"/>
    <n v="0.79999999999999716"/>
    <n v="13.86"/>
    <n v="114.28571428571388"/>
    <n v="19.098587714285692"/>
    <n v="19.063874999999999"/>
    <n v="21.291993500682931"/>
  </r>
  <r>
    <x v="0"/>
    <x v="0"/>
    <n v="14"/>
    <n v="1.98"/>
    <s v="2008CSR-2395"/>
    <d v="2008-01-29T00:00:00"/>
    <n v="70.599999999999994"/>
    <x v="4"/>
    <d v="2008-02-12T00:00:00"/>
    <n v="74.2"/>
    <n v="3"/>
    <n v="14"/>
    <n v="3.6000000000000085"/>
    <n v="0"/>
    <x v="1"/>
    <n v="257.14285714285774"/>
    <n v="26.919258857142886"/>
    <n v="7"/>
    <n v="6"/>
    <n v="13.86"/>
    <n v="857.14285714285711"/>
    <n v="56.499258857142856"/>
    <n v="15.952499999999999"/>
    <n v="52.707861223308264"/>
  </r>
  <r>
    <x v="0"/>
    <x v="0"/>
    <n v="14"/>
    <n v="1.98"/>
    <s v="2008CSR-2415"/>
    <d v="2008-01-29T00:00:00"/>
    <n v="61.6"/>
    <x v="0"/>
    <d v="2008-02-12T00:00:00"/>
    <n v="64"/>
    <n v="2.5"/>
    <n v="14"/>
    <n v="2.3999999999999986"/>
    <n v="0"/>
    <x v="1"/>
    <n v="171.42857142857133"/>
    <n v="21.070280571428562"/>
    <n v="7"/>
    <n v="-3"/>
    <n v="13.86"/>
    <n v="-428.57142857142856"/>
    <n v="-8.5097194285714277"/>
    <n v="18.02675"/>
    <n v="-8.9709113864912275"/>
  </r>
  <r>
    <x v="0"/>
    <x v="0"/>
    <n v="14"/>
    <n v="1.98"/>
    <s v="2008CSR-269"/>
    <d v="2008-01-29T00:00:00"/>
    <n v="60"/>
    <x v="0"/>
    <d v="2008-02-12T00:00:00"/>
    <n v="63.8"/>
    <n v="2.25"/>
    <n v="14"/>
    <n v="3.7999999999999972"/>
    <n v="-0.25"/>
    <x v="1"/>
    <n v="271.42857142857122"/>
    <n v="25.848099571428563"/>
    <n v="7"/>
    <n v="0.79999999999999716"/>
    <n v="13.86"/>
    <n v="114.28571428571388"/>
    <n v="18.100956714285694"/>
    <n v="18.02675"/>
    <n v="19.081954470716351"/>
  </r>
  <r>
    <x v="0"/>
    <x v="0"/>
    <n v="14"/>
    <n v="1.98"/>
    <s v="2008CSR-31"/>
    <d v="2008-01-29T00:00:00"/>
    <n v="58"/>
    <x v="4"/>
    <d v="2008-02-12T00:00:00"/>
    <n v="62.8"/>
    <n v="3"/>
    <n v="14"/>
    <n v="4.7999999999999972"/>
    <n v="0"/>
    <x v="1"/>
    <n v="342.85714285714266"/>
    <n v="29.115893142857129"/>
    <n v="7"/>
    <n v="0.79999999999999716"/>
    <n v="13.86"/>
    <n v="114.28571428571388"/>
    <n v="17.847321714285691"/>
    <n v="15.952499999999999"/>
    <n v="16.649672493984937"/>
  </r>
  <r>
    <x v="0"/>
    <x v="0"/>
    <n v="14"/>
    <n v="1.98"/>
    <s v="2008CSR-336"/>
    <d v="2008-01-29T00:00:00"/>
    <n v="55.2"/>
    <x v="0"/>
    <d v="2008-02-12T00:00:00"/>
    <n v="61.4"/>
    <n v="2.5"/>
    <n v="14"/>
    <n v="6.1999999999999957"/>
    <n v="0"/>
    <x v="1"/>
    <n v="442.85714285714255"/>
    <n v="33.690804142857125"/>
    <n v="7"/>
    <n v="-0.60000000000000142"/>
    <n v="13.86"/>
    <n v="-85.714285714285921"/>
    <n v="7.6322327142857036"/>
    <n v="18.02675"/>
    <n v="8.045868484342094"/>
  </r>
  <r>
    <x v="0"/>
    <x v="0"/>
    <n v="14"/>
    <n v="1.98"/>
    <s v="2008CSR-362"/>
    <d v="2008-01-29T00:00:00"/>
    <n v="60.6"/>
    <x v="2"/>
    <d v="2008-02-12T00:00:00"/>
    <n v="63.8"/>
    <n v="2"/>
    <n v="14"/>
    <n v="3.1999999999999957"/>
    <n v="0"/>
    <x v="1"/>
    <n v="228.57142857142827"/>
    <n v="23.785969428571413"/>
    <n v="7"/>
    <n v="3.3999999999999986"/>
    <n v="13.86"/>
    <n v="485.7142857142855"/>
    <n v="36.463112285714274"/>
    <n v="20.100999999999999"/>
    <n v="42.862281874569739"/>
  </r>
  <r>
    <x v="0"/>
    <x v="0"/>
    <n v="14"/>
    <n v="1.98"/>
    <s v="2008CSR-4"/>
    <d v="2008-01-29T00:00:00"/>
    <n v="64.400000000000006"/>
    <x v="5"/>
    <d v="2008-02-12T00:00:00"/>
    <n v="64.8"/>
    <n v="1.75"/>
    <n v="14"/>
    <n v="0.39999999999999147"/>
    <n v="0"/>
    <x v="1"/>
    <n v="28.571428571427962"/>
    <n v="14.331785428571397"/>
    <n v="7"/>
    <n v="0.39999999999999147"/>
    <n v="13.86"/>
    <n v="57.142857142855924"/>
    <n v="15.740356857142796"/>
    <n v="21.138124999999999"/>
    <n v="19.457405309408859"/>
  </r>
  <r>
    <x v="0"/>
    <x v="0"/>
    <n v="14"/>
    <n v="1.98"/>
    <s v="2008CSR-797"/>
    <d v="2008-01-29T00:00:00"/>
    <n v="54"/>
    <x v="5"/>
    <d v="2008-02-12T00:00:00"/>
    <n v="59.2"/>
    <n v="1.75"/>
    <n v="14"/>
    <n v="5.2000000000000028"/>
    <n v="0"/>
    <x v="1"/>
    <n v="371.42857142857162"/>
    <n v="29.881922571428579"/>
    <n v="7"/>
    <n v="-1.7999999999999972"/>
    <n v="13.86"/>
    <n v="-257.14285714285671"/>
    <n v="-1.1066488571428366"/>
    <n v="21.138124999999999"/>
    <n v="-1.3679813961048197"/>
  </r>
  <r>
    <x v="0"/>
    <x v="0"/>
    <n v="14"/>
    <n v="1.98"/>
    <s v="2008CSR-82"/>
    <d v="2008-01-29T00:00:00"/>
    <n v="71"/>
    <x v="2"/>
    <d v="2008-02-12T00:00:00"/>
    <n v="70"/>
    <n v="2.25"/>
    <n v="14"/>
    <n v="-1"/>
    <n v="0.25"/>
    <x v="1"/>
    <n v="-71.428571428571431"/>
    <n v="10.399416428571429"/>
    <n v="7"/>
    <n v="0.59999999999999432"/>
    <n v="13.86"/>
    <n v="85.714285714284898"/>
    <n v="18.146559285714247"/>
    <n v="20.100999999999999"/>
    <n v="21.331227380242225"/>
  </r>
  <r>
    <x v="1"/>
    <x v="1"/>
    <n v="29"/>
    <n v="3.96"/>
    <s v="2008HSR-1001"/>
    <d v="2008-01-29T00:00:00"/>
    <n v="50.8"/>
    <x v="5"/>
    <d v="2008-02-12T00:00:00"/>
    <n v="57.2"/>
    <n v="1.75"/>
    <n v="14"/>
    <n v="6.4000000000000057"/>
    <n v="0"/>
    <x v="4"/>
    <n v="457.14285714285757"/>
    <n v="33.668002857142881"/>
    <n v="7"/>
    <n v="0.80000000000000426"/>
    <n v="27.72"/>
    <n v="114.28571428571489"/>
    <n v="16.765145714285744"/>
    <n v="21.138124999999999"/>
    <n v="20.724195657999196"/>
  </r>
  <r>
    <x v="1"/>
    <x v="1"/>
    <n v="29"/>
    <n v="3.96"/>
    <s v="2008HSR-1027"/>
    <d v="2008-01-29T00:00:00"/>
    <n v="59.6"/>
    <x v="5"/>
    <d v="2008-02-12T00:00:00"/>
    <n v="66.8"/>
    <n v="1.75"/>
    <n v="14"/>
    <n v="7.1999999999999957"/>
    <n v="0"/>
    <x v="4"/>
    <n v="514.28571428571399"/>
    <n v="38.040773714285699"/>
    <n v="7"/>
    <n v="2.2000000000000028"/>
    <n v="27.72"/>
    <n v="314.28571428571468"/>
    <n v="28.180773714285735"/>
    <n v="21.138124999999999"/>
    <n v="34.835597506975795"/>
  </r>
  <r>
    <x v="1"/>
    <x v="1"/>
    <n v="29"/>
    <n v="3.96"/>
    <s v="2008HSR-117"/>
    <d v="2008-01-29T00:00:00"/>
    <n v="53.8"/>
    <x v="2"/>
    <d v="2008-02-12T00:00:00"/>
    <n v="57.4"/>
    <n v="2.25"/>
    <n v="14"/>
    <n v="3.6000000000000014"/>
    <n v="0.25"/>
    <x v="4"/>
    <n v="257.14285714285722"/>
    <n v="24.078546857142861"/>
    <n v="7"/>
    <n v="-1.2000000000000028"/>
    <n v="27.72"/>
    <n v="-171.42857142857184"/>
    <n v="2.9499754285714062"/>
    <n v="20.100999999999999"/>
    <n v="3.4676874906265396"/>
  </r>
  <r>
    <x v="1"/>
    <x v="1"/>
    <n v="29"/>
    <n v="3.96"/>
    <s v="2008HSR-1185"/>
    <d v="2008-01-29T00:00:00"/>
    <n v="61.4"/>
    <x v="0"/>
    <d v="2008-02-12T00:00:00"/>
    <n v="65.400000000000006"/>
    <n v="2.5"/>
    <n v="14"/>
    <n v="4.0000000000000071"/>
    <n v="0"/>
    <x v="4"/>
    <n v="285.71428571428618"/>
    <n v="26.806020285714311"/>
    <n v="7"/>
    <n v="-0.59999999999999432"/>
    <n v="27.72"/>
    <n v="-85.714285714284898"/>
    <n v="8.4945917142857557"/>
    <n v="18.02675"/>
    <n v="8.9549638120175867"/>
  </r>
  <r>
    <x v="1"/>
    <x v="1"/>
    <n v="29"/>
    <n v="3.96"/>
    <s v="2008HSR-1273"/>
    <d v="2008-01-29T00:00:00"/>
    <n v="55"/>
    <x v="8"/>
    <d v="2008-02-12T00:00:00"/>
    <n v="63.6"/>
    <n v="1.5"/>
    <n v="14"/>
    <n v="8.6000000000000014"/>
    <n v="0"/>
    <x v="4"/>
    <n v="614.28571428571445"/>
    <n v="42.311322714285716"/>
    <n v="7"/>
    <n v="3.3999999999999986"/>
    <n v="27.72"/>
    <n v="485.7142857142855"/>
    <n v="35.972751285714274"/>
    <n v="22.175249999999998"/>
    <n v="46.649400757224292"/>
  </r>
  <r>
    <x v="1"/>
    <x v="1"/>
    <n v="29"/>
    <n v="3.96"/>
    <s v="2008HSR-1283"/>
    <d v="2008-01-29T00:00:00"/>
    <n v="61"/>
    <x v="0"/>
    <d v="2008-02-12T00:00:00"/>
    <n v="66.2"/>
    <n v="2.5"/>
    <n v="14"/>
    <n v="5.2000000000000028"/>
    <n v="0"/>
    <x v="4"/>
    <n v="371.42857142857162"/>
    <n v="31.065552571428576"/>
    <n v="7"/>
    <n v="4"/>
    <n v="27.72"/>
    <n v="571.42857142857144"/>
    <n v="40.925552571428568"/>
    <n v="18.02675"/>
    <n v="43.143549989298236"/>
  </r>
  <r>
    <x v="1"/>
    <x v="1"/>
    <n v="29"/>
    <n v="3.96"/>
    <s v="2008HSR-1337"/>
    <d v="2008-01-29T00:00:00"/>
    <n v="51.6"/>
    <x v="3"/>
    <d v="2008-02-12T00:00:00"/>
    <n v="58.6"/>
    <n v="2.25"/>
    <n v="14"/>
    <n v="7"/>
    <n v="0"/>
    <x v="4"/>
    <n v="500"/>
    <n v="35.966858999999999"/>
    <n v="7"/>
    <n v="3.2000000000000028"/>
    <n v="27.72"/>
    <n v="457.14285714285757"/>
    <n v="33.854001857142876"/>
    <n v="19.063874999999999"/>
    <n v="37.7420151844643"/>
  </r>
  <r>
    <x v="1"/>
    <x v="1"/>
    <n v="29"/>
    <n v="3.96"/>
    <s v="2008HSR-1468"/>
    <d v="2008-01-29T00:00:00"/>
    <n v="60.2"/>
    <x v="5"/>
    <d v="2008-02-12T00:00:00"/>
    <n v="70.400000000000006"/>
    <n v="1.75"/>
    <n v="14"/>
    <n v="10.200000000000003"/>
    <n v="0"/>
    <x v="4"/>
    <n v="728.57142857142878"/>
    <n v="48.960148428571436"/>
    <n v="7"/>
    <n v="3.6000000000000085"/>
    <n v="27.72"/>
    <n v="514.28571428571547"/>
    <n v="38.395862714285769"/>
    <n v="21.138124999999999"/>
    <n v="47.462955879380807"/>
  </r>
  <r>
    <x v="1"/>
    <x v="1"/>
    <n v="29"/>
    <n v="3.96"/>
    <s v="2008HSR-155"/>
    <d v="2008-01-29T00:00:00"/>
    <n v="51.6"/>
    <x v="5"/>
    <d v="2008-02-12T00:00:00"/>
    <n v="58.6"/>
    <n v="2"/>
    <n v="14"/>
    <n v="7"/>
    <n v="0.25"/>
    <x v="4"/>
    <n v="500"/>
    <n v="35.966858999999999"/>
    <n v="7"/>
    <n v="1.8000000000000043"/>
    <n v="27.72"/>
    <n v="257.14285714285774"/>
    <n v="23.994001857142884"/>
    <n v="21.138124999999999"/>
    <n v="29.660129269387038"/>
  </r>
  <r>
    <x v="1"/>
    <x v="1"/>
    <n v="29"/>
    <n v="3.96"/>
    <s v="2008HSR-1604"/>
    <d v="2008-01-29T00:00:00"/>
    <n v="60.2"/>
    <x v="5"/>
    <d v="2008-02-12T00:00:00"/>
    <n v="65.400000000000006"/>
    <n v="1.75"/>
    <n v="14"/>
    <n v="5.2000000000000028"/>
    <n v="0"/>
    <x v="4"/>
    <n v="371.42857142857162"/>
    <n v="30.930280571428579"/>
    <n v="7"/>
    <n v="-0.19999999999998863"/>
    <n v="27.72"/>
    <n v="-28.571428571426946"/>
    <n v="11.210280571428651"/>
    <n v="21.138124999999999"/>
    <n v="13.857562105492995"/>
  </r>
  <r>
    <x v="1"/>
    <x v="1"/>
    <n v="29"/>
    <n v="3.96"/>
    <s v="2008HSR-1605"/>
    <d v="2008-01-29T00:00:00"/>
    <n v="54.6"/>
    <x v="3"/>
    <d v="2008-02-12T00:00:00"/>
    <n v="58.6"/>
    <n v="2.25"/>
    <n v="14"/>
    <n v="4"/>
    <n v="0"/>
    <x v="4"/>
    <n v="285.71428571428572"/>
    <n v="25.656208285714285"/>
    <n v="7"/>
    <n v="-3.3999999999999986"/>
    <n v="27.72"/>
    <n v="-485.7142857142855"/>
    <n v="-12.375220285714274"/>
    <n v="19.063874999999999"/>
    <n v="-13.796470913702993"/>
  </r>
  <r>
    <x v="1"/>
    <x v="1"/>
    <n v="29"/>
    <n v="3.96"/>
    <s v="2008HSR-1625"/>
    <d v="2008-01-29T00:00:00"/>
    <n v="64.599999999999994"/>
    <x v="0"/>
    <d v="2008-02-12T00:00:00"/>
    <n v="71"/>
    <n v="2.5"/>
    <n v="14"/>
    <n v="6.4000000000000057"/>
    <n v="0"/>
    <x v="4"/>
    <n v="457.14285714285757"/>
    <n v="36.001444857142879"/>
    <n v="7"/>
    <n v="0.40000000000000568"/>
    <n v="27.72"/>
    <n v="57.142857142857956"/>
    <n v="16.281444857142894"/>
    <n v="18.02675"/>
    <n v="17.163832519210562"/>
  </r>
  <r>
    <x v="1"/>
    <x v="1"/>
    <n v="29"/>
    <n v="3.96"/>
    <s v="2008HSR-1644"/>
    <d v="2008-01-29T00:00:00"/>
    <n v="62.8"/>
    <x v="0"/>
    <d v="2008-02-12T00:00:00"/>
    <n v="71.8"/>
    <n v="2.5"/>
    <n v="14"/>
    <n v="9"/>
    <n v="0"/>
    <x v="4"/>
    <n v="642.85714285714289"/>
    <n v="45.072614142857141"/>
    <n v="7"/>
    <n v="2.3999999999999915"/>
    <n v="27.72"/>
    <n v="342.85714285714164"/>
    <n v="30.282614142857085"/>
    <n v="18.02675"/>
    <n v="31.923807865482388"/>
  </r>
  <r>
    <x v="1"/>
    <x v="1"/>
    <n v="29"/>
    <n v="3.96"/>
    <s v="2008HSR-1674"/>
    <d v="2008-01-29T00:00:00"/>
    <n v="50.2"/>
    <x v="8"/>
    <d v="2008-02-12T00:00:00"/>
    <n v="58"/>
    <n v="1.5"/>
    <n v="14"/>
    <n v="7.7999999999999972"/>
    <n v="0"/>
    <x v="4"/>
    <n v="557.14285714285688"/>
    <n v="38.614911857142843"/>
    <n v="7"/>
    <n v="5.2000000000000028"/>
    <n v="27.72"/>
    <n v="742.85714285714323"/>
    <n v="47.770626142857154"/>
    <n v="22.175249999999998"/>
    <n v="61.948864173941111"/>
  </r>
  <r>
    <x v="1"/>
    <x v="1"/>
    <n v="29"/>
    <n v="3.96"/>
    <s v="2008HSR-1682"/>
    <d v="2008-01-29T00:00:00"/>
    <n v="60.8"/>
    <x v="3"/>
    <d v="2008-02-12T00:00:00"/>
    <n v="73.599999999999994"/>
    <n v="2.25"/>
    <n v="14"/>
    <n v="12.799999999999997"/>
    <n v="0"/>
    <x v="4"/>
    <n v="914.28571428571399"/>
    <n v="58.4371337142857"/>
    <n v="7"/>
    <n v="5.3999999999999915"/>
    <n v="27.72"/>
    <n v="771.42857142857019"/>
    <n v="51.394276571428513"/>
    <n v="19.063874999999999"/>
    <n v="57.296728904862078"/>
  </r>
  <r>
    <x v="1"/>
    <x v="1"/>
    <n v="29"/>
    <n v="3.96"/>
    <s v="2008HSR-1726"/>
    <d v="2008-01-29T00:00:00"/>
    <n v="57.6"/>
    <x v="4"/>
    <d v="2008-02-12T00:00:00"/>
    <n v="67.400000000000006"/>
    <n v="3"/>
    <n v="14"/>
    <n v="9.8000000000000043"/>
    <n v="0"/>
    <x v="4"/>
    <n v="700.00000000000034"/>
    <n v="47.078125000000014"/>
    <n v="7"/>
    <n v="4.0000000000000071"/>
    <n v="27.72"/>
    <n v="571.42857142857235"/>
    <n v="40.739553571428615"/>
    <n v="15.952499999999999"/>
    <n v="38.005715108082747"/>
  </r>
  <r>
    <x v="1"/>
    <x v="1"/>
    <n v="29"/>
    <n v="3.96"/>
    <s v="2008HSR-1729"/>
    <d v="2008-01-29T00:00:00"/>
    <n v="68.8"/>
    <x v="6"/>
    <d v="2008-02-12T00:00:00"/>
    <n v="70.2"/>
    <n v="3.5"/>
    <n v="14"/>
    <n v="1.4000000000000057"/>
    <n v="0"/>
    <x v="4"/>
    <n v="100.00000000000041"/>
    <n v="18.68175500000002"/>
    <n v="7"/>
    <n v="0.40000000000000568"/>
    <n v="27.72"/>
    <n v="57.142857142857956"/>
    <n v="16.568897857142897"/>
    <n v="13.878249999999998"/>
    <n v="13.447210917303705"/>
  </r>
  <r>
    <x v="1"/>
    <x v="1"/>
    <n v="29"/>
    <n v="3.96"/>
    <s v="2008HSR-1762"/>
    <d v="2008-01-29T00:00:00"/>
    <n v="57.6"/>
    <x v="3"/>
    <d v="2008-02-12T00:00:00"/>
    <n v="69.400000000000006"/>
    <n v="2.25"/>
    <n v="14"/>
    <n v="11.800000000000004"/>
    <n v="0"/>
    <x v="4"/>
    <n v="842.85714285714323"/>
    <n v="54.290072142857156"/>
    <n v="7"/>
    <n v="3.4000000000000057"/>
    <n v="27.72"/>
    <n v="485.71428571428652"/>
    <n v="36.682929285714323"/>
    <n v="19.063874999999999"/>
    <n v="40.895835002146029"/>
  </r>
  <r>
    <x v="1"/>
    <x v="1"/>
    <n v="29"/>
    <n v="3.96"/>
    <s v="2008HSR-1766"/>
    <d v="2008-01-29T00:00:00"/>
    <n v="55.4"/>
    <x v="5"/>
    <d v="2008-02-12T00:00:00"/>
    <n v="64.8"/>
    <n v="1.75"/>
    <n v="14"/>
    <n v="9.3999999999999986"/>
    <n v="0"/>
    <x v="4"/>
    <n v="671.42857142857133"/>
    <n v="45.263737571428564"/>
    <n v="7"/>
    <n v="2"/>
    <n v="27.72"/>
    <n v="285.71428571428572"/>
    <n v="26.248023285714282"/>
    <n v="21.138124999999999"/>
    <n v="32.446432585750827"/>
  </r>
  <r>
    <x v="1"/>
    <x v="1"/>
    <n v="29"/>
    <n v="3.96"/>
    <s v="2008HSR-209"/>
    <d v="2008-01-29T00:00:00"/>
    <n v="53.8"/>
    <x v="3"/>
    <d v="2008-02-12T00:00:00"/>
    <n v="63.4"/>
    <n v="2.25"/>
    <n v="14"/>
    <n v="9.6000000000000014"/>
    <n v="0"/>
    <x v="4"/>
    <n v="685.71428571428578"/>
    <n v="45.714388285714286"/>
    <n v="7"/>
    <n v="5.3999999999999986"/>
    <n v="27.72"/>
    <n v="771.42857142857122"/>
    <n v="49.940102571428561"/>
    <n v="19.063874999999999"/>
    <n v="55.675548123327047"/>
  </r>
  <r>
    <x v="1"/>
    <x v="1"/>
    <n v="29"/>
    <n v="3.96"/>
    <s v="2008HSR-2181"/>
    <d v="2008-01-29T00:00:00"/>
    <n v="59.2"/>
    <x v="3"/>
    <d v="2008-02-12T00:00:00"/>
    <n v="66.400000000000006"/>
    <n v="2.5"/>
    <n v="14"/>
    <n v="7.2000000000000028"/>
    <n v="0.25"/>
    <x v="4"/>
    <n v="514.28571428571445"/>
    <n v="37.973137714285727"/>
    <n v="7"/>
    <n v="4.8000000000000043"/>
    <n v="27.72"/>
    <n v="685.71428571428623"/>
    <n v="46.424566285714306"/>
    <n v="19.063874999999999"/>
    <n v="51.756264830413549"/>
  </r>
  <r>
    <x v="1"/>
    <x v="1"/>
    <n v="29"/>
    <n v="3.96"/>
    <s v="2008HSR-2190"/>
    <d v="2008-01-29T00:00:00"/>
    <n v="58"/>
    <x v="5"/>
    <d v="2008-02-12T00:00:00"/>
    <n v="65.599999999999994"/>
    <n v="1.75"/>
    <n v="14"/>
    <n v="7.5999999999999943"/>
    <n v="0"/>
    <x v="4"/>
    <n v="542.85714285714243"/>
    <n v="39.212619142857122"/>
    <n v="7"/>
    <n v="-5"/>
    <n v="27.72"/>
    <n v="-714.28571428571433"/>
    <n v="-22.764523714285716"/>
    <n v="21.138124999999999"/>
    <n v="-28.140312739066413"/>
  </r>
  <r>
    <x v="1"/>
    <x v="1"/>
    <n v="29"/>
    <n v="3.96"/>
    <s v="2008HSR-2192"/>
    <d v="2008-01-29T00:00:00"/>
    <n v="68"/>
    <x v="4"/>
    <d v="2008-02-12T00:00:00"/>
    <n v="75.2"/>
    <n v="3"/>
    <n v="14"/>
    <n v="7.2000000000000028"/>
    <n v="0"/>
    <x v="4"/>
    <n v="514.28571428571445"/>
    <n v="39.461129714285718"/>
    <n v="7"/>
    <n v="3.4000000000000057"/>
    <n v="27.72"/>
    <n v="485.71428571428652"/>
    <n v="38.052558285714326"/>
    <n v="15.952499999999999"/>
    <n v="35.499031348120333"/>
  </r>
  <r>
    <x v="1"/>
    <x v="1"/>
    <n v="29"/>
    <n v="3.96"/>
    <s v="2008HSR-2195"/>
    <d v="2008-01-29T00:00:00"/>
    <n v="64.599999999999994"/>
    <x v="4"/>
    <d v="2008-02-12T00:00:00"/>
    <n v="70.8"/>
    <n v="3"/>
    <n v="14"/>
    <n v="6.2000000000000028"/>
    <n v="0"/>
    <x v="4"/>
    <n v="442.85714285714306"/>
    <n v="35.280250142857149"/>
    <n v="7"/>
    <n v="8"/>
    <n v="27.72"/>
    <n v="1142.8571428571429"/>
    <n v="69.790250142857133"/>
    <n v="15.952499999999999"/>
    <n v="65.106957041165401"/>
  </r>
  <r>
    <x v="1"/>
    <x v="1"/>
    <n v="29"/>
    <n v="3.96"/>
    <s v="2008HSR-221"/>
    <d v="2008-01-29T00:00:00"/>
    <n v="56"/>
    <x v="2"/>
    <d v="2008-02-12T00:00:00"/>
    <n v="59"/>
    <n v="2.25"/>
    <n v="14"/>
    <n v="3"/>
    <n v="0.25"/>
    <x v="4"/>
    <n v="214.28571428571428"/>
    <n v="22.286960714285712"/>
    <n v="7"/>
    <n v="3.2000000000000028"/>
    <n v="27.72"/>
    <n v="457.14285714285757"/>
    <n v="34.259817857142878"/>
    <n v="20.100999999999999"/>
    <n v="40.27231571616543"/>
  </r>
  <r>
    <x v="1"/>
    <x v="1"/>
    <n v="29"/>
    <n v="3.96"/>
    <s v="2008HSR-2228"/>
    <d v="2008-01-29T00:00:00"/>
    <n v="62.8"/>
    <x v="2"/>
    <d v="2008-02-12T00:00:00"/>
    <n v="68.599999999999994"/>
    <n v="2"/>
    <n v="14"/>
    <n v="5.7999999999999972"/>
    <n v="0"/>
    <x v="4"/>
    <n v="414.28571428571411"/>
    <n v="33.533498714285699"/>
    <n v="7"/>
    <n v="2.5999999999999943"/>
    <n v="27.72"/>
    <n v="371.42857142857059"/>
    <n v="31.420641571428526"/>
    <n v="20.100999999999999"/>
    <n v="36.934872293993259"/>
  </r>
  <r>
    <x v="1"/>
    <x v="1"/>
    <n v="29"/>
    <n v="3.96"/>
    <s v="2008HSR-2858"/>
    <d v="2008-01-29T00:00:00"/>
    <n v="59"/>
    <x v="3"/>
    <d v="2008-02-12T00:00:00"/>
    <n v="71.400000000000006"/>
    <n v="2.25"/>
    <n v="14"/>
    <n v="12.400000000000006"/>
    <n v="0"/>
    <x v="4"/>
    <n v="885.71428571428612"/>
    <n v="56.6903822857143"/>
    <n v="7"/>
    <n v="7.8000000000000043"/>
    <n v="27.72"/>
    <n v="1114.2857142857149"/>
    <n v="67.958953714285741"/>
    <n v="19.063874999999999"/>
    <n v="75.763801095902281"/>
  </r>
  <r>
    <x v="1"/>
    <x v="1"/>
    <n v="29"/>
    <n v="3.96"/>
    <s v="2008HSR-345"/>
    <d v="2008-01-29T00:00:00"/>
    <n v="56.4"/>
    <x v="2"/>
    <d v="2008-02-12T00:00:00"/>
    <n v="63.6"/>
    <n v="2"/>
    <n v="14"/>
    <n v="7.2000000000000028"/>
    <n v="0"/>
    <x v="4"/>
    <n v="514.28571428571445"/>
    <n v="37.499685714285718"/>
    <n v="7"/>
    <n v="2.6000000000000014"/>
    <n v="27.72"/>
    <n v="371.42857142857162"/>
    <n v="30.456828571428577"/>
    <n v="20.100999999999999"/>
    <n v="35.801912930659981"/>
  </r>
  <r>
    <x v="1"/>
    <x v="1"/>
    <n v="29"/>
    <n v="3.96"/>
    <s v="2008HSR-356"/>
    <d v="2008-01-29T00:00:00"/>
    <n v="58"/>
    <x v="3"/>
    <d v="2008-02-12T00:00:00"/>
    <n v="64.400000000000006"/>
    <n v="2.5"/>
    <n v="14"/>
    <n v="6.4000000000000057"/>
    <n v="0.25"/>
    <x v="4"/>
    <n v="457.14285714285757"/>
    <n v="34.885450857142878"/>
    <n v="7"/>
    <n v="2.0000000000000071"/>
    <n v="27.72"/>
    <n v="285.71428571428675"/>
    <n v="26.434022285714335"/>
    <n v="19.063874999999999"/>
    <n v="29.469876994273235"/>
  </r>
  <r>
    <x v="1"/>
    <x v="1"/>
    <n v="29"/>
    <n v="3.96"/>
    <s v="2008HSR-457"/>
    <d v="2008-01-29T00:00:00"/>
    <n v="56"/>
    <x v="4"/>
    <d v="2008-02-12T00:00:00"/>
    <n v="64.2"/>
    <n v="2.75"/>
    <n v="14"/>
    <n v="8.2000000000000028"/>
    <n v="-0.25"/>
    <x v="4"/>
    <n v="585.71428571428601"/>
    <n v="41.038023285714296"/>
    <n v="7"/>
    <n v="1.2000000000000028"/>
    <n v="27.72"/>
    <n v="171.42857142857184"/>
    <n v="20.613737571428594"/>
    <n v="15.952499999999999"/>
    <n v="19.230447287030092"/>
  </r>
  <r>
    <x v="1"/>
    <x v="1"/>
    <n v="29"/>
    <n v="3.96"/>
    <s v="2008HSR-891"/>
    <d v="2008-01-29T00:00:00"/>
    <n v="63.8"/>
    <x v="5"/>
    <d v="2008-02-12T00:00:00"/>
    <n v="68.2"/>
    <n v="1.75"/>
    <n v="14"/>
    <n v="4.4000000000000057"/>
    <n v="0"/>
    <x v="4"/>
    <n v="314.28571428571468"/>
    <n v="28.65422571428573"/>
    <n v="7"/>
    <n v="2.2000000000000028"/>
    <n v="27.72"/>
    <n v="314.28571428571468"/>
    <n v="28.65422571428573"/>
    <n v="21.138124999999999"/>
    <n v="35.420854089285726"/>
  </r>
  <r>
    <x v="1"/>
    <x v="1"/>
    <n v="29"/>
    <n v="3.96"/>
    <s v="2008HSR-901"/>
    <d v="2008-01-29T00:00:00"/>
    <n v="58.2"/>
    <x v="5"/>
    <d v="2008-02-12T00:00:00"/>
    <n v="68.2"/>
    <n v="2"/>
    <n v="14"/>
    <n v="10"/>
    <n v="0.25"/>
    <x v="4"/>
    <n v="714.28571428571433"/>
    <n v="47.90077371428572"/>
    <n v="7"/>
    <n v="5"/>
    <n v="27.72"/>
    <n v="714.28571428571433"/>
    <n v="47.90077371428572"/>
    <n v="21.138124999999999"/>
    <n v="59.212429378320806"/>
  </r>
  <r>
    <x v="1"/>
    <x v="1"/>
    <n v="29"/>
    <n v="3.96"/>
    <s v="2008HSR-913"/>
    <d v="2008-01-29T00:00:00"/>
    <n v="51"/>
    <x v="2"/>
    <d v="2008-02-12T00:00:00"/>
    <n v="57"/>
    <n v="2"/>
    <n v="14"/>
    <n v="6"/>
    <n v="0"/>
    <x v="4"/>
    <n v="428.57142857142856"/>
    <n v="32.259431428571425"/>
    <n v="7"/>
    <n v="1"/>
    <n v="27.72"/>
    <n v="142.85714285714286"/>
    <n v="18.173717142857143"/>
    <n v="20.100999999999999"/>
    <n v="21.363151361904759"/>
  </r>
  <r>
    <x v="1"/>
    <x v="1"/>
    <n v="29"/>
    <n v="3.96"/>
    <s v="2008HSR-997"/>
    <d v="2008-01-29T00:00:00"/>
    <n v="57.8"/>
    <x v="3"/>
    <d v="2008-02-12T00:00:00"/>
    <n v="65"/>
    <n v="2.25"/>
    <n v="14"/>
    <n v="7.2000000000000028"/>
    <n v="0"/>
    <x v="4"/>
    <n v="514.28571428571445"/>
    <n v="37.736411714285722"/>
    <n v="7"/>
    <n v="3.3999999999999986"/>
    <n v="27.72"/>
    <n v="485.7142857142855"/>
    <n v="36.327840285714274"/>
    <n v="19.063874999999999"/>
    <n v="40.499965276422287"/>
  </r>
  <r>
    <x v="1"/>
    <x v="4"/>
    <n v="186"/>
    <n v="2.4300000000000002"/>
    <s v="2015E-1054"/>
    <d v="2015-02-10T00:00:00"/>
    <n v="54.6"/>
    <x v="4"/>
    <d v="2015-02-24T00:00:00"/>
    <n v="59"/>
    <n v="3.5"/>
    <n v="14"/>
    <n v="4.3999999999999986"/>
    <n v="0.5"/>
    <x v="5"/>
    <n v="314.28571428571416"/>
    <n v="27.098597714285706"/>
    <n v="14"/>
    <n v="4.3999999999999986"/>
    <n v="34.020000000000003"/>
    <n v="314.28571428571416"/>
    <n v="27.098597714285706"/>
    <n v="15.952499999999999"/>
    <n v="25.280139183458637"/>
  </r>
  <r>
    <x v="1"/>
    <x v="4"/>
    <n v="186"/>
    <n v="2.4300000000000002"/>
    <s v="2015E-1063"/>
    <d v="2015-02-10T00:00:00"/>
    <n v="56.8"/>
    <x v="6"/>
    <d v="2015-02-24T00:00:00"/>
    <n v="55"/>
    <n v="3.5"/>
    <n v="14"/>
    <n v="-1.7999999999999972"/>
    <n v="0"/>
    <x v="5"/>
    <n v="-128.57142857142836"/>
    <n v="5.1135595714285813"/>
    <n v="14"/>
    <n v="-1.7999999999999972"/>
    <n v="34.020000000000003"/>
    <n v="-128.57142857142836"/>
    <n v="5.1135595714285813"/>
    <n v="13.878249999999998"/>
    <n v="4.1501320539285782"/>
  </r>
  <r>
    <x v="1"/>
    <x v="4"/>
    <n v="186"/>
    <n v="2.4300000000000002"/>
    <s v="2015E-1236"/>
    <d v="2015-02-10T00:00:00"/>
    <n v="54.6"/>
    <x v="0"/>
    <d v="2015-02-24T00:00:00"/>
    <n v="59"/>
    <n v="3"/>
    <n v="14"/>
    <n v="4.3999999999999986"/>
    <n v="0.5"/>
    <x v="5"/>
    <n v="314.28571428571416"/>
    <n v="27.098597714285706"/>
    <n v="14"/>
    <n v="4.3999999999999986"/>
    <n v="34.020000000000003"/>
    <n v="314.28571428571416"/>
    <n v="27.098597714285706"/>
    <n v="18.02675"/>
    <n v="28.567230780467824"/>
  </r>
  <r>
    <x v="1"/>
    <x v="4"/>
    <n v="186"/>
    <n v="2.4300000000000002"/>
    <s v="2015E-1242"/>
    <d v="2015-02-10T00:00:00"/>
    <n v="57.6"/>
    <x v="9"/>
    <d v="2015-02-24T00:00:00"/>
    <n v="63.5"/>
    <n v="4"/>
    <n v="14"/>
    <n v="5.8999999999999986"/>
    <n v="0"/>
    <x v="5"/>
    <n v="421.42857142857133"/>
    <n v="33.01482807142856"/>
    <n v="14"/>
    <n v="5.8999999999999986"/>
    <n v="34.020000000000003"/>
    <n v="421.42857142857133"/>
    <n v="33.01482807142856"/>
    <n v="11.803999999999998"/>
    <n v="22.789884827786121"/>
  </r>
  <r>
    <x v="1"/>
    <x v="4"/>
    <n v="186"/>
    <n v="2.4300000000000002"/>
    <s v="2015E-1267"/>
    <d v="2015-02-10T00:00:00"/>
    <n v="58.4"/>
    <x v="0"/>
    <d v="2015-02-24T00:00:00"/>
    <n v="59"/>
    <n v="4"/>
    <n v="14"/>
    <n v="0.60000000000000142"/>
    <n v="1.5"/>
    <x v="5"/>
    <n v="42.857142857142961"/>
    <n v="14.038440142857148"/>
    <n v="14"/>
    <n v="0.60000000000000142"/>
    <n v="34.020000000000003"/>
    <n v="42.857142857142961"/>
    <n v="14.038440142857148"/>
    <n v="18.02675"/>
    <n v="14.799266131301174"/>
  </r>
  <r>
    <x v="1"/>
    <x v="4"/>
    <n v="186"/>
    <n v="2.4300000000000002"/>
    <s v="2015E-1275"/>
    <d v="2015-02-10T00:00:00"/>
    <n v="56"/>
    <x v="4"/>
    <d v="2015-02-24T00:00:00"/>
    <n v="57.5"/>
    <n v="3.5"/>
    <n v="14"/>
    <n v="1.5"/>
    <n v="0.5"/>
    <x v="5"/>
    <n v="107.14285714285714"/>
    <n v="16.878000357142856"/>
    <n v="14"/>
    <n v="1.5"/>
    <n v="34.020000000000003"/>
    <n v="107.14285714285714"/>
    <n v="16.878000357142856"/>
    <n v="15.952499999999999"/>
    <n v="15.74539770159774"/>
  </r>
  <r>
    <x v="1"/>
    <x v="4"/>
    <n v="186"/>
    <n v="2.4300000000000002"/>
    <s v="2015E-1276"/>
    <d v="2015-02-10T00:00:00"/>
    <n v="56.8"/>
    <x v="6"/>
    <d v="2015-02-24T00:00:00"/>
    <n v="61"/>
    <n v="4"/>
    <n v="14"/>
    <n v="4.2000000000000028"/>
    <n v="0.5"/>
    <x v="5"/>
    <n v="300.00000000000023"/>
    <n v="26.74940100000001"/>
    <n v="14"/>
    <n v="4.2000000000000028"/>
    <n v="34.020000000000003"/>
    <n v="300.00000000000023"/>
    <n v="26.74940100000001"/>
    <n v="13.878249999999998"/>
    <n v="21.709641779429827"/>
  </r>
  <r>
    <x v="1"/>
    <x v="4"/>
    <n v="186"/>
    <n v="2.4300000000000002"/>
    <s v="2015E-1296"/>
    <d v="2015-02-10T00:00:00"/>
    <n v="57.8"/>
    <x v="4"/>
    <d v="2015-02-24T00:00:00"/>
    <n v="60.5"/>
    <n v="4"/>
    <n v="14"/>
    <n v="2.7000000000000028"/>
    <n v="1"/>
    <x v="5"/>
    <n v="192.85714285714306"/>
    <n v="21.50953064285715"/>
    <n v="14"/>
    <n v="2.7000000000000028"/>
    <n v="34.020000000000003"/>
    <n v="192.85714285714306"/>
    <n v="21.50953064285715"/>
    <n v="15.952499999999999"/>
    <n v="20.066127928665416"/>
  </r>
  <r>
    <x v="1"/>
    <x v="4"/>
    <n v="186"/>
    <n v="2.4300000000000002"/>
    <s v="2015E-1300"/>
    <d v="2015-02-10T00:00:00"/>
    <n v="52.4"/>
    <x v="0"/>
    <d v="2015-02-24T00:00:00"/>
    <n v="59.5"/>
    <n v="3.5"/>
    <n v="14"/>
    <n v="7.1000000000000014"/>
    <n v="1"/>
    <x v="5"/>
    <n v="507.14285714285722"/>
    <n v="36.462728357142865"/>
    <n v="14"/>
    <n v="7.1000000000000014"/>
    <n v="34.020000000000003"/>
    <n v="507.14285714285722"/>
    <n v="36.462728357142865"/>
    <n v="18.02675"/>
    <n v="38.438858971469301"/>
  </r>
  <r>
    <x v="1"/>
    <x v="4"/>
    <n v="186"/>
    <n v="2.4300000000000002"/>
    <s v="2015E-1312"/>
    <d v="2015-02-10T00:00:00"/>
    <n v="57.2"/>
    <x v="4"/>
    <d v="2015-02-24T00:00:00"/>
    <n v="60.5"/>
    <n v="3.5"/>
    <n v="14"/>
    <n v="3.2999999999999972"/>
    <n v="0.5"/>
    <x v="5"/>
    <n v="235.71428571428552"/>
    <n v="23.571660785714272"/>
    <n v="14"/>
    <n v="3.2999999999999972"/>
    <n v="34.020000000000003"/>
    <n v="235.71428571428552"/>
    <n v="23.571660785714272"/>
    <n v="15.952499999999999"/>
    <n v="21.989878285620282"/>
  </r>
  <r>
    <x v="1"/>
    <x v="4"/>
    <n v="186"/>
    <n v="2.4300000000000002"/>
    <s v="2015E-1335"/>
    <d v="2015-02-10T00:00:00"/>
    <n v="53.6"/>
    <x v="0"/>
    <d v="2015-02-24T00:00:00"/>
    <n v="55"/>
    <n v="3.5"/>
    <n v="14"/>
    <n v="1.3999999999999986"/>
    <n v="1"/>
    <x v="5"/>
    <n v="99.999999999999901"/>
    <n v="16.111586999999993"/>
    <n v="14"/>
    <n v="1.3999999999999986"/>
    <n v="34.020000000000003"/>
    <n v="99.999999999999901"/>
    <n v="16.111586999999993"/>
    <n v="18.02675"/>
    <n v="16.984769061535079"/>
  </r>
  <r>
    <x v="1"/>
    <x v="4"/>
    <n v="186"/>
    <n v="2.4300000000000002"/>
    <s v="2015E-1339"/>
    <d v="2015-02-10T00:00:00"/>
    <n v="56"/>
    <x v="4"/>
    <d v="2015-02-24T00:00:00"/>
    <n v="56.5"/>
    <n v="4"/>
    <n v="14"/>
    <n v="0.5"/>
    <n v="1"/>
    <x v="5"/>
    <n v="35.714285714285715"/>
    <n v="13.272026785714285"/>
    <n v="14"/>
    <n v="0.5"/>
    <n v="34.020000000000003"/>
    <n v="35.714285714285715"/>
    <n v="13.272026785714285"/>
    <n v="15.952499999999999"/>
    <n v="12.381403935620298"/>
  </r>
  <r>
    <x v="1"/>
    <x v="4"/>
    <n v="186"/>
    <n v="2.4300000000000002"/>
    <s v="2015E-1362"/>
    <d v="2015-02-10T00:00:00"/>
    <n v="53.8"/>
    <x v="6"/>
    <d v="2015-02-24T00:00:00"/>
    <n v="58.5"/>
    <n v="3.5"/>
    <n v="14"/>
    <n v="4.7000000000000028"/>
    <n v="0"/>
    <x v="5"/>
    <n v="335.71428571428589"/>
    <n v="28.045117785714297"/>
    <n v="14"/>
    <n v="4.7000000000000028"/>
    <n v="34.020000000000003"/>
    <n v="335.71428571428589"/>
    <n v="28.045117785714297"/>
    <n v="13.878249999999998"/>
    <n v="22.761237187695283"/>
  </r>
  <r>
    <x v="1"/>
    <x v="4"/>
    <n v="186"/>
    <n v="2.4300000000000002"/>
    <s v="2015E-149"/>
    <d v="2015-02-10T00:00:00"/>
    <n v="52.2"/>
    <x v="6"/>
    <d v="2015-02-24T00:00:00"/>
    <n v="57"/>
    <n v="4"/>
    <n v="14"/>
    <n v="4.7999999999999972"/>
    <n v="0.5"/>
    <x v="5"/>
    <n v="342.85714285714266"/>
    <n v="28.135171142857132"/>
    <n v="14"/>
    <n v="4.7999999999999972"/>
    <n v="34.020000000000003"/>
    <n v="342.85714285714266"/>
    <n v="28.135171142857132"/>
    <n v="13.878249999999998"/>
    <n v="22.834323913061809"/>
  </r>
  <r>
    <x v="1"/>
    <x v="4"/>
    <n v="186"/>
    <n v="2.4300000000000002"/>
    <s v="2015E-207"/>
    <d v="2015-02-10T00:00:00"/>
    <n v="58.2"/>
    <x v="6"/>
    <d v="2015-02-24T00:00:00"/>
    <n v="64"/>
    <n v="4"/>
    <n v="14"/>
    <n v="5.7999999999999972"/>
    <n v="0.5"/>
    <x v="5"/>
    <n v="414.28571428571411"/>
    <n v="32.755684714285699"/>
    <n v="14"/>
    <n v="5.7999999999999972"/>
    <n v="34.020000000000003"/>
    <n v="414.28571428571411"/>
    <n v="32.755684714285699"/>
    <n v="13.878249999999998"/>
    <n v="26.584303005031309"/>
  </r>
  <r>
    <x v="1"/>
    <x v="4"/>
    <n v="186"/>
    <n v="2.4300000000000002"/>
    <s v="2015E-22"/>
    <d v="2015-02-10T00:00:00"/>
    <n v="55.6"/>
    <x v="4"/>
    <d v="2015-02-24T00:00:00"/>
    <n v="61.5"/>
    <n v="4"/>
    <n v="14"/>
    <n v="5.8999999999999986"/>
    <n v="1"/>
    <x v="5"/>
    <n v="421.42857142857133"/>
    <n v="32.676648071428559"/>
    <n v="14"/>
    <n v="5.8999999999999986"/>
    <n v="34.020000000000003"/>
    <n v="421.42857142857133"/>
    <n v="32.676648071428559"/>
    <n v="15.952499999999999"/>
    <n v="30.483873003477424"/>
  </r>
  <r>
    <x v="1"/>
    <x v="4"/>
    <n v="186"/>
    <n v="2.4300000000000002"/>
    <s v="2015E-441"/>
    <d v="2015-02-10T00:00:00"/>
    <n v="56.4"/>
    <x v="4"/>
    <d v="2015-02-24T00:00:00"/>
    <n v="56"/>
    <n v="3.5"/>
    <n v="14"/>
    <n v="-0.39999999999999858"/>
    <n v="0.5"/>
    <x v="5"/>
    <n v="-28.57142857142847"/>
    <n v="10.094286571428576"/>
    <n v="14"/>
    <n v="-0.39999999999999858"/>
    <n v="34.020000000000003"/>
    <n v="-28.57142857142847"/>
    <n v="10.094286571428576"/>
    <n v="15.952499999999999"/>
    <n v="9.4169068146616581"/>
  </r>
  <r>
    <x v="1"/>
    <x v="4"/>
    <n v="186"/>
    <n v="2.4300000000000002"/>
    <s v="2015E-646"/>
    <d v="2015-02-10T00:00:00"/>
    <n v="60"/>
    <x v="6"/>
    <d v="2015-02-24T00:00:00"/>
    <n v="53"/>
    <n v="4"/>
    <n v="14"/>
    <n v="-7"/>
    <n v="0.5"/>
    <x v="5"/>
    <n v="-500"/>
    <n v="-13.096414999999999"/>
    <n v="14"/>
    <n v="-7"/>
    <n v="34.020000000000003"/>
    <n v="-500"/>
    <n v="-13.096414999999999"/>
    <n v="13.878249999999998"/>
    <n v="-10.628966168055552"/>
  </r>
  <r>
    <x v="1"/>
    <x v="4"/>
    <n v="186"/>
    <n v="2.4300000000000002"/>
    <s v="2015E-877"/>
    <d v="2015-02-10T00:00:00"/>
    <n v="55.8"/>
    <x v="4"/>
    <d v="2015-02-24T00:00:00"/>
    <n v="60.5"/>
    <n v="3.5"/>
    <n v="14"/>
    <n v="4.7000000000000028"/>
    <n v="0.5"/>
    <x v="5"/>
    <n v="335.71428571428589"/>
    <n v="28.383297785714294"/>
    <n v="14"/>
    <n v="4.7000000000000028"/>
    <n v="34.020000000000003"/>
    <n v="335.71428571428589"/>
    <n v="28.383297785714294"/>
    <n v="15.952499999999999"/>
    <n v="26.478629118515041"/>
  </r>
  <r>
    <x v="1"/>
    <x v="4"/>
    <n v="186"/>
    <n v="2.4300000000000002"/>
    <s v="2015E-955"/>
    <d v="2015-02-10T00:00:00"/>
    <n v="52.8"/>
    <x v="6"/>
    <d v="2015-02-24T00:00:00"/>
    <n v="56"/>
    <n v="3.5"/>
    <n v="14"/>
    <n v="3.2000000000000028"/>
    <n v="0"/>
    <x v="5"/>
    <n v="228.57142857142878"/>
    <n v="22.46706742857144"/>
    <n v="14"/>
    <n v="3.2000000000000028"/>
    <n v="34.020000000000003"/>
    <n v="228.57142857142878"/>
    <n v="22.46706742857144"/>
    <n v="13.878249999999998"/>
    <n v="18.234127400033422"/>
  </r>
  <r>
    <x v="1"/>
    <x v="5"/>
    <n v="133"/>
    <n v="2.4700000000000002"/>
    <s v="2015W-1003"/>
    <d v="2015-02-10T00:00:00"/>
    <n v="58.4"/>
    <x v="0"/>
    <d v="2015-02-24T00:00:00"/>
    <n v="63"/>
    <n v="3.5"/>
    <n v="14"/>
    <n v="4.6000000000000014"/>
    <n v="1"/>
    <x v="6"/>
    <n v="328.57142857142867"/>
    <n v="28.462334428571431"/>
    <n v="14"/>
    <n v="4.6000000000000014"/>
    <n v="34.580000000000005"/>
    <n v="328.57142857142867"/>
    <n v="28.462334428571431"/>
    <n v="18.02675"/>
    <n v="30.004876442119883"/>
  </r>
  <r>
    <x v="1"/>
    <x v="5"/>
    <n v="133"/>
    <n v="2.4700000000000002"/>
    <s v="2015W-1032"/>
    <d v="2015-02-10T00:00:00"/>
    <n v="52.6"/>
    <x v="0"/>
    <d v="2015-02-24T00:00:00"/>
    <n v="56.5"/>
    <n v="3.5"/>
    <n v="14"/>
    <n v="3.8999999999999986"/>
    <n v="1"/>
    <x v="6"/>
    <n v="278.57142857142844"/>
    <n v="24.957430928571419"/>
    <n v="14"/>
    <n v="3.8999999999999986"/>
    <n v="34.580000000000005"/>
    <n v="278.57142857142844"/>
    <n v="24.957430928571419"/>
    <n v="18.02675"/>
    <n v="26.310021519978058"/>
  </r>
  <r>
    <x v="1"/>
    <x v="5"/>
    <n v="133"/>
    <n v="2.4700000000000002"/>
    <s v="2015W-1051"/>
    <d v="2015-02-10T00:00:00"/>
    <n v="53.6"/>
    <x v="4"/>
    <d v="2015-02-24T00:00:00"/>
    <n v="52.5"/>
    <n v="2.5"/>
    <n v="14"/>
    <n v="-1.1000000000000014"/>
    <n v="-0.5"/>
    <x v="6"/>
    <n v="-78.571428571428669"/>
    <n v="7.0966530714285661"/>
    <n v="14"/>
    <n v="-1.1000000000000014"/>
    <n v="34.580000000000005"/>
    <n v="-78.571428571428669"/>
    <n v="7.0966530714285661"/>
    <n v="15.952499999999999"/>
    <n v="6.620430299530069"/>
  </r>
  <r>
    <x v="1"/>
    <x v="5"/>
    <n v="133"/>
    <n v="2.4700000000000002"/>
    <s v="2015W-1077"/>
    <d v="2015-02-10T00:00:00"/>
    <n v="55.6"/>
    <x v="4"/>
    <d v="2015-02-24T00:00:00"/>
    <n v="60"/>
    <n v="3.5"/>
    <n v="14"/>
    <n v="4.3999999999999986"/>
    <n v="0.5"/>
    <x v="6"/>
    <n v="314.28571428571416"/>
    <n v="27.267687714285707"/>
    <n v="14"/>
    <n v="4.3999999999999986"/>
    <n v="34.580000000000005"/>
    <n v="314.28571428571416"/>
    <n v="27.267687714285707"/>
    <n v="15.952499999999999"/>
    <n v="25.437882354511267"/>
  </r>
  <r>
    <x v="1"/>
    <x v="5"/>
    <n v="133"/>
    <n v="2.4700000000000002"/>
    <s v="2015W-1084"/>
    <d v="2015-02-10T00:00:00"/>
    <n v="59.8"/>
    <x v="9"/>
    <d v="2015-02-24T00:00:00"/>
    <n v="66"/>
    <n v="3.5"/>
    <n v="14"/>
    <n v="6.2000000000000028"/>
    <n v="-0.5"/>
    <x v="6"/>
    <n v="442.85714285714306"/>
    <n v="34.468618142857153"/>
    <n v="14"/>
    <n v="6.2000000000000028"/>
    <n v="34.580000000000005"/>
    <n v="442.85714285714306"/>
    <n v="34.468618142857153"/>
    <n v="11.803999999999998"/>
    <n v="23.793425061888055"/>
  </r>
  <r>
    <x v="1"/>
    <x v="5"/>
    <n v="133"/>
    <n v="2.4700000000000002"/>
    <s v="2015W-1096"/>
    <d v="2015-02-10T00:00:00"/>
    <n v="53.8"/>
    <x v="0"/>
    <d v="2015-02-24T00:00:00"/>
    <n v="59"/>
    <n v="3.5"/>
    <n v="14"/>
    <n v="5.2000000000000028"/>
    <n v="1"/>
    <x v="6"/>
    <n v="371.42857142857162"/>
    <n v="29.848104571428578"/>
    <n v="14"/>
    <n v="5.2000000000000028"/>
    <n v="34.580000000000005"/>
    <n v="371.42857142857162"/>
    <n v="29.848104571428578"/>
    <n v="18.02675"/>
    <n v="31.465749653976612"/>
  </r>
  <r>
    <x v="1"/>
    <x v="5"/>
    <n v="133"/>
    <n v="2.4700000000000002"/>
    <s v="2015W-1098"/>
    <d v="2015-02-10T00:00:00"/>
    <n v="55.4"/>
    <x v="6"/>
    <d v="2015-02-24T00:00:00"/>
    <n v="58"/>
    <n v="4"/>
    <n v="14"/>
    <n v="2.6000000000000014"/>
    <n v="0.5"/>
    <x v="6"/>
    <n v="185.71428571428581"/>
    <n v="20.743117285714291"/>
    <n v="14"/>
    <n v="2.6000000000000014"/>
    <n v="34.580000000000005"/>
    <n v="185.71428571428581"/>
    <n v="20.743117285714291"/>
    <n v="13.878249999999998"/>
    <n v="16.83498055382832"/>
  </r>
  <r>
    <x v="1"/>
    <x v="5"/>
    <n v="133"/>
    <n v="2.4700000000000002"/>
    <s v="2015W-1202"/>
    <d v="2015-02-10T00:00:00"/>
    <n v="57"/>
    <x v="6"/>
    <d v="2015-02-24T00:00:00"/>
    <n v="58"/>
    <n v="4"/>
    <n v="14"/>
    <n v="1"/>
    <n v="0.5"/>
    <x v="6"/>
    <n v="71.428571428571431"/>
    <n v="15.244103571428569"/>
    <n v="14"/>
    <n v="1"/>
    <n v="34.580000000000005"/>
    <n v="71.428571428571431"/>
    <n v="15.244103571428569"/>
    <n v="13.878249999999998"/>
    <n v="12.372016397086462"/>
  </r>
  <r>
    <x v="1"/>
    <x v="5"/>
    <n v="133"/>
    <n v="2.4700000000000002"/>
    <s v="2015W-195"/>
    <d v="2015-02-10T00:00:00"/>
    <n v="58"/>
    <x v="0"/>
    <d v="2015-02-24T00:00:00"/>
    <n v="61.5"/>
    <n v="3"/>
    <n v="14"/>
    <n v="3.5"/>
    <n v="0.5"/>
    <x v="6"/>
    <n v="250"/>
    <n v="24.428127499999999"/>
    <n v="14"/>
    <n v="3.5"/>
    <n v="34.580000000000005"/>
    <n v="250"/>
    <n v="24.428127499999999"/>
    <n v="18.02675"/>
    <n v="25.752032012317247"/>
  </r>
  <r>
    <x v="1"/>
    <x v="5"/>
    <n v="133"/>
    <n v="2.4700000000000002"/>
    <s v="2015W-410"/>
    <d v="2015-02-10T00:00:00"/>
    <n v="57.6"/>
    <x v="4"/>
    <d v="2015-02-24T00:00:00"/>
    <n v="59.5"/>
    <n v="4"/>
    <n v="14"/>
    <n v="1.8999999999999986"/>
    <n v="1"/>
    <x v="6"/>
    <n v="135.71428571428561"/>
    <n v="18.590933785714277"/>
    <n v="14"/>
    <n v="1.8999999999999986"/>
    <n v="34.580000000000005"/>
    <n v="135.71428571428561"/>
    <n v="18.590933785714277"/>
    <n v="15.952499999999999"/>
    <n v="17.343384281672922"/>
  </r>
  <r>
    <x v="1"/>
    <x v="5"/>
    <n v="133"/>
    <n v="2.4700000000000002"/>
    <s v="2015W-457"/>
    <d v="2015-02-10T00:00:00"/>
    <n v="55.4"/>
    <x v="4"/>
    <d v="2015-02-24T00:00:00"/>
    <n v="54.5"/>
    <n v="3"/>
    <n v="14"/>
    <n v="-0.89999999999999858"/>
    <n v="0"/>
    <x v="6"/>
    <n v="-64.285714285714178"/>
    <n v="8.1222097857142899"/>
    <n v="14"/>
    <n v="-0.89999999999999858"/>
    <n v="34.580000000000005"/>
    <n v="-64.285714285714178"/>
    <n v="8.1222097857142899"/>
    <n v="15.952499999999999"/>
    <n v="7.5771667606203037"/>
  </r>
  <r>
    <x v="1"/>
    <x v="5"/>
    <n v="133"/>
    <n v="2.4700000000000002"/>
    <s v="2015W-490"/>
    <d v="2015-02-10T00:00:00"/>
    <n v="58"/>
    <x v="4"/>
    <d v="2015-02-24T00:00:00"/>
    <n v="61"/>
    <n v="3"/>
    <n v="14"/>
    <n v="3"/>
    <n v="0"/>
    <x v="6"/>
    <n v="214.28571428571428"/>
    <n v="22.625140714285713"/>
    <n v="14"/>
    <n v="3"/>
    <n v="34.580000000000005"/>
    <n v="214.28571428571428"/>
    <n v="22.625140714285713"/>
    <n v="15.952499999999999"/>
    <n v="21.106874692669169"/>
  </r>
  <r>
    <x v="1"/>
    <x v="5"/>
    <n v="133"/>
    <n v="2.4700000000000002"/>
    <s v="2015W-525"/>
    <d v="2015-02-10T00:00:00"/>
    <n v="52.2"/>
    <x v="0"/>
    <d v="2015-02-24T00:00:00"/>
    <n v="57.5"/>
    <n v="3.5"/>
    <n v="14"/>
    <n v="5.2999999999999972"/>
    <n v="1"/>
    <x v="6"/>
    <n v="378.57142857142838"/>
    <n v="29.938157928571421"/>
    <n v="14"/>
    <n v="5.2999999999999972"/>
    <n v="34.580000000000005"/>
    <n v="378.57142857142838"/>
    <n v="29.938157928571421"/>
    <n v="18.02675"/>
    <n v="31.560683534437121"/>
  </r>
  <r>
    <x v="1"/>
    <x v="5"/>
    <n v="133"/>
    <n v="2.4700000000000002"/>
    <s v="2015W-536"/>
    <d v="2015-02-10T00:00:00"/>
    <n v="53.6"/>
    <x v="4"/>
    <d v="2015-02-24T00:00:00"/>
    <n v="57.5"/>
    <n v="4"/>
    <n v="14"/>
    <n v="3.8999999999999986"/>
    <n v="1"/>
    <x v="6"/>
    <n v="278.57142857142844"/>
    <n v="25.126520928571416"/>
    <n v="14"/>
    <n v="3.8999999999999986"/>
    <n v="34.580000000000005"/>
    <n v="278.57142857142844"/>
    <n v="25.126520928571416"/>
    <n v="15.952499999999999"/>
    <n v="23.440399129417276"/>
  </r>
  <r>
    <x v="1"/>
    <x v="5"/>
    <n v="133"/>
    <n v="2.4700000000000002"/>
    <s v="2015W-709"/>
    <d v="2015-02-10T00:00:00"/>
    <n v="60"/>
    <x v="6"/>
    <d v="2015-02-24T00:00:00"/>
    <n v="61.5"/>
    <n v="4"/>
    <n v="14"/>
    <n v="1.5"/>
    <n v="0.5"/>
    <x v="6"/>
    <n v="107.14285714285714"/>
    <n v="17.554360357142855"/>
    <n v="14"/>
    <n v="1.5"/>
    <n v="34.580000000000005"/>
    <n v="107.14285714285714"/>
    <n v="17.554360357142855"/>
    <n v="13.878249999999998"/>
    <n v="14.247005943071214"/>
  </r>
  <r>
    <x v="1"/>
    <x v="5"/>
    <n v="133"/>
    <n v="2.4700000000000002"/>
    <s v="2015W-844"/>
    <d v="2015-02-10T00:00:00"/>
    <n v="52.6"/>
    <x v="0"/>
    <d v="2015-02-24T00:00:00"/>
    <n v="53.5"/>
    <n v="4"/>
    <n v="14"/>
    <n v="0.89999999999999858"/>
    <n v="1.5"/>
    <x v="6"/>
    <n v="64.285714285714178"/>
    <n v="14.139510214285707"/>
    <n v="14"/>
    <n v="0.89999999999999858"/>
    <n v="34.580000000000005"/>
    <n v="64.285714285714178"/>
    <n v="14.139510214285707"/>
    <n v="18.02675"/>
    <n v="14.905813786864027"/>
  </r>
  <r>
    <x v="1"/>
    <x v="5"/>
    <n v="133"/>
    <n v="2.4700000000000002"/>
    <s v="2015W-922"/>
    <d v="2015-02-10T00:00:00"/>
    <n v="57.2"/>
    <x v="4"/>
    <d v="2015-02-24T00:00:00"/>
    <n v="64"/>
    <n v="4"/>
    <n v="14"/>
    <n v="6.7999999999999972"/>
    <n v="1"/>
    <x v="6"/>
    <n v="485.7142857142855"/>
    <n v="36.192568285714273"/>
    <n v="14"/>
    <n v="6.7999999999999972"/>
    <n v="34.580000000000005"/>
    <n v="485.7142857142855"/>
    <n v="36.192568285714273"/>
    <n v="15.952499999999999"/>
    <n v="33.763856466541334"/>
  </r>
  <r>
    <x v="1"/>
    <x v="5"/>
    <n v="133"/>
    <n v="2.4700000000000002"/>
    <s v="2015W-941"/>
    <d v="2015-02-10T00:00:00"/>
    <n v="57.2"/>
    <x v="6"/>
    <d v="2015-02-24T00:00:00"/>
    <n v="60"/>
    <n v="3.5"/>
    <n v="14"/>
    <n v="2.7999999999999972"/>
    <n v="0"/>
    <x v="6"/>
    <n v="199.9999999999998"/>
    <n v="21.76867399999999"/>
    <n v="14"/>
    <n v="2.7999999999999972"/>
    <n v="34.580000000000005"/>
    <n v="199.9999999999998"/>
    <n v="21.76867399999999"/>
    <n v="13.878249999999998"/>
    <n v="17.667315785994138"/>
  </r>
  <r>
    <x v="1"/>
    <x v="5"/>
    <n v="133"/>
    <n v="2.4700000000000002"/>
    <s v="2015W-945"/>
    <d v="2015-02-10T00:00:00"/>
    <n v="54.6"/>
    <x v="4"/>
    <d v="2015-02-24T00:00:00"/>
    <n v="55.5"/>
    <n v="3"/>
    <n v="14"/>
    <n v="0.89999999999999858"/>
    <n v="0"/>
    <x v="6"/>
    <n v="64.285714285714178"/>
    <n v="14.477690214285708"/>
    <n v="14"/>
    <n v="0.89999999999999858"/>
    <n v="34.580000000000005"/>
    <n v="64.285714285714178"/>
    <n v="14.477690214285708"/>
    <n v="15.952499999999999"/>
    <n v="13.506161002537587"/>
  </r>
  <r>
    <x v="1"/>
    <x v="5"/>
    <n v="133"/>
    <n v="2.4700000000000002"/>
    <s v="2015W-969"/>
    <d v="2015-02-10T00:00:00"/>
    <n v="55.2"/>
    <x v="4"/>
    <d v="2015-02-24T00:00:00"/>
    <n v="52.5"/>
    <n v="3"/>
    <n v="14"/>
    <n v="-2.7000000000000028"/>
    <n v="0"/>
    <x v="6"/>
    <n v="-192.85714285714306"/>
    <n v="1.5976393571428478"/>
    <n v="14"/>
    <n v="-2.7000000000000028"/>
    <n v="34.580000000000005"/>
    <n v="-192.85714285714306"/>
    <n v="1.5976393571428478"/>
    <n v="15.952499999999999"/>
    <n v="1.4904293476503669"/>
  </r>
  <r>
    <x v="4"/>
    <x v="6"/>
    <n v="43"/>
    <n v="2.16"/>
    <s v="WMG2-41"/>
    <d v="2016-02-02T00:00:00"/>
    <n v="65"/>
    <x v="0"/>
    <d v="2016-02-17T00:00:00"/>
    <n v="68"/>
    <n v="2.5"/>
    <n v="15"/>
    <n v="3"/>
    <n v="0"/>
    <x v="7"/>
    <n v="200"/>
    <n v="23.104484999999997"/>
    <n v="15"/>
    <n v="3"/>
    <n v="32.400000000000006"/>
    <n v="200"/>
    <n v="23.104484999999997"/>
    <n v="18.02675"/>
    <n v="24.356653507236839"/>
  </r>
  <r>
    <x v="4"/>
    <x v="6"/>
    <n v="43"/>
    <n v="2.16"/>
    <s v="WMG2-42"/>
    <d v="2016-02-02T00:00:00"/>
    <n v="54.5"/>
    <x v="0"/>
    <d v="2016-02-17T00:00:00"/>
    <n v="59.5"/>
    <n v="2.5"/>
    <n v="15"/>
    <n v="5"/>
    <n v="0"/>
    <x v="7"/>
    <n v="333.33333333333331"/>
    <n v="28.07146333333333"/>
    <n v="15"/>
    <n v="5"/>
    <n v="32.400000000000006"/>
    <n v="333.33333333333331"/>
    <n v="28.07146333333333"/>
    <n v="18.02675"/>
    <n v="29.59282173357699"/>
  </r>
  <r>
    <x v="4"/>
    <x v="6"/>
    <n v="43"/>
    <n v="2.16"/>
    <s v="WMG2-43"/>
    <d v="2016-02-02T00:00:00"/>
    <n v="59.5"/>
    <x v="4"/>
    <d v="2016-02-17T00:00:00"/>
    <n v="60"/>
    <n v="2.5"/>
    <n v="15"/>
    <n v="0.5"/>
    <n v="-0.5"/>
    <x v="7"/>
    <n v="33.333333333333336"/>
    <n v="13.746460833333332"/>
    <n v="15"/>
    <n v="0.5"/>
    <n v="32.400000000000006"/>
    <n v="33.333333333333336"/>
    <n v="13.746460833333332"/>
    <n v="15.952499999999999"/>
    <n v="12.824000961622804"/>
  </r>
  <r>
    <x v="4"/>
    <x v="6"/>
    <n v="43"/>
    <n v="2.16"/>
    <s v="WMG2-44"/>
    <d v="2016-02-02T00:00:00"/>
    <n v="62.5"/>
    <x v="4"/>
    <d v="2016-02-17T00:00:00"/>
    <n v="67"/>
    <n v="3"/>
    <n v="15"/>
    <n v="4.5"/>
    <n v="0"/>
    <x v="7"/>
    <n v="300"/>
    <n v="27.738577499999998"/>
    <n v="15"/>
    <n v="4.5"/>
    <n v="32.400000000000006"/>
    <n v="300"/>
    <n v="27.738577499999998"/>
    <n v="15.952499999999999"/>
    <n v="25.877172957236834"/>
  </r>
  <r>
    <x v="4"/>
    <x v="6"/>
    <n v="43"/>
    <n v="2.16"/>
    <s v="WMG2-45"/>
    <d v="2016-02-02T00:00:00"/>
    <n v="56"/>
    <x v="0"/>
    <d v="2016-02-17T00:00:00"/>
    <n v="57"/>
    <n v="2.75"/>
    <n v="15"/>
    <n v="1"/>
    <n v="0.25"/>
    <x v="7"/>
    <n v="66.666666666666671"/>
    <n v="14.840251666666667"/>
    <n v="15"/>
    <n v="1"/>
    <n v="32.400000000000006"/>
    <n v="66.666666666666671"/>
    <n v="14.840251666666667"/>
    <n v="18.02675"/>
    <n v="15.644532557431772"/>
  </r>
  <r>
    <x v="4"/>
    <x v="6"/>
    <n v="43"/>
    <n v="2.16"/>
    <s v="WMG2-46"/>
    <d v="2016-02-02T00:00:00"/>
    <n v="63"/>
    <x v="4"/>
    <d v="2016-02-17T00:00:00"/>
    <n v="64.5"/>
    <n v="3"/>
    <n v="15"/>
    <n v="1.5"/>
    <n v="0"/>
    <x v="7"/>
    <n v="100"/>
    <n v="17.709487500000002"/>
    <n v="15"/>
    <n v="1.5"/>
    <n v="32.400000000000006"/>
    <n v="100"/>
    <n v="17.709487500000002"/>
    <n v="15.952499999999999"/>
    <n v="16.521087680921053"/>
  </r>
  <r>
    <x v="4"/>
    <x v="6"/>
    <n v="43"/>
    <n v="2.16"/>
    <s v="WMG2-47"/>
    <d v="2016-02-02T00:00:00"/>
    <n v="57.5"/>
    <x v="0"/>
    <d v="2016-02-17T00:00:00"/>
    <n v="58"/>
    <n v="2.5"/>
    <n v="15"/>
    <n v="0.5"/>
    <n v="0"/>
    <x v="7"/>
    <n v="33.333333333333336"/>
    <n v="13.408280833333333"/>
    <n v="15"/>
    <n v="0.5"/>
    <n v="32.400000000000006"/>
    <n v="33.333333333333336"/>
    <n v="13.408280833333333"/>
    <n v="18.02675"/>
    <n v="14.13495476680068"/>
  </r>
  <r>
    <x v="4"/>
    <x v="6"/>
    <n v="43"/>
    <n v="2.16"/>
    <s v="WMG2-48"/>
    <d v="2016-02-02T00:00:00"/>
    <n v="60.5"/>
    <x v="4"/>
    <d v="2016-02-17T00:00:00"/>
    <n v="63"/>
    <n v="3"/>
    <n v="15"/>
    <n v="2.5"/>
    <n v="0"/>
    <x v="7"/>
    <n v="166.66666666666666"/>
    <n v="20.657974166666662"/>
    <n v="15"/>
    <n v="2.5"/>
    <n v="32.400000000000006"/>
    <n v="166.66666666666666"/>
    <n v="20.657974166666662"/>
    <n v="15.952499999999999"/>
    <n v="19.271715373903501"/>
  </r>
  <r>
    <x v="4"/>
    <x v="6"/>
    <n v="43"/>
    <n v="2.16"/>
    <s v="WMG2-49"/>
    <d v="2016-02-02T00:00:00"/>
    <n v="61.5"/>
    <x v="0"/>
    <d v="2016-02-17T00:00:00"/>
    <n v="66"/>
    <n v="3"/>
    <n v="15"/>
    <n v="4.5"/>
    <n v="0.5"/>
    <x v="7"/>
    <n v="300"/>
    <n v="27.569487500000001"/>
    <n v="15"/>
    <n v="4.5"/>
    <n v="32.400000000000006"/>
    <n v="300"/>
    <n v="27.569487500000001"/>
    <n v="18.02675"/>
    <n v="29.06364086494883"/>
  </r>
  <r>
    <x v="4"/>
    <x v="6"/>
    <n v="43"/>
    <n v="2.16"/>
    <s v="WMG2-50"/>
    <d v="2016-02-02T00:00:00"/>
    <n v="65"/>
    <x v="0"/>
    <d v="2016-02-17T00:00:00"/>
    <n v="67.5"/>
    <n v="3"/>
    <n v="15"/>
    <n v="2.5"/>
    <n v="0.5"/>
    <x v="7"/>
    <n v="166.66666666666666"/>
    <n v="21.418879166666663"/>
    <n v="15"/>
    <n v="2.5"/>
    <n v="32.400000000000006"/>
    <n v="166.66666666666666"/>
    <n v="21.418879166666663"/>
    <n v="18.02675"/>
    <n v="22.579694737877674"/>
  </r>
  <r>
    <x v="4"/>
    <x v="6"/>
    <n v="43"/>
    <n v="2.16"/>
    <s v="WMG2-51"/>
    <d v="2016-02-02T00:00:00"/>
    <n v="65"/>
    <x v="4"/>
    <d v="2016-02-17T00:00:00"/>
    <n v="66"/>
    <n v="3"/>
    <n v="15"/>
    <n v="1"/>
    <n v="0"/>
    <x v="7"/>
    <n v="66.666666666666671"/>
    <n v="16.362061666666666"/>
    <n v="15"/>
    <n v="1"/>
    <n v="32.400000000000006"/>
    <n v="66.666666666666671"/>
    <n v="16.362061666666666"/>
    <n v="15.952499999999999"/>
    <n v="15.264081212719296"/>
  </r>
  <r>
    <x v="4"/>
    <x v="6"/>
    <n v="43"/>
    <n v="2.16"/>
    <s v="WMG2-52"/>
    <d v="2016-02-02T00:00:00"/>
    <n v="60"/>
    <x v="4"/>
    <d v="2016-02-17T00:00:00"/>
    <n v="63"/>
    <n v="3.25"/>
    <n v="15"/>
    <n v="3"/>
    <n v="0.25"/>
    <x v="7"/>
    <n v="200"/>
    <n v="22.259034999999997"/>
    <n v="15"/>
    <n v="3"/>
    <n v="32.400000000000006"/>
    <n v="200"/>
    <n v="22.259034999999997"/>
    <n v="15.952499999999999"/>
    <n v="20.765336598684204"/>
  </r>
  <r>
    <x v="4"/>
    <x v="6"/>
    <n v="43"/>
    <n v="2.16"/>
    <s v="WMG2-53"/>
    <d v="2016-02-02T00:00:00"/>
    <n v="64"/>
    <x v="4"/>
    <d v="2016-02-17T00:00:00"/>
    <n v="66"/>
    <n v="3"/>
    <n v="15"/>
    <n v="2"/>
    <n v="0"/>
    <x v="7"/>
    <n v="133.33333333333334"/>
    <n v="19.564183333333332"/>
    <n v="15"/>
    <n v="2"/>
    <n v="32.400000000000006"/>
    <n v="133.33333333333334"/>
    <n v="19.564183333333332"/>
    <n v="15.952499999999999"/>
    <n v="18.251323662280697"/>
  </r>
  <r>
    <x v="4"/>
    <x v="6"/>
    <n v="43"/>
    <n v="2.16"/>
    <s v="WMG2-54"/>
    <d v="2016-02-02T00:00:00"/>
    <n v="61.5"/>
    <x v="0"/>
    <d v="2016-02-17T00:00:00"/>
    <n v="62"/>
    <n v="2.5"/>
    <n v="15"/>
    <n v="0.5"/>
    <n v="0"/>
    <x v="7"/>
    <n v="33.333333333333336"/>
    <n v="14.084640833333331"/>
    <n v="15"/>
    <n v="0.5"/>
    <n v="32.400000000000006"/>
    <n v="33.333333333333336"/>
    <n v="14.084640833333331"/>
    <n v="18.02675"/>
    <n v="14.847970710075533"/>
  </r>
  <r>
    <x v="4"/>
    <x v="6"/>
    <n v="43"/>
    <n v="2.16"/>
    <s v="WMG2-55"/>
    <d v="2016-02-02T00:00:00"/>
    <n v="63"/>
    <x v="4"/>
    <d v="2016-02-17T00:00:00"/>
    <n v="64.5"/>
    <n v="3"/>
    <n v="15"/>
    <n v="1.5"/>
    <n v="0"/>
    <x v="7"/>
    <n v="100"/>
    <n v="17.709487500000002"/>
    <n v="15"/>
    <n v="1.5"/>
    <n v="32.400000000000006"/>
    <n v="100"/>
    <n v="17.709487500000002"/>
    <n v="15.952499999999999"/>
    <n v="16.521087680921053"/>
  </r>
  <r>
    <x v="4"/>
    <x v="6"/>
    <n v="43"/>
    <n v="2.16"/>
    <s v="WMG2-56"/>
    <d v="2016-02-02T00:00:00"/>
    <n v="63"/>
    <x v="4"/>
    <d v="2016-02-17T00:00:00"/>
    <n v="65.5"/>
    <n v="2.5"/>
    <n v="15"/>
    <n v="2.5"/>
    <n v="-0.5"/>
    <x v="7"/>
    <n v="166.66666666666666"/>
    <n v="21.080699166666662"/>
    <n v="15"/>
    <n v="2.5"/>
    <n v="32.400000000000006"/>
    <n v="166.66666666666666"/>
    <n v="21.080699166666662"/>
    <n v="15.952499999999999"/>
    <n v="19.666073301535079"/>
  </r>
  <r>
    <x v="4"/>
    <x v="6"/>
    <n v="43"/>
    <n v="2.16"/>
    <s v="WMG2-57"/>
    <d v="2016-02-02T00:00:00"/>
    <n v="60"/>
    <x v="0"/>
    <d v="2016-02-17T00:00:00"/>
    <n v="65.5"/>
    <n v="2.75"/>
    <n v="15"/>
    <n v="5.5"/>
    <n v="0.25"/>
    <x v="7"/>
    <n v="366.66666666666663"/>
    <n v="30.687064166666666"/>
    <n v="15"/>
    <n v="5.5"/>
    <n v="32.400000000000006"/>
    <n v="366.66666666666663"/>
    <n v="30.687064166666666"/>
    <n v="18.02675"/>
    <n v="32.350177424939076"/>
  </r>
  <r>
    <x v="4"/>
    <x v="6"/>
    <n v="43"/>
    <n v="2.16"/>
    <s v="WMG2-58"/>
    <d v="2016-02-02T00:00:00"/>
    <n v="58.5"/>
    <x v="0"/>
    <d v="2016-02-17T00:00:00"/>
    <n v="59"/>
    <n v="2.5"/>
    <n v="15"/>
    <n v="0.5"/>
    <n v="0"/>
    <x v="7"/>
    <n v="33.333333333333336"/>
    <n v="13.577370833333331"/>
    <n v="15"/>
    <n v="0.5"/>
    <n v="32.400000000000006"/>
    <n v="33.333333333333336"/>
    <n v="13.577370833333331"/>
    <n v="18.02675"/>
    <n v="14.313208752619392"/>
  </r>
  <r>
    <x v="4"/>
    <x v="6"/>
    <n v="43"/>
    <n v="2.16"/>
    <s v="WMG2-59"/>
    <d v="2016-02-02T00:00:00"/>
    <n v="65"/>
    <x v="0"/>
    <d v="2016-02-17T00:00:00"/>
    <n v="69"/>
    <n v="3"/>
    <n v="15"/>
    <n v="4"/>
    <n v="0.5"/>
    <x v="7"/>
    <n v="266.66666666666669"/>
    <n v="26.475696666666664"/>
    <n v="15"/>
    <n v="4"/>
    <n v="32.400000000000006"/>
    <n v="266.66666666666669"/>
    <n v="26.475696666666664"/>
    <n v="18.02675"/>
    <n v="27.910571045955159"/>
  </r>
  <r>
    <x v="4"/>
    <x v="6"/>
    <n v="43"/>
    <n v="2.16"/>
    <s v="WMG2-60"/>
    <d v="2016-02-02T00:00:00"/>
    <n v="63"/>
    <x v="0"/>
    <d v="2016-02-17T00:00:00"/>
    <n v="66.5"/>
    <n v="3"/>
    <n v="15"/>
    <n v="3.5"/>
    <n v="0.5"/>
    <x v="7"/>
    <n v="233.33333333333334"/>
    <n v="24.451910833333329"/>
    <n v="15"/>
    <n v="3.5"/>
    <n v="32.400000000000006"/>
    <n v="233.33333333333334"/>
    <n v="24.451910833333329"/>
    <n v="18.02675"/>
    <n v="25.77710430495857"/>
  </r>
  <r>
    <x v="4"/>
    <x v="6"/>
    <n v="43"/>
    <n v="2.16"/>
    <s v="WMG2-71"/>
    <d v="2016-02-02T00:00:00"/>
    <n v="57"/>
    <x v="0"/>
    <d v="2016-02-17T00:00:00"/>
    <n v="60"/>
    <n v="2.75"/>
    <n v="15"/>
    <n v="3"/>
    <n v="0.25"/>
    <x v="7"/>
    <n v="200"/>
    <n v="21.751764999999999"/>
    <n v="15"/>
    <n v="3"/>
    <n v="32.400000000000006"/>
    <n v="200"/>
    <n v="21.751764999999999"/>
    <n v="18.02675"/>
    <n v="22.930621620687131"/>
  </r>
  <r>
    <x v="4"/>
    <x v="6"/>
    <n v="43"/>
    <n v="2.16"/>
    <s v="WMG2-72"/>
    <d v="2016-02-02T00:00:00"/>
    <n v="60"/>
    <x v="0"/>
    <d v="2016-02-17T00:00:00"/>
    <n v="60"/>
    <n v="2.5"/>
    <n v="15"/>
    <n v="0"/>
    <n v="0"/>
    <x v="7"/>
    <n v="0"/>
    <n v="12.145399999999999"/>
    <n v="15"/>
    <n v="0"/>
    <n v="32.400000000000006"/>
    <n v="0"/>
    <n v="12.145399999999999"/>
    <n v="18.02675"/>
    <n v="12.803630961988301"/>
  </r>
  <r>
    <x v="4"/>
    <x v="6"/>
    <n v="43"/>
    <n v="2.16"/>
    <s v="WMG2-73"/>
    <d v="2016-02-02T00:00:00"/>
    <n v="64"/>
    <x v="4"/>
    <d v="2016-02-17T00:00:00"/>
    <n v="66.5"/>
    <n v="3"/>
    <n v="15"/>
    <n v="2.5"/>
    <n v="0"/>
    <x v="7"/>
    <n v="166.66666666666666"/>
    <n v="21.249789166666666"/>
    <n v="15"/>
    <n v="2.5"/>
    <n v="32.400000000000006"/>
    <n v="166.66666666666666"/>
    <n v="21.249789166666666"/>
    <n v="15.952499999999999"/>
    <n v="19.823816472587716"/>
  </r>
  <r>
    <x v="4"/>
    <x v="6"/>
    <n v="43"/>
    <n v="2.16"/>
    <s v="WMG2-74"/>
    <d v="2016-02-02T00:00:00"/>
    <n v="62"/>
    <x v="0"/>
    <d v="2016-02-17T00:00:00"/>
    <n v="65.5"/>
    <n v="3"/>
    <n v="15"/>
    <n v="3.5"/>
    <n v="0.5"/>
    <x v="7"/>
    <n v="233.33333333333334"/>
    <n v="24.282820833333332"/>
    <n v="15"/>
    <n v="3.5"/>
    <n v="32.400000000000006"/>
    <n v="233.33333333333334"/>
    <n v="24.282820833333332"/>
    <n v="18.02675"/>
    <n v="25.59885031913986"/>
  </r>
  <r>
    <x v="4"/>
    <x v="6"/>
    <n v="43"/>
    <n v="2.16"/>
    <s v="WMG2-75"/>
    <d v="2016-02-02T00:00:00"/>
    <n v="55"/>
    <x v="0"/>
    <d v="2016-02-17T00:00:00"/>
    <n v="58.5"/>
    <n v="2.5"/>
    <n v="15"/>
    <n v="3.5"/>
    <n v="0"/>
    <x v="7"/>
    <n v="233.33333333333334"/>
    <n v="23.099190833333331"/>
    <n v="15"/>
    <n v="3.5"/>
    <n v="32.400000000000006"/>
    <n v="233.33333333333334"/>
    <n v="23.099190833333331"/>
    <n v="18.02675"/>
    <n v="24.351072418408865"/>
  </r>
  <r>
    <x v="4"/>
    <x v="6"/>
    <n v="43"/>
    <n v="2.16"/>
    <s v="WMG2-76"/>
    <d v="2016-02-02T00:00:00"/>
    <n v="64"/>
    <x v="4"/>
    <d v="2016-02-17T00:00:00"/>
    <n v="65.5"/>
    <n v="3"/>
    <n v="15"/>
    <n v="1.5"/>
    <n v="0"/>
    <x v="7"/>
    <n v="100"/>
    <n v="17.878577499999999"/>
    <n v="15"/>
    <n v="1.5"/>
    <n v="32.400000000000006"/>
    <n v="100"/>
    <n v="17.878577499999999"/>
    <n v="15.952499999999999"/>
    <n v="16.678830851973682"/>
  </r>
  <r>
    <x v="4"/>
    <x v="6"/>
    <n v="43"/>
    <n v="2.16"/>
    <s v="WMG2-77"/>
    <d v="2016-02-02T00:00:00"/>
    <n v="59"/>
    <x v="0"/>
    <d v="2016-02-17T00:00:00"/>
    <n v="63"/>
    <n v="3"/>
    <n v="15"/>
    <n v="4"/>
    <n v="0.5"/>
    <x v="7"/>
    <n v="266.66666666666669"/>
    <n v="25.461156666666668"/>
    <n v="15"/>
    <n v="4"/>
    <n v="32.400000000000006"/>
    <n v="266.66666666666669"/>
    <n v="25.461156666666668"/>
    <n v="18.02675"/>
    <n v="26.841047131042885"/>
  </r>
  <r>
    <x v="4"/>
    <x v="6"/>
    <n v="43"/>
    <n v="2.16"/>
    <s v="WMG2-78"/>
    <d v="2016-02-02T00:00:00"/>
    <n v="64.5"/>
    <x v="0"/>
    <d v="2016-02-17T00:00:00"/>
    <n v="67"/>
    <n v="3"/>
    <n v="15"/>
    <n v="2.5"/>
    <n v="0.5"/>
    <x v="7"/>
    <n v="166.66666666666666"/>
    <n v="21.334334166666665"/>
    <n v="15"/>
    <n v="2.5"/>
    <n v="32.400000000000006"/>
    <n v="166.66666666666666"/>
    <n v="21.334334166666665"/>
    <n v="18.02675"/>
    <n v="22.49056774496832"/>
  </r>
  <r>
    <x v="4"/>
    <x v="6"/>
    <n v="43"/>
    <n v="2.16"/>
    <s v="WMG2-79"/>
    <d v="2016-02-02T00:00:00"/>
    <n v="56"/>
    <x v="0"/>
    <d v="2016-02-17T00:00:00"/>
    <n v="60.5"/>
    <n v="3"/>
    <n v="15"/>
    <n v="4.5"/>
    <n v="0.5"/>
    <x v="7"/>
    <n v="300"/>
    <n v="26.639492499999999"/>
    <n v="15"/>
    <n v="4.5"/>
    <n v="32.400000000000006"/>
    <n v="300"/>
    <n v="26.639492499999999"/>
    <n v="18.02675"/>
    <n v="28.083243942945902"/>
  </r>
  <r>
    <x v="4"/>
    <x v="6"/>
    <n v="43"/>
    <n v="2.16"/>
    <s v="WMG2-80"/>
    <d v="2016-02-02T00:00:00"/>
    <n v="65"/>
    <x v="4"/>
    <d v="2016-02-17T00:00:00"/>
    <n v="68"/>
    <n v="3.25"/>
    <n v="15"/>
    <n v="3"/>
    <n v="0.25"/>
    <x v="7"/>
    <n v="200"/>
    <n v="23.104484999999997"/>
    <n v="15"/>
    <n v="3"/>
    <n v="32.400000000000006"/>
    <n v="200"/>
    <n v="23.104484999999997"/>
    <n v="15.952499999999999"/>
    <n v="21.554052453947364"/>
  </r>
  <r>
    <x v="1"/>
    <x v="7"/>
    <n v="245"/>
    <n v="2.35"/>
    <s v="2014C-1033"/>
    <d v="2014-02-17T00:00:00"/>
    <n v="55.8"/>
    <x v="11"/>
    <d v="2014-03-05T00:00:00"/>
    <n v="56.6"/>
    <m/>
    <n v="16"/>
    <n v="0.80000000000000426"/>
    <m/>
    <x v="8"/>
    <n v="50.00000000000027"/>
    <n v="13.967858000000014"/>
    <n v="16"/>
    <n v="0.80000000000000426"/>
    <n v="37.6"/>
    <n v="50.00000000000027"/>
    <n v="13.967858000000014"/>
    <n v="17.100000000000001"/>
    <n v="13.967858000000014"/>
  </r>
  <r>
    <x v="1"/>
    <x v="7"/>
    <n v="245"/>
    <n v="2.35"/>
    <s v="2014C-1087"/>
    <d v="2014-02-17T00:00:00"/>
    <n v="56.2"/>
    <x v="11"/>
    <d v="2014-03-05T00:00:00"/>
    <n v="60"/>
    <m/>
    <n v="16"/>
    <n v="3.7999999999999972"/>
    <m/>
    <x v="8"/>
    <n v="237.49999999999983"/>
    <n v="23.532878999999991"/>
    <n v="16"/>
    <n v="3.7999999999999972"/>
    <n v="37.6"/>
    <n v="237.49999999999983"/>
    <n v="23.532878999999991"/>
    <n v="17.100000000000001"/>
    <n v="23.532878999999991"/>
  </r>
  <r>
    <x v="1"/>
    <x v="7"/>
    <n v="245"/>
    <n v="2.35"/>
    <s v="2014C-1092"/>
    <d v="2014-02-17T00:00:00"/>
    <n v="54"/>
    <x v="11"/>
    <d v="2014-03-05T00:00:00"/>
    <n v="54.6"/>
    <m/>
    <n v="16"/>
    <n v="0.60000000000000142"/>
    <m/>
    <x v="8"/>
    <n v="37.500000000000085"/>
    <n v="13.030337000000003"/>
    <n v="16"/>
    <n v="0.60000000000000142"/>
    <n v="37.6"/>
    <n v="37.500000000000085"/>
    <n v="13.030337000000003"/>
    <n v="17.100000000000001"/>
    <n v="13.030337000000003"/>
  </r>
  <r>
    <x v="1"/>
    <x v="7"/>
    <n v="245"/>
    <n v="2.35"/>
    <s v="2014C-1251"/>
    <d v="2014-02-17T00:00:00"/>
    <n v="58"/>
    <x v="11"/>
    <d v="2014-03-05T00:00:00"/>
    <n v="55"/>
    <m/>
    <n v="16"/>
    <n v="-3"/>
    <m/>
    <x v="8"/>
    <n v="-187.5"/>
    <n v="2.3098350000000014"/>
    <n v="16"/>
    <n v="-3"/>
    <n v="37.6"/>
    <n v="-187.5"/>
    <n v="2.3098350000000014"/>
    <n v="17.100000000000001"/>
    <n v="2.3098350000000014"/>
  </r>
  <r>
    <x v="1"/>
    <x v="7"/>
    <n v="245"/>
    <n v="2.35"/>
    <s v="2014C-1260"/>
    <d v="2014-02-17T00:00:00"/>
    <n v="58.8"/>
    <x v="11"/>
    <d v="2014-03-05T00:00:00"/>
    <n v="58.4"/>
    <m/>
    <n v="16"/>
    <n v="-0.39999999999999858"/>
    <m/>
    <x v="8"/>
    <n v="-24.999999999999911"/>
    <n v="10.676174000000003"/>
    <n v="16"/>
    <n v="-0.39999999999999858"/>
    <n v="37.6"/>
    <n v="-24.999999999999911"/>
    <n v="10.676174000000003"/>
    <n v="17.100000000000001"/>
    <n v="10.676174000000003"/>
  </r>
  <r>
    <x v="1"/>
    <x v="7"/>
    <n v="245"/>
    <n v="2.35"/>
    <s v="2014C-1300"/>
    <d v="2014-02-17T00:00:00"/>
    <n v="52.2"/>
    <x v="11"/>
    <d v="2014-03-05T00:00:00"/>
    <n v="54"/>
    <m/>
    <n v="16"/>
    <n v="1.7999999999999972"/>
    <m/>
    <x v="8"/>
    <n v="112.49999999999983"/>
    <n v="16.524928999999993"/>
    <n v="16"/>
    <n v="1.7999999999999972"/>
    <n v="37.6"/>
    <n v="112.49999999999983"/>
    <n v="16.524928999999993"/>
    <n v="17.100000000000001"/>
    <n v="16.524928999999993"/>
  </r>
  <r>
    <x v="1"/>
    <x v="7"/>
    <n v="245"/>
    <n v="2.35"/>
    <s v="2014C-138"/>
    <d v="2014-02-17T00:00:00"/>
    <n v="54.6"/>
    <x v="11"/>
    <d v="2014-03-05T00:00:00"/>
    <n v="55.6"/>
    <m/>
    <n v="16"/>
    <n v="1"/>
    <m/>
    <x v="8"/>
    <n v="62.5"/>
    <n v="14.398108999999998"/>
    <n v="16"/>
    <n v="1"/>
    <n v="37.6"/>
    <n v="62.5"/>
    <n v="14.398108999999998"/>
    <n v="17.100000000000001"/>
    <n v="14.398108999999998"/>
  </r>
  <r>
    <x v="1"/>
    <x v="7"/>
    <n v="245"/>
    <n v="2.35"/>
    <s v="2014C-1487"/>
    <d v="2014-02-17T00:00:00"/>
    <n v="54.6"/>
    <x v="11"/>
    <d v="2014-03-05T00:00:00"/>
    <n v="55.8"/>
    <m/>
    <n v="16"/>
    <n v="1.1999999999999957"/>
    <m/>
    <x v="8"/>
    <n v="74.99999999999973"/>
    <n v="15.031267999999987"/>
    <n v="16"/>
    <n v="1.1999999999999957"/>
    <n v="37.6"/>
    <n v="74.99999999999973"/>
    <n v="15.031267999999987"/>
    <n v="17.100000000000001"/>
    <n v="15.031267999999988"/>
  </r>
  <r>
    <x v="1"/>
    <x v="7"/>
    <n v="245"/>
    <n v="2.35"/>
    <s v="2014C-1493"/>
    <d v="2014-02-17T00:00:00"/>
    <n v="54"/>
    <x v="11"/>
    <d v="2014-03-05T00:00:00"/>
    <n v="55.8"/>
    <m/>
    <n v="16"/>
    <n v="1.7999999999999972"/>
    <m/>
    <x v="8"/>
    <n v="112.49999999999983"/>
    <n v="16.829290999999991"/>
    <n v="16"/>
    <n v="1.7999999999999972"/>
    <n v="37.6"/>
    <n v="112.49999999999983"/>
    <n v="16.829290999999991"/>
    <n v="17.100000000000001"/>
    <n v="16.829290999999991"/>
  </r>
  <r>
    <x v="1"/>
    <x v="7"/>
    <n v="245"/>
    <n v="2.35"/>
    <s v="2014C-1496"/>
    <d v="2014-02-17T00:00:00"/>
    <n v="57.2"/>
    <x v="11"/>
    <d v="2014-03-05T00:00:00"/>
    <n v="58"/>
    <m/>
    <n v="16"/>
    <n v="0.79999999999999716"/>
    <m/>
    <x v="8"/>
    <n v="49.999999999999822"/>
    <n v="14.20458399999999"/>
    <n v="16"/>
    <n v="0.79999999999999716"/>
    <n v="37.6"/>
    <n v="49.999999999999822"/>
    <n v="14.20458399999999"/>
    <n v="17.100000000000001"/>
    <n v="14.20458399999999"/>
  </r>
  <r>
    <x v="1"/>
    <x v="7"/>
    <n v="245"/>
    <n v="2.35"/>
    <s v="2014C-1607"/>
    <d v="2014-02-17T00:00:00"/>
    <n v="64.2"/>
    <x v="11"/>
    <d v="2014-03-05T00:00:00"/>
    <n v="66"/>
    <m/>
    <n v="16"/>
    <n v="1.7999999999999972"/>
    <m/>
    <x v="8"/>
    <n v="112.49999999999983"/>
    <n v="18.55400899999999"/>
    <n v="16"/>
    <n v="1.7999999999999972"/>
    <n v="37.6"/>
    <n v="112.49999999999983"/>
    <n v="18.55400899999999"/>
    <n v="17.100000000000001"/>
    <n v="18.55400899999999"/>
  </r>
  <r>
    <x v="1"/>
    <x v="7"/>
    <n v="245"/>
    <n v="2.35"/>
    <s v="2014C-1614"/>
    <d v="2014-02-17T00:00:00"/>
    <n v="48.4"/>
    <x v="11"/>
    <d v="2014-03-05T00:00:00"/>
    <n v="52.6"/>
    <m/>
    <n v="16"/>
    <n v="4.2000000000000028"/>
    <m/>
    <x v="8"/>
    <n v="262.50000000000017"/>
    <n v="23.480295000000005"/>
    <n v="16"/>
    <n v="4.2000000000000028"/>
    <n v="37.6"/>
    <n v="262.50000000000017"/>
    <n v="23.480295000000005"/>
    <n v="17.100000000000001"/>
    <n v="23.480295000000005"/>
  </r>
  <r>
    <x v="1"/>
    <x v="7"/>
    <n v="245"/>
    <n v="2.35"/>
    <s v="2014C-1640"/>
    <d v="2014-02-17T00:00:00"/>
    <n v="55"/>
    <x v="11"/>
    <d v="2014-03-05T00:00:00"/>
    <n v="52.6"/>
    <m/>
    <n v="16"/>
    <n v="-2.3999999999999986"/>
    <m/>
    <x v="8"/>
    <n v="-149.99999999999991"/>
    <n v="3.7020420000000032"/>
    <n v="16"/>
    <n v="-2.3999999999999986"/>
    <n v="37.6"/>
    <n v="-149.99999999999991"/>
    <n v="3.7020420000000032"/>
    <n v="17.100000000000001"/>
    <n v="3.7020420000000032"/>
  </r>
  <r>
    <x v="1"/>
    <x v="7"/>
    <n v="245"/>
    <n v="2.35"/>
    <s v="2014C-1699"/>
    <d v="2014-02-17T00:00:00"/>
    <n v="50.6"/>
    <x v="11"/>
    <d v="2014-03-05T00:00:00"/>
    <n v="53.2"/>
    <m/>
    <n v="16"/>
    <n v="2.6000000000000014"/>
    <m/>
    <x v="8"/>
    <n v="162.50000000000009"/>
    <n v="18.787021000000003"/>
    <n v="16"/>
    <n v="2.6000000000000014"/>
    <n v="37.6"/>
    <n v="162.50000000000009"/>
    <n v="18.787021000000003"/>
    <n v="17.100000000000001"/>
    <n v="18.787021000000003"/>
  </r>
  <r>
    <x v="1"/>
    <x v="7"/>
    <n v="245"/>
    <n v="2.35"/>
    <s v="2014C-1784"/>
    <d v="2014-02-17T00:00:00"/>
    <n v="51.6"/>
    <x v="11"/>
    <d v="2014-03-05T00:00:00"/>
    <n v="53.6"/>
    <m/>
    <n v="16"/>
    <n v="2"/>
    <m/>
    <x v="8"/>
    <n v="125"/>
    <n v="17.056633999999999"/>
    <n v="16"/>
    <n v="2"/>
    <n v="37.6"/>
    <n v="125"/>
    <n v="17.056633999999999"/>
    <n v="17.100000000000001"/>
    <n v="17.056633999999999"/>
  </r>
  <r>
    <x v="1"/>
    <x v="7"/>
    <n v="245"/>
    <n v="2.35"/>
    <s v="2014C-1908"/>
    <d v="2014-02-17T00:00:00"/>
    <n v="49.6"/>
    <x v="11"/>
    <d v="2014-03-05T00:00:00"/>
    <n v="54.4"/>
    <m/>
    <n v="16"/>
    <n v="4.7999999999999972"/>
    <m/>
    <x v="8"/>
    <n v="299.99999999999983"/>
    <n v="25.582679999999989"/>
    <n v="16"/>
    <n v="4.7999999999999972"/>
    <n v="37.6"/>
    <n v="299.99999999999983"/>
    <n v="25.582679999999989"/>
    <n v="17.100000000000001"/>
    <n v="25.582679999999989"/>
  </r>
  <r>
    <x v="1"/>
    <x v="7"/>
    <n v="245"/>
    <n v="2.35"/>
    <s v="2014C-1965"/>
    <d v="2014-02-17T00:00:00"/>
    <n v="52.4"/>
    <x v="11"/>
    <d v="2014-03-05T00:00:00"/>
    <n v="56"/>
    <m/>
    <n v="16"/>
    <n v="3.6000000000000014"/>
    <m/>
    <x v="8"/>
    <n v="225.00000000000009"/>
    <n v="22.257178000000003"/>
    <n v="16"/>
    <n v="3.6000000000000014"/>
    <n v="37.6"/>
    <n v="225.00000000000009"/>
    <n v="22.257178000000003"/>
    <n v="17.100000000000001"/>
    <n v="22.257178000000003"/>
  </r>
  <r>
    <x v="1"/>
    <x v="7"/>
    <n v="245"/>
    <n v="2.35"/>
    <s v="2014C-2011"/>
    <d v="2014-02-17T00:00:00"/>
    <n v="50.6"/>
    <x v="11"/>
    <d v="2014-03-05T00:00:00"/>
    <n v="53"/>
    <m/>
    <n v="16"/>
    <n v="2.3999999999999986"/>
    <m/>
    <x v="8"/>
    <n v="149.99999999999991"/>
    <n v="18.153861999999993"/>
    <n v="16"/>
    <n v="2.3999999999999986"/>
    <n v="37.6"/>
    <n v="149.99999999999991"/>
    <n v="18.153861999999993"/>
    <n v="17.100000000000001"/>
    <n v="18.153861999999993"/>
  </r>
  <r>
    <x v="1"/>
    <x v="7"/>
    <n v="245"/>
    <n v="2.35"/>
    <s v="2014C-2018"/>
    <d v="2014-02-17T00:00:00"/>
    <n v="50"/>
    <x v="11"/>
    <d v="2014-03-05T00:00:00"/>
    <n v="51.2"/>
    <m/>
    <n v="16"/>
    <n v="1.2000000000000028"/>
    <m/>
    <x v="8"/>
    <n v="75.000000000000171"/>
    <n v="14.253454000000009"/>
    <n v="16"/>
    <n v="1.2000000000000028"/>
    <n v="37.6"/>
    <n v="75.000000000000171"/>
    <n v="14.253454000000009"/>
    <n v="17.100000000000001"/>
    <n v="14.253454000000009"/>
  </r>
  <r>
    <x v="1"/>
    <x v="7"/>
    <n v="245"/>
    <n v="2.35"/>
    <s v="2014C-2032"/>
    <d v="2014-02-17T00:00:00"/>
    <n v="55.4"/>
    <x v="11"/>
    <d v="2014-03-05T00:00:00"/>
    <n v="57"/>
    <m/>
    <n v="16"/>
    <n v="1.6000000000000014"/>
    <m/>
    <x v="8"/>
    <n v="100.00000000000009"/>
    <n v="16.432858000000003"/>
    <n v="16"/>
    <n v="1.6000000000000014"/>
    <n v="37.6"/>
    <n v="100.00000000000009"/>
    <n v="16.432858000000003"/>
    <n v="17.100000000000001"/>
    <n v="16.432858000000003"/>
  </r>
  <r>
    <x v="1"/>
    <x v="7"/>
    <n v="245"/>
    <n v="2.35"/>
    <s v="2014C-2093"/>
    <d v="2014-02-17T00:00:00"/>
    <n v="56.2"/>
    <x v="11"/>
    <d v="2014-03-05T00:00:00"/>
    <n v="61"/>
    <m/>
    <n v="16"/>
    <n v="4.7999999999999972"/>
    <m/>
    <x v="8"/>
    <n v="299.99999999999983"/>
    <n v="26.69867399999999"/>
    <n v="16"/>
    <n v="4.7999999999999972"/>
    <n v="37.6"/>
    <n v="299.99999999999983"/>
    <n v="26.69867399999999"/>
    <n v="17.100000000000001"/>
    <n v="26.69867399999999"/>
  </r>
  <r>
    <x v="1"/>
    <x v="7"/>
    <n v="245"/>
    <n v="2.35"/>
    <s v="2014C-2155"/>
    <d v="2014-02-17T00:00:00"/>
    <n v="51"/>
    <x v="11"/>
    <d v="2014-03-05T00:00:00"/>
    <n v="47.4"/>
    <m/>
    <n v="16"/>
    <n v="-3.6000000000000014"/>
    <m/>
    <x v="8"/>
    <n v="-225.00000000000009"/>
    <n v="-0.77327200000000218"/>
    <n v="16"/>
    <n v="-3.6000000000000014"/>
    <n v="37.6"/>
    <n v="-225.00000000000009"/>
    <n v="-0.77327200000000218"/>
    <n v="17.100000000000001"/>
    <n v="-0.77327200000000218"/>
  </r>
  <r>
    <x v="1"/>
    <x v="7"/>
    <n v="245"/>
    <n v="2.35"/>
    <s v="2014C-2329"/>
    <d v="2014-02-17T00:00:00"/>
    <n v="51.4"/>
    <x v="11"/>
    <d v="2014-03-05T00:00:00"/>
    <n v="52.8"/>
    <m/>
    <n v="16"/>
    <n v="1.3999999999999986"/>
    <m/>
    <x v="8"/>
    <n v="87.499999999999915"/>
    <n v="15.123338999999994"/>
    <n v="16"/>
    <n v="1.3999999999999986"/>
    <n v="37.6"/>
    <n v="87.499999999999915"/>
    <n v="15.123338999999994"/>
    <n v="17.100000000000001"/>
    <n v="15.123338999999996"/>
  </r>
  <r>
    <x v="1"/>
    <x v="7"/>
    <n v="245"/>
    <n v="2.35"/>
    <s v="2014C-2332"/>
    <d v="2014-02-17T00:00:00"/>
    <n v="48.6"/>
    <x v="11"/>
    <d v="2014-03-05T00:00:00"/>
    <n v="48.6"/>
    <m/>
    <n v="16"/>
    <n v="0"/>
    <m/>
    <x v="8"/>
    <n v="0"/>
    <n v="10.217774"/>
    <n v="16"/>
    <n v="0"/>
    <n v="37.6"/>
    <n v="0"/>
    <n v="10.217774"/>
    <n v="17.100000000000001"/>
    <n v="10.217774"/>
  </r>
  <r>
    <x v="1"/>
    <x v="7"/>
    <n v="245"/>
    <n v="2.35"/>
    <s v="2014C-2342"/>
    <d v="2014-02-17T00:00:00"/>
    <n v="48.6"/>
    <x v="11"/>
    <d v="2014-03-05T00:00:00"/>
    <n v="47.8"/>
    <m/>
    <n v="16"/>
    <n v="-0.80000000000000426"/>
    <m/>
    <x v="8"/>
    <n v="-50.00000000000027"/>
    <n v="7.6851379999999869"/>
    <n v="16"/>
    <n v="-0.80000000000000426"/>
    <n v="37.6"/>
    <n v="-50.00000000000027"/>
    <n v="7.6851379999999869"/>
    <n v="17.100000000000001"/>
    <n v="7.6851379999999869"/>
  </r>
  <r>
    <x v="1"/>
    <x v="7"/>
    <n v="245"/>
    <n v="2.35"/>
    <s v="2014C-2410"/>
    <d v="2014-02-17T00:00:00"/>
    <n v="62.8"/>
    <x v="11"/>
    <d v="2014-03-05T00:00:00"/>
    <n v="64"/>
    <m/>
    <n v="16"/>
    <n v="1.2000000000000028"/>
    <m/>
    <x v="8"/>
    <n v="75.000000000000171"/>
    <n v="16.417806000000006"/>
    <n v="16"/>
    <n v="1.2000000000000028"/>
    <n v="37.6"/>
    <n v="75.000000000000171"/>
    <n v="16.417806000000006"/>
    <n v="17.100000000000001"/>
    <n v="16.417806000000006"/>
  </r>
  <r>
    <x v="1"/>
    <x v="7"/>
    <n v="245"/>
    <n v="2.35"/>
    <s v="2014C-2459"/>
    <d v="2014-02-17T00:00:00"/>
    <n v="55"/>
    <x v="11"/>
    <d v="2014-03-05T00:00:00"/>
    <n v="55.2"/>
    <m/>
    <n v="16"/>
    <n v="0.20000000000000284"/>
    <m/>
    <x v="8"/>
    <n v="12.500000000000178"/>
    <n v="11.933109000000007"/>
    <n v="16"/>
    <n v="0.20000000000000284"/>
    <n v="37.6"/>
    <n v="12.500000000000178"/>
    <n v="11.933109000000007"/>
    <n v="17.100000000000001"/>
    <n v="11.933109000000007"/>
  </r>
  <r>
    <x v="1"/>
    <x v="7"/>
    <n v="245"/>
    <n v="2.35"/>
    <s v="2014C-2522"/>
    <d v="2014-02-17T00:00:00"/>
    <n v="63.2"/>
    <x v="11"/>
    <d v="2014-03-05T00:00:00"/>
    <n v="61.4"/>
    <m/>
    <n v="16"/>
    <n v="-1.8000000000000043"/>
    <m/>
    <x v="8"/>
    <n v="-112.50000000000027"/>
    <n v="6.9880569999999853"/>
    <n v="16"/>
    <n v="-1.8000000000000043"/>
    <n v="37.6"/>
    <n v="-112.50000000000027"/>
    <n v="6.9880569999999853"/>
    <n v="17.100000000000001"/>
    <n v="6.9880569999999853"/>
  </r>
  <r>
    <x v="1"/>
    <x v="7"/>
    <n v="245"/>
    <n v="2.35"/>
    <s v="2014C-258"/>
    <d v="2014-02-17T00:00:00"/>
    <n v="51.8"/>
    <x v="11"/>
    <d v="2014-03-05T00:00:00"/>
    <n v="51.4"/>
    <m/>
    <n v="16"/>
    <n v="-0.39999999999999858"/>
    <m/>
    <x v="8"/>
    <n v="-24.999999999999911"/>
    <n v="9.4925440000000023"/>
    <n v="16"/>
    <n v="-0.39999999999999858"/>
    <n v="37.6"/>
    <n v="-24.999999999999911"/>
    <n v="9.4925440000000023"/>
    <n v="17.100000000000001"/>
    <n v="9.4925440000000023"/>
  </r>
  <r>
    <x v="1"/>
    <x v="7"/>
    <n v="245"/>
    <n v="2.35"/>
    <s v="2014C-2655"/>
    <d v="2014-02-17T00:00:00"/>
    <n v="56.2"/>
    <x v="11"/>
    <d v="2014-03-05T00:00:00"/>
    <n v="53.6"/>
    <m/>
    <n v="16"/>
    <n v="-2.6000000000000014"/>
    <m/>
    <x v="8"/>
    <n v="-162.50000000000009"/>
    <n v="3.2717909999999968"/>
    <n v="16"/>
    <n v="-2.6000000000000014"/>
    <n v="37.6"/>
    <n v="-162.50000000000009"/>
    <n v="3.2717909999999968"/>
    <n v="17.100000000000001"/>
    <n v="3.2717909999999968"/>
  </r>
  <r>
    <x v="1"/>
    <x v="7"/>
    <n v="245"/>
    <n v="2.35"/>
    <s v="2014C-2661"/>
    <d v="2014-02-17T00:00:00"/>
    <n v="59.6"/>
    <x v="11"/>
    <d v="2014-03-05T00:00:00"/>
    <n v="59.2"/>
    <m/>
    <n v="16"/>
    <n v="-0.39999999999999858"/>
    <m/>
    <x v="8"/>
    <n v="-24.999999999999911"/>
    <n v="10.811446000000004"/>
    <n v="16"/>
    <n v="-0.39999999999999858"/>
    <n v="37.6"/>
    <n v="-24.999999999999911"/>
    <n v="10.811446000000004"/>
    <n v="17.100000000000001"/>
    <n v="10.811446000000004"/>
  </r>
  <r>
    <x v="1"/>
    <x v="7"/>
    <n v="245"/>
    <n v="2.35"/>
    <s v="2014C-2663"/>
    <d v="2014-02-17T00:00:00"/>
    <n v="49.4"/>
    <x v="11"/>
    <d v="2014-03-05T00:00:00"/>
    <n v="49.6"/>
    <m/>
    <n v="16"/>
    <n v="0.20000000000000284"/>
    <m/>
    <x v="8"/>
    <n v="12.500000000000178"/>
    <n v="10.986205000000007"/>
    <n v="16"/>
    <n v="0.20000000000000284"/>
    <n v="37.6"/>
    <n v="12.500000000000178"/>
    <n v="10.986205000000007"/>
    <n v="17.100000000000001"/>
    <n v="10.986205000000007"/>
  </r>
  <r>
    <x v="1"/>
    <x v="7"/>
    <n v="245"/>
    <n v="2.35"/>
    <s v="2014C-2685"/>
    <d v="2014-02-17T00:00:00"/>
    <n v="52.8"/>
    <x v="11"/>
    <d v="2014-03-05T00:00:00"/>
    <n v="56.8"/>
    <m/>
    <n v="16"/>
    <n v="4"/>
    <m/>
    <x v="8"/>
    <n v="250"/>
    <n v="23.591131999999998"/>
    <n v="16"/>
    <n v="4"/>
    <n v="37.6"/>
    <n v="250"/>
    <n v="23.591131999999998"/>
    <n v="17.100000000000001"/>
    <n v="23.591131999999998"/>
  </r>
  <r>
    <x v="1"/>
    <x v="7"/>
    <n v="245"/>
    <n v="2.35"/>
    <s v="2014C-2719"/>
    <d v="2014-02-17T00:00:00"/>
    <n v="61.2"/>
    <x v="11"/>
    <d v="2014-03-05T00:00:00"/>
    <n v="57.8"/>
    <m/>
    <n v="16"/>
    <n v="-3.4000000000000057"/>
    <m/>
    <x v="8"/>
    <n v="-212.50000000000034"/>
    <n v="1.5846049999999838"/>
    <n v="16"/>
    <n v="-3.4000000000000057"/>
    <n v="37.6"/>
    <n v="-212.50000000000034"/>
    <n v="1.5846049999999838"/>
    <n v="17.100000000000001"/>
    <n v="1.5846049999999838"/>
  </r>
  <r>
    <x v="1"/>
    <x v="7"/>
    <n v="245"/>
    <n v="2.35"/>
    <s v="2014C-2720"/>
    <d v="2014-02-17T00:00:00"/>
    <n v="50.6"/>
    <x v="11"/>
    <d v="2014-03-05T00:00:00"/>
    <n v="50.2"/>
    <m/>
    <n v="16"/>
    <n v="-0.39999999999999858"/>
    <m/>
    <x v="8"/>
    <n v="-24.999999999999911"/>
    <n v="9.2896360000000051"/>
    <n v="16"/>
    <n v="-0.39999999999999858"/>
    <n v="37.6"/>
    <n v="-24.999999999999911"/>
    <n v="9.2896360000000051"/>
    <n v="17.100000000000001"/>
    <n v="9.2896360000000051"/>
  </r>
  <r>
    <x v="1"/>
    <x v="7"/>
    <n v="245"/>
    <n v="2.35"/>
    <s v="2014C-2774"/>
    <d v="2014-02-17T00:00:00"/>
    <n v="50.4"/>
    <x v="11"/>
    <d v="2014-03-05T00:00:00"/>
    <n v="51.8"/>
    <m/>
    <n v="16"/>
    <n v="1.3999999999999986"/>
    <m/>
    <x v="8"/>
    <n v="87.499999999999915"/>
    <n v="14.954248999999994"/>
    <n v="16"/>
    <n v="1.3999999999999986"/>
    <n v="37.6"/>
    <n v="87.499999999999915"/>
    <n v="14.954248999999994"/>
    <n v="17.100000000000001"/>
    <n v="14.954248999999994"/>
  </r>
  <r>
    <x v="1"/>
    <x v="7"/>
    <n v="245"/>
    <n v="2.35"/>
    <s v="2014C-2873"/>
    <d v="2014-02-17T00:00:00"/>
    <n v="56.4"/>
    <x v="11"/>
    <d v="2014-03-05T00:00:00"/>
    <n v="60"/>
    <m/>
    <n v="16"/>
    <n v="3.6000000000000014"/>
    <m/>
    <x v="8"/>
    <n v="225.00000000000009"/>
    <n v="22.933538000000002"/>
    <n v="16"/>
    <n v="3.6000000000000014"/>
    <n v="37.6"/>
    <n v="225.00000000000009"/>
    <n v="22.933538000000002"/>
    <n v="17.100000000000001"/>
    <n v="22.933538000000002"/>
  </r>
  <r>
    <x v="1"/>
    <x v="7"/>
    <n v="245"/>
    <n v="2.35"/>
    <s v="2014C-2888"/>
    <d v="2014-02-17T00:00:00"/>
    <n v="58.2"/>
    <x v="11"/>
    <d v="2014-03-05T00:00:00"/>
    <n v="56.8"/>
    <m/>
    <n v="16"/>
    <n v="-1.4000000000000057"/>
    <m/>
    <x v="8"/>
    <n v="-87.500000000000355"/>
    <n v="7.4089249999999813"/>
    <n v="16"/>
    <n v="-1.4000000000000057"/>
    <n v="37.6"/>
    <n v="-87.500000000000355"/>
    <n v="7.4089249999999813"/>
    <n v="17.100000000000001"/>
    <n v="7.4089249999999813"/>
  </r>
  <r>
    <x v="1"/>
    <x v="7"/>
    <n v="245"/>
    <n v="2.35"/>
    <s v="2014C-2975"/>
    <d v="2014-02-17T00:00:00"/>
    <n v="53.8"/>
    <x v="11"/>
    <d v="2014-03-05T00:00:00"/>
    <n v="51.6"/>
    <m/>
    <n v="16"/>
    <n v="-2.1999999999999957"/>
    <m/>
    <x v="8"/>
    <n v="-137.49999999999974"/>
    <n v="4.1322930000000131"/>
    <n v="16"/>
    <n v="-2.1999999999999957"/>
    <n v="37.6"/>
    <n v="-137.49999999999974"/>
    <n v="4.1322930000000131"/>
    <n v="17.100000000000001"/>
    <n v="4.1322930000000131"/>
  </r>
  <r>
    <x v="1"/>
    <x v="7"/>
    <n v="245"/>
    <n v="2.35"/>
    <s v="2014C-2987"/>
    <d v="2014-02-17T00:00:00"/>
    <n v="59.2"/>
    <x v="11"/>
    <d v="2014-03-05T00:00:00"/>
    <n v="58.8"/>
    <m/>
    <n v="16"/>
    <n v="-0.40000000000000568"/>
    <m/>
    <x v="8"/>
    <n v="-25.000000000000355"/>
    <n v="10.743809999999982"/>
    <n v="16"/>
    <n v="-0.40000000000000568"/>
    <n v="37.6"/>
    <n v="-25.000000000000355"/>
    <n v="10.743809999999982"/>
    <n v="17.100000000000001"/>
    <n v="10.743809999999982"/>
  </r>
  <r>
    <x v="1"/>
    <x v="7"/>
    <n v="245"/>
    <n v="2.35"/>
    <s v="2014C-299"/>
    <d v="2014-02-17T00:00:00"/>
    <n v="52"/>
    <x v="11"/>
    <d v="2014-03-05T00:00:00"/>
    <n v="53"/>
    <m/>
    <n v="16"/>
    <n v="1"/>
    <m/>
    <x v="8"/>
    <n v="62.5"/>
    <n v="13.958475"/>
    <n v="16"/>
    <n v="1"/>
    <n v="37.6"/>
    <n v="62.5"/>
    <n v="13.958475"/>
    <n v="17.100000000000001"/>
    <n v="13.958475"/>
  </r>
  <r>
    <x v="1"/>
    <x v="7"/>
    <n v="245"/>
    <n v="2.35"/>
    <s v="2014C-37"/>
    <d v="2014-02-17T00:00:00"/>
    <n v="60.6"/>
    <x v="11"/>
    <d v="2014-03-05T00:00:00"/>
    <n v="56.2"/>
    <m/>
    <n v="16"/>
    <n v="-4.3999999999999986"/>
    <m/>
    <x v="8"/>
    <n v="-274.99999999999989"/>
    <n v="-1.6826439999999945"/>
    <n v="16"/>
    <n v="-4.3999999999999986"/>
    <n v="37.6"/>
    <n v="-274.99999999999989"/>
    <n v="-1.6826439999999945"/>
    <n v="17.100000000000001"/>
    <n v="-1.6826439999999945"/>
  </r>
  <r>
    <x v="1"/>
    <x v="7"/>
    <n v="245"/>
    <n v="2.35"/>
    <s v="2014C-379"/>
    <d v="2014-02-17T00:00:00"/>
    <n v="51.2"/>
    <x v="11"/>
    <d v="2014-03-05T00:00:00"/>
    <n v="49.4"/>
    <m/>
    <n v="16"/>
    <n v="-1.8000000000000043"/>
    <m/>
    <x v="8"/>
    <n v="-112.50000000000027"/>
    <n v="4.9589769999999866"/>
    <n v="16"/>
    <n v="-1.8000000000000043"/>
    <n v="37.6"/>
    <n v="-112.50000000000027"/>
    <n v="4.9589769999999866"/>
    <n v="17.100000000000001"/>
    <n v="4.9589769999999866"/>
  </r>
  <r>
    <x v="1"/>
    <x v="7"/>
    <n v="245"/>
    <n v="2.35"/>
    <s v="2014C-382"/>
    <d v="2014-02-17T00:00:00"/>
    <n v="63.4"/>
    <x v="11"/>
    <d v="2014-03-05T00:00:00"/>
    <n v="64"/>
    <m/>
    <n v="16"/>
    <n v="0.60000000000000142"/>
    <m/>
    <x v="8"/>
    <n v="37.500000000000085"/>
    <n v="14.619783000000004"/>
    <n v="16"/>
    <n v="0.60000000000000142"/>
    <n v="37.6"/>
    <n v="37.500000000000085"/>
    <n v="14.619783000000004"/>
    <n v="17.100000000000001"/>
    <n v="14.619783000000004"/>
  </r>
  <r>
    <x v="1"/>
    <x v="7"/>
    <n v="245"/>
    <n v="2.35"/>
    <s v="2014C-387"/>
    <d v="2014-02-17T00:00:00"/>
    <n v="57.4"/>
    <x v="11"/>
    <d v="2014-03-05T00:00:00"/>
    <n v="55.4"/>
    <m/>
    <n v="16"/>
    <n v="-2"/>
    <m/>
    <x v="8"/>
    <n v="-125"/>
    <n v="5.3741760000000003"/>
    <n v="16"/>
    <n v="-2"/>
    <n v="37.6"/>
    <n v="-125"/>
    <n v="5.3741760000000003"/>
    <n v="17.100000000000001"/>
    <n v="5.3741760000000003"/>
  </r>
  <r>
    <x v="1"/>
    <x v="7"/>
    <n v="245"/>
    <n v="2.35"/>
    <s v="2014C-481"/>
    <d v="2014-02-17T00:00:00"/>
    <n v="56.8"/>
    <x v="11"/>
    <d v="2014-03-05T00:00:00"/>
    <n v="59.2"/>
    <m/>
    <n v="16"/>
    <n v="2.4000000000000057"/>
    <m/>
    <x v="8"/>
    <n v="150.00000000000034"/>
    <n v="19.202220000000015"/>
    <n v="16"/>
    <n v="2.4000000000000057"/>
    <n v="37.6"/>
    <n v="150.00000000000034"/>
    <n v="19.202220000000015"/>
    <n v="17.100000000000001"/>
    <n v="19.202220000000015"/>
  </r>
  <r>
    <x v="1"/>
    <x v="7"/>
    <n v="245"/>
    <n v="2.35"/>
    <s v="2014C-50"/>
    <d v="2014-02-17T00:00:00"/>
    <n v="54.4"/>
    <x v="11"/>
    <d v="2014-03-05T00:00:00"/>
    <n v="55.6"/>
    <m/>
    <n v="16"/>
    <n v="1.2000000000000028"/>
    <m/>
    <x v="8"/>
    <n v="75.000000000000171"/>
    <n v="14.997450000000008"/>
    <n v="16"/>
    <n v="1.2000000000000028"/>
    <n v="37.6"/>
    <n v="75.000000000000171"/>
    <n v="14.997450000000008"/>
    <n v="17.100000000000001"/>
    <n v="14.997450000000008"/>
  </r>
  <r>
    <x v="1"/>
    <x v="7"/>
    <n v="245"/>
    <n v="2.35"/>
    <s v="2014C-648"/>
    <d v="2014-02-17T00:00:00"/>
    <n v="52.4"/>
    <x v="11"/>
    <d v="2014-03-05T00:00:00"/>
    <n v="55"/>
    <m/>
    <n v="16"/>
    <n v="2.6000000000000014"/>
    <m/>
    <x v="8"/>
    <n v="162.50000000000009"/>
    <n v="19.091383000000004"/>
    <n v="16"/>
    <n v="2.6000000000000014"/>
    <n v="37.6"/>
    <n v="162.50000000000009"/>
    <n v="19.091383000000004"/>
    <n v="17.100000000000001"/>
    <n v="19.091383000000004"/>
  </r>
  <r>
    <x v="1"/>
    <x v="7"/>
    <n v="245"/>
    <n v="2.35"/>
    <s v="2014C-73"/>
    <d v="2014-02-17T00:00:00"/>
    <n v="52.8"/>
    <x v="11"/>
    <d v="2014-03-05T00:00:00"/>
    <n v="50.6"/>
    <m/>
    <n v="16"/>
    <n v="-2.1999999999999957"/>
    <m/>
    <x v="8"/>
    <n v="-137.49999999999974"/>
    <n v="3.9632030000000142"/>
    <n v="16"/>
    <n v="-2.1999999999999957"/>
    <n v="37.6"/>
    <n v="-137.49999999999974"/>
    <n v="3.9632030000000142"/>
    <n v="17.100000000000001"/>
    <n v="3.9632030000000142"/>
  </r>
  <r>
    <x v="1"/>
    <x v="7"/>
    <n v="245"/>
    <n v="2.35"/>
    <s v="2014C-733"/>
    <d v="2014-02-17T00:00:00"/>
    <n v="54.4"/>
    <x v="11"/>
    <d v="2014-03-05T00:00:00"/>
    <n v="58.2"/>
    <m/>
    <n v="16"/>
    <n v="3.8000000000000043"/>
    <m/>
    <x v="8"/>
    <n v="237.50000000000026"/>
    <n v="23.228517000000011"/>
    <n v="16"/>
    <n v="3.8000000000000043"/>
    <n v="37.6"/>
    <n v="237.50000000000026"/>
    <n v="23.228517000000011"/>
    <n v="17.100000000000001"/>
    <n v="23.228517000000011"/>
  </r>
  <r>
    <x v="1"/>
    <x v="7"/>
    <n v="245"/>
    <n v="2.35"/>
    <s v="2014C-760"/>
    <d v="2014-02-17T00:00:00"/>
    <n v="57"/>
    <x v="11"/>
    <d v="2014-03-05T00:00:00"/>
    <n v="53"/>
    <m/>
    <n v="16"/>
    <n v="-4"/>
    <m/>
    <x v="8"/>
    <n v="-250"/>
    <n v="-1.0250500000000002"/>
    <n v="16"/>
    <n v="-4"/>
    <n v="37.6"/>
    <n v="-250"/>
    <n v="-1.0250500000000002"/>
    <n v="17.100000000000001"/>
    <n v="-1.0250500000000002"/>
  </r>
  <r>
    <x v="1"/>
    <x v="7"/>
    <n v="245"/>
    <n v="2.35"/>
    <s v="2014C-78"/>
    <d v="2014-02-17T00:00:00"/>
    <n v="54.2"/>
    <x v="11"/>
    <d v="2014-03-05T00:00:00"/>
    <n v="55.6"/>
    <m/>
    <n v="16"/>
    <n v="1.3999999999999986"/>
    <m/>
    <x v="8"/>
    <n v="87.499999999999915"/>
    <n v="15.596790999999996"/>
    <n v="16"/>
    <n v="1.3999999999999986"/>
    <n v="37.6"/>
    <n v="87.499999999999915"/>
    <n v="15.596790999999996"/>
    <n v="17.100000000000001"/>
    <n v="15.596790999999998"/>
  </r>
  <r>
    <x v="1"/>
    <x v="7"/>
    <n v="245"/>
    <n v="2.35"/>
    <s v="2014C-914"/>
    <d v="2014-02-17T00:00:00"/>
    <n v="54.4"/>
    <x v="11"/>
    <d v="2014-03-05T00:00:00"/>
    <n v="54.2"/>
    <m/>
    <n v="16"/>
    <n v="-0.19999999999999574"/>
    <m/>
    <x v="8"/>
    <n v="-12.499999999999734"/>
    <n v="10.565337000000012"/>
    <n v="16"/>
    <n v="-0.19999999999999574"/>
    <n v="37.6"/>
    <n v="-12.499999999999734"/>
    <n v="10.565337000000012"/>
    <n v="17.100000000000001"/>
    <n v="10.565337000000012"/>
  </r>
  <r>
    <x v="1"/>
    <x v="8"/>
    <n v="161"/>
    <n v="2.36"/>
    <s v="2014SB-1048"/>
    <d v="2014-02-17T00:00:00"/>
    <n v="53.2"/>
    <x v="11"/>
    <d v="2014-03-05T00:00:00"/>
    <n v="58.6"/>
    <m/>
    <n v="16"/>
    <n v="5.3999999999999986"/>
    <m/>
    <x v="9"/>
    <n v="337.49999999999989"/>
    <n v="28.090880999999996"/>
    <n v="16"/>
    <n v="5.3999999999999986"/>
    <n v="37.76"/>
    <n v="337.49999999999989"/>
    <n v="28.090880999999996"/>
    <n v="17.100000000000001"/>
    <n v="28.090880999999996"/>
  </r>
  <r>
    <x v="1"/>
    <x v="8"/>
    <n v="161"/>
    <n v="2.36"/>
    <s v="2014SB-1205"/>
    <d v="2014-02-17T00:00:00"/>
    <n v="54.4"/>
    <x v="11"/>
    <d v="2014-03-05T00:00:00"/>
    <n v="59.8"/>
    <m/>
    <n v="16"/>
    <n v="5.3999999999999986"/>
    <m/>
    <x v="9"/>
    <n v="337.49999999999989"/>
    <n v="28.293788999999993"/>
    <n v="16"/>
    <n v="5.3999999999999986"/>
    <n v="37.76"/>
    <n v="337.49999999999989"/>
    <n v="28.293788999999993"/>
    <n v="17.100000000000001"/>
    <n v="28.293788999999993"/>
  </r>
  <r>
    <x v="1"/>
    <x v="8"/>
    <n v="161"/>
    <n v="2.36"/>
    <s v="2014SB-1224"/>
    <d v="2014-02-17T00:00:00"/>
    <n v="53.2"/>
    <x v="11"/>
    <d v="2014-03-05T00:00:00"/>
    <n v="60"/>
    <m/>
    <n v="16"/>
    <n v="6.7999999999999972"/>
    <m/>
    <x v="9"/>
    <n v="424.99999999999983"/>
    <n v="32.52299399999999"/>
    <n v="16"/>
    <n v="6.7999999999999972"/>
    <n v="37.76"/>
    <n v="424.99999999999983"/>
    <n v="32.52299399999999"/>
    <n v="17.100000000000001"/>
    <n v="32.52299399999999"/>
  </r>
  <r>
    <x v="1"/>
    <x v="8"/>
    <n v="161"/>
    <n v="2.36"/>
    <s v="2014SB-1234"/>
    <d v="2014-02-17T00:00:00"/>
    <n v="52.4"/>
    <x v="11"/>
    <d v="2014-03-05T00:00:00"/>
    <n v="57.8"/>
    <m/>
    <n v="16"/>
    <n v="5.3999999999999986"/>
    <m/>
    <x v="9"/>
    <n v="337.49999999999989"/>
    <n v="27.955608999999995"/>
    <n v="16"/>
    <n v="5.3999999999999986"/>
    <n v="37.76"/>
    <n v="337.49999999999989"/>
    <n v="27.955608999999995"/>
    <n v="17.100000000000001"/>
    <n v="27.955608999999995"/>
  </r>
  <r>
    <x v="1"/>
    <x v="8"/>
    <n v="161"/>
    <n v="2.36"/>
    <s v="2014SB-1248"/>
    <d v="2014-02-17T00:00:00"/>
    <n v="54.8"/>
    <x v="11"/>
    <d v="2014-03-05T00:00:00"/>
    <n v="62.8"/>
    <m/>
    <n v="16"/>
    <n v="8"/>
    <m/>
    <x v="9"/>
    <n v="500"/>
    <n v="36.592492"/>
    <n v="16"/>
    <n v="8"/>
    <n v="37.76"/>
    <n v="500"/>
    <n v="36.592492"/>
    <n v="17.100000000000001"/>
    <n v="36.592492"/>
  </r>
  <r>
    <x v="1"/>
    <x v="8"/>
    <n v="161"/>
    <n v="2.36"/>
    <s v="2014SB-1252"/>
    <d v="2014-02-17T00:00:00"/>
    <n v="54.6"/>
    <x v="11"/>
    <d v="2014-03-05T00:00:00"/>
    <n v="61.8"/>
    <m/>
    <n v="16"/>
    <n v="7.1999999999999957"/>
    <m/>
    <x v="9"/>
    <n v="449.99999999999972"/>
    <n v="34.026037999999986"/>
    <n v="16"/>
    <n v="7.1999999999999957"/>
    <n v="37.76"/>
    <n v="449.99999999999972"/>
    <n v="34.026037999999986"/>
    <n v="17.100000000000001"/>
    <n v="34.026037999999986"/>
  </r>
  <r>
    <x v="1"/>
    <x v="8"/>
    <n v="161"/>
    <n v="2.36"/>
    <s v="2014SB-1277"/>
    <d v="2014-02-17T00:00:00"/>
    <n v="50.6"/>
    <x v="11"/>
    <d v="2014-03-05T00:00:00"/>
    <n v="57.4"/>
    <m/>
    <n v="16"/>
    <n v="6.7999999999999972"/>
    <m/>
    <x v="9"/>
    <n v="424.99999999999983"/>
    <n v="32.083359999999992"/>
    <n v="16"/>
    <n v="6.7999999999999972"/>
    <n v="37.76"/>
    <n v="424.99999999999983"/>
    <n v="32.083359999999992"/>
    <n v="17.100000000000001"/>
    <n v="32.083359999999992"/>
  </r>
  <r>
    <x v="1"/>
    <x v="8"/>
    <n v="161"/>
    <n v="2.36"/>
    <s v="2014SB-1283"/>
    <d v="2014-02-17T00:00:00"/>
    <n v="54.6"/>
    <x v="11"/>
    <d v="2014-03-05T00:00:00"/>
    <n v="60.8"/>
    <m/>
    <n v="16"/>
    <n v="6.1999999999999957"/>
    <m/>
    <x v="9"/>
    <n v="387.49999999999972"/>
    <n v="30.86024299999999"/>
    <n v="16"/>
    <n v="6.1999999999999957"/>
    <n v="37.76"/>
    <n v="387.49999999999972"/>
    <n v="30.86024299999999"/>
    <n v="17.100000000000001"/>
    <n v="30.86024299999999"/>
  </r>
  <r>
    <x v="1"/>
    <x v="8"/>
    <n v="161"/>
    <n v="2.36"/>
    <s v="2014SB-1424"/>
    <d v="2014-02-17T00:00:00"/>
    <n v="51"/>
    <x v="11"/>
    <d v="2014-03-05T00:00:00"/>
    <n v="57"/>
    <m/>
    <n v="16"/>
    <n v="6"/>
    <m/>
    <x v="9"/>
    <n v="375"/>
    <n v="29.618359999999996"/>
    <n v="16"/>
    <n v="6"/>
    <n v="37.76"/>
    <n v="375"/>
    <n v="29.618359999999996"/>
    <n v="17.100000000000001"/>
    <n v="29.618359999999996"/>
  </r>
  <r>
    <x v="1"/>
    <x v="8"/>
    <n v="161"/>
    <n v="2.36"/>
    <s v="2014SB-1492"/>
    <d v="2014-02-17T00:00:00"/>
    <n v="52.8"/>
    <x v="11"/>
    <d v="2014-03-05T00:00:00"/>
    <n v="57.6"/>
    <m/>
    <n v="16"/>
    <n v="4.8000000000000043"/>
    <m/>
    <x v="9"/>
    <n v="300.00000000000028"/>
    <n v="26.123768000000013"/>
    <n v="16"/>
    <n v="4.8000000000000043"/>
    <n v="37.76"/>
    <n v="300.00000000000028"/>
    <n v="26.123768000000013"/>
    <n v="17.100000000000001"/>
    <n v="26.123768000000013"/>
  </r>
  <r>
    <x v="1"/>
    <x v="8"/>
    <n v="161"/>
    <n v="2.36"/>
    <s v="2014SB-1639"/>
    <d v="2014-02-17T00:00:00"/>
    <n v="56.2"/>
    <x v="11"/>
    <d v="2014-03-05T00:00:00"/>
    <n v="64.400000000000006"/>
    <m/>
    <n v="16"/>
    <n v="8.2000000000000028"/>
    <m/>
    <x v="9"/>
    <n v="512.50000000000023"/>
    <n v="37.462377000000004"/>
    <n v="16"/>
    <n v="8.2000000000000028"/>
    <n v="37.76"/>
    <n v="512.50000000000023"/>
    <n v="37.462377000000004"/>
    <n v="17.100000000000001"/>
    <n v="37.462377000000004"/>
  </r>
  <r>
    <x v="1"/>
    <x v="8"/>
    <n v="161"/>
    <n v="2.36"/>
    <s v="2014SB-1686"/>
    <d v="2014-02-17T00:00:00"/>
    <n v="53.4"/>
    <x v="11"/>
    <d v="2014-03-05T00:00:00"/>
    <n v="58"/>
    <m/>
    <n v="16"/>
    <n v="4.6000000000000014"/>
    <m/>
    <x v="9"/>
    <n v="287.50000000000011"/>
    <n v="25.592063000000003"/>
    <n v="16"/>
    <n v="4.6000000000000014"/>
    <n v="37.76"/>
    <n v="287.50000000000011"/>
    <n v="25.592063000000003"/>
    <n v="17.100000000000001"/>
    <n v="25.592063000000003"/>
  </r>
  <r>
    <x v="1"/>
    <x v="8"/>
    <n v="161"/>
    <n v="2.36"/>
    <s v="2014SB-1712"/>
    <d v="2014-02-17T00:00:00"/>
    <n v="55.4"/>
    <x v="11"/>
    <d v="2014-03-05T00:00:00"/>
    <n v="58.6"/>
    <m/>
    <n v="16"/>
    <n v="3.2000000000000028"/>
    <m/>
    <x v="9"/>
    <n v="200.00000000000017"/>
    <n v="21.49813000000001"/>
    <n v="16"/>
    <n v="3.2000000000000028"/>
    <n v="37.76"/>
    <n v="200.00000000000017"/>
    <n v="21.49813000000001"/>
    <n v="17.100000000000001"/>
    <n v="21.49813000000001"/>
  </r>
  <r>
    <x v="1"/>
    <x v="8"/>
    <n v="161"/>
    <n v="2.36"/>
    <s v="2014SB-180"/>
    <d v="2014-02-17T00:00:00"/>
    <n v="61.2"/>
    <x v="11"/>
    <d v="2014-03-05T00:00:00"/>
    <n v="67.2"/>
    <m/>
    <n v="16"/>
    <n v="6"/>
    <m/>
    <x v="9"/>
    <n v="375"/>
    <n v="31.343077999999998"/>
    <n v="16"/>
    <n v="6"/>
    <n v="37.76"/>
    <n v="375"/>
    <n v="31.343077999999998"/>
    <n v="17.100000000000001"/>
    <n v="31.343078000000002"/>
  </r>
  <r>
    <x v="1"/>
    <x v="8"/>
    <n v="161"/>
    <n v="2.36"/>
    <s v="2014SB-2041"/>
    <d v="2014-02-17T00:00:00"/>
    <n v="51"/>
    <x v="11"/>
    <d v="2014-03-05T00:00:00"/>
    <n v="53"/>
    <m/>
    <n v="16"/>
    <n v="2"/>
    <m/>
    <x v="9"/>
    <n v="125"/>
    <n v="16.955179999999999"/>
    <n v="16"/>
    <n v="2"/>
    <n v="37.76"/>
    <n v="125"/>
    <n v="16.955179999999999"/>
    <n v="17.100000000000001"/>
    <n v="16.955179999999999"/>
  </r>
  <r>
    <x v="1"/>
    <x v="8"/>
    <n v="161"/>
    <n v="2.36"/>
    <s v="2014SB-2083"/>
    <d v="2014-02-17T00:00:00"/>
    <n v="51.4"/>
    <x v="11"/>
    <d v="2014-03-05T00:00:00"/>
    <n v="55.6"/>
    <m/>
    <n v="16"/>
    <n v="4.2000000000000028"/>
    <m/>
    <x v="9"/>
    <n v="262.50000000000017"/>
    <n v="23.987565000000007"/>
    <n v="16"/>
    <n v="4.2000000000000028"/>
    <n v="37.76"/>
    <n v="262.50000000000017"/>
    <n v="23.987565000000007"/>
    <n v="17.100000000000001"/>
    <n v="23.987565000000007"/>
  </r>
  <r>
    <x v="1"/>
    <x v="8"/>
    <n v="161"/>
    <n v="2.36"/>
    <s v="2014SB-2131"/>
    <d v="2014-02-17T00:00:00"/>
    <n v="54.2"/>
    <x v="11"/>
    <d v="2014-03-05T00:00:00"/>
    <n v="60"/>
    <m/>
    <n v="16"/>
    <n v="5.7999999999999972"/>
    <m/>
    <x v="9"/>
    <n v="362.49999999999983"/>
    <n v="29.526288999999991"/>
    <n v="16"/>
    <n v="5.7999999999999972"/>
    <n v="37.76"/>
    <n v="362.49999999999983"/>
    <n v="29.526288999999991"/>
    <n v="17.100000000000001"/>
    <n v="29.526288999999991"/>
  </r>
  <r>
    <x v="1"/>
    <x v="8"/>
    <n v="161"/>
    <n v="2.36"/>
    <s v="2014SB-2148"/>
    <d v="2014-02-17T00:00:00"/>
    <n v="56"/>
    <x v="11"/>
    <d v="2014-03-05T00:00:00"/>
    <n v="60"/>
    <m/>
    <n v="16"/>
    <n v="4"/>
    <m/>
    <x v="9"/>
    <n v="250"/>
    <n v="24.132219999999997"/>
    <n v="16"/>
    <n v="4"/>
    <n v="37.76"/>
    <n v="250"/>
    <n v="24.132219999999997"/>
    <n v="17.100000000000001"/>
    <n v="24.132219999999997"/>
  </r>
  <r>
    <x v="1"/>
    <x v="8"/>
    <n v="161"/>
    <n v="2.36"/>
    <s v="2014SB-2154"/>
    <d v="2014-02-17T00:00:00"/>
    <n v="63.2"/>
    <x v="11"/>
    <d v="2014-03-05T00:00:00"/>
    <n v="69.2"/>
    <m/>
    <n v="16"/>
    <n v="6"/>
    <m/>
    <x v="9"/>
    <n v="375"/>
    <n v="31.681257999999996"/>
    <n v="16"/>
    <n v="6"/>
    <n v="37.76"/>
    <n v="375"/>
    <n v="31.681257999999996"/>
    <n v="17.100000000000001"/>
    <n v="31.681257999999993"/>
  </r>
  <r>
    <x v="1"/>
    <x v="8"/>
    <n v="161"/>
    <n v="2.36"/>
    <s v="2014SB-2162"/>
    <d v="2014-02-17T00:00:00"/>
    <n v="55.6"/>
    <x v="11"/>
    <d v="2014-03-05T00:00:00"/>
    <n v="62"/>
    <m/>
    <n v="16"/>
    <n v="6.3999999999999986"/>
    <m/>
    <x v="9"/>
    <n v="399.99999999999989"/>
    <n v="31.662491999999993"/>
    <n v="16"/>
    <n v="6.3999999999999986"/>
    <n v="37.76"/>
    <n v="399.99999999999989"/>
    <n v="31.662491999999993"/>
    <n v="17.100000000000001"/>
    <n v="31.662491999999997"/>
  </r>
  <r>
    <x v="1"/>
    <x v="8"/>
    <n v="161"/>
    <n v="2.36"/>
    <s v="2014SB-2306"/>
    <d v="2014-02-17T00:00:00"/>
    <n v="58.4"/>
    <x v="11"/>
    <d v="2014-03-05T00:00:00"/>
    <n v="62.6"/>
    <m/>
    <n v="16"/>
    <n v="4.2000000000000028"/>
    <m/>
    <x v="9"/>
    <n v="262.50000000000017"/>
    <n v="25.171195000000004"/>
    <n v="16"/>
    <n v="4.2000000000000028"/>
    <n v="37.76"/>
    <n v="262.50000000000017"/>
    <n v="25.171195000000004"/>
    <n v="17.100000000000001"/>
    <n v="25.171195000000004"/>
  </r>
  <r>
    <x v="1"/>
    <x v="8"/>
    <n v="161"/>
    <n v="2.36"/>
    <s v="2014SB-2311"/>
    <d v="2014-02-17T00:00:00"/>
    <n v="53.4"/>
    <x v="11"/>
    <d v="2014-03-05T00:00:00"/>
    <n v="55.8"/>
    <m/>
    <n v="16"/>
    <n v="2.3999999999999986"/>
    <m/>
    <x v="9"/>
    <n v="149.99999999999991"/>
    <n v="18.627313999999995"/>
    <n v="16"/>
    <n v="2.3999999999999986"/>
    <n v="37.76"/>
    <n v="149.99999999999991"/>
    <n v="18.627313999999995"/>
    <n v="17.100000000000001"/>
    <n v="18.627313999999995"/>
  </r>
  <r>
    <x v="1"/>
    <x v="8"/>
    <n v="161"/>
    <n v="2.36"/>
    <s v="2014SB-2320"/>
    <d v="2014-02-17T00:00:00"/>
    <n v="51.4"/>
    <x v="11"/>
    <d v="2014-03-05T00:00:00"/>
    <n v="57.8"/>
    <m/>
    <n v="16"/>
    <n v="6.3999999999999986"/>
    <m/>
    <x v="9"/>
    <n v="399.99999999999989"/>
    <n v="30.952313999999994"/>
    <n v="16"/>
    <n v="6.3999999999999986"/>
    <n v="37.76"/>
    <n v="399.99999999999989"/>
    <n v="30.952313999999994"/>
    <n v="17.100000000000001"/>
    <n v="30.952313999999991"/>
  </r>
  <r>
    <x v="1"/>
    <x v="8"/>
    <n v="161"/>
    <n v="2.36"/>
    <s v="2014SB-2343"/>
    <d v="2014-02-17T00:00:00"/>
    <n v="51.6"/>
    <x v="11"/>
    <d v="2014-03-05T00:00:00"/>
    <n v="57.6"/>
    <m/>
    <n v="16"/>
    <n v="6"/>
    <m/>
    <x v="9"/>
    <n v="375"/>
    <n v="29.719814"/>
    <n v="16"/>
    <n v="6"/>
    <n v="37.76"/>
    <n v="375"/>
    <n v="29.719814"/>
    <n v="17.100000000000001"/>
    <n v="29.719814"/>
  </r>
  <r>
    <x v="1"/>
    <x v="8"/>
    <n v="161"/>
    <n v="2.36"/>
    <s v="2014SB-2430"/>
    <d v="2014-02-17T00:00:00"/>
    <n v="55.8"/>
    <x v="11"/>
    <d v="2014-03-05T00:00:00"/>
    <n v="59.8"/>
    <m/>
    <n v="16"/>
    <n v="4"/>
    <m/>
    <x v="9"/>
    <n v="250"/>
    <n v="24.098402"/>
    <n v="16"/>
    <n v="4"/>
    <n v="37.76"/>
    <n v="250"/>
    <n v="24.098402"/>
    <n v="17.100000000000001"/>
    <n v="24.098402"/>
  </r>
  <r>
    <x v="1"/>
    <x v="8"/>
    <n v="161"/>
    <n v="2.36"/>
    <s v="2014SB-2458"/>
    <d v="2014-02-17T00:00:00"/>
    <n v="55.6"/>
    <x v="11"/>
    <d v="2014-03-05T00:00:00"/>
    <n v="63.4"/>
    <m/>
    <n v="16"/>
    <n v="7.7999999999999972"/>
    <m/>
    <x v="9"/>
    <n v="487.49999999999983"/>
    <n v="36.094604999999987"/>
    <n v="16"/>
    <n v="7.7999999999999972"/>
    <n v="37.76"/>
    <n v="487.49999999999983"/>
    <n v="36.094604999999987"/>
    <n v="17.100000000000001"/>
    <n v="36.094604999999987"/>
  </r>
  <r>
    <x v="1"/>
    <x v="8"/>
    <n v="161"/>
    <n v="2.36"/>
    <s v="2014SB-2469"/>
    <d v="2014-02-17T00:00:00"/>
    <n v="53.6"/>
    <x v="11"/>
    <d v="2014-03-05T00:00:00"/>
    <n v="56.6"/>
    <m/>
    <n v="16"/>
    <n v="3"/>
    <m/>
    <x v="9"/>
    <n v="187.5"/>
    <n v="20.560608999999999"/>
    <n v="16"/>
    <n v="3"/>
    <n v="37.76"/>
    <n v="187.5"/>
    <n v="20.560608999999999"/>
    <n v="17.100000000000001"/>
    <n v="20.560608999999999"/>
  </r>
  <r>
    <x v="1"/>
    <x v="8"/>
    <n v="161"/>
    <n v="2.36"/>
    <s v="2014SB-2524"/>
    <d v="2014-02-17T00:00:00"/>
    <n v="57.6"/>
    <x v="11"/>
    <d v="2014-03-05T00:00:00"/>
    <n v="62.2"/>
    <m/>
    <n v="16"/>
    <n v="4.6000000000000014"/>
    <m/>
    <x v="9"/>
    <n v="287.50000000000011"/>
    <n v="26.302241000000002"/>
    <n v="16"/>
    <n v="4.6000000000000014"/>
    <n v="37.76"/>
    <n v="287.50000000000011"/>
    <n v="26.302241000000002"/>
    <n v="17.100000000000001"/>
    <n v="26.302241000000002"/>
  </r>
  <r>
    <x v="1"/>
    <x v="8"/>
    <n v="161"/>
    <n v="2.36"/>
    <s v="2014SB-2590"/>
    <d v="2014-02-17T00:00:00"/>
    <n v="50.4"/>
    <x v="11"/>
    <d v="2014-03-05T00:00:00"/>
    <n v="52.4"/>
    <m/>
    <n v="16"/>
    <n v="2"/>
    <m/>
    <x v="9"/>
    <n v="125"/>
    <n v="16.853725999999998"/>
    <n v="16"/>
    <n v="2"/>
    <n v="37.76"/>
    <n v="125"/>
    <n v="16.853725999999998"/>
    <n v="17.100000000000001"/>
    <n v="16.853725999999998"/>
  </r>
  <r>
    <x v="1"/>
    <x v="8"/>
    <n v="161"/>
    <n v="2.36"/>
    <s v="2014SB-2630"/>
    <d v="2014-02-17T00:00:00"/>
    <n v="49.6"/>
    <x v="11"/>
    <d v="2014-03-05T00:00:00"/>
    <n v="52.8"/>
    <m/>
    <n v="16"/>
    <n v="3.1999999999999957"/>
    <m/>
    <x v="9"/>
    <n v="199.99999999999974"/>
    <n v="20.517407999999989"/>
    <n v="16"/>
    <n v="3.1999999999999957"/>
    <n v="37.76"/>
    <n v="199.99999999999974"/>
    <n v="20.517407999999989"/>
    <n v="17.100000000000001"/>
    <n v="20.517407999999989"/>
  </r>
  <r>
    <x v="1"/>
    <x v="8"/>
    <n v="161"/>
    <n v="2.36"/>
    <s v="2014SB-2632"/>
    <d v="2014-02-17T00:00:00"/>
    <n v="49.4"/>
    <x v="11"/>
    <d v="2014-03-05T00:00:00"/>
    <n v="55.2"/>
    <m/>
    <n v="16"/>
    <n v="5.8000000000000043"/>
    <m/>
    <x v="9"/>
    <n v="362.50000000000028"/>
    <n v="28.71465700000001"/>
    <n v="16"/>
    <n v="5.8000000000000043"/>
    <n v="37.76"/>
    <n v="362.50000000000028"/>
    <n v="28.71465700000001"/>
    <n v="17.100000000000001"/>
    <n v="28.71465700000001"/>
  </r>
  <r>
    <x v="1"/>
    <x v="8"/>
    <n v="161"/>
    <n v="2.36"/>
    <s v="2014SB-2695"/>
    <d v="2014-02-17T00:00:00"/>
    <n v="60.4"/>
    <x v="11"/>
    <d v="2014-03-05T00:00:00"/>
    <n v="63.8"/>
    <m/>
    <n v="16"/>
    <n v="3.3999999999999986"/>
    <m/>
    <x v="9"/>
    <n v="212.49999999999991"/>
    <n v="22.976738999999995"/>
    <n v="16"/>
    <n v="3.3999999999999986"/>
    <n v="37.76"/>
    <n v="212.49999999999991"/>
    <n v="22.976738999999995"/>
    <n v="17.100000000000001"/>
    <n v="22.976738999999995"/>
  </r>
  <r>
    <x v="1"/>
    <x v="8"/>
    <n v="161"/>
    <n v="2.36"/>
    <s v="2014SB-2718"/>
    <d v="2014-02-17T00:00:00"/>
    <n v="58"/>
    <x v="11"/>
    <d v="2014-03-05T00:00:00"/>
    <n v="65.8"/>
    <m/>
    <n v="16"/>
    <n v="7.7999999999999972"/>
    <m/>
    <x v="9"/>
    <n v="487.49999999999983"/>
    <n v="36.500420999999989"/>
    <n v="16"/>
    <n v="7.7999999999999972"/>
    <n v="37.76"/>
    <n v="487.49999999999983"/>
    <n v="36.500420999999989"/>
    <n v="17.100000000000001"/>
    <n v="36.500420999999989"/>
  </r>
  <r>
    <x v="1"/>
    <x v="8"/>
    <n v="161"/>
    <n v="2.36"/>
    <s v="2014SB-2730"/>
    <d v="2014-02-17T00:00:00"/>
    <n v="52.6"/>
    <x v="11"/>
    <d v="2014-03-05T00:00:00"/>
    <n v="53.6"/>
    <m/>
    <n v="16"/>
    <n v="1"/>
    <m/>
    <x v="9"/>
    <n v="62.5"/>
    <n v="14.059929"/>
    <n v="16"/>
    <n v="1"/>
    <n v="37.76"/>
    <n v="62.5"/>
    <n v="14.059929"/>
    <n v="17.100000000000001"/>
    <n v="14.059929"/>
  </r>
  <r>
    <x v="1"/>
    <x v="8"/>
    <n v="161"/>
    <n v="2.36"/>
    <s v="2014SB-2761"/>
    <d v="2014-02-17T00:00:00"/>
    <n v="56.6"/>
    <x v="11"/>
    <d v="2014-03-05T00:00:00"/>
    <n v="62.4"/>
    <m/>
    <n v="16"/>
    <n v="5.7999999999999972"/>
    <m/>
    <x v="9"/>
    <n v="362.49999999999983"/>
    <n v="29.932104999999989"/>
    <n v="16"/>
    <n v="5.7999999999999972"/>
    <n v="37.76"/>
    <n v="362.49999999999983"/>
    <n v="29.932104999999989"/>
    <n v="17.100000000000001"/>
    <n v="29.932104999999989"/>
  </r>
  <r>
    <x v="1"/>
    <x v="8"/>
    <n v="161"/>
    <n v="2.36"/>
    <s v="2014SB-2865"/>
    <d v="2014-02-17T00:00:00"/>
    <n v="58.6"/>
    <x v="11"/>
    <d v="2014-03-05T00:00:00"/>
    <n v="66.2"/>
    <m/>
    <n v="16"/>
    <n v="7.6000000000000014"/>
    <m/>
    <x v="9"/>
    <n v="475.00000000000011"/>
    <n v="35.968716000000001"/>
    <n v="16"/>
    <n v="7.6000000000000014"/>
    <n v="37.76"/>
    <n v="475.00000000000011"/>
    <n v="35.968716000000001"/>
    <n v="17.100000000000001"/>
    <n v="35.968716000000001"/>
  </r>
  <r>
    <x v="1"/>
    <x v="8"/>
    <n v="161"/>
    <n v="2.36"/>
    <s v="2014SB-2868"/>
    <d v="2014-02-17T00:00:00"/>
    <n v="56.6"/>
    <x v="11"/>
    <d v="2014-03-05T00:00:00"/>
    <n v="60.8"/>
    <m/>
    <n v="16"/>
    <n v="4.1999999999999957"/>
    <m/>
    <x v="9"/>
    <n v="262.49999999999972"/>
    <n v="24.866832999999986"/>
    <n v="16"/>
    <n v="4.1999999999999957"/>
    <n v="37.76"/>
    <n v="262.49999999999972"/>
    <n v="24.866832999999986"/>
    <n v="17.100000000000001"/>
    <n v="24.866832999999986"/>
  </r>
  <r>
    <x v="1"/>
    <x v="8"/>
    <n v="161"/>
    <n v="2.36"/>
    <s v="2014SB-2884"/>
    <d v="2014-02-17T00:00:00"/>
    <n v="64"/>
    <x v="11"/>
    <d v="2014-03-05T00:00:00"/>
    <n v="69.599999999999994"/>
    <m/>
    <n v="16"/>
    <n v="5.5999999999999943"/>
    <m/>
    <x v="9"/>
    <n v="349.99999999999966"/>
    <n v="30.550211999999981"/>
    <n v="16"/>
    <n v="5.5999999999999943"/>
    <n v="37.76"/>
    <n v="349.99999999999966"/>
    <n v="30.550211999999981"/>
    <n v="17.100000000000001"/>
    <n v="30.550211999999981"/>
  </r>
  <r>
    <x v="1"/>
    <x v="8"/>
    <n v="161"/>
    <n v="2.36"/>
    <s v="2014SB-2893"/>
    <d v="2014-02-17T00:00:00"/>
    <n v="51.4"/>
    <x v="11"/>
    <d v="2014-03-05T00:00:00"/>
    <n v="57.4"/>
    <m/>
    <n v="16"/>
    <n v="6"/>
    <m/>
    <x v="9"/>
    <n v="375"/>
    <n v="29.685995999999996"/>
    <n v="16"/>
    <n v="6"/>
    <n v="37.76"/>
    <n v="375"/>
    <n v="29.685995999999996"/>
    <n v="17.100000000000001"/>
    <n v="29.685995999999996"/>
  </r>
  <r>
    <x v="1"/>
    <x v="8"/>
    <n v="161"/>
    <n v="2.36"/>
    <s v="2014SB-356"/>
    <d v="2014-02-17T00:00:00"/>
    <n v="49"/>
    <x v="11"/>
    <d v="2014-03-05T00:00:00"/>
    <n v="51"/>
    <m/>
    <n v="16"/>
    <n v="2"/>
    <m/>
    <x v="9"/>
    <n v="125"/>
    <n v="16.616999999999997"/>
    <n v="16"/>
    <n v="2"/>
    <n v="37.76"/>
    <n v="125"/>
    <n v="16.616999999999997"/>
    <n v="17.100000000000001"/>
    <n v="16.616999999999997"/>
  </r>
  <r>
    <x v="1"/>
    <x v="8"/>
    <n v="161"/>
    <n v="2.36"/>
    <s v="2014SB-38"/>
    <d v="2014-02-17T00:00:00"/>
    <n v="53"/>
    <x v="11"/>
    <d v="2014-03-05T00:00:00"/>
    <n v="57.6"/>
    <m/>
    <n v="16"/>
    <n v="4.6000000000000014"/>
    <m/>
    <x v="9"/>
    <n v="287.50000000000011"/>
    <n v="25.524427000000003"/>
    <n v="16"/>
    <n v="4.6000000000000014"/>
    <n v="37.76"/>
    <n v="287.50000000000011"/>
    <n v="25.524427000000003"/>
    <n v="17.100000000000001"/>
    <n v="25.524427000000003"/>
  </r>
  <r>
    <x v="1"/>
    <x v="8"/>
    <n v="161"/>
    <n v="2.36"/>
    <s v="2014SB-439"/>
    <d v="2014-02-17T00:00:00"/>
    <n v="53.8"/>
    <x v="11"/>
    <d v="2014-03-05T00:00:00"/>
    <n v="57.8"/>
    <m/>
    <n v="16"/>
    <n v="4"/>
    <m/>
    <x v="9"/>
    <n v="250"/>
    <n v="23.760221999999999"/>
    <n v="16"/>
    <n v="4"/>
    <n v="37.76"/>
    <n v="250"/>
    <n v="23.760221999999999"/>
    <n v="17.100000000000001"/>
    <n v="23.760221999999999"/>
  </r>
  <r>
    <x v="1"/>
    <x v="8"/>
    <n v="161"/>
    <n v="2.36"/>
    <s v="2014SB-631"/>
    <d v="2014-02-17T00:00:00"/>
    <n v="52.2"/>
    <x v="11"/>
    <d v="2014-03-05T00:00:00"/>
    <n v="59"/>
    <m/>
    <n v="16"/>
    <n v="6.7999999999999972"/>
    <m/>
    <x v="9"/>
    <n v="424.99999999999983"/>
    <n v="32.353903999999986"/>
    <n v="16"/>
    <n v="6.7999999999999972"/>
    <n v="37.76"/>
    <n v="424.99999999999983"/>
    <n v="32.353903999999986"/>
    <n v="17.100000000000001"/>
    <n v="32.353903999999986"/>
  </r>
  <r>
    <x v="1"/>
    <x v="8"/>
    <n v="161"/>
    <n v="2.36"/>
    <s v="2014SB-67"/>
    <d v="2014-02-17T00:00:00"/>
    <n v="55.2"/>
    <x v="11"/>
    <d v="2014-03-05T00:00:00"/>
    <n v="58.8"/>
    <m/>
    <n v="16"/>
    <n v="3.5999999999999943"/>
    <m/>
    <x v="9"/>
    <n v="224.99999999999966"/>
    <n v="22.730629999999984"/>
    <n v="16"/>
    <n v="3.5999999999999943"/>
    <n v="37.76"/>
    <n v="224.99999999999966"/>
    <n v="22.730629999999984"/>
    <n v="17.100000000000001"/>
    <n v="22.730629999999984"/>
  </r>
  <r>
    <x v="1"/>
    <x v="8"/>
    <n v="161"/>
    <n v="2.36"/>
    <s v="2014SB-74"/>
    <d v="2014-02-17T00:00:00"/>
    <n v="51.6"/>
    <x v="11"/>
    <d v="2014-03-05T00:00:00"/>
    <n v="59"/>
    <m/>
    <n v="16"/>
    <n v="7.3999999999999986"/>
    <m/>
    <x v="9"/>
    <n v="462.49999999999989"/>
    <n v="34.151926999999993"/>
    <n v="16"/>
    <n v="7.3999999999999986"/>
    <n v="37.76"/>
    <n v="462.49999999999989"/>
    <n v="34.151926999999993"/>
    <n v="17.100000000000001"/>
    <n v="34.151926999999993"/>
  </r>
  <r>
    <x v="1"/>
    <x v="8"/>
    <n v="161"/>
    <n v="2.36"/>
    <s v="2014SB-752"/>
    <d v="2014-02-17T00:00:00"/>
    <n v="51.6"/>
    <x v="11"/>
    <d v="2014-03-05T00:00:00"/>
    <n v="52.8"/>
    <m/>
    <n v="16"/>
    <n v="1.1999999999999957"/>
    <m/>
    <x v="9"/>
    <n v="74.99999999999973"/>
    <n v="14.523997999999988"/>
    <n v="16"/>
    <n v="1.1999999999999957"/>
    <n v="37.76"/>
    <n v="74.99999999999973"/>
    <n v="14.523997999999988"/>
    <n v="17.100000000000001"/>
    <n v="14.523997999999988"/>
  </r>
  <r>
    <x v="1"/>
    <x v="8"/>
    <n v="161"/>
    <n v="2.36"/>
    <s v="2014SB-776"/>
    <d v="2014-02-17T00:00:00"/>
    <n v="52.2"/>
    <x v="11"/>
    <d v="2014-03-05T00:00:00"/>
    <n v="57"/>
    <m/>
    <n v="16"/>
    <n v="4.7999999999999972"/>
    <m/>
    <x v="9"/>
    <n v="299.99999999999983"/>
    <n v="26.022313999999991"/>
    <n v="16"/>
    <n v="4.7999999999999972"/>
    <n v="37.76"/>
    <n v="299.99999999999983"/>
    <n v="26.022313999999991"/>
    <n v="17.100000000000001"/>
    <n v="26.022313999999991"/>
  </r>
  <r>
    <x v="1"/>
    <x v="8"/>
    <n v="161"/>
    <n v="2.36"/>
    <s v="2014SB-783"/>
    <d v="2014-02-17T00:00:00"/>
    <n v="55.4"/>
    <x v="11"/>
    <d v="2014-03-05T00:00:00"/>
    <n v="55.6"/>
    <m/>
    <n v="16"/>
    <n v="0.20000000000000284"/>
    <m/>
    <x v="9"/>
    <n v="12.500000000000178"/>
    <n v="12.000745000000007"/>
    <n v="16"/>
    <n v="0.20000000000000284"/>
    <n v="37.76"/>
    <n v="12.500000000000178"/>
    <n v="12.000745000000007"/>
    <n v="17.100000000000001"/>
    <n v="12.000745000000007"/>
  </r>
  <r>
    <x v="1"/>
    <x v="8"/>
    <n v="161"/>
    <n v="2.36"/>
    <s v="2014SB-785"/>
    <d v="2014-02-17T00:00:00"/>
    <n v="57.8"/>
    <x v="11"/>
    <d v="2014-03-05T00:00:00"/>
    <n v="61"/>
    <m/>
    <n v="16"/>
    <n v="3.2000000000000028"/>
    <m/>
    <x v="9"/>
    <n v="200.00000000000017"/>
    <n v="21.903946000000008"/>
    <n v="16"/>
    <n v="3.2000000000000028"/>
    <n v="37.76"/>
    <n v="200.00000000000017"/>
    <n v="21.903946000000008"/>
    <n v="17.100000000000001"/>
    <n v="21.903946000000008"/>
  </r>
  <r>
    <x v="1"/>
    <x v="8"/>
    <n v="161"/>
    <n v="2.36"/>
    <s v="2014SB-809"/>
    <d v="2014-02-17T00:00:00"/>
    <n v="62.4"/>
    <x v="11"/>
    <d v="2014-03-05T00:00:00"/>
    <n v="66.400000000000006"/>
    <m/>
    <n v="16"/>
    <n v="4.0000000000000071"/>
    <m/>
    <x v="9"/>
    <n v="250.00000000000045"/>
    <n v="25.214396000000022"/>
    <n v="16"/>
    <n v="4.0000000000000071"/>
    <n v="37.76"/>
    <n v="250.00000000000045"/>
    <n v="25.214396000000022"/>
    <n v="17.100000000000001"/>
    <n v="25.214396000000022"/>
  </r>
  <r>
    <x v="1"/>
    <x v="8"/>
    <n v="161"/>
    <n v="2.36"/>
    <s v="2014SB-85"/>
    <d v="2014-02-17T00:00:00"/>
    <n v="50.2"/>
    <x v="11"/>
    <d v="2014-03-05T00:00:00"/>
    <n v="53.8"/>
    <m/>
    <n v="16"/>
    <n v="3.5999999999999943"/>
    <m/>
    <x v="9"/>
    <n v="224.99999999999966"/>
    <n v="21.885179999999984"/>
    <n v="16"/>
    <n v="3.5999999999999943"/>
    <n v="37.76"/>
    <n v="224.99999999999966"/>
    <n v="21.885179999999984"/>
    <n v="17.100000000000001"/>
    <n v="21.885179999999984"/>
  </r>
  <r>
    <x v="1"/>
    <x v="8"/>
    <n v="161"/>
    <n v="2.36"/>
    <s v="2014SB-928"/>
    <d v="2014-02-17T00:00:00"/>
    <n v="52.2"/>
    <x v="11"/>
    <d v="2014-03-05T00:00:00"/>
    <n v="58"/>
    <m/>
    <n v="16"/>
    <n v="5.7999999999999972"/>
    <m/>
    <x v="9"/>
    <n v="362.49999999999983"/>
    <n v="29.18810899999999"/>
    <n v="16"/>
    <n v="5.7999999999999972"/>
    <n v="37.76"/>
    <n v="362.49999999999983"/>
    <n v="29.18810899999999"/>
    <n v="17.100000000000001"/>
    <n v="29.18810899999999"/>
  </r>
  <r>
    <x v="0"/>
    <x v="0"/>
    <n v="14"/>
    <n v="1.98"/>
    <s v="2008CSR-1016"/>
    <d v="2008-01-29T00:00:00"/>
    <n v="54"/>
    <x v="0"/>
    <d v="2008-02-19T00:00:00"/>
    <n v="58.2"/>
    <n v="2.5"/>
    <n v="21"/>
    <n v="4.2000000000000028"/>
    <n v="0"/>
    <x v="10"/>
    <n v="200.00000000000011"/>
    <n v="21.345949000000005"/>
    <n v="7"/>
    <n v="2"/>
    <n v="13.86"/>
    <n v="285.71428571428572"/>
    <n v="25.571663285714283"/>
    <n v="18.02675"/>
    <n v="26.957542756476602"/>
  </r>
  <r>
    <x v="0"/>
    <x v="0"/>
    <n v="14"/>
    <n v="1.98"/>
    <s v="2008CSR-1019"/>
    <d v="2008-01-29T00:00:00"/>
    <n v="56.6"/>
    <x v="0"/>
    <d v="2008-02-19T00:00:00"/>
    <n v="62.2"/>
    <n v="2.5"/>
    <n v="21"/>
    <n v="5.6000000000000014"/>
    <n v="0"/>
    <x v="10"/>
    <n v="266.66666666666674"/>
    <n v="25.190612666666667"/>
    <n v="7"/>
    <n v="-0.19999999999999574"/>
    <n v="13.86"/>
    <n v="-28.571428571427962"/>
    <n v="10.635374571428601"/>
    <n v="18.02675"/>
    <n v="11.211768336578977"/>
  </r>
  <r>
    <x v="0"/>
    <x v="0"/>
    <n v="14"/>
    <n v="1.98"/>
    <s v="2008CSR-1045"/>
    <d v="2008-01-29T00:00:00"/>
    <n v="56.6"/>
    <x v="1"/>
    <d v="2008-02-19T00:00:00"/>
    <n v="59.6"/>
    <n v="3.25"/>
    <n v="21"/>
    <n v="3"/>
    <n v="0"/>
    <x v="10"/>
    <n v="142.85714285714286"/>
    <n v="18.86698614285714"/>
    <n v="7"/>
    <n v="-6.1999999999999957"/>
    <n v="13.86"/>
    <n v="-885.7142857142851"/>
    <n v="-31.841585285714253"/>
    <n v="14.915374999999999"/>
    <n v="-27.773636557363165"/>
  </r>
  <r>
    <x v="0"/>
    <x v="0"/>
    <n v="14"/>
    <n v="1.98"/>
    <s v="2008CSR-1137"/>
    <d v="2008-01-29T00:00:00"/>
    <n v="63.6"/>
    <x v="1"/>
    <d v="2008-02-19T00:00:00"/>
    <n v="67"/>
    <n v="3.25"/>
    <n v="21"/>
    <n v="3.3999999999999986"/>
    <n v="0"/>
    <x v="10"/>
    <n v="161.90476190476184"/>
    <n v="21.023481761904755"/>
    <n v="7"/>
    <n v="-0.40000000000000568"/>
    <n v="13.86"/>
    <n v="-57.142857142857956"/>
    <n v="10.224434142857103"/>
    <n v="14.915374999999999"/>
    <n v="8.9182028890945748"/>
  </r>
  <r>
    <x v="0"/>
    <x v="0"/>
    <n v="14"/>
    <n v="1.98"/>
    <s v="2008CSR-1203"/>
    <d v="2008-01-29T00:00:00"/>
    <n v="52.4"/>
    <x v="2"/>
    <d v="2008-02-19T00:00:00"/>
    <n v="56"/>
    <n v="2"/>
    <n v="21"/>
    <n v="3.6000000000000014"/>
    <n v="0"/>
    <x v="10"/>
    <n v="171.42857142857147"/>
    <n v="19.616106571428574"/>
    <n v="7"/>
    <n v="-3.2000000000000028"/>
    <n v="13.86"/>
    <n v="-457.14285714285757"/>
    <n v="-11.372464857142878"/>
    <n v="20.100999999999999"/>
    <n v="-13.368299186750232"/>
  </r>
  <r>
    <x v="0"/>
    <x v="0"/>
    <n v="14"/>
    <n v="1.98"/>
    <s v="2008CSR-1211"/>
    <d v="2008-01-29T00:00:00"/>
    <n v="53.2"/>
    <x v="0"/>
    <d v="2008-02-19T00:00:00"/>
    <n v="57.6"/>
    <n v="2.5"/>
    <n v="21"/>
    <n v="4.3999999999999986"/>
    <n v="0"/>
    <x v="10"/>
    <n v="209.52380952380943"/>
    <n v="21.697109809523806"/>
    <n v="7"/>
    <n v="-0.39999999999999858"/>
    <n v="13.86"/>
    <n v="-57.14285714285694"/>
    <n v="8.550443142857155"/>
    <n v="18.02675"/>
    <n v="9.0138421593859768"/>
  </r>
  <r>
    <x v="0"/>
    <x v="0"/>
    <n v="14"/>
    <n v="1.98"/>
    <s v="2008CSR-1231"/>
    <d v="2008-01-29T00:00:00"/>
    <n v="60.2"/>
    <x v="3"/>
    <d v="2008-02-19T00:00:00"/>
    <n v="66.599999999999994"/>
    <n v="2.25"/>
    <n v="21"/>
    <n v="6.3999999999999915"/>
    <n v="0"/>
    <x v="10"/>
    <n v="304.76190476190436"/>
    <n v="27.745067904761882"/>
    <n v="7"/>
    <n v="-0.40000000000000568"/>
    <n v="13.86"/>
    <n v="-57.142857142857956"/>
    <n v="9.9031631428571032"/>
    <n v="19.063874999999999"/>
    <n v="11.040506681873387"/>
  </r>
  <r>
    <x v="0"/>
    <x v="0"/>
    <n v="14"/>
    <n v="1.98"/>
    <s v="2008CSR-1250"/>
    <d v="2008-01-29T00:00:00"/>
    <n v="60.2"/>
    <x v="4"/>
    <d v="2008-02-19T00:00:00"/>
    <n v="66.599999999999994"/>
    <n v="3"/>
    <n v="21"/>
    <n v="6.3999999999999915"/>
    <n v="0"/>
    <x v="10"/>
    <n v="304.76190476190436"/>
    <n v="27.745067904761882"/>
    <n v="7"/>
    <n v="1.3999999999999915"/>
    <n v="13.86"/>
    <n v="199.99999999999878"/>
    <n v="22.580305999999936"/>
    <n v="15.952499999999999"/>
    <n v="21.065048623684149"/>
  </r>
  <r>
    <x v="0"/>
    <x v="0"/>
    <n v="14"/>
    <n v="1.98"/>
    <s v="2008CSR-1251"/>
    <d v="2008-01-29T00:00:00"/>
    <n v="50.6"/>
    <x v="5"/>
    <d v="2008-02-19T00:00:00"/>
    <n v="60.2"/>
    <n v="1.75"/>
    <n v="21"/>
    <n v="9.6000000000000014"/>
    <n v="0"/>
    <x v="10"/>
    <n v="457.14285714285717"/>
    <n v="33.904728857142857"/>
    <n v="7"/>
    <n v="1.2000000000000028"/>
    <n v="13.86"/>
    <n v="171.42857142857184"/>
    <n v="19.819014571428593"/>
    <n v="21.138124999999999"/>
    <n v="24.499228502203447"/>
  </r>
  <r>
    <x v="0"/>
    <x v="0"/>
    <n v="14"/>
    <n v="1.98"/>
    <s v="2008CSR-1299"/>
    <d v="2008-01-29T00:00:00"/>
    <n v="63.2"/>
    <x v="0"/>
    <d v="2008-02-19T00:00:00"/>
    <n v="69"/>
    <n v="2.5"/>
    <n v="21"/>
    <n v="5.7999999999999972"/>
    <n v="0"/>
    <x v="10"/>
    <n v="276.19047619047603"/>
    <n v="26.793039476190465"/>
    <n v="7"/>
    <n v="-1.2000000000000028"/>
    <n v="13.86"/>
    <n v="-171.42857142857184"/>
    <n v="4.7254204285714074"/>
    <n v="18.02675"/>
    <n v="4.9815188719736616"/>
  </r>
  <r>
    <x v="0"/>
    <x v="0"/>
    <n v="14"/>
    <n v="1.98"/>
    <s v="2008CSR-1343"/>
    <d v="2008-01-29T00:00:00"/>
    <n v="57.2"/>
    <x v="6"/>
    <d v="2008-02-19T00:00:00"/>
    <n v="68.400000000000006"/>
    <n v="3.5"/>
    <n v="21"/>
    <n v="11.200000000000003"/>
    <n v="0"/>
    <x v="10"/>
    <n v="533.33333333333348"/>
    <n v="38.912185333333341"/>
    <n v="7"/>
    <n v="5.8000000000000043"/>
    <n v="13.86"/>
    <n v="828.57142857142912"/>
    <n v="53.46742342857145"/>
    <n v="13.878249999999998"/>
    <n v="43.393816912138682"/>
  </r>
  <r>
    <x v="0"/>
    <x v="0"/>
    <n v="14"/>
    <n v="1.98"/>
    <s v="2008CSR-1394"/>
    <d v="2008-01-29T00:00:00"/>
    <n v="48.2"/>
    <x v="3"/>
    <d v="2008-02-19T00:00:00"/>
    <n v="56"/>
    <n v="2.25"/>
    <n v="21"/>
    <n v="7.7999999999999972"/>
    <n v="0"/>
    <x v="10"/>
    <n v="371.42857142857127"/>
    <n v="29.121017571428563"/>
    <n v="7"/>
    <n v="0.39999999999999858"/>
    <n v="13.86"/>
    <n v="57.14285714285694"/>
    <n v="13.626731857142847"/>
    <n v="19.063874999999999"/>
    <n v="15.191714197841465"/>
  </r>
  <r>
    <x v="0"/>
    <x v="0"/>
    <n v="14"/>
    <n v="1.98"/>
    <s v="2008CSR-1475"/>
    <d v="2008-01-29T00:00:00"/>
    <n v="66.400000000000006"/>
    <x v="0"/>
    <d v="2008-02-19T00:00:00"/>
    <n v="73"/>
    <n v="2.5"/>
    <n v="21"/>
    <n v="6.5999999999999943"/>
    <n v="0"/>
    <x v="10"/>
    <n v="314.28571428571399"/>
    <n v="29.279858714285698"/>
    <n v="7"/>
    <n v="3.2000000000000028"/>
    <n v="13.86"/>
    <n v="457.14285714285757"/>
    <n v="36.322715857142882"/>
    <n v="18.02675"/>
    <n v="38.291258367119909"/>
  </r>
  <r>
    <x v="0"/>
    <x v="0"/>
    <n v="14"/>
    <n v="1.98"/>
    <s v="2008CSR-1506"/>
    <d v="2008-01-29T00:00:00"/>
    <n v="48.4"/>
    <x v="2"/>
    <d v="2008-02-19T00:00:00"/>
    <n v="52.4"/>
    <n v="2"/>
    <n v="21"/>
    <n v="4"/>
    <n v="0"/>
    <x v="10"/>
    <n v="190.47619047619045"/>
    <n v="19.912612190476189"/>
    <n v="7"/>
    <n v="0.60000000000000142"/>
    <n v="13.86"/>
    <n v="85.714285714285921"/>
    <n v="14.747850285714296"/>
    <n v="20.100999999999999"/>
    <n v="17.336054888487894"/>
  </r>
  <r>
    <x v="0"/>
    <x v="0"/>
    <n v="14"/>
    <n v="1.98"/>
    <s v="2008CSR-159"/>
    <d v="2008-01-29T00:00:00"/>
    <n v="53"/>
    <x v="2"/>
    <d v="2008-02-19T00:00:00"/>
    <n v="61"/>
    <n v="2"/>
    <n v="21"/>
    <n v="8"/>
    <n v="0"/>
    <x v="10"/>
    <n v="380.95238095238091"/>
    <n v="30.419082380952378"/>
    <n v="7"/>
    <n v="1.6000000000000014"/>
    <n v="13.86"/>
    <n v="228.57142857142878"/>
    <n v="22.906701428571438"/>
    <n v="20.100999999999999"/>
    <n v="26.926760550626575"/>
  </r>
  <r>
    <x v="0"/>
    <x v="0"/>
    <n v="14"/>
    <n v="1.98"/>
    <s v="2008CSR-1646"/>
    <d v="2008-01-29T00:00:00"/>
    <n v="60"/>
    <x v="2"/>
    <d v="2008-02-19T00:00:00"/>
    <n v="65"/>
    <n v="2"/>
    <n v="21"/>
    <n v="5"/>
    <n v="0"/>
    <x v="10"/>
    <n v="238.09523809523807"/>
    <n v="24.306220238095236"/>
    <n v="7"/>
    <n v="-1.2000000000000028"/>
    <n v="13.86"/>
    <n v="-171.42857142857184"/>
    <n v="4.1166964285714087"/>
    <n v="20.100999999999999"/>
    <n v="4.8391646146616294"/>
  </r>
  <r>
    <x v="0"/>
    <x v="0"/>
    <n v="14"/>
    <n v="1.98"/>
    <s v="2008CSR-1675"/>
    <d v="2008-01-29T00:00:00"/>
    <n v="64.2"/>
    <x v="4"/>
    <d v="2008-02-19T00:00:00"/>
    <n v="68"/>
    <n v="3"/>
    <n v="21"/>
    <n v="3.7999999999999972"/>
    <n v="0"/>
    <x v="10"/>
    <n v="180.95238095238082"/>
    <n v="22.097801380952372"/>
    <n v="7"/>
    <n v="-2.4000000000000057"/>
    <n v="13.86"/>
    <n v="-342.85714285714369"/>
    <n v="-3.7260081428571841"/>
    <n v="15.952499999999999"/>
    <n v="-3.4759733859022934"/>
  </r>
  <r>
    <x v="0"/>
    <x v="0"/>
    <n v="14"/>
    <n v="1.98"/>
    <s v="2008CSR-1711"/>
    <d v="2008-01-29T00:00:00"/>
    <n v="56.4"/>
    <x v="0"/>
    <d v="2008-02-19T00:00:00"/>
    <n v="61.8"/>
    <n v="2.5"/>
    <n v="21"/>
    <n v="5.3999999999999986"/>
    <n v="0"/>
    <x v="10"/>
    <n v="257.14285714285705"/>
    <n v="24.670361857142851"/>
    <n v="7"/>
    <n v="-0.80000000000000426"/>
    <n v="13.86"/>
    <n v="-114.28571428571489"/>
    <n v="6.3589332857142544"/>
    <n v="18.02675"/>
    <n v="6.7035614390789133"/>
  </r>
  <r>
    <x v="0"/>
    <x v="0"/>
    <n v="14"/>
    <n v="1.98"/>
    <s v="2008CSR-1759"/>
    <d v="2008-01-29T00:00:00"/>
    <n v="64"/>
    <x v="4"/>
    <d v="2008-02-19T00:00:00"/>
    <n v="68.8"/>
    <n v="3"/>
    <n v="21"/>
    <n v="4.7999999999999972"/>
    <n v="0"/>
    <x v="10"/>
    <n v="228.57142857142841"/>
    <n v="24.496147428571422"/>
    <n v="7"/>
    <n v="-1"/>
    <n v="13.86"/>
    <n v="-142.85714285714286"/>
    <n v="6.1847188571428591"/>
    <n v="15.952499999999999"/>
    <n v="5.7696916706766928"/>
  </r>
  <r>
    <x v="0"/>
    <x v="0"/>
    <n v="14"/>
    <n v="1.98"/>
    <s v="2008CSR-1781"/>
    <d v="2008-01-29T00:00:00"/>
    <n v="54"/>
    <x v="0"/>
    <d v="2008-02-19T00:00:00"/>
    <n v="56.6"/>
    <n v="2.5"/>
    <n v="21"/>
    <n v="2.6000000000000014"/>
    <n v="0"/>
    <x v="10"/>
    <n v="123.80952380952388"/>
    <n v="17.454486523809528"/>
    <n v="7"/>
    <n v="-0.39999999999999858"/>
    <n v="13.86"/>
    <n v="-57.14285714285694"/>
    <n v="8.5335341428571532"/>
    <n v="18.02675"/>
    <n v="8.9960167608041033"/>
  </r>
  <r>
    <x v="0"/>
    <x v="0"/>
    <n v="14"/>
    <n v="1.98"/>
    <s v="2008CSR-18"/>
    <d v="2008-01-29T00:00:00"/>
    <n v="59.2"/>
    <x v="5"/>
    <d v="2008-02-19T00:00:00"/>
    <n v="66.8"/>
    <n v="1.75"/>
    <n v="21"/>
    <n v="7.5999999999999943"/>
    <n v="0"/>
    <x v="10"/>
    <n v="361.90476190476164"/>
    <n v="30.494574761904744"/>
    <n v="7"/>
    <n v="2.3999999999999915"/>
    <n v="13.86"/>
    <n v="342.85714285714164"/>
    <n v="29.55552714285708"/>
    <n v="21.138124999999999"/>
    <n v="36.534995741906769"/>
  </r>
  <r>
    <x v="0"/>
    <x v="0"/>
    <n v="14"/>
    <n v="1.98"/>
    <s v="2008CSR-2130"/>
    <d v="2008-01-29T00:00:00"/>
    <n v="57.8"/>
    <x v="5"/>
    <d v="2008-02-19T00:00:00"/>
    <n v="62.2"/>
    <n v="1.75"/>
    <n v="21"/>
    <n v="4.4000000000000057"/>
    <n v="0"/>
    <x v="10"/>
    <n v="209.5238095238098"/>
    <n v="22.474923809523823"/>
    <n v="7"/>
    <n v="-1.1999999999999957"/>
    <n v="13.86"/>
    <n v="-171.42857142857082"/>
    <n v="3.6939714285714569"/>
    <n v="21.138124999999999"/>
    <n v="4.5662941405597675"/>
  </r>
  <r>
    <x v="0"/>
    <x v="0"/>
    <n v="14"/>
    <n v="1.98"/>
    <s v="2008CSR-2152"/>
    <d v="2008-01-29T00:00:00"/>
    <n v="56.2"/>
    <x v="7"/>
    <d v="2008-02-19T00:00:00"/>
    <n v="64.2"/>
    <n v="2.75"/>
    <n v="21"/>
    <n v="8"/>
    <n v="0"/>
    <x v="10"/>
    <n v="380.95238095238091"/>
    <n v="30.960170380952377"/>
    <n v="7"/>
    <n v="0.60000000000000142"/>
    <n v="13.86"/>
    <n v="85.714285714285921"/>
    <n v="16.404932285714295"/>
    <n v="16.989624999999997"/>
    <n v="16.299043724250215"/>
  </r>
  <r>
    <x v="0"/>
    <x v="0"/>
    <n v="14"/>
    <n v="1.98"/>
    <s v="2008CSR-2265"/>
    <d v="2008-01-29T00:00:00"/>
    <n v="58"/>
    <x v="3"/>
    <d v="2008-02-19T00:00:00"/>
    <n v="68"/>
    <n v="2.25"/>
    <n v="21"/>
    <n v="10"/>
    <n v="0"/>
    <x v="10"/>
    <n v="476.19047619047615"/>
    <n v="36.128860476190475"/>
    <n v="7"/>
    <n v="2.7999999999999972"/>
    <n v="13.86"/>
    <n v="399.9999999999996"/>
    <n v="32.372669999999978"/>
    <n v="19.063874999999999"/>
    <n v="36.090557561184177"/>
  </r>
  <r>
    <x v="0"/>
    <x v="0"/>
    <n v="14"/>
    <n v="1.98"/>
    <s v="2008CSR-2366"/>
    <d v="2008-01-29T00:00:00"/>
    <n v="67"/>
    <x v="3"/>
    <d v="2008-02-19T00:00:00"/>
    <n v="69"/>
    <n v="2.25"/>
    <n v="21"/>
    <n v="2"/>
    <n v="0"/>
    <x v="10"/>
    <n v="95.238095238095227"/>
    <n v="18.193358095238096"/>
    <n v="7"/>
    <n v="0.40000000000000568"/>
    <n v="13.86"/>
    <n v="57.142857142857956"/>
    <n v="16.315262857142898"/>
    <n v="19.063874999999999"/>
    <n v="18.189013549749419"/>
  </r>
  <r>
    <x v="0"/>
    <x v="0"/>
    <n v="14"/>
    <n v="1.98"/>
    <s v="2008CSR-2395"/>
    <d v="2008-01-29T00:00:00"/>
    <n v="70.599999999999994"/>
    <x v="4"/>
    <d v="2008-02-19T00:00:00"/>
    <n v="75.400000000000006"/>
    <n v="3"/>
    <n v="21"/>
    <n v="4.8000000000000114"/>
    <n v="0"/>
    <x v="10"/>
    <n v="228.57142857142912"/>
    <n v="25.612141428571455"/>
    <n v="7"/>
    <n v="1.2000000000000028"/>
    <n v="13.86"/>
    <n v="171.42857142857184"/>
    <n v="22.794998571428593"/>
    <n v="15.952499999999999"/>
    <n v="21.265334193609039"/>
  </r>
  <r>
    <x v="0"/>
    <x v="0"/>
    <n v="14"/>
    <n v="1.98"/>
    <s v="2008CSR-2415"/>
    <d v="2008-01-29T00:00:00"/>
    <n v="61.6"/>
    <x v="0"/>
    <d v="2008-02-19T00:00:00"/>
    <n v="68.599999999999994"/>
    <n v="2.5"/>
    <n v="21"/>
    <n v="6.9999999999999929"/>
    <n v="0"/>
    <x v="10"/>
    <n v="333.33333333333297"/>
    <n v="29.441092333333316"/>
    <n v="7"/>
    <n v="4.5999999999999943"/>
    <n v="13.86"/>
    <n v="657.14285714285631"/>
    <n v="45.404901857142818"/>
    <n v="18.02675"/>
    <n v="47.865661669780657"/>
  </r>
  <r>
    <x v="0"/>
    <x v="0"/>
    <n v="14"/>
    <n v="1.98"/>
    <s v="2008CSR-269"/>
    <d v="2008-01-29T00:00:00"/>
    <n v="60"/>
    <x v="0"/>
    <d v="2008-02-19T00:00:00"/>
    <n v="66.400000000000006"/>
    <n v="2.25"/>
    <n v="21"/>
    <n v="6.4000000000000057"/>
    <n v="-0.25"/>
    <x v="10"/>
    <n v="304.76190476190499"/>
    <n v="27.711249904761917"/>
    <n v="7"/>
    <n v="2.6000000000000085"/>
    <n v="13.86"/>
    <n v="371.42857142857264"/>
    <n v="30.997916571428632"/>
    <n v="18.02675"/>
    <n v="32.67787675754392"/>
  </r>
  <r>
    <x v="0"/>
    <x v="0"/>
    <n v="14"/>
    <n v="1.98"/>
    <s v="2008CSR-31"/>
    <d v="2008-01-29T00:00:00"/>
    <n v="58"/>
    <x v="4"/>
    <d v="2008-02-19T00:00:00"/>
    <n v="61.8"/>
    <n v="3"/>
    <n v="21"/>
    <n v="3.7999999999999972"/>
    <n v="0"/>
    <x v="10"/>
    <n v="180.95238095238082"/>
    <n v="21.049443380952372"/>
    <n v="7"/>
    <n v="-1"/>
    <n v="13.86"/>
    <n v="-142.85714285714286"/>
    <n v="5.0856338571428568"/>
    <n v="15.952499999999999"/>
    <n v="4.7443610588345848"/>
  </r>
  <r>
    <x v="0"/>
    <x v="0"/>
    <n v="14"/>
    <n v="1.98"/>
    <s v="2008CSR-336"/>
    <d v="2008-01-29T00:00:00"/>
    <n v="55.2"/>
    <x v="0"/>
    <d v="2008-02-19T00:00:00"/>
    <n v="60.4"/>
    <n v="2.5"/>
    <n v="21"/>
    <n v="5.1999999999999957"/>
    <n v="0"/>
    <x v="10"/>
    <n v="247.61904761904739"/>
    <n v="23.981021047619038"/>
    <n v="7"/>
    <n v="-1"/>
    <n v="13.86"/>
    <n v="-142.85714285714286"/>
    <n v="4.7305448571428572"/>
    <n v="18.02675"/>
    <n v="4.9869210235964907"/>
  </r>
  <r>
    <x v="0"/>
    <x v="0"/>
    <n v="14"/>
    <n v="1.98"/>
    <s v="2008CSR-362"/>
    <d v="2008-01-29T00:00:00"/>
    <n v="60.6"/>
    <x v="2"/>
    <d v="2008-02-19T00:00:00"/>
    <n v="64"/>
    <n v="2"/>
    <n v="21"/>
    <n v="3.3999999999999986"/>
    <n v="0"/>
    <x v="10"/>
    <n v="161.90476190476184"/>
    <n v="20.516211761904756"/>
    <n v="7"/>
    <n v="0.20000000000000284"/>
    <n v="13.86"/>
    <n v="28.571428571428978"/>
    <n v="13.942878428571447"/>
    <n v="20.100999999999999"/>
    <n v="16.389812824135358"/>
  </r>
  <r>
    <x v="0"/>
    <x v="0"/>
    <n v="14"/>
    <n v="1.98"/>
    <s v="2008CSR-4"/>
    <d v="2008-01-29T00:00:00"/>
    <n v="64.400000000000006"/>
    <x v="5"/>
    <d v="2008-02-19T00:00:00"/>
    <n v="65.599999999999994"/>
    <n v="1.75"/>
    <n v="21"/>
    <n v="1.1999999999999886"/>
    <n v="0"/>
    <x v="10"/>
    <n v="57.142857142856599"/>
    <n v="15.80799285714283"/>
    <n v="7"/>
    <n v="0.79999999999999716"/>
    <n v="13.86"/>
    <n v="114.28571428571388"/>
    <n v="18.625135714285694"/>
    <n v="21.138124999999999"/>
    <n v="23.023417945645335"/>
  </r>
  <r>
    <x v="0"/>
    <x v="0"/>
    <n v="14"/>
    <n v="1.98"/>
    <s v="2008CSR-797"/>
    <d v="2008-01-29T00:00:00"/>
    <n v="54"/>
    <x v="5"/>
    <d v="2008-02-19T00:00:00"/>
    <n v="60.4"/>
    <n v="1.75"/>
    <n v="21"/>
    <n v="6.3999999999999986"/>
    <n v="0"/>
    <x v="10"/>
    <n v="304.7619047619047"/>
    <n v="26.696709904761899"/>
    <n v="7"/>
    <n v="1.1999999999999957"/>
    <n v="13.86"/>
    <n v="171.42857142857082"/>
    <n v="20.123376571428544"/>
    <n v="21.138124999999999"/>
    <n v="24.875464876545493"/>
  </r>
  <r>
    <x v="0"/>
    <x v="0"/>
    <n v="14"/>
    <n v="1.98"/>
    <s v="2008CSR-82"/>
    <d v="2008-01-29T00:00:00"/>
    <n v="71"/>
    <x v="2"/>
    <d v="2008-02-19T00:00:00"/>
    <n v="70.599999999999994"/>
    <n v="2"/>
    <n v="21"/>
    <n v="-0.40000000000000568"/>
    <n v="0"/>
    <x v="10"/>
    <n v="-19.047619047619321"/>
    <n v="13.032524380952365"/>
    <n v="7"/>
    <n v="0.59999999999999432"/>
    <n v="13.86"/>
    <n v="85.714285714284898"/>
    <n v="18.197286285714242"/>
    <n v="20.100999999999999"/>
    <n v="21.390856820417657"/>
  </r>
  <r>
    <x v="1"/>
    <x v="1"/>
    <n v="29"/>
    <n v="3.96"/>
    <s v="2008HSR-1001"/>
    <d v="2008-01-29T00:00:00"/>
    <n v="50.8"/>
    <x v="5"/>
    <d v="2008-02-19T00:00:00"/>
    <n v="53.4"/>
    <n v="1.75"/>
    <n v="21"/>
    <n v="2.6000000000000014"/>
    <n v="0"/>
    <x v="11"/>
    <n v="123.80952380952388"/>
    <n v="16.913398523809526"/>
    <n v="7"/>
    <n v="-3.8000000000000043"/>
    <n v="27.72"/>
    <n v="-542.85714285714346"/>
    <n v="-15.953268142857173"/>
    <n v="21.138124999999999"/>
    <n v="-19.720595097206591"/>
  </r>
  <r>
    <x v="1"/>
    <x v="1"/>
    <n v="29"/>
    <n v="3.96"/>
    <s v="2008HSR-1027"/>
    <d v="2008-01-29T00:00:00"/>
    <n v="59.6"/>
    <x v="5"/>
    <d v="2008-02-19T00:00:00"/>
    <n v="62.2"/>
    <n v="1.75"/>
    <n v="21"/>
    <n v="2.6000000000000014"/>
    <n v="0"/>
    <x v="11"/>
    <n v="123.80952380952388"/>
    <n v="18.401390523809528"/>
    <n v="7"/>
    <n v="-4.5999999999999943"/>
    <n v="27.72"/>
    <n v="-657.14285714285631"/>
    <n v="-20.099561857142817"/>
    <n v="21.138124999999999"/>
    <n v="-24.846026373188124"/>
  </r>
  <r>
    <x v="1"/>
    <x v="1"/>
    <n v="29"/>
    <n v="3.96"/>
    <s v="2008HSR-117"/>
    <d v="2008-01-29T00:00:00"/>
    <n v="53.8"/>
    <x v="2"/>
    <d v="2008-02-19T00:00:00"/>
    <n v="63"/>
    <n v="2"/>
    <n v="21"/>
    <n v="9.2000000000000028"/>
    <n v="0"/>
    <x v="11"/>
    <n v="438.09523809523819"/>
    <n v="33.472951238095241"/>
    <n v="7"/>
    <n v="5.6000000000000014"/>
    <n v="27.72"/>
    <n v="800.00000000000011"/>
    <n v="51.314856000000006"/>
    <n v="20.100999999999999"/>
    <n v="60.320463184561412"/>
  </r>
  <r>
    <x v="1"/>
    <x v="1"/>
    <n v="29"/>
    <n v="3.96"/>
    <s v="2008HSR-1185"/>
    <d v="2008-01-29T00:00:00"/>
    <n v="61.4"/>
    <x v="0"/>
    <d v="2008-02-19T00:00:00"/>
    <n v="66.2"/>
    <n v="2.5"/>
    <n v="21"/>
    <n v="4.8000000000000043"/>
    <n v="0"/>
    <x v="11"/>
    <n v="228.57142857142878"/>
    <n v="24.056513428571439"/>
    <n v="7"/>
    <n v="0.79999999999999716"/>
    <n v="27.72"/>
    <n v="114.28571428571388"/>
    <n v="18.422227714285693"/>
    <n v="18.02675"/>
    <n v="19.420637043771908"/>
  </r>
  <r>
    <x v="1"/>
    <x v="1"/>
    <n v="29"/>
    <n v="3.96"/>
    <s v="2008HSR-1273"/>
    <d v="2008-01-29T00:00:00"/>
    <n v="55"/>
    <x v="8"/>
    <d v="2008-02-19T00:00:00"/>
    <n v="61"/>
    <n v="1.5"/>
    <n v="21"/>
    <n v="6"/>
    <n v="0"/>
    <x v="11"/>
    <n v="285.71428571428572"/>
    <n v="25.892934285714283"/>
    <n v="7"/>
    <n v="-2.6000000000000014"/>
    <n v="27.72"/>
    <n v="-371.42857142857162"/>
    <n v="-6.5042085714285793"/>
    <n v="22.175249999999998"/>
    <n v="-8.4346462645363491"/>
  </r>
  <r>
    <x v="1"/>
    <x v="1"/>
    <n v="29"/>
    <n v="3.96"/>
    <s v="2008HSR-1283"/>
    <d v="2008-01-29T00:00:00"/>
    <n v="61"/>
    <x v="0"/>
    <d v="2008-02-19T00:00:00"/>
    <n v="62.8"/>
    <n v="2.5"/>
    <n v="21"/>
    <n v="1.7999999999999972"/>
    <n v="0"/>
    <x v="11"/>
    <n v="85.71428571428558"/>
    <n v="16.69238528571428"/>
    <n v="7"/>
    <n v="-3.4000000000000057"/>
    <n v="27.72"/>
    <n v="-485.71428571428652"/>
    <n v="-11.479043285714324"/>
    <n v="18.02675"/>
    <n v="-12.101160441564367"/>
  </r>
  <r>
    <x v="1"/>
    <x v="1"/>
    <n v="29"/>
    <n v="3.96"/>
    <s v="2008HSR-1337"/>
    <d v="2008-01-29T00:00:00"/>
    <n v="51.6"/>
    <x v="3"/>
    <d v="2008-02-19T00:00:00"/>
    <n v="55.8"/>
    <n v="2.25"/>
    <n v="21"/>
    <n v="4.1999999999999957"/>
    <n v="0"/>
    <x v="11"/>
    <n v="199.9999999999998"/>
    <n v="20.940132999999989"/>
    <n v="7"/>
    <n v="-2.8000000000000043"/>
    <n v="27.72"/>
    <n v="-400.00000000000063"/>
    <n v="-8.6398670000000308"/>
    <n v="19.063874999999999"/>
    <n v="-9.6321254096272266"/>
  </r>
  <r>
    <x v="1"/>
    <x v="1"/>
    <n v="29"/>
    <n v="3.96"/>
    <s v="2008HSR-1468"/>
    <d v="2008-01-29T00:00:00"/>
    <n v="60.2"/>
    <x v="5"/>
    <d v="2008-02-19T00:00:00"/>
    <n v="64.2"/>
    <n v="1.75"/>
    <n v="21"/>
    <n v="4"/>
    <n v="0"/>
    <x v="11"/>
    <n v="190.47619047619045"/>
    <n v="21.907874190476189"/>
    <n v="7"/>
    <n v="-6.2000000000000028"/>
    <n v="27.72"/>
    <n v="-885.71428571428612"/>
    <n v="-31.148316285714301"/>
    <n v="21.138124999999999"/>
    <n v="-38.503918315027171"/>
  </r>
  <r>
    <x v="1"/>
    <x v="1"/>
    <n v="29"/>
    <n v="3.96"/>
    <s v="2008HSR-155"/>
    <d v="2008-01-29T00:00:00"/>
    <n v="51.6"/>
    <x v="5"/>
    <d v="2008-02-19T00:00:00"/>
    <n v="55.6"/>
    <n v="1.75"/>
    <n v="21"/>
    <n v="4"/>
    <n v="0"/>
    <x v="11"/>
    <n v="190.47619047619045"/>
    <n v="20.453700190476191"/>
    <n v="7"/>
    <n v="-3"/>
    <n v="27.72"/>
    <n v="-428.57142857142856"/>
    <n v="-10.065347428571426"/>
    <n v="21.138124999999999"/>
    <n v="-12.442255679156219"/>
  </r>
  <r>
    <x v="1"/>
    <x v="1"/>
    <n v="29"/>
    <n v="3.96"/>
    <s v="2008HSR-1604"/>
    <d v="2008-01-29T00:00:00"/>
    <n v="60.2"/>
    <x v="5"/>
    <d v="2008-02-19T00:00:00"/>
    <n v="69"/>
    <n v="1.75"/>
    <n v="21"/>
    <n v="8.7999999999999972"/>
    <n v="0"/>
    <x v="11"/>
    <n v="419.04761904761887"/>
    <n v="33.582261619047607"/>
    <n v="7"/>
    <n v="3.5999999999999943"/>
    <n v="27.72"/>
    <n v="514.28571428571342"/>
    <n v="38.277499714285668"/>
    <n v="21.138124999999999"/>
    <n v="47.316641733803195"/>
  </r>
  <r>
    <x v="1"/>
    <x v="1"/>
    <n v="29"/>
    <n v="3.96"/>
    <s v="2008HSR-1605"/>
    <d v="2008-01-29T00:00:00"/>
    <n v="54.6"/>
    <x v="3"/>
    <d v="2008-02-19T00:00:00"/>
    <n v="57.4"/>
    <n v="2.25"/>
    <n v="21"/>
    <n v="2.7999999999999972"/>
    <n v="0"/>
    <x v="11"/>
    <n v="133.3333333333332"/>
    <n v="18.042373333333327"/>
    <n v="7"/>
    <n v="-1.2000000000000028"/>
    <n v="27.72"/>
    <n v="-171.42857142857184"/>
    <n v="3.0176114285714082"/>
    <n v="19.063874999999999"/>
    <n v="3.3641735130325583"/>
  </r>
  <r>
    <x v="1"/>
    <x v="1"/>
    <n v="29"/>
    <n v="3.96"/>
    <s v="2008HSR-1625"/>
    <d v="2008-01-29T00:00:00"/>
    <n v="64.599999999999994"/>
    <x v="0"/>
    <d v="2008-02-19T00:00:00"/>
    <n v="71.8"/>
    <n v="2.5"/>
    <n v="21"/>
    <n v="7.2000000000000028"/>
    <n v="0"/>
    <x v="11"/>
    <n v="342.85714285714295"/>
    <n v="30.434795142857144"/>
    <n v="7"/>
    <n v="0.79999999999999716"/>
    <n v="27.72"/>
    <n v="114.28571428571388"/>
    <n v="19.166223714285692"/>
    <n v="18.02675"/>
    <n v="20.204954581374242"/>
  </r>
  <r>
    <x v="1"/>
    <x v="1"/>
    <n v="29"/>
    <n v="3.96"/>
    <s v="2008HSR-1644"/>
    <d v="2008-01-29T00:00:00"/>
    <n v="62.8"/>
    <x v="0"/>
    <d v="2008-02-19T00:00:00"/>
    <n v="70"/>
    <n v="2.5"/>
    <n v="21"/>
    <n v="7.2000000000000028"/>
    <n v="0"/>
    <x v="11"/>
    <n v="342.85714285714295"/>
    <n v="30.13043314285715"/>
    <n v="7"/>
    <n v="-1.7999999999999972"/>
    <n v="27.72"/>
    <n v="-257.14285714285671"/>
    <n v="0.55043314285716427"/>
    <n v="18.02675"/>
    <n v="0.5802643659649348"/>
  </r>
  <r>
    <x v="1"/>
    <x v="1"/>
    <n v="29"/>
    <n v="3.96"/>
    <s v="2008HSR-1674"/>
    <d v="2008-01-29T00:00:00"/>
    <n v="50.2"/>
    <x v="8"/>
    <d v="2008-02-19T00:00:00"/>
    <n v="55.4"/>
    <n v="1.5"/>
    <n v="21"/>
    <n v="5.1999999999999957"/>
    <n v="0"/>
    <x v="11"/>
    <n v="247.61904761904739"/>
    <n v="23.135571047619038"/>
    <n v="7"/>
    <n v="-2.6000000000000014"/>
    <n v="27.72"/>
    <n v="-371.42857142857162"/>
    <n v="-7.383476571428579"/>
    <n v="22.175249999999998"/>
    <n v="-9.5748794643609116"/>
  </r>
  <r>
    <x v="1"/>
    <x v="1"/>
    <n v="29"/>
    <n v="3.96"/>
    <s v="2008HSR-1682"/>
    <d v="2008-01-29T00:00:00"/>
    <n v="60.8"/>
    <x v="3"/>
    <d v="2008-02-19T00:00:00"/>
    <n v="70"/>
    <n v="2.25"/>
    <n v="21"/>
    <n v="9.2000000000000028"/>
    <n v="0"/>
    <x v="11"/>
    <n v="438.09523809523819"/>
    <n v="34.656581238095242"/>
    <n v="7"/>
    <n v="-3.5999999999999943"/>
    <n v="27.72"/>
    <n v="-514.28571428571342"/>
    <n v="-12.295799714285673"/>
    <n v="19.063874999999999"/>
    <n v="-13.707929168314489"/>
  </r>
  <r>
    <x v="1"/>
    <x v="1"/>
    <n v="29"/>
    <n v="3.96"/>
    <s v="2008HSR-1726"/>
    <d v="2008-01-29T00:00:00"/>
    <n v="57.6"/>
    <x v="4"/>
    <d v="2008-02-19T00:00:00"/>
    <n v="67.599999999999994"/>
    <n v="3"/>
    <n v="21"/>
    <n v="9.9999999999999929"/>
    <n v="0"/>
    <x v="11"/>
    <n v="476.19047619047581"/>
    <n v="36.061224476190453"/>
    <n v="7"/>
    <n v="0.19999999999998863"/>
    <n v="27.72"/>
    <n v="28.571428571426946"/>
    <n v="13.993605428571346"/>
    <n v="15.952499999999999"/>
    <n v="13.05456085375932"/>
  </r>
  <r>
    <x v="1"/>
    <x v="1"/>
    <n v="29"/>
    <n v="3.96"/>
    <s v="2008HSR-1729"/>
    <d v="2008-01-29T00:00:00"/>
    <n v="68.8"/>
    <x v="6"/>
    <d v="2008-02-19T00:00:00"/>
    <n v="76"/>
    <n v="3.5"/>
    <n v="21"/>
    <n v="7.2000000000000028"/>
    <n v="0"/>
    <x v="11"/>
    <n v="342.85714285714295"/>
    <n v="31.144973142857147"/>
    <n v="7"/>
    <n v="5.7999999999999972"/>
    <n v="27.72"/>
    <n v="828.57142857142821"/>
    <n v="55.090687428571407"/>
    <n v="13.878249999999998"/>
    <n v="44.71124753248953"/>
  </r>
  <r>
    <x v="1"/>
    <x v="1"/>
    <n v="29"/>
    <n v="3.96"/>
    <s v="2008HSR-1762"/>
    <d v="2008-01-29T00:00:00"/>
    <n v="57.6"/>
    <x v="3"/>
    <d v="2008-02-19T00:00:00"/>
    <n v="67.400000000000006"/>
    <n v="2.25"/>
    <n v="21"/>
    <n v="9.8000000000000043"/>
    <n v="0"/>
    <x v="11"/>
    <n v="466.66666666666691"/>
    <n v="35.574791666666677"/>
    <n v="7"/>
    <n v="-2"/>
    <n v="27.72"/>
    <n v="-285.71428571428572"/>
    <n v="-1.5175892857142834"/>
    <n v="19.063874999999999"/>
    <n v="-1.6918790903038818"/>
  </r>
  <r>
    <x v="1"/>
    <x v="1"/>
    <n v="29"/>
    <n v="3.96"/>
    <s v="2008HSR-1766"/>
    <d v="2008-01-29T00:00:00"/>
    <n v="55.4"/>
    <x v="5"/>
    <d v="2008-02-19T00:00:00"/>
    <n v="61.4"/>
    <n v="1.75"/>
    <n v="21"/>
    <n v="6"/>
    <n v="0"/>
    <x v="11"/>
    <n v="285.71428571428572"/>
    <n v="25.960570285714283"/>
    <n v="7"/>
    <n v="-3.3999999999999986"/>
    <n v="27.72"/>
    <n v="-485.7142857142855"/>
    <n v="-12.070858285714275"/>
    <n v="21.138124999999999"/>
    <n v="-14.921363233959884"/>
  </r>
  <r>
    <x v="1"/>
    <x v="1"/>
    <n v="29"/>
    <n v="3.96"/>
    <s v="2008HSR-209"/>
    <d v="2008-01-29T00:00:00"/>
    <n v="53.8"/>
    <x v="3"/>
    <d v="2008-02-19T00:00:00"/>
    <n v="61"/>
    <n v="2.25"/>
    <n v="21"/>
    <n v="7.2000000000000028"/>
    <n v="0"/>
    <x v="11"/>
    <n v="342.85714285714295"/>
    <n v="28.608623142857148"/>
    <n v="7"/>
    <n v="-2.3999999999999986"/>
    <n v="27.72"/>
    <n v="-342.85714285714266"/>
    <n v="-5.1970911428571309"/>
    <n v="19.063874999999999"/>
    <n v="-5.7939588252067526"/>
  </r>
  <r>
    <x v="1"/>
    <x v="1"/>
    <n v="29"/>
    <n v="3.96"/>
    <s v="2008HSR-2181"/>
    <d v="2008-01-29T00:00:00"/>
    <n v="59.2"/>
    <x v="3"/>
    <d v="2008-02-19T00:00:00"/>
    <n v="63.8"/>
    <n v="1.75"/>
    <n v="21"/>
    <n v="4.5999999999999943"/>
    <n v="-0.5"/>
    <x v="11"/>
    <n v="219.04761904761878"/>
    <n v="23.198082619047604"/>
    <n v="7"/>
    <n v="-2.6000000000000085"/>
    <n v="27.72"/>
    <n v="-371.42857142857264"/>
    <n v="-5.9123935714286322"/>
    <n v="19.063874999999999"/>
    <n v="-6.5914112278666082"/>
  </r>
  <r>
    <x v="1"/>
    <x v="1"/>
    <n v="29"/>
    <n v="3.96"/>
    <s v="2008HSR-2190"/>
    <d v="2008-01-29T00:00:00"/>
    <n v="58"/>
    <x v="5"/>
    <d v="2008-02-19T00:00:00"/>
    <n v="71.599999999999994"/>
    <n v="3"/>
    <n v="21"/>
    <n v="13.599999999999994"/>
    <n v="1.25"/>
    <x v="11"/>
    <n v="647.61904761904736"/>
    <n v="44.88465104761903"/>
    <n v="7"/>
    <n v="6"/>
    <n v="27.72"/>
    <n v="857.14285714285711"/>
    <n v="55.214174857142851"/>
    <n v="21.138124999999999"/>
    <n v="68.252873093692543"/>
  </r>
  <r>
    <x v="1"/>
    <x v="1"/>
    <n v="29"/>
    <n v="3.96"/>
    <s v="2008HSR-2192"/>
    <d v="2008-01-29T00:00:00"/>
    <n v="68"/>
    <x v="4"/>
    <d v="2008-02-19T00:00:00"/>
    <n v="69"/>
    <n v="3"/>
    <n v="21"/>
    <n v="1"/>
    <n v="0"/>
    <x v="11"/>
    <n v="47.619047619047613"/>
    <n v="15.930284047619047"/>
    <n v="7"/>
    <n v="-6.2000000000000028"/>
    <n v="27.72"/>
    <n v="-885.71428571428612"/>
    <n v="-30.083049285714303"/>
    <n v="15.952499999999999"/>
    <n v="-28.064318346804523"/>
  </r>
  <r>
    <x v="1"/>
    <x v="1"/>
    <n v="29"/>
    <n v="3.96"/>
    <s v="2008HSR-2195"/>
    <d v="2008-01-29T00:00:00"/>
    <n v="64.599999999999994"/>
    <x v="4"/>
    <d v="2008-02-19T00:00:00"/>
    <n v="63"/>
    <n v="2.5"/>
    <n v="21"/>
    <n v="-1.5999999999999943"/>
    <n v="-0.5"/>
    <x v="11"/>
    <n v="-76.19047619047592"/>
    <n v="9.0317515238095361"/>
    <n v="7"/>
    <n v="-7.7999999999999972"/>
    <n v="27.72"/>
    <n v="-1114.2857142857138"/>
    <n v="-42.146343714285678"/>
    <n v="15.952499999999999"/>
    <n v="-39.31810222819545"/>
  </r>
  <r>
    <x v="1"/>
    <x v="1"/>
    <n v="29"/>
    <n v="3.96"/>
    <s v="2008HSR-221"/>
    <d v="2008-01-29T00:00:00"/>
    <n v="56"/>
    <x v="2"/>
    <d v="2008-02-19T00:00:00"/>
    <n v="57.2"/>
    <n v="2"/>
    <n v="21"/>
    <n v="1.2000000000000028"/>
    <n v="0"/>
    <x v="11"/>
    <n v="57.142857142857281"/>
    <n v="14.387636857142864"/>
    <n v="7"/>
    <n v="-1.7999999999999972"/>
    <n v="27.72"/>
    <n v="-257.14285714285671"/>
    <n v="-1.1066488571428366"/>
    <n v="20.100999999999999"/>
    <n v="-1.3008624957560324"/>
  </r>
  <r>
    <x v="1"/>
    <x v="1"/>
    <n v="29"/>
    <n v="3.96"/>
    <s v="2008HSR-2228"/>
    <d v="2008-01-29T00:00:00"/>
    <n v="62.8"/>
    <x v="2"/>
    <d v="2008-02-19T00:00:00"/>
    <n v="66.2"/>
    <n v="2"/>
    <n v="21"/>
    <n v="3.4000000000000057"/>
    <n v="0"/>
    <x v="11"/>
    <n v="161.90476190476215"/>
    <n v="20.888209761904776"/>
    <n v="7"/>
    <n v="-2.3999999999999915"/>
    <n v="27.72"/>
    <n v="-342.85714285714164"/>
    <n v="-3.9965521428570838"/>
    <n v="20.100999999999999"/>
    <n v="-4.697935358103523"/>
  </r>
  <r>
    <x v="1"/>
    <x v="1"/>
    <n v="29"/>
    <n v="3.96"/>
    <s v="2008HSR-2858"/>
    <d v="2008-01-29T00:00:00"/>
    <n v="59"/>
    <x v="3"/>
    <d v="2008-02-19T00:00:00"/>
    <n v="64.400000000000006"/>
    <n v="2.25"/>
    <n v="21"/>
    <n v="5.4000000000000057"/>
    <n v="0"/>
    <x v="11"/>
    <n v="257.14285714285739"/>
    <n v="25.10999585714287"/>
    <n v="7"/>
    <n v="-7"/>
    <n v="27.72"/>
    <n v="-1000"/>
    <n v="-36.867146999999996"/>
    <n v="19.063874999999999"/>
    <n v="-41.101209474539466"/>
  </r>
  <r>
    <x v="1"/>
    <x v="1"/>
    <n v="29"/>
    <n v="3.96"/>
    <s v="2008HSR-345"/>
    <d v="2008-01-29T00:00:00"/>
    <n v="56.4"/>
    <x v="2"/>
    <d v="2008-02-19T00:00:00"/>
    <n v="65.400000000000006"/>
    <n v="2"/>
    <n v="21"/>
    <n v="9.0000000000000071"/>
    <n v="0"/>
    <x v="11"/>
    <n v="428.57142857142895"/>
    <n v="33.426152428571442"/>
    <n v="7"/>
    <n v="1.8000000000000043"/>
    <n v="27.72"/>
    <n v="257.14285714285774"/>
    <n v="24.974723857142884"/>
    <n v="20.100999999999999"/>
    <n v="29.3577148685631"/>
  </r>
  <r>
    <x v="1"/>
    <x v="1"/>
    <n v="29"/>
    <n v="3.96"/>
    <s v="2008HSR-356"/>
    <d v="2008-01-29T00:00:00"/>
    <n v="58"/>
    <x v="3"/>
    <d v="2008-02-19T00:00:00"/>
    <n v="62.2"/>
    <n v="2.25"/>
    <n v="21"/>
    <n v="4.2000000000000028"/>
    <n v="0"/>
    <x v="11"/>
    <n v="200.00000000000011"/>
    <n v="22.022309000000007"/>
    <n v="7"/>
    <n v="-2.2000000000000028"/>
    <n v="27.72"/>
    <n v="-314.28571428571468"/>
    <n v="-3.3319767142857319"/>
    <n v="19.063874999999999"/>
    <n v="-3.7146425487750818"/>
  </r>
  <r>
    <x v="1"/>
    <x v="1"/>
    <n v="29"/>
    <n v="3.96"/>
    <s v="2008HSR-457"/>
    <d v="2008-01-29T00:00:00"/>
    <n v="56"/>
    <x v="4"/>
    <d v="2008-02-19T00:00:00"/>
    <n v="67.400000000000006"/>
    <n v="3"/>
    <n v="21"/>
    <n v="11.400000000000006"/>
    <n v="0"/>
    <x v="11"/>
    <n v="542.85714285714312"/>
    <n v="39.195710142857152"/>
    <n v="7"/>
    <n v="3.2000000000000028"/>
    <n v="27.72"/>
    <n v="457.14285714285757"/>
    <n v="34.969995857142877"/>
    <n v="15.952499999999999"/>
    <n v="32.623325082518811"/>
  </r>
  <r>
    <x v="1"/>
    <x v="1"/>
    <n v="29"/>
    <n v="3.96"/>
    <s v="2008HSR-891"/>
    <d v="2008-01-29T00:00:00"/>
    <n v="63.8"/>
    <x v="5"/>
    <d v="2008-02-19T00:00:00"/>
    <n v="64.8"/>
    <n v="1.75"/>
    <n v="21"/>
    <n v="1"/>
    <n v="0"/>
    <x v="11"/>
    <n v="47.619047619047613"/>
    <n v="15.220106047619048"/>
    <n v="7"/>
    <n v="-3.4000000000000057"/>
    <n v="27.72"/>
    <n v="-485.71428571428652"/>
    <n v="-11.073227285714324"/>
    <n v="21.138124999999999"/>
    <n v="-13.688144006949711"/>
  </r>
  <r>
    <x v="1"/>
    <x v="1"/>
    <n v="29"/>
    <n v="3.96"/>
    <s v="2008HSR-901"/>
    <d v="2008-01-29T00:00:00"/>
    <n v="58.2"/>
    <x v="5"/>
    <d v="2008-02-19T00:00:00"/>
    <n v="64.2"/>
    <n v="1.75"/>
    <n v="21"/>
    <n v="6"/>
    <n v="0"/>
    <x v="11"/>
    <n v="285.71428571428572"/>
    <n v="26.434022285714285"/>
    <n v="7"/>
    <n v="-4"/>
    <n v="27.72"/>
    <n v="-571.42857142857144"/>
    <n v="-15.823120571428568"/>
    <n v="21.138124999999999"/>
    <n v="-19.559713481223888"/>
  </r>
  <r>
    <x v="1"/>
    <x v="1"/>
    <n v="29"/>
    <n v="3.96"/>
    <s v="2008HSR-913"/>
    <d v="2008-01-29T00:00:00"/>
    <n v="51"/>
    <x v="2"/>
    <d v="2008-02-19T00:00:00"/>
    <n v="55.2"/>
    <n v="2"/>
    <n v="21"/>
    <n v="4.2000000000000028"/>
    <n v="0"/>
    <x v="11"/>
    <n v="200.00000000000011"/>
    <n v="20.838679000000006"/>
    <n v="7"/>
    <n v="-1.7999999999999972"/>
    <n v="27.72"/>
    <n v="-257.14285714285671"/>
    <n v="-1.698463857142837"/>
    <n v="20.100999999999999"/>
    <n v="-1.9965392978028165"/>
  </r>
  <r>
    <x v="1"/>
    <x v="1"/>
    <n v="29"/>
    <n v="3.96"/>
    <s v="2008HSR-997"/>
    <d v="2008-01-29T00:00:00"/>
    <n v="57.8"/>
    <x v="3"/>
    <d v="2008-02-19T00:00:00"/>
    <n v="63"/>
    <n v="2.25"/>
    <n v="21"/>
    <n v="5.2000000000000028"/>
    <n v="0"/>
    <x v="11"/>
    <n v="247.61904761904776"/>
    <n v="24.420655047619054"/>
    <n v="7"/>
    <n v="-2"/>
    <n v="27.72"/>
    <n v="-285.71428571428572"/>
    <n v="-1.8726782857142847"/>
    <n v="19.063874999999999"/>
    <n v="-2.0877488160275677"/>
  </r>
  <r>
    <x v="1"/>
    <x v="4"/>
    <n v="186"/>
    <n v="2.4300000000000002"/>
    <s v="2015E-1054"/>
    <d v="2015-02-10T00:00:00"/>
    <n v="54.6"/>
    <x v="4"/>
    <d v="2015-03-03T00:00:00"/>
    <n v="56"/>
    <n v="3.5"/>
    <n v="21"/>
    <n v="1.3999999999999986"/>
    <n v="0.5"/>
    <x v="12"/>
    <n v="66.6666666666666"/>
    <n v="14.637343666666663"/>
    <n v="7"/>
    <n v="-3"/>
    <n v="17.010000000000002"/>
    <n v="-428.57142857142856"/>
    <n v="-9.7778944285714271"/>
    <n v="15.952499999999999"/>
    <n v="-9.121746249812027"/>
  </r>
  <r>
    <x v="1"/>
    <x v="4"/>
    <n v="186"/>
    <n v="2.4300000000000002"/>
    <s v="2015E-1063"/>
    <d v="2015-02-10T00:00:00"/>
    <n v="56.8"/>
    <x v="6"/>
    <d v="2015-03-03T00:00:00"/>
    <n v="55.5"/>
    <n v="4"/>
    <n v="21"/>
    <n v="-1.2999999999999972"/>
    <n v="0.5"/>
    <x v="12"/>
    <n v="-61.90476190476177"/>
    <n v="8.4424987380952441"/>
    <n v="7"/>
    <n v="0.5"/>
    <n v="17.010000000000002"/>
    <n v="71.428571428571431"/>
    <n v="15.015832071428569"/>
    <n v="13.878249999999998"/>
    <n v="12.186752716099619"/>
  </r>
  <r>
    <x v="1"/>
    <x v="4"/>
    <n v="186"/>
    <n v="2.4300000000000002"/>
    <s v="2015E-1236"/>
    <d v="2015-02-10T00:00:00"/>
    <n v="54.6"/>
    <x v="0"/>
    <d v="2015-03-03T00:00:00"/>
    <n v="57.5"/>
    <n v="3"/>
    <n v="21"/>
    <n v="2.8999999999999986"/>
    <n v="0.5"/>
    <x v="12"/>
    <n v="138.09523809523802"/>
    <n v="18.285589738095233"/>
    <n v="7"/>
    <n v="-1.5"/>
    <n v="17.010000000000002"/>
    <n v="-214.28571428571428"/>
    <n v="0.91320878571428565"/>
    <n v="18.02675"/>
    <n v="0.96270096361842084"/>
  </r>
  <r>
    <x v="1"/>
    <x v="4"/>
    <n v="186"/>
    <n v="2.4300000000000002"/>
    <s v="2015E-1242"/>
    <d v="2015-02-10T00:00:00"/>
    <n v="57.6"/>
    <x v="9"/>
    <d v="2015-03-03T00:00:00"/>
    <n v="61"/>
    <n v="4.5"/>
    <n v="21"/>
    <n v="3.3999999999999986"/>
    <n v="0.5"/>
    <x v="12"/>
    <n v="161.90476190476184"/>
    <n v="20.008941761904758"/>
    <n v="7"/>
    <n v="-2.5"/>
    <n v="17.010000000000002"/>
    <n v="-357.14285714285717"/>
    <n v="-5.5801058571428594"/>
    <n v="11.803999999999998"/>
    <n v="-3.8519046513283213"/>
  </r>
  <r>
    <x v="1"/>
    <x v="4"/>
    <n v="186"/>
    <n v="2.4300000000000002"/>
    <s v="2015E-1267"/>
    <d v="2015-02-10T00:00:00"/>
    <n v="58.4"/>
    <x v="0"/>
    <d v="2015-03-03T00:00:00"/>
    <n v="57.5"/>
    <n v="4"/>
    <n v="21"/>
    <n v="-0.89999999999999858"/>
    <n v="1.5"/>
    <x v="12"/>
    <n v="-42.85714285714279"/>
    <n v="9.6859083571428606"/>
    <n v="7"/>
    <n v="-1.5"/>
    <n v="17.010000000000002"/>
    <n v="-214.28571428571428"/>
    <n v="1.2344797857142868"/>
    <n v="18.02675"/>
    <n v="1.3013835366739779"/>
  </r>
  <r>
    <x v="1"/>
    <x v="4"/>
    <n v="186"/>
    <n v="2.4300000000000002"/>
    <s v="2015E-1275"/>
    <d v="2015-02-10T00:00:00"/>
    <n v="56"/>
    <x v="4"/>
    <d v="2015-03-03T00:00:00"/>
    <n v="57"/>
    <n v="3.5"/>
    <n v="21"/>
    <n v="1"/>
    <n v="0.5"/>
    <x v="12"/>
    <n v="47.619047619047613"/>
    <n v="13.901204047619046"/>
    <n v="7"/>
    <n v="-0.5"/>
    <n v="17.010000000000002"/>
    <n v="-71.428571428571431"/>
    <n v="8.0321564285714295"/>
    <n v="15.952499999999999"/>
    <n v="7.4931564577067666"/>
  </r>
  <r>
    <x v="1"/>
    <x v="4"/>
    <n v="186"/>
    <n v="2.4300000000000002"/>
    <s v="2015E-1276"/>
    <d v="2015-02-10T00:00:00"/>
    <n v="56.8"/>
    <x v="6"/>
    <d v="2015-03-03T00:00:00"/>
    <n v="60.5"/>
    <n v="4"/>
    <n v="21"/>
    <n v="3.7000000000000028"/>
    <n v="0.5"/>
    <x v="12"/>
    <n v="176.19047619047632"/>
    <n v="20.603318976190479"/>
    <n v="7"/>
    <n v="-0.5"/>
    <n v="17.010000000000002"/>
    <n v="-71.428571428571431"/>
    <n v="8.3956999285714282"/>
    <n v="13.878249999999998"/>
    <n v="6.8138960546021288"/>
  </r>
  <r>
    <x v="1"/>
    <x v="4"/>
    <n v="186"/>
    <n v="2.4300000000000002"/>
    <s v="2015E-1296"/>
    <d v="2015-02-10T00:00:00"/>
    <n v="57.8"/>
    <x v="4"/>
    <d v="2015-03-03T00:00:00"/>
    <n v="58.5"/>
    <n v="4.5"/>
    <n v="21"/>
    <n v="0.70000000000000284"/>
    <n v="1.5"/>
    <x v="12"/>
    <n v="33.333333333333471"/>
    <n v="13.475916833333338"/>
    <n v="7"/>
    <n v="-2"/>
    <n v="17.010000000000002"/>
    <n v="-285.71428571428572"/>
    <n v="-2.2531307857142853"/>
    <n v="15.952499999999999"/>
    <n v="-2.1019338514097741"/>
  </r>
  <r>
    <x v="1"/>
    <x v="4"/>
    <n v="186"/>
    <n v="2.4300000000000002"/>
    <s v="2015E-1300"/>
    <d v="2015-02-10T00:00:00"/>
    <n v="52.4"/>
    <x v="0"/>
    <d v="2015-03-03T00:00:00"/>
    <n v="59"/>
    <n v="4.5"/>
    <n v="21"/>
    <n v="6.6000000000000014"/>
    <n v="2"/>
    <x v="12"/>
    <n v="314.28571428571433"/>
    <n v="26.912598714285714"/>
    <n v="7"/>
    <n v="-0.5"/>
    <n v="17.010000000000002"/>
    <n v="-71.428571428571431"/>
    <n v="7.896884428571429"/>
    <n v="18.02675"/>
    <n v="8.3248632381725152"/>
  </r>
  <r>
    <x v="1"/>
    <x v="4"/>
    <n v="186"/>
    <n v="2.4300000000000002"/>
    <s v="2015E-1312"/>
    <d v="2015-02-10T00:00:00"/>
    <n v="57.2"/>
    <x v="4"/>
    <d v="2015-03-03T00:00:00"/>
    <n v="58"/>
    <n v="3.5"/>
    <n v="21"/>
    <n v="0.79999999999999716"/>
    <n v="0.5"/>
    <x v="12"/>
    <n v="38.09523809523796"/>
    <n v="13.61767923809523"/>
    <n v="7"/>
    <n v="-2.5"/>
    <n v="17.010000000000002"/>
    <n v="-357.14285714285717"/>
    <n v="-5.8675588571428587"/>
    <n v="15.952499999999999"/>
    <n v="-5.4738147759398501"/>
  </r>
  <r>
    <x v="1"/>
    <x v="4"/>
    <n v="186"/>
    <n v="2.4300000000000002"/>
    <s v="2015E-1335"/>
    <d v="2015-02-10T00:00:00"/>
    <n v="53.6"/>
    <x v="0"/>
    <d v="2015-03-03T00:00:00"/>
    <n v="54.5"/>
    <n v="3.5"/>
    <n v="21"/>
    <n v="0.89999999999999858"/>
    <n v="1"/>
    <x v="12"/>
    <n v="42.85714285714279"/>
    <n v="13.252171642857139"/>
    <n v="7"/>
    <n v="-0.5"/>
    <n v="17.010000000000002"/>
    <n v="-71.428571428571431"/>
    <n v="7.6178859285714289"/>
    <n v="18.02675"/>
    <n v="8.0307441615716382"/>
  </r>
  <r>
    <x v="1"/>
    <x v="4"/>
    <n v="186"/>
    <n v="2.4300000000000002"/>
    <s v="2015E-1339"/>
    <d v="2015-02-10T00:00:00"/>
    <n v="56"/>
    <x v="4"/>
    <d v="2015-03-03T00:00:00"/>
    <n v="55.5"/>
    <n v="3.5"/>
    <n v="21"/>
    <n v="-0.5"/>
    <n v="0.5"/>
    <x v="12"/>
    <n v="-23.809523809523807"/>
    <n v="10.252957976190475"/>
    <n v="7"/>
    <n v="-1"/>
    <n v="17.010000000000002"/>
    <n v="-142.85714285714286"/>
    <n v="4.3839103571428568"/>
    <n v="15.952499999999999"/>
    <n v="4.0897268989661644"/>
  </r>
  <r>
    <x v="1"/>
    <x v="4"/>
    <n v="186"/>
    <n v="2.4300000000000002"/>
    <s v="2015E-1362"/>
    <d v="2015-02-10T00:00:00"/>
    <n v="53.8"/>
    <x v="6"/>
    <d v="2015-03-03T00:00:00"/>
    <n v="57.5"/>
    <n v="4.5"/>
    <n v="21"/>
    <n v="3.7000000000000028"/>
    <n v="1"/>
    <x v="12"/>
    <n v="176.19047619047632"/>
    <n v="20.096048976190481"/>
    <n v="7"/>
    <n v="-1"/>
    <n v="17.010000000000002"/>
    <n v="-142.85714285714286"/>
    <n v="4.3670013571428568"/>
    <n v="13.878249999999998"/>
    <n v="3.544230209635546"/>
  </r>
  <r>
    <x v="1"/>
    <x v="4"/>
    <n v="186"/>
    <n v="2.4300000000000002"/>
    <s v="2015E-149"/>
    <d v="2015-02-10T00:00:00"/>
    <n v="52.2"/>
    <x v="6"/>
    <d v="2015-03-03T00:00:00"/>
    <n v="54.5"/>
    <n v="5"/>
    <n v="21"/>
    <n v="2.2999999999999972"/>
    <n v="1.5"/>
    <x v="12"/>
    <n v="109.52380952380939"/>
    <n v="16.420475309523802"/>
    <n v="7"/>
    <n v="-2.5"/>
    <n v="17.010000000000002"/>
    <n v="-357.14285714285717"/>
    <n v="-6.5861913571428587"/>
    <n v="13.878249999999998"/>
    <n v="-5.3453105381443189"/>
  </r>
  <r>
    <x v="1"/>
    <x v="4"/>
    <n v="186"/>
    <n v="2.4300000000000002"/>
    <s v="2015E-207"/>
    <d v="2015-02-10T00:00:00"/>
    <n v="58.2"/>
    <x v="6"/>
    <d v="2015-03-03T00:00:00"/>
    <n v="60"/>
    <n v="4"/>
    <n v="21"/>
    <n v="1.7999999999999972"/>
    <n v="0.5"/>
    <x v="12"/>
    <n v="85.71428571428558"/>
    <n v="16.218933285714279"/>
    <n v="7"/>
    <n v="-4"/>
    <n v="17.010000000000002"/>
    <n v="-571.42857142857144"/>
    <n v="-16.178209571428567"/>
    <n v="13.878249999999998"/>
    <n v="-13.130130817817454"/>
  </r>
  <r>
    <x v="1"/>
    <x v="4"/>
    <n v="186"/>
    <n v="2.4300000000000002"/>
    <s v="2015E-22"/>
    <d v="2015-02-10T00:00:00"/>
    <n v="55.6"/>
    <x v="4"/>
    <d v="2015-03-03T00:00:00"/>
    <n v="58.5"/>
    <n v="4.5"/>
    <n v="21"/>
    <n v="2.8999999999999986"/>
    <n v="1.5"/>
    <x v="12"/>
    <n v="138.09523809523802"/>
    <n v="18.454679738095233"/>
    <n v="7"/>
    <n v="-3"/>
    <n v="17.010000000000002"/>
    <n v="-428.57142857142856"/>
    <n v="-9.4819869285714269"/>
    <n v="15.952499999999999"/>
    <n v="-8.8456957004699213"/>
  </r>
  <r>
    <x v="1"/>
    <x v="4"/>
    <n v="186"/>
    <n v="2.4300000000000002"/>
    <s v="2015E-441"/>
    <d v="2015-02-10T00:00:00"/>
    <n v="56.4"/>
    <x v="4"/>
    <d v="2015-03-03T00:00:00"/>
    <n v="55"/>
    <n v="4"/>
    <n v="21"/>
    <n v="-1.3999999999999986"/>
    <n v="1"/>
    <x v="12"/>
    <n v="-66.6666666666666"/>
    <n v="8.131646333333336"/>
    <n v="7"/>
    <n v="-1"/>
    <n v="17.010000000000002"/>
    <n v="-142.85714285714286"/>
    <n v="4.3754558571428577"/>
    <n v="15.952499999999999"/>
    <n v="4.0818397404135336"/>
  </r>
  <r>
    <x v="1"/>
    <x v="4"/>
    <n v="186"/>
    <n v="2.4300000000000002"/>
    <s v="2015E-646"/>
    <d v="2015-02-10T00:00:00"/>
    <n v="60"/>
    <x v="6"/>
    <d v="2015-03-03T00:00:00"/>
    <n v="57.5"/>
    <n v="4.5"/>
    <n v="21"/>
    <n v="-2.5"/>
    <n v="1"/>
    <x v="12"/>
    <n v="-119.04761904761904"/>
    <n v="6.0649898809523801"/>
    <n v="7"/>
    <n v="4.5"/>
    <n v="17.010000000000002"/>
    <n v="642.85714285714289"/>
    <n v="43.626894642857138"/>
    <n v="13.878249999999998"/>
    <n v="35.407307051300116"/>
  </r>
  <r>
    <x v="1"/>
    <x v="4"/>
    <n v="186"/>
    <n v="2.4300000000000002"/>
    <s v="2015E-877"/>
    <d v="2015-02-10T00:00:00"/>
    <n v="55.8"/>
    <x v="4"/>
    <d v="2015-03-03T00:00:00"/>
    <n v="60.5"/>
    <n v="3.5"/>
    <n v="21"/>
    <n v="4.7000000000000028"/>
    <n v="0.5"/>
    <x v="12"/>
    <n v="223.80952380952397"/>
    <n v="22.866393023809529"/>
    <n v="7"/>
    <n v="0"/>
    <n v="17.010000000000002"/>
    <n v="0"/>
    <n v="11.832583499999998"/>
    <n v="15.952499999999999"/>
    <n v="11.038554870394734"/>
  </r>
  <r>
    <x v="1"/>
    <x v="4"/>
    <n v="186"/>
    <n v="2.4300000000000002"/>
    <s v="2015E-955"/>
    <d v="2015-02-10T00:00:00"/>
    <n v="52.8"/>
    <x v="6"/>
    <d v="2015-03-03T00:00:00"/>
    <n v="54.5"/>
    <n v="4.5"/>
    <n v="21"/>
    <n v="1.7000000000000028"/>
    <n v="1"/>
    <x v="12"/>
    <n v="80.952380952381077"/>
    <n v="15.062630880952387"/>
    <n v="7"/>
    <n v="-1.5"/>
    <n v="17.010000000000002"/>
    <n v="-214.28571428571428"/>
    <n v="0.50739278571428592"/>
    <n v="13.878249999999998"/>
    <n v="0.41179672095551384"/>
  </r>
  <r>
    <x v="1"/>
    <x v="5"/>
    <n v="133"/>
    <n v="2.4700000000000002"/>
    <s v="2015W-1003"/>
    <d v="2015-02-10T00:00:00"/>
    <n v="58.4"/>
    <x v="0"/>
    <d v="2015-03-03T00:00:00"/>
    <n v="62"/>
    <n v="3"/>
    <n v="21"/>
    <n v="3.6000000000000014"/>
    <n v="0.5"/>
    <x v="13"/>
    <n v="171.42857142857147"/>
    <n v="20.630646571428574"/>
    <n v="7"/>
    <n v="-1"/>
    <n v="17.290000000000003"/>
    <n v="-142.85714285714286"/>
    <n v="5.1363608571428587"/>
    <n v="18.02675"/>
    <n v="5.4147305895614046"/>
  </r>
  <r>
    <x v="1"/>
    <x v="5"/>
    <n v="133"/>
    <n v="2.4700000000000002"/>
    <s v="2015W-1032"/>
    <d v="2015-02-10T00:00:00"/>
    <n v="52.6"/>
    <x v="0"/>
    <d v="2015-03-03T00:00:00"/>
    <n v="56"/>
    <n v="3.5"/>
    <n v="21"/>
    <n v="3.3999999999999986"/>
    <n v="1"/>
    <x v="13"/>
    <n v="161.90476190476184"/>
    <n v="19.163491761904758"/>
    <n v="7"/>
    <n v="-0.5"/>
    <n v="17.290000000000003"/>
    <n v="-71.428571428571431"/>
    <n v="7.6601584285714281"/>
    <n v="18.02675"/>
    <n v="8.0753076580263148"/>
  </r>
  <r>
    <x v="1"/>
    <x v="5"/>
    <n v="133"/>
    <n v="2.4700000000000002"/>
    <s v="2015W-1051"/>
    <d v="2015-02-10T00:00:00"/>
    <n v="53.6"/>
    <x v="4"/>
    <d v="2015-03-03T00:00:00"/>
    <n v="53"/>
    <n v="3"/>
    <n v="21"/>
    <n v="-0.60000000000000142"/>
    <n v="0"/>
    <x v="13"/>
    <n v="-28.57142857142864"/>
    <n v="9.6039255714285687"/>
    <n v="7"/>
    <n v="0.5"/>
    <n v="17.290000000000003"/>
    <n v="71.428571428571431"/>
    <n v="14.53392557142857"/>
    <n v="15.952499999999999"/>
    <n v="13.558622671240599"/>
  </r>
  <r>
    <x v="1"/>
    <x v="5"/>
    <n v="133"/>
    <n v="2.4700000000000002"/>
    <s v="2015W-1077"/>
    <d v="2015-02-10T00:00:00"/>
    <n v="55.6"/>
    <x v="4"/>
    <d v="2015-03-03T00:00:00"/>
    <n v="62.5"/>
    <n v="4.5"/>
    <n v="21"/>
    <n v="6.8999999999999986"/>
    <n v="1.5"/>
    <x v="13"/>
    <n v="328.5714285714285"/>
    <n v="28.183335928571424"/>
    <n v="7"/>
    <n v="2.5"/>
    <n v="17.290000000000003"/>
    <n v="357.14285714285717"/>
    <n v="29.591907357142858"/>
    <n v="15.952499999999999"/>
    <n v="27.60613462659774"/>
  </r>
  <r>
    <x v="1"/>
    <x v="5"/>
    <n v="133"/>
    <n v="2.4700000000000002"/>
    <s v="2015W-1084"/>
    <d v="2015-02-10T00:00:00"/>
    <n v="59.8"/>
    <x v="9"/>
    <d v="2015-03-03T00:00:00"/>
    <n v="65"/>
    <n v="4.5"/>
    <n v="21"/>
    <n v="5.2000000000000028"/>
    <n v="0.5"/>
    <x v="13"/>
    <n v="247.61904761904776"/>
    <n v="24.758835047619051"/>
    <n v="7"/>
    <n v="-1"/>
    <n v="17.290000000000003"/>
    <n v="-142.85714285714286"/>
    <n v="5.5083588571428566"/>
    <n v="11.803999999999998"/>
    <n v="3.8023782426733486"/>
  </r>
  <r>
    <x v="1"/>
    <x v="5"/>
    <n v="133"/>
    <n v="2.4700000000000002"/>
    <s v="2015W-1096"/>
    <d v="2015-02-10T00:00:00"/>
    <n v="53.8"/>
    <x v="0"/>
    <d v="2015-03-03T00:00:00"/>
    <n v="60"/>
    <n v="4.5"/>
    <n v="21"/>
    <n v="6.2000000000000028"/>
    <n v="2"/>
    <x v="13"/>
    <n v="295.23809523809535"/>
    <n v="26.176459095238098"/>
    <n v="7"/>
    <n v="1"/>
    <n v="17.290000000000003"/>
    <n v="142.85714285714286"/>
    <n v="18.664078142857139"/>
    <n v="18.02675"/>
    <n v="19.67559477554093"/>
  </r>
  <r>
    <x v="1"/>
    <x v="5"/>
    <n v="133"/>
    <n v="2.4700000000000002"/>
    <s v="2015W-1098"/>
    <d v="2015-02-10T00:00:00"/>
    <n v="55.4"/>
    <x v="6"/>
    <d v="2015-03-03T00:00:00"/>
    <n v="59"/>
    <n v="4.5"/>
    <n v="21"/>
    <n v="3.6000000000000014"/>
    <n v="1"/>
    <x v="13"/>
    <n v="171.42857142857147"/>
    <n v="20.123376571428572"/>
    <n v="7"/>
    <n v="1"/>
    <n v="17.290000000000003"/>
    <n v="142.85714285714286"/>
    <n v="18.714805142857141"/>
    <n v="13.878249999999998"/>
    <n v="15.188815466307432"/>
  </r>
  <r>
    <x v="1"/>
    <x v="5"/>
    <n v="133"/>
    <n v="2.4700000000000002"/>
    <s v="2015W-1202"/>
    <d v="2015-02-10T00:00:00"/>
    <n v="57"/>
    <x v="6"/>
    <d v="2015-03-03T00:00:00"/>
    <n v="57.5"/>
    <n v="4.5"/>
    <n v="21"/>
    <n v="0.5"/>
    <n v="1"/>
    <x v="13"/>
    <n v="23.809523809523807"/>
    <n v="12.854212023809524"/>
    <n v="7"/>
    <n v="-0.5"/>
    <n v="17.290000000000003"/>
    <n v="-71.428571428571431"/>
    <n v="8.1589739285714291"/>
    <n v="13.878249999999998"/>
    <n v="6.6217707558009593"/>
  </r>
  <r>
    <x v="1"/>
    <x v="5"/>
    <n v="133"/>
    <n v="2.4700000000000002"/>
    <s v="2015W-195"/>
    <d v="2015-02-10T00:00:00"/>
    <n v="58"/>
    <x v="0"/>
    <d v="2015-03-03T00:00:00"/>
    <n v="60.5"/>
    <n v="3"/>
    <n v="21"/>
    <n v="2.5"/>
    <n v="0.5"/>
    <x v="13"/>
    <n v="119.04761904761904"/>
    <n v="17.887630119047618"/>
    <n v="7"/>
    <n v="-1"/>
    <n v="17.290000000000003"/>
    <n v="-142.85714285714286"/>
    <n v="4.9757253571428572"/>
    <n v="18.02675"/>
    <n v="5.2453893030336252"/>
  </r>
  <r>
    <x v="1"/>
    <x v="5"/>
    <n v="133"/>
    <n v="2.4700000000000002"/>
    <s v="2015W-410"/>
    <d v="2015-02-10T00:00:00"/>
    <n v="57.6"/>
    <x v="4"/>
    <d v="2015-03-03T00:00:00"/>
    <n v="58.5"/>
    <n v="4.5"/>
    <n v="21"/>
    <n v="0.89999999999999858"/>
    <n v="1.5"/>
    <x v="13"/>
    <n v="42.85714285714279"/>
    <n v="13.928531642857138"/>
    <n v="7"/>
    <n v="-1"/>
    <n v="17.290000000000003"/>
    <n v="-142.85714285714286"/>
    <n v="4.7728173571428565"/>
    <n v="15.952499999999999"/>
    <n v="4.4525361923872167"/>
  </r>
  <r>
    <x v="1"/>
    <x v="5"/>
    <n v="133"/>
    <n v="2.4700000000000002"/>
    <s v="2015W-457"/>
    <d v="2015-02-10T00:00:00"/>
    <n v="55.4"/>
    <x v="4"/>
    <d v="2015-03-03T00:00:00"/>
    <n v="56.5"/>
    <n v="4"/>
    <n v="21"/>
    <n v="1.1000000000000014"/>
    <n v="1"/>
    <x v="13"/>
    <n v="52.380952380952451"/>
    <n v="14.042966452380956"/>
    <n v="7"/>
    <n v="2"/>
    <n v="17.290000000000003"/>
    <n v="285.71428571428572"/>
    <n v="25.546299785714282"/>
    <n v="15.952499999999999"/>
    <n v="23.832008615883453"/>
  </r>
  <r>
    <x v="1"/>
    <x v="5"/>
    <n v="133"/>
    <n v="2.4700000000000002"/>
    <s v="2015W-490"/>
    <d v="2015-02-10T00:00:00"/>
    <n v="58"/>
    <x v="4"/>
    <d v="2015-03-03T00:00:00"/>
    <n v="60.5"/>
    <n v="4"/>
    <n v="21"/>
    <n v="2.5"/>
    <n v="1"/>
    <x v="13"/>
    <n v="119.04761904761904"/>
    <n v="17.887630119047618"/>
    <n v="7"/>
    <n v="-0.5"/>
    <n v="17.290000000000003"/>
    <n v="-71.428571428571431"/>
    <n v="8.4971539285714286"/>
    <n v="15.952499999999999"/>
    <n v="7.9269501781015022"/>
  </r>
  <r>
    <x v="1"/>
    <x v="5"/>
    <n v="133"/>
    <n v="2.4700000000000002"/>
    <s v="2015W-525"/>
    <d v="2015-02-10T00:00:00"/>
    <n v="52.2"/>
    <x v="0"/>
    <d v="2015-03-03T00:00:00"/>
    <n v="59.5"/>
    <n v="3.5"/>
    <n v="21"/>
    <n v="7.2999999999999972"/>
    <n v="1"/>
    <x v="13"/>
    <n v="347.61904761904748"/>
    <n v="28.581295547619042"/>
    <n v="7"/>
    <n v="2"/>
    <n v="17.290000000000003"/>
    <n v="285.71428571428572"/>
    <n v="25.529390785714284"/>
    <n v="18.02675"/>
    <n v="26.912979260021928"/>
  </r>
  <r>
    <x v="1"/>
    <x v="5"/>
    <n v="133"/>
    <n v="2.4700000000000002"/>
    <s v="2015W-536"/>
    <d v="2015-02-10T00:00:00"/>
    <n v="53.6"/>
    <x v="4"/>
    <d v="2015-03-03T00:00:00"/>
    <n v="57"/>
    <n v="3.5"/>
    <n v="21"/>
    <n v="3.3999999999999986"/>
    <n v="0.5"/>
    <x v="13"/>
    <n v="161.90476190476184"/>
    <n v="19.332581761904756"/>
    <n v="7"/>
    <n v="-0.5"/>
    <n v="17.290000000000003"/>
    <n v="-71.428571428571431"/>
    <n v="7.8292484285714288"/>
    <n v="15.952499999999999"/>
    <n v="7.3038646524436084"/>
  </r>
  <r>
    <x v="1"/>
    <x v="5"/>
    <n v="133"/>
    <n v="2.4700000000000002"/>
    <s v="2015W-709"/>
    <d v="2015-02-10T00:00:00"/>
    <n v="60"/>
    <x v="6"/>
    <d v="2015-03-03T00:00:00"/>
    <n v="64"/>
    <n v="4.5"/>
    <n v="21"/>
    <n v="4"/>
    <n v="1"/>
    <x v="13"/>
    <n v="190.47619047619045"/>
    <n v="21.874056190476189"/>
    <n v="7"/>
    <n v="2.5"/>
    <n v="17.290000000000003"/>
    <n v="357.14285714285717"/>
    <n v="30.090722857142858"/>
    <n v="13.878249999999998"/>
    <n v="24.421437104803669"/>
  </r>
  <r>
    <x v="1"/>
    <x v="5"/>
    <n v="133"/>
    <n v="2.4700000000000002"/>
    <s v="2015W-844"/>
    <d v="2015-02-10T00:00:00"/>
    <n v="52.6"/>
    <x v="0"/>
    <d v="2015-03-03T00:00:00"/>
    <n v="54.5"/>
    <n v="3.2"/>
    <n v="21"/>
    <n v="1.8999999999999986"/>
    <n v="0.70000000000000018"/>
    <x v="13"/>
    <n v="90.476190476190411"/>
    <n v="15.515245690476185"/>
    <n v="7"/>
    <n v="1"/>
    <n v="17.290000000000003"/>
    <n v="142.85714285714286"/>
    <n v="18.09762664285714"/>
    <n v="18.02675"/>
    <n v="19.078443923048241"/>
  </r>
  <r>
    <x v="1"/>
    <x v="5"/>
    <n v="133"/>
    <n v="2.4700000000000002"/>
    <s v="2015W-922"/>
    <d v="2015-02-10T00:00:00"/>
    <n v="57.2"/>
    <x v="4"/>
    <d v="2015-03-03T00:00:00"/>
    <n v="61"/>
    <n v="3.5"/>
    <n v="21"/>
    <n v="3.7999999999999972"/>
    <n v="0.5"/>
    <x v="13"/>
    <n v="180.95238095238082"/>
    <n v="20.914171380952375"/>
    <n v="7"/>
    <n v="-3"/>
    <n v="17.290000000000003"/>
    <n v="-428.57142857142856"/>
    <n v="-9.1353524285714265"/>
    <n v="15.952499999999999"/>
    <n v="-8.5223221998120273"/>
  </r>
  <r>
    <x v="1"/>
    <x v="5"/>
    <n v="133"/>
    <n v="2.4700000000000002"/>
    <s v="2015W-941"/>
    <d v="2015-02-10T00:00:00"/>
    <n v="57.2"/>
    <x v="6"/>
    <d v="2015-03-03T00:00:00"/>
    <n v="59"/>
    <n v="4"/>
    <n v="21"/>
    <n v="1.7999999999999972"/>
    <n v="0.5"/>
    <x v="13"/>
    <n v="85.71428571428558"/>
    <n v="16.049843285714278"/>
    <n v="7"/>
    <n v="-1"/>
    <n v="17.290000000000003"/>
    <n v="-142.85714285714286"/>
    <n v="4.7812718571428574"/>
    <n v="13.878249999999998"/>
    <n v="3.880449482537593"/>
  </r>
  <r>
    <x v="1"/>
    <x v="5"/>
    <n v="133"/>
    <n v="2.4700000000000002"/>
    <s v="2015W-945"/>
    <d v="2015-02-10T00:00:00"/>
    <n v="54.6"/>
    <x v="4"/>
    <d v="2015-03-03T00:00:00"/>
    <n v="57"/>
    <n v="4.5"/>
    <n v="21"/>
    <n v="2.3999999999999986"/>
    <n v="1.5"/>
    <x v="13"/>
    <n v="114.28571428571421"/>
    <n v="17.069507714285709"/>
    <n v="7"/>
    <n v="1.5"/>
    <n v="17.290000000000003"/>
    <n v="214.28571428571428"/>
    <n v="21.999507714285713"/>
    <n v="15.952499999999999"/>
    <n v="20.523224959774431"/>
  </r>
  <r>
    <x v="1"/>
    <x v="5"/>
    <n v="133"/>
    <n v="2.4700000000000002"/>
    <s v="2015W-969"/>
    <d v="2015-02-10T00:00:00"/>
    <n v="55.2"/>
    <x v="4"/>
    <d v="2015-03-03T00:00:00"/>
    <n v="52"/>
    <n v="4"/>
    <n v="21"/>
    <n v="-3.2000000000000028"/>
    <n v="1"/>
    <x v="13"/>
    <n v="-152.38095238095249"/>
    <n v="3.5508430476190416"/>
    <n v="7"/>
    <n v="-0.5"/>
    <n v="17.290000000000003"/>
    <n v="-71.428571428571431"/>
    <n v="7.5417954285714295"/>
    <n v="15.952499999999999"/>
    <n v="7.0357012616541352"/>
  </r>
  <r>
    <x v="0"/>
    <x v="0"/>
    <n v="14"/>
    <n v="1.98"/>
    <s v="2008CSR-1016"/>
    <d v="2008-01-29T00:00:00"/>
    <n v="54"/>
    <x v="0"/>
    <d v="2008-02-25T00:00:00"/>
    <n v="60.6"/>
    <n v="2.5"/>
    <n v="27"/>
    <n v="6.6000000000000014"/>
    <n v="0"/>
    <x v="14"/>
    <n v="244.44444444444449"/>
    <n v="23.739968111111111"/>
    <n v="6"/>
    <n v="2.3999999999999986"/>
    <n v="11.879999999999999"/>
    <n v="399.99999999999977"/>
    <n v="31.408856999999987"/>
    <n v="18.02675"/>
    <n v="33.11108847513156"/>
  </r>
  <r>
    <x v="0"/>
    <x v="0"/>
    <n v="14"/>
    <n v="1.98"/>
    <s v="2008CSR-1019"/>
    <d v="2008-01-29T00:00:00"/>
    <n v="56.6"/>
    <x v="0"/>
    <d v="2008-02-25T00:00:00"/>
    <n v="62.2"/>
    <n v="2.5"/>
    <n v="27"/>
    <n v="5.6000000000000014"/>
    <n v="0"/>
    <x v="14"/>
    <n v="207.40740740740745"/>
    <n v="22.269131185185188"/>
    <n v="6"/>
    <n v="0"/>
    <n v="11.879999999999999"/>
    <n v="0"/>
    <n v="12.043946"/>
    <n v="18.02675"/>
    <n v="12.696678570497076"/>
  </r>
  <r>
    <x v="0"/>
    <x v="0"/>
    <n v="14"/>
    <n v="1.98"/>
    <s v="2008CSR-1045"/>
    <d v="2008-01-29T00:00:00"/>
    <n v="56.6"/>
    <x v="1"/>
    <d v="2008-02-25T00:00:00"/>
    <n v="62.8"/>
    <n v="3.25"/>
    <n v="27"/>
    <n v="6.1999999999999957"/>
    <n v="0"/>
    <x v="14"/>
    <n v="229.62962962962945"/>
    <n v="23.415413740740732"/>
    <n v="6"/>
    <n v="3.1999999999999957"/>
    <n v="11.879999999999999"/>
    <n v="533.33333333333269"/>
    <n v="38.388006333333294"/>
    <n v="14.915374999999999"/>
    <n v="33.483714032984857"/>
  </r>
  <r>
    <x v="0"/>
    <x v="0"/>
    <n v="14"/>
    <n v="1.98"/>
    <s v="2008CSR-1137"/>
    <d v="2008-01-29T00:00:00"/>
    <n v="63.6"/>
    <x v="1"/>
    <d v="2008-02-25T00:00:00"/>
    <n v="73.400000000000006"/>
    <n v="3.25"/>
    <n v="27"/>
    <n v="9.8000000000000043"/>
    <n v="0"/>
    <x v="14"/>
    <n v="362.9629629629631"/>
    <n v="31.476739074074079"/>
    <n v="6"/>
    <n v="6.4000000000000057"/>
    <n v="11.879999999999999"/>
    <n v="1066.6666666666677"/>
    <n v="66.169331666666722"/>
    <n v="14.915374999999999"/>
    <n v="57.715812591094092"/>
  </r>
  <r>
    <x v="0"/>
    <x v="0"/>
    <n v="14"/>
    <n v="1.98"/>
    <s v="2008CSR-1203"/>
    <d v="2008-01-29T00:00:00"/>
    <n v="52.4"/>
    <x v="2"/>
    <d v="2008-02-25T00:00:00"/>
    <n v="63"/>
    <n v="2"/>
    <n v="27"/>
    <n v="10.600000000000001"/>
    <n v="0"/>
    <x v="14"/>
    <n v="392.59259259259267"/>
    <n v="31.111307814814815"/>
    <n v="6"/>
    <n v="7"/>
    <n v="11.879999999999999"/>
    <n v="1166.6666666666667"/>
    <n v="69.273159666666672"/>
    <n v="20.100999999999999"/>
    <n v="81.43039663506822"/>
  </r>
  <r>
    <x v="0"/>
    <x v="0"/>
    <n v="14"/>
    <n v="1.98"/>
    <s v="2008CSR-1211"/>
    <d v="2008-01-29T00:00:00"/>
    <n v="53.2"/>
    <x v="0"/>
    <d v="2008-02-25T00:00:00"/>
    <n v="59.6"/>
    <n v="2.5"/>
    <n v="27"/>
    <n v="6.3999999999999986"/>
    <n v="0"/>
    <x v="14"/>
    <n v="237.03703703703698"/>
    <n v="23.222601925925922"/>
    <n v="6"/>
    <n v="2"/>
    <n v="11.879999999999999"/>
    <n v="333.33333333333331"/>
    <n v="27.97000933333333"/>
    <n v="18.02675"/>
    <n v="29.485869342085763"/>
  </r>
  <r>
    <x v="0"/>
    <x v="0"/>
    <n v="14"/>
    <n v="1.98"/>
    <s v="2008CSR-1231"/>
    <d v="2008-01-29T00:00:00"/>
    <n v="60.2"/>
    <x v="3"/>
    <d v="2008-02-25T00:00:00"/>
    <n v="67.599999999999994"/>
    <n v="2.25"/>
    <n v="27"/>
    <n v="7.3999999999999915"/>
    <n v="0"/>
    <x v="14"/>
    <n v="274.07407407407374"/>
    <n v="26.316702851851836"/>
    <n v="6"/>
    <n v="1"/>
    <n v="11.879999999999999"/>
    <n v="166.66666666666666"/>
    <n v="21.021517666666664"/>
    <n v="19.063874999999999"/>
    <n v="23.435765210972214"/>
  </r>
  <r>
    <x v="0"/>
    <x v="0"/>
    <n v="14"/>
    <n v="1.98"/>
    <s v="2008CSR-1250"/>
    <d v="2008-01-29T00:00:00"/>
    <n v="60.2"/>
    <x v="4"/>
    <d v="2008-02-25T00:00:00"/>
    <n v="69"/>
    <n v="3"/>
    <n v="27"/>
    <n v="8.7999999999999972"/>
    <n v="0"/>
    <x v="14"/>
    <n v="325.92592592592587"/>
    <n v="28.991362148148141"/>
    <n v="6"/>
    <n v="2.4000000000000057"/>
    <n v="11.879999999999999"/>
    <n v="400.00000000000097"/>
    <n v="32.643214000000043"/>
    <n v="15.952499999999999"/>
    <n v="30.45268253421056"/>
  </r>
  <r>
    <x v="0"/>
    <x v="0"/>
    <n v="14"/>
    <n v="1.98"/>
    <s v="2008CSR-1251"/>
    <d v="2008-01-29T00:00:00"/>
    <n v="50.6"/>
    <x v="5"/>
    <d v="2008-02-25T00:00:00"/>
    <n v="62.4"/>
    <n v="2"/>
    <n v="27"/>
    <n v="11.799999999999997"/>
    <n v="0.25"/>
    <x v="14"/>
    <n v="437.03703703703695"/>
    <n v="33.099510925925919"/>
    <n v="6"/>
    <n v="2.1999999999999957"/>
    <n v="11.879999999999999"/>
    <n v="366.66666666666595"/>
    <n v="29.630251666666631"/>
    <n v="21.138124999999999"/>
    <n v="36.627366287219736"/>
  </r>
  <r>
    <x v="0"/>
    <x v="0"/>
    <n v="14"/>
    <n v="1.98"/>
    <s v="2008CSR-1299"/>
    <d v="2008-01-29T00:00:00"/>
    <n v="63.2"/>
    <x v="0"/>
    <d v="2008-02-25T00:00:00"/>
    <n v="72"/>
    <n v="2.5"/>
    <n v="27"/>
    <n v="8.7999999999999972"/>
    <n v="0"/>
    <x v="14"/>
    <n v="325.92592592592587"/>
    <n v="29.49863214814814"/>
    <n v="6"/>
    <n v="3"/>
    <n v="11.879999999999999"/>
    <n v="500"/>
    <n v="38.080483999999998"/>
    <n v="18.02675"/>
    <n v="40.144290347777769"/>
  </r>
  <r>
    <x v="0"/>
    <x v="0"/>
    <n v="14"/>
    <n v="1.98"/>
    <s v="2008CSR-1343"/>
    <d v="2008-01-29T00:00:00"/>
    <n v="57.2"/>
    <x v="6"/>
    <d v="2008-02-25T00:00:00"/>
    <n v="68"/>
    <n v="3.5"/>
    <n v="27"/>
    <n v="10.799999999999997"/>
    <n v="0"/>
    <x v="14"/>
    <n v="399.99999999999989"/>
    <n v="32.305033999999992"/>
    <n v="6"/>
    <n v="-0.40000000000000568"/>
    <n v="11.879999999999999"/>
    <n v="-66.666666666667609"/>
    <n v="9.298367333333287"/>
    <n v="13.878249999999998"/>
    <n v="7.5464951136744247"/>
  </r>
  <r>
    <x v="0"/>
    <x v="0"/>
    <n v="14"/>
    <n v="1.98"/>
    <s v="2008CSR-1394"/>
    <d v="2008-01-29T00:00:00"/>
    <n v="48.2"/>
    <x v="3"/>
    <d v="2008-02-25T00:00:00"/>
    <n v="58"/>
    <n v="2.25"/>
    <n v="27"/>
    <n v="9.7999999999999972"/>
    <n v="0"/>
    <x v="14"/>
    <n v="362.96296296296288"/>
    <n v="28.872753074074069"/>
    <n v="6"/>
    <n v="2"/>
    <n v="11.879999999999999"/>
    <n v="333.33333333333331"/>
    <n v="27.41201233333333"/>
    <n v="19.063874999999999"/>
    <n v="30.560185767317243"/>
  </r>
  <r>
    <x v="0"/>
    <x v="0"/>
    <n v="14"/>
    <n v="1.98"/>
    <s v="2008CSR-1475"/>
    <d v="2008-01-29T00:00:00"/>
    <n v="66.400000000000006"/>
    <x v="0"/>
    <d v="2008-02-25T00:00:00"/>
    <n v="76.2"/>
    <n v="2.5"/>
    <n v="27"/>
    <n v="9.7999999999999972"/>
    <n v="0"/>
    <x v="14"/>
    <n v="362.96296296296288"/>
    <n v="31.95019107407407"/>
    <n v="6"/>
    <n v="3.2000000000000028"/>
    <n v="11.879999999999999"/>
    <n v="533.33333333333383"/>
    <n v="40.349450333333358"/>
    <n v="18.02675"/>
    <n v="42.536225368211525"/>
  </r>
  <r>
    <x v="0"/>
    <x v="0"/>
    <n v="14"/>
    <n v="1.98"/>
    <s v="2008CSR-1506"/>
    <d v="2008-01-29T00:00:00"/>
    <n v="48.4"/>
    <x v="2"/>
    <d v="2008-02-25T00:00:00"/>
    <n v="53.8"/>
    <n v="2"/>
    <n v="27"/>
    <n v="5.3999999999999986"/>
    <n v="0"/>
    <x v="14"/>
    <n v="199.99999999999994"/>
    <n v="20.500498999999998"/>
    <n v="6"/>
    <n v="1.3999999999999986"/>
    <n v="11.879999999999999"/>
    <n v="233.33333333333309"/>
    <n v="22.143832333333322"/>
    <n v="20.100999999999999"/>
    <n v="26.030010159785558"/>
  </r>
  <r>
    <x v="0"/>
    <x v="0"/>
    <n v="14"/>
    <n v="1.98"/>
    <s v="2008CSR-159"/>
    <d v="2008-01-29T00:00:00"/>
    <n v="53"/>
    <x v="2"/>
    <d v="2008-02-25T00:00:00"/>
    <n v="62"/>
    <n v="2"/>
    <n v="27"/>
    <n v="9"/>
    <n v="0"/>
    <x v="14"/>
    <n v="333.33333333333331"/>
    <n v="28.156008333333329"/>
    <n v="6"/>
    <n v="1"/>
    <n v="11.879999999999999"/>
    <n v="166.66666666666666"/>
    <n v="19.939341666666664"/>
    <n v="20.100999999999999"/>
    <n v="23.438637826998043"/>
  </r>
  <r>
    <x v="0"/>
    <x v="0"/>
    <n v="14"/>
    <n v="1.98"/>
    <s v="2008CSR-1646"/>
    <d v="2008-01-29T00:00:00"/>
    <n v="60"/>
    <x v="2"/>
    <d v="2008-02-25T00:00:00"/>
    <n v="68.2"/>
    <n v="2"/>
    <n v="27"/>
    <n v="8.2000000000000028"/>
    <n v="0"/>
    <x v="14"/>
    <n v="303.70370370370381"/>
    <n v="27.811261592592594"/>
    <n v="6"/>
    <n v="3.2000000000000028"/>
    <n v="11.879999999999999"/>
    <n v="533.33333333333383"/>
    <n v="39.132002333333354"/>
    <n v="20.100999999999999"/>
    <n v="45.9995543217739"/>
  </r>
  <r>
    <x v="0"/>
    <x v="0"/>
    <n v="14"/>
    <n v="1.98"/>
    <s v="2008CSR-1675"/>
    <d v="2008-01-29T00:00:00"/>
    <n v="64.2"/>
    <x v="4"/>
    <d v="2008-02-25T00:00:00"/>
    <n v="74.2"/>
    <n v="3"/>
    <n v="27"/>
    <n v="10"/>
    <n v="0"/>
    <x v="14"/>
    <n v="370.37037037037032"/>
    <n v="31.960287259259253"/>
    <n v="6"/>
    <n v="6.2000000000000028"/>
    <n v="11.879999999999999"/>
    <n v="1033.3333333333339"/>
    <n v="64.644361333333364"/>
    <n v="15.952499999999999"/>
    <n v="60.306384454385991"/>
  </r>
  <r>
    <x v="0"/>
    <x v="0"/>
    <n v="14"/>
    <n v="1.98"/>
    <s v="2008CSR-1711"/>
    <d v="2008-01-29T00:00:00"/>
    <n v="56.4"/>
    <x v="0"/>
    <d v="2008-02-25T00:00:00"/>
    <n v="65.599999999999994"/>
    <n v="2.5"/>
    <n v="27"/>
    <n v="9.1999999999999957"/>
    <n v="0"/>
    <x v="14"/>
    <n v="340.74074074074059"/>
    <n v="29.113008518518509"/>
    <n v="6"/>
    <n v="3.7999999999999972"/>
    <n v="11.879999999999999"/>
    <n v="633.3333333333328"/>
    <n v="43.537823333333307"/>
    <n v="18.02675"/>
    <n v="45.897395132992173"/>
  </r>
  <r>
    <x v="0"/>
    <x v="0"/>
    <n v="14"/>
    <n v="1.98"/>
    <s v="2008CSR-1759"/>
    <d v="2008-01-29T00:00:00"/>
    <n v="64"/>
    <x v="4"/>
    <d v="2008-02-25T00:00:00"/>
    <n v="76.599999999999994"/>
    <n v="3"/>
    <n v="27"/>
    <n v="12.599999999999994"/>
    <n v="0"/>
    <x v="14"/>
    <n v="466.66666666666646"/>
    <n v="36.89369366666665"/>
    <n v="6"/>
    <n v="7.7999999999999972"/>
    <n v="11.879999999999999"/>
    <n v="1299.9999999999995"/>
    <n v="77.977026999999978"/>
    <n v="15.952499999999999"/>
    <n v="72.744358082894706"/>
  </r>
  <r>
    <x v="0"/>
    <x v="0"/>
    <n v="14"/>
    <n v="1.98"/>
    <s v="2008CSR-1781"/>
    <d v="2008-01-29T00:00:00"/>
    <n v="54"/>
    <x v="0"/>
    <d v="2008-02-25T00:00:00"/>
    <n v="60.2"/>
    <n v="2.5"/>
    <n v="27"/>
    <n v="6.2000000000000028"/>
    <n v="0"/>
    <x v="14"/>
    <n v="229.62962962962973"/>
    <n v="22.975779740740748"/>
    <n v="6"/>
    <n v="3.6000000000000014"/>
    <n v="11.879999999999999"/>
    <n v="600.00000000000023"/>
    <n v="41.235039000000008"/>
    <n v="18.02675"/>
    <n v="43.469809315394741"/>
  </r>
  <r>
    <x v="0"/>
    <x v="0"/>
    <n v="14"/>
    <n v="1.98"/>
    <s v="2008CSR-18"/>
    <d v="2008-01-29T00:00:00"/>
    <n v="59.2"/>
    <x v="5"/>
    <d v="2008-02-25T00:00:00"/>
    <n v="70.2"/>
    <n v="1.75"/>
    <n v="27"/>
    <n v="11"/>
    <n v="0"/>
    <x v="14"/>
    <n v="407.40740740740739"/>
    <n v="33.025308185185182"/>
    <n v="6"/>
    <n v="3.4000000000000057"/>
    <n v="11.879999999999999"/>
    <n v="566.66666666666765"/>
    <n v="40.87678966666671"/>
    <n v="21.138124999999999"/>
    <n v="50.529747928228609"/>
  </r>
  <r>
    <x v="0"/>
    <x v="0"/>
    <n v="14"/>
    <n v="1.98"/>
    <s v="2008CSR-2130"/>
    <d v="2008-01-29T00:00:00"/>
    <n v="57.8"/>
    <x v="5"/>
    <d v="2008-02-25T00:00:00"/>
    <n v="64.2"/>
    <n v="1.75"/>
    <n v="27"/>
    <n v="6.4000000000000057"/>
    <n v="0"/>
    <x v="14"/>
    <n v="237.03703703703724"/>
    <n v="24.000415925925935"/>
    <n v="6"/>
    <n v="2"/>
    <n v="11.879999999999999"/>
    <n v="333.33333333333331"/>
    <n v="28.747823333333329"/>
    <n v="21.138124999999999"/>
    <n v="35.53655456712962"/>
  </r>
  <r>
    <x v="0"/>
    <x v="0"/>
    <n v="14"/>
    <n v="1.98"/>
    <s v="2008CSR-2152"/>
    <d v="2008-01-29T00:00:00"/>
    <n v="56.2"/>
    <x v="7"/>
    <d v="2008-02-25T00:00:00"/>
    <n v="68"/>
    <n v="2.75"/>
    <n v="27"/>
    <n v="11.799999999999997"/>
    <n v="0"/>
    <x v="14"/>
    <n v="437.03703703703695"/>
    <n v="34.046414925925923"/>
    <n v="6"/>
    <n v="3.7999999999999972"/>
    <n v="11.879999999999999"/>
    <n v="633.3333333333328"/>
    <n v="43.723822333333302"/>
    <n v="16.989624999999997"/>
    <n v="43.441599123389331"/>
  </r>
  <r>
    <x v="0"/>
    <x v="0"/>
    <n v="14"/>
    <n v="1.98"/>
    <s v="2008CSR-2265"/>
    <d v="2008-01-29T00:00:00"/>
    <n v="58"/>
    <x v="3"/>
    <d v="2008-02-25T00:00:00"/>
    <n v="66.400000000000006"/>
    <n v="2.25"/>
    <n v="27"/>
    <n v="8.4000000000000057"/>
    <n v="0"/>
    <x v="14"/>
    <n v="311.11111111111131"/>
    <n v="27.855175777777788"/>
    <n v="6"/>
    <n v="-1.5999999999999943"/>
    <n v="11.879999999999999"/>
    <n v="-266.66666666666572"/>
    <n v="-0.62926866666661851"/>
    <n v="19.063874999999999"/>
    <n v="-0.70153796507304567"/>
  </r>
  <r>
    <x v="0"/>
    <x v="0"/>
    <n v="14"/>
    <n v="1.98"/>
    <s v="2008CSR-2366"/>
    <d v="2008-01-29T00:00:00"/>
    <n v="67"/>
    <x v="3"/>
    <d v="2008-02-25T00:00:00"/>
    <n v="70.8"/>
    <n v="2.25"/>
    <n v="27"/>
    <n v="3.7999999999999972"/>
    <n v="0"/>
    <x v="14"/>
    <n v="140.74074074074065"/>
    <n v="20.588819518518513"/>
    <n v="6"/>
    <n v="1.7999999999999972"/>
    <n v="11.879999999999999"/>
    <n v="299.99999999999955"/>
    <n v="28.440300999999977"/>
    <n v="19.063874999999999"/>
    <n v="31.706569779320144"/>
  </r>
  <r>
    <x v="0"/>
    <x v="0"/>
    <n v="14"/>
    <n v="1.98"/>
    <s v="2008CSR-2395"/>
    <d v="2008-01-29T00:00:00"/>
    <n v="70.599999999999994"/>
    <x v="4"/>
    <d v="2008-02-25T00:00:00"/>
    <n v="82.6"/>
    <n v="3"/>
    <n v="27"/>
    <n v="12"/>
    <n v="0"/>
    <x v="14"/>
    <n v="444.4444444444444"/>
    <n v="36.863405111111106"/>
    <n v="6"/>
    <n v="7.1999999999999886"/>
    <n v="11.879999999999999"/>
    <n v="1199.9999999999982"/>
    <n v="74.112293999999906"/>
    <n v="15.952499999999999"/>
    <n v="69.13896900789463"/>
  </r>
  <r>
    <x v="0"/>
    <x v="0"/>
    <n v="14"/>
    <n v="1.98"/>
    <s v="2008CSR-2415"/>
    <d v="2008-01-29T00:00:00"/>
    <n v="61.6"/>
    <x v="0"/>
    <d v="2008-02-25T00:00:00"/>
    <n v="71.2"/>
    <n v="2.5"/>
    <n v="27"/>
    <n v="9.6000000000000014"/>
    <n v="0"/>
    <x v="14"/>
    <n v="355.5555555555556"/>
    <n v="30.756464888888893"/>
    <n v="6"/>
    <n v="2.6000000000000085"/>
    <n v="11.879999999999999"/>
    <n v="433.33333333333474"/>
    <n v="34.5909093333334"/>
    <n v="18.02675"/>
    <n v="36.46559501898642"/>
  </r>
  <r>
    <x v="0"/>
    <x v="0"/>
    <n v="14"/>
    <n v="1.98"/>
    <s v="2008CSR-269"/>
    <d v="2008-01-29T00:00:00"/>
    <n v="60"/>
    <x v="0"/>
    <d v="2008-02-25T00:00:00"/>
    <n v="66.599999999999994"/>
    <n v="2.5"/>
    <n v="27"/>
    <n v="6.5999999999999943"/>
    <n v="0"/>
    <x v="14"/>
    <n v="244.44444444444423"/>
    <n v="24.7545081111111"/>
    <n v="6"/>
    <n v="0.19999999999998863"/>
    <n v="11.879999999999999"/>
    <n v="33.333333333331439"/>
    <n v="14.346730333333239"/>
    <n v="18.02675"/>
    <n v="15.12426438809444"/>
  </r>
  <r>
    <x v="0"/>
    <x v="0"/>
    <n v="14"/>
    <n v="1.98"/>
    <s v="2008CSR-31"/>
    <d v="2008-01-29T00:00:00"/>
    <n v="58"/>
    <x v="4"/>
    <d v="2008-02-25T00:00:00"/>
    <n v="66.2"/>
    <n v="3"/>
    <n v="27"/>
    <n v="8.2000000000000028"/>
    <n v="0"/>
    <x v="14"/>
    <n v="303.70370370370381"/>
    <n v="27.4730815925926"/>
    <n v="6"/>
    <n v="4.4000000000000057"/>
    <n v="11.879999999999999"/>
    <n v="733.33333333333428"/>
    <n v="48.65382233333338"/>
    <n v="15.952499999999999"/>
    <n v="45.38889478201758"/>
  </r>
  <r>
    <x v="0"/>
    <x v="0"/>
    <n v="14"/>
    <n v="1.98"/>
    <s v="2008CSR-336"/>
    <d v="2008-01-29T00:00:00"/>
    <n v="55.2"/>
    <x v="0"/>
    <d v="2008-02-25T00:00:00"/>
    <n v="61.8"/>
    <n v="2.5"/>
    <n v="27"/>
    <n v="6.5999999999999943"/>
    <n v="0"/>
    <x v="14"/>
    <n v="244.44444444444423"/>
    <n v="23.942876111111097"/>
    <n v="6"/>
    <n v="1.3999999999999986"/>
    <n v="11.879999999999999"/>
    <n v="233.33333333333309"/>
    <n v="23.395098333333323"/>
    <n v="18.02675"/>
    <n v="24.663016893591603"/>
  </r>
  <r>
    <x v="0"/>
    <x v="0"/>
    <n v="14"/>
    <n v="1.98"/>
    <s v="2008CSR-362"/>
    <d v="2008-01-29T00:00:00"/>
    <n v="60.6"/>
    <x v="2"/>
    <d v="2008-02-25T00:00:00"/>
    <n v="66"/>
    <n v="2"/>
    <n v="27"/>
    <n v="5.3999999999999986"/>
    <n v="0"/>
    <x v="14"/>
    <n v="199.99999999999994"/>
    <n v="22.563396999999995"/>
    <n v="6"/>
    <n v="2"/>
    <n v="11.879999999999999"/>
    <n v="333.33333333333331"/>
    <n v="29.136730333333329"/>
    <n v="20.100999999999999"/>
    <n v="34.250141311715389"/>
  </r>
  <r>
    <x v="0"/>
    <x v="0"/>
    <n v="14"/>
    <n v="1.98"/>
    <s v="2008CSR-4"/>
    <d v="2008-01-29T00:00:00"/>
    <n v="64.400000000000006"/>
    <x v="5"/>
    <d v="2008-02-25T00:00:00"/>
    <n v="71.8"/>
    <n v="1.75"/>
    <n v="27"/>
    <n v="7.3999999999999915"/>
    <n v="0"/>
    <x v="14"/>
    <n v="274.07407407407374"/>
    <n v="27.026880851851836"/>
    <n v="6"/>
    <n v="6.2000000000000028"/>
    <n v="11.879999999999999"/>
    <n v="1033.3333333333339"/>
    <n v="64.458362333333355"/>
    <n v="21.138124999999999"/>
    <n v="79.680053818555081"/>
  </r>
  <r>
    <x v="0"/>
    <x v="0"/>
    <n v="14"/>
    <n v="1.98"/>
    <s v="2008CSR-797"/>
    <d v="2008-01-29T00:00:00"/>
    <n v="54"/>
    <x v="5"/>
    <d v="2008-02-25T00:00:00"/>
    <n v="62.2"/>
    <n v="1.75"/>
    <n v="27"/>
    <n v="8.2000000000000028"/>
    <n v="0"/>
    <x v="14"/>
    <n v="303.70370370370381"/>
    <n v="26.796721592592597"/>
    <n v="6"/>
    <n v="1.8000000000000043"/>
    <n v="11.879999999999999"/>
    <n v="300.00000000000068"/>
    <n v="26.61412900000003"/>
    <n v="21.138124999999999"/>
    <n v="32.898993308077515"/>
  </r>
  <r>
    <x v="0"/>
    <x v="0"/>
    <n v="14"/>
    <n v="1.98"/>
    <s v="2008CSR-82"/>
    <d v="2008-01-29T00:00:00"/>
    <n v="71"/>
    <x v="2"/>
    <d v="2008-02-25T00:00:00"/>
    <n v="71.8"/>
    <n v="2"/>
    <n v="27"/>
    <n v="0.79999999999999716"/>
    <n v="0"/>
    <x v="14"/>
    <n v="29.629629629629523"/>
    <n v="15.533766740740736"/>
    <n v="6"/>
    <n v="1.2000000000000028"/>
    <n v="11.879999999999999"/>
    <n v="200.00000000000048"/>
    <n v="23.933026000000023"/>
    <n v="20.100999999999999"/>
    <n v="28.133202083391836"/>
  </r>
  <r>
    <x v="1"/>
    <x v="1"/>
    <n v="29"/>
    <n v="3.96"/>
    <s v="2008HSR-1001"/>
    <d v="2008-01-29T00:00:00"/>
    <n v="50.8"/>
    <x v="5"/>
    <d v="2008-02-25T00:00:00"/>
    <n v="54.2"/>
    <n v="1.75"/>
    <n v="27"/>
    <n v="3.4000000000000057"/>
    <n v="0"/>
    <x v="15"/>
    <n v="125.92592592592614"/>
    <n v="17.085373148148157"/>
    <n v="6"/>
    <n v="0.80000000000000426"/>
    <n v="23.759999999999998"/>
    <n v="133.33333333333405"/>
    <n v="17.450558333333369"/>
    <n v="21.138124999999999"/>
    <n v="21.571466863730546"/>
  </r>
  <r>
    <x v="1"/>
    <x v="1"/>
    <n v="29"/>
    <n v="3.96"/>
    <s v="2008HSR-1027"/>
    <d v="2008-01-29T00:00:00"/>
    <n v="59.6"/>
    <x v="5"/>
    <d v="2008-02-25T00:00:00"/>
    <n v="63.4"/>
    <n v="1.75"/>
    <n v="27"/>
    <n v="3.7999999999999972"/>
    <n v="0"/>
    <x v="15"/>
    <n v="140.74074074074065"/>
    <n v="19.337553518518511"/>
    <n v="6"/>
    <n v="1.1999999999999957"/>
    <n v="23.759999999999998"/>
    <n v="199.99999999999929"/>
    <n v="22.259034999999962"/>
    <n v="21.138124999999999"/>
    <n v="27.515454047331822"/>
  </r>
  <r>
    <x v="1"/>
    <x v="1"/>
    <n v="29"/>
    <n v="3.96"/>
    <s v="2008HSR-117"/>
    <d v="2008-01-29T00:00:00"/>
    <n v="53.8"/>
    <x v="2"/>
    <d v="2008-02-25T00:00:00"/>
    <n v="59"/>
    <n v="2"/>
    <n v="27"/>
    <n v="5.2000000000000028"/>
    <n v="0"/>
    <x v="15"/>
    <n v="192.59259259259269"/>
    <n v="21.03149081481482"/>
    <n v="6"/>
    <n v="-4"/>
    <n v="23.759999999999998"/>
    <n v="-666.66666666666663"/>
    <n v="-21.32999066666666"/>
    <n v="20.100999999999999"/>
    <n v="-25.073341660272895"/>
  </r>
  <r>
    <x v="1"/>
    <x v="1"/>
    <n v="29"/>
    <n v="3.96"/>
    <s v="2008HSR-1185"/>
    <d v="2008-01-29T00:00:00"/>
    <n v="61.4"/>
    <x v="0"/>
    <d v="2008-02-25T00:00:00"/>
    <n v="65.599999999999994"/>
    <n v="2.5"/>
    <n v="27"/>
    <n v="4.1999999999999957"/>
    <n v="0"/>
    <x v="15"/>
    <n v="155.5555555555554"/>
    <n v="20.406103888888879"/>
    <n v="6"/>
    <n v="-0.60000000000000853"/>
    <n v="23.759999999999998"/>
    <n v="-100.00000000000142"/>
    <n v="7.8072149999999292"/>
    <n v="18.02675"/>
    <n v="8.2303340936402751"/>
  </r>
  <r>
    <x v="1"/>
    <x v="1"/>
    <n v="29"/>
    <n v="3.96"/>
    <s v="2008HSR-1273"/>
    <d v="2008-01-29T00:00:00"/>
    <n v="55"/>
    <x v="8"/>
    <d v="2008-02-25T00:00:00"/>
    <n v="63.2"/>
    <n v="1.5"/>
    <n v="27"/>
    <n v="8.2000000000000028"/>
    <n v="0"/>
    <x v="15"/>
    <n v="303.70370370370381"/>
    <n v="26.965811592592598"/>
    <n v="6"/>
    <n v="2.2000000000000028"/>
    <n v="23.759999999999998"/>
    <n v="366.66666666666714"/>
    <n v="30.069885666666689"/>
    <n v="22.175249999999998"/>
    <n v="38.994574978347977"/>
  </r>
  <r>
    <x v="1"/>
    <x v="1"/>
    <n v="29"/>
    <n v="3.96"/>
    <s v="2008HSR-1283"/>
    <d v="2008-01-29T00:00:00"/>
    <n v="61"/>
    <x v="0"/>
    <d v="2008-02-25T00:00:00"/>
    <n v="62.4"/>
    <n v="2.5"/>
    <n v="27"/>
    <n v="1.3999999999999986"/>
    <n v="0"/>
    <x v="15"/>
    <n v="51.851851851851805"/>
    <n v="14.989149296296294"/>
    <n v="6"/>
    <n v="-0.39999999999999858"/>
    <n v="23.759999999999998"/>
    <n v="-66.66666666666643"/>
    <n v="9.1461863333333451"/>
    <n v="18.02675"/>
    <n v="9.6418721920711619"/>
  </r>
  <r>
    <x v="1"/>
    <x v="1"/>
    <n v="29"/>
    <n v="3.96"/>
    <s v="2008HSR-1337"/>
    <d v="2008-01-29T00:00:00"/>
    <n v="51.6"/>
    <x v="3"/>
    <d v="2008-02-25T00:00:00"/>
    <n v="55.2"/>
    <n v="2.25"/>
    <n v="27"/>
    <n v="3.6000000000000014"/>
    <n v="0"/>
    <x v="15"/>
    <n v="133.3333333333334"/>
    <n v="17.602739333333336"/>
    <n v="6"/>
    <n v="-0.59999999999999432"/>
    <n v="23.759999999999998"/>
    <n v="-99.999999999999048"/>
    <n v="6.0994060000000472"/>
    <n v="19.063874999999999"/>
    <n v="6.7999013776754911"/>
  </r>
  <r>
    <x v="1"/>
    <x v="1"/>
    <n v="29"/>
    <n v="3.96"/>
    <s v="2008HSR-1468"/>
    <d v="2008-01-29T00:00:00"/>
    <n v="60.2"/>
    <x v="5"/>
    <d v="2008-02-25T00:00:00"/>
    <n v="62.4"/>
    <n v="1.75"/>
    <n v="27"/>
    <n v="2.1999999999999957"/>
    <n v="0"/>
    <x v="15"/>
    <n v="81.481481481481325"/>
    <n v="16.382254037037029"/>
    <n v="6"/>
    <n v="-1.8000000000000043"/>
    <n v="23.759999999999998"/>
    <n v="-300.00000000000068"/>
    <n v="-2.4247830000000317"/>
    <n v="21.138124999999999"/>
    <n v="-2.9973898334430209"/>
  </r>
  <r>
    <x v="1"/>
    <x v="1"/>
    <n v="29"/>
    <n v="3.96"/>
    <s v="2008HSR-155"/>
    <d v="2008-01-29T00:00:00"/>
    <n v="51.6"/>
    <x v="5"/>
    <d v="2008-02-25T00:00:00"/>
    <n v="52.4"/>
    <n v="1.75"/>
    <n v="27"/>
    <n v="0.79999999999999716"/>
    <n v="0"/>
    <x v="15"/>
    <n v="29.629629629629523"/>
    <n v="12.253420740740735"/>
    <n v="6"/>
    <n v="-3.2000000000000028"/>
    <n v="23.759999999999998"/>
    <n v="-533.33333333333383"/>
    <n v="-15.500653333333361"/>
    <n v="21.138124999999999"/>
    <n v="-19.161096359161824"/>
  </r>
  <r>
    <x v="1"/>
    <x v="1"/>
    <n v="29"/>
    <n v="3.96"/>
    <s v="2008HSR-1604"/>
    <d v="2008-01-29T00:00:00"/>
    <n v="60.2"/>
    <x v="5"/>
    <d v="2008-02-25T00:00:00"/>
    <n v="66"/>
    <n v="1.75"/>
    <n v="27"/>
    <n v="5.7999999999999972"/>
    <n v="0"/>
    <x v="15"/>
    <n v="214.8148148148147"/>
    <n v="23.259949370370364"/>
    <n v="6"/>
    <n v="-3"/>
    <n v="23.759999999999998"/>
    <n v="-500"/>
    <n v="-11.980421"/>
    <n v="21.138124999999999"/>
    <n v="-14.809569394773389"/>
  </r>
  <r>
    <x v="1"/>
    <x v="1"/>
    <n v="29"/>
    <n v="3.96"/>
    <s v="2008HSR-1605"/>
    <d v="2008-01-29T00:00:00"/>
    <n v="54.6"/>
    <x v="3"/>
    <d v="2008-02-25T00:00:00"/>
    <n v="57.4"/>
    <n v="2.25"/>
    <n v="27"/>
    <n v="2.7999999999999972"/>
    <n v="0"/>
    <x v="15"/>
    <n v="103.70370370370361"/>
    <n v="16.581632592592587"/>
    <n v="6"/>
    <n v="0"/>
    <n v="23.759999999999998"/>
    <n v="0"/>
    <n v="11.46904"/>
    <n v="19.063874999999999"/>
    <n v="12.786219001754384"/>
  </r>
  <r>
    <x v="1"/>
    <x v="1"/>
    <n v="29"/>
    <n v="3.96"/>
    <s v="2008HSR-1625"/>
    <d v="2008-01-29T00:00:00"/>
    <n v="64.599999999999994"/>
    <x v="0"/>
    <d v="2008-02-25T00:00:00"/>
    <n v="72.2"/>
    <n v="2.5"/>
    <n v="27"/>
    <n v="7.6000000000000085"/>
    <n v="0"/>
    <x v="15"/>
    <n v="281.48148148148175"/>
    <n v="27.442793037037049"/>
    <n v="6"/>
    <n v="0.40000000000000568"/>
    <n v="23.759999999999998"/>
    <n v="66.666666666667609"/>
    <n v="16.852422666666712"/>
    <n v="18.02675"/>
    <n v="17.765754988674512"/>
  </r>
  <r>
    <x v="1"/>
    <x v="1"/>
    <n v="29"/>
    <n v="3.96"/>
    <s v="2008HSR-1644"/>
    <d v="2008-01-29T00:00:00"/>
    <n v="62.8"/>
    <x v="0"/>
    <d v="2008-02-25T00:00:00"/>
    <n v="71"/>
    <n v="2.5"/>
    <n v="27"/>
    <n v="8.2000000000000028"/>
    <n v="0"/>
    <x v="15"/>
    <n v="303.70370370370381"/>
    <n v="28.284713592592595"/>
    <n v="6"/>
    <n v="1"/>
    <n v="23.759999999999998"/>
    <n v="166.66666666666666"/>
    <n v="21.528787666666666"/>
    <n v="18.02675"/>
    <n v="22.695559828659842"/>
  </r>
  <r>
    <x v="1"/>
    <x v="1"/>
    <n v="29"/>
    <n v="3.96"/>
    <s v="2008HSR-1674"/>
    <d v="2008-01-29T00:00:00"/>
    <n v="50.2"/>
    <x v="8"/>
    <d v="2008-02-25T00:00:00"/>
    <n v="54.6"/>
    <n v="1.5"/>
    <n v="27"/>
    <n v="4.3999999999999986"/>
    <n v="0"/>
    <x v="15"/>
    <n v="162.96296296296293"/>
    <n v="18.894390074074074"/>
    <n v="6"/>
    <n v="-0.79999999999999716"/>
    <n v="23.759999999999998"/>
    <n v="-133.33333333333286"/>
    <n v="4.2869826666666917"/>
    <n v="22.175249999999998"/>
    <n v="5.5593516011111426"/>
  </r>
  <r>
    <x v="1"/>
    <x v="1"/>
    <n v="29"/>
    <n v="3.96"/>
    <s v="2008HSR-1682"/>
    <d v="2008-01-29T00:00:00"/>
    <n v="60.8"/>
    <x v="3"/>
    <d v="2008-02-25T00:00:00"/>
    <n v="70.599999999999994"/>
    <n v="2.25"/>
    <n v="27"/>
    <n v="9.7999999999999972"/>
    <n v="0"/>
    <x v="15"/>
    <n v="362.96296296296288"/>
    <n v="31.003287074074066"/>
    <n v="6"/>
    <n v="0.59999999999999432"/>
    <n v="23.759999999999998"/>
    <n v="99.999999999999048"/>
    <n v="18.03921299999995"/>
    <n v="19.063874999999999"/>
    <n v="20.110953317565734"/>
  </r>
  <r>
    <x v="1"/>
    <x v="1"/>
    <n v="29"/>
    <n v="3.96"/>
    <s v="2008HSR-1726"/>
    <d v="2008-01-29T00:00:00"/>
    <n v="57.6"/>
    <x v="4"/>
    <d v="2008-02-25T00:00:00"/>
    <n v="64.8"/>
    <n v="3"/>
    <n v="27"/>
    <n v="7.1999999999999957"/>
    <n v="0"/>
    <x v="15"/>
    <n v="266.66666666666652"/>
    <n v="25.494974666666657"/>
    <n v="6"/>
    <n v="-2.7999999999999972"/>
    <n v="23.759999999999998"/>
    <n v="-466.66666666666617"/>
    <n v="-10.658358666666643"/>
    <n v="15.952499999999999"/>
    <n v="-9.9431267035087494"/>
  </r>
  <r>
    <x v="1"/>
    <x v="1"/>
    <n v="29"/>
    <n v="3.96"/>
    <s v="2008HSR-1729"/>
    <d v="2008-01-29T00:00:00"/>
    <n v="68.8"/>
    <x v="6"/>
    <d v="2008-02-25T00:00:00"/>
    <n v="70"/>
    <n v="3.5"/>
    <n v="27"/>
    <n v="1.2000000000000028"/>
    <n v="0"/>
    <x v="15"/>
    <n v="44.444444444444549"/>
    <n v="15.925957111111117"/>
    <n v="6"/>
    <n v="-6"/>
    <n v="23.759999999999998"/>
    <n v="-1000"/>
    <n v="-35.565153999999993"/>
    <n v="13.878249999999998"/>
    <n v="-28.864450204707587"/>
  </r>
  <r>
    <x v="1"/>
    <x v="1"/>
    <n v="29"/>
    <n v="3.96"/>
    <s v="2008HSR-1762"/>
    <d v="2008-01-29T00:00:00"/>
    <n v="57.6"/>
    <x v="3"/>
    <d v="2008-02-25T00:00:00"/>
    <n v="69.400000000000006"/>
    <n v="2.25"/>
    <n v="27"/>
    <n v="11.800000000000004"/>
    <n v="0"/>
    <x v="15"/>
    <n v="437.03703703703718"/>
    <n v="34.283140925925935"/>
    <n v="6"/>
    <n v="2"/>
    <n v="23.759999999999998"/>
    <n v="333.33333333333331"/>
    <n v="29.170548333333329"/>
    <n v="19.063874999999999"/>
    <n v="32.520683456615487"/>
  </r>
  <r>
    <x v="1"/>
    <x v="1"/>
    <n v="29"/>
    <n v="3.96"/>
    <s v="2008HSR-1766"/>
    <d v="2008-01-29T00:00:00"/>
    <n v="55.4"/>
    <x v="5"/>
    <d v="2008-02-25T00:00:00"/>
    <n v="63.6"/>
    <n v="1.75"/>
    <n v="27"/>
    <n v="8.2000000000000028"/>
    <n v="0"/>
    <x v="15"/>
    <n v="303.70370370370381"/>
    <n v="27.033447592592598"/>
    <n v="6"/>
    <n v="2.2000000000000028"/>
    <n v="23.759999999999998"/>
    <n v="366.66666666666714"/>
    <n v="30.137521666666689"/>
    <n v="21.138124999999999"/>
    <n v="37.254426911123318"/>
  </r>
  <r>
    <x v="1"/>
    <x v="1"/>
    <n v="29"/>
    <n v="3.96"/>
    <s v="2008HSR-209"/>
    <d v="2008-01-29T00:00:00"/>
    <n v="53.8"/>
    <x v="3"/>
    <d v="2008-02-25T00:00:00"/>
    <n v="62.8"/>
    <n v="2.25"/>
    <n v="27"/>
    <n v="9"/>
    <n v="0"/>
    <x v="15"/>
    <n v="333.33333333333331"/>
    <n v="28.291280333333329"/>
    <n v="6"/>
    <n v="1.7999999999999972"/>
    <n v="23.759999999999998"/>
    <n v="299.99999999999955"/>
    <n v="26.647946999999974"/>
    <n v="19.063874999999999"/>
    <n v="29.708370211381546"/>
  </r>
  <r>
    <x v="1"/>
    <x v="1"/>
    <n v="29"/>
    <n v="3.96"/>
    <s v="2008HSR-2181"/>
    <d v="2008-01-29T00:00:00"/>
    <n v="59.2"/>
    <x v="3"/>
    <d v="2008-02-25T00:00:00"/>
    <n v="63.4"/>
    <n v="1.75"/>
    <n v="27"/>
    <n v="4.1999999999999957"/>
    <n v="-0.5"/>
    <x v="15"/>
    <n v="155.5555555555554"/>
    <n v="20.034105888888881"/>
    <n v="6"/>
    <n v="-0.39999999999999858"/>
    <n v="23.759999999999998"/>
    <n v="-66.66666666666643"/>
    <n v="9.0785503333333448"/>
    <n v="19.063874999999999"/>
    <n v="10.121189984554105"/>
  </r>
  <r>
    <x v="1"/>
    <x v="1"/>
    <n v="29"/>
    <n v="3.96"/>
    <s v="2008HSR-2190"/>
    <d v="2008-01-29T00:00:00"/>
    <n v="58"/>
    <x v="5"/>
    <d v="2008-02-25T00:00:00"/>
    <n v="69.599999999999994"/>
    <n v="3"/>
    <n v="27"/>
    <n v="11.599999999999994"/>
    <n v="1.25"/>
    <x v="15"/>
    <n v="429.62962962962939"/>
    <n v="33.968682740740725"/>
    <n v="6"/>
    <n v="-2"/>
    <n v="23.759999999999998"/>
    <n v="-333.33333333333331"/>
    <n v="-3.6453913333333308"/>
    <n v="21.138124999999999"/>
    <n v="-4.5062419694688067"/>
  </r>
  <r>
    <x v="1"/>
    <x v="1"/>
    <n v="29"/>
    <n v="3.96"/>
    <s v="2008HSR-2192"/>
    <d v="2008-01-29T00:00:00"/>
    <n v="68"/>
    <x v="4"/>
    <d v="2008-02-25T00:00:00"/>
    <n v="70.400000000000006"/>
    <n v="3"/>
    <n v="27"/>
    <n v="2.4000000000000057"/>
    <n v="0"/>
    <x v="15"/>
    <n v="88.888888888889099"/>
    <n v="18.083250222222233"/>
    <n v="6"/>
    <n v="1.4000000000000057"/>
    <n v="23.759999999999998"/>
    <n v="233.33333333333428"/>
    <n v="25.204361333333381"/>
    <n v="15.952499999999999"/>
    <n v="23.513016033333376"/>
  </r>
  <r>
    <x v="1"/>
    <x v="1"/>
    <n v="29"/>
    <n v="3.96"/>
    <s v="2008HSR-2195"/>
    <d v="2008-01-29T00:00:00"/>
    <n v="64.599999999999994"/>
    <x v="4"/>
    <d v="2008-02-25T00:00:00"/>
    <n v="62.8"/>
    <n v="2.5"/>
    <n v="27"/>
    <n v="-1.7999999999999972"/>
    <n v="-0.5"/>
    <x v="15"/>
    <n v="-66.666666666666558"/>
    <n v="9.4843663333333375"/>
    <n v="6"/>
    <n v="-0.20000000000000284"/>
    <n v="23.759999999999998"/>
    <n v="-33.333333333333805"/>
    <n v="11.127699666666643"/>
    <n v="15.952499999999999"/>
    <n v="10.380972452192958"/>
  </r>
  <r>
    <x v="1"/>
    <x v="1"/>
    <n v="29"/>
    <n v="3.96"/>
    <s v="2008HSR-221"/>
    <d v="2008-01-29T00:00:00"/>
    <n v="56"/>
    <x v="2"/>
    <d v="2008-02-25T00:00:00"/>
    <n v="58.2"/>
    <n v="2"/>
    <n v="27"/>
    <n v="2.2000000000000028"/>
    <n v="0"/>
    <x v="15"/>
    <n v="81.48148148148158"/>
    <n v="15.672076037037042"/>
    <n v="6"/>
    <n v="1"/>
    <n v="23.759999999999998"/>
    <n v="166.66666666666666"/>
    <n v="19.871705666666664"/>
    <n v="20.100999999999999"/>
    <n v="23.359131906764127"/>
  </r>
  <r>
    <x v="1"/>
    <x v="1"/>
    <n v="29"/>
    <n v="3.96"/>
    <s v="2008HSR-2228"/>
    <d v="2008-01-29T00:00:00"/>
    <n v="62.8"/>
    <x v="2"/>
    <d v="2008-02-25T00:00:00"/>
    <n v="65"/>
    <n v="2"/>
    <n v="27"/>
    <n v="2.2000000000000028"/>
    <n v="0"/>
    <x v="15"/>
    <n v="81.48148148148158"/>
    <n v="16.821888037037041"/>
    <n v="6"/>
    <n v="-1.2000000000000028"/>
    <n v="23.759999999999998"/>
    <n v="-200.00000000000048"/>
    <n v="2.9448509999999768"/>
    <n v="20.100999999999999"/>
    <n v="3.4616637398245338"/>
  </r>
  <r>
    <x v="1"/>
    <x v="1"/>
    <n v="29"/>
    <n v="3.96"/>
    <s v="2008HSR-2858"/>
    <d v="2008-01-29T00:00:00"/>
    <n v="59"/>
    <x v="3"/>
    <d v="2008-02-25T00:00:00"/>
    <n v="64.400000000000006"/>
    <n v="1.75"/>
    <n v="27"/>
    <n v="5.4000000000000057"/>
    <n v="-0.5"/>
    <x v="15"/>
    <n v="200.0000000000002"/>
    <n v="22.292853000000008"/>
    <n v="6"/>
    <n v="0"/>
    <n v="23.759999999999998"/>
    <n v="0"/>
    <n v="12.432853"/>
    <n v="19.063874999999999"/>
    <n v="13.860722543004385"/>
  </r>
  <r>
    <x v="1"/>
    <x v="1"/>
    <n v="29"/>
    <n v="3.96"/>
    <s v="2008HSR-345"/>
    <d v="2008-01-29T00:00:00"/>
    <n v="56.4"/>
    <x v="2"/>
    <d v="2008-02-25T00:00:00"/>
    <n v="67"/>
    <n v="2"/>
    <n v="27"/>
    <n v="10.600000000000001"/>
    <n v="0"/>
    <x v="15"/>
    <n v="392.59259259259267"/>
    <n v="31.787667814814817"/>
    <n v="6"/>
    <n v="1.5999999999999943"/>
    <n v="23.759999999999998"/>
    <n v="266.66666666666572"/>
    <n v="25.57951966666662"/>
    <n v="20.100999999999999"/>
    <n v="30.068650574249453"/>
  </r>
  <r>
    <x v="1"/>
    <x v="1"/>
    <n v="29"/>
    <n v="3.96"/>
    <s v="2008HSR-356"/>
    <d v="2008-01-29T00:00:00"/>
    <n v="58"/>
    <x v="3"/>
    <d v="2008-02-25T00:00:00"/>
    <n v="63.2"/>
    <n v="2.25"/>
    <n v="27"/>
    <n v="5.2000000000000028"/>
    <n v="0"/>
    <x v="15"/>
    <n v="192.59259259259269"/>
    <n v="21.741668814814819"/>
    <n v="6"/>
    <n v="1"/>
    <n v="23.759999999999998"/>
    <n v="166.66666666666666"/>
    <n v="20.463520666666664"/>
    <n v="19.063874999999999"/>
    <n v="22.813684213406429"/>
  </r>
  <r>
    <x v="1"/>
    <x v="1"/>
    <n v="29"/>
    <n v="3.96"/>
    <s v="2008HSR-457"/>
    <d v="2008-01-29T00:00:00"/>
    <n v="56"/>
    <x v="4"/>
    <d v="2008-02-25T00:00:00"/>
    <n v="65.2"/>
    <n v="3"/>
    <n v="27"/>
    <n v="9.2000000000000028"/>
    <n v="0"/>
    <x v="15"/>
    <n v="340.74074074074082"/>
    <n v="29.045372518518523"/>
    <n v="6"/>
    <n v="-2.2000000000000028"/>
    <n v="23.759999999999998"/>
    <n v="-366.66666666666714"/>
    <n v="-5.8298126666666903"/>
    <n v="15.952499999999999"/>
    <n v="-5.4386015535087937"/>
  </r>
  <r>
    <x v="1"/>
    <x v="1"/>
    <n v="29"/>
    <n v="3.96"/>
    <s v="2008HSR-891"/>
    <d v="2008-01-29T00:00:00"/>
    <n v="63.8"/>
    <x v="5"/>
    <d v="2008-02-25T00:00:00"/>
    <n v="62"/>
    <n v="1.75"/>
    <n v="27"/>
    <n v="-1.7999999999999972"/>
    <n v="0"/>
    <x v="15"/>
    <n v="-66.666666666666558"/>
    <n v="9.3490943333333369"/>
    <n v="6"/>
    <n v="-2.7999999999999972"/>
    <n v="23.759999999999998"/>
    <n v="-466.66666666666617"/>
    <n v="-10.370905666666644"/>
    <n v="21.138124999999999"/>
    <n v="-12.819970780421512"/>
  </r>
  <r>
    <x v="1"/>
    <x v="1"/>
    <n v="29"/>
    <n v="3.96"/>
    <s v="2008HSR-901"/>
    <d v="2008-01-29T00:00:00"/>
    <n v="58.2"/>
    <x v="5"/>
    <d v="2008-02-25T00:00:00"/>
    <n v="64.599999999999994"/>
    <n v="1.75"/>
    <n v="27"/>
    <n v="6.3999999999999915"/>
    <n v="0"/>
    <x v="15"/>
    <n v="237.03703703703673"/>
    <n v="24.068051925925907"/>
    <n v="6"/>
    <n v="0.39999999999999147"/>
    <n v="23.759999999999998"/>
    <n v="66.66666666666525"/>
    <n v="15.668792666666596"/>
    <n v="21.138124999999999"/>
    <n v="19.368941402753318"/>
  </r>
  <r>
    <x v="1"/>
    <x v="1"/>
    <n v="29"/>
    <n v="3.96"/>
    <s v="2008HSR-913"/>
    <d v="2008-01-29T00:00:00"/>
    <n v="51"/>
    <x v="2"/>
    <d v="2008-02-25T00:00:00"/>
    <n v="53.2"/>
    <n v="2"/>
    <n v="27"/>
    <n v="2.2000000000000028"/>
    <n v="0"/>
    <x v="15"/>
    <n v="81.48148148148158"/>
    <n v="14.826626037037041"/>
    <n v="6"/>
    <n v="-2"/>
    <n v="23.759999999999998"/>
    <n v="-333.33333333333331"/>
    <n v="-5.623744333333331"/>
    <n v="20.100999999999999"/>
    <n v="-6.6106950201364487"/>
  </r>
  <r>
    <x v="1"/>
    <x v="1"/>
    <n v="29"/>
    <n v="3.96"/>
    <s v="2008HSR-997"/>
    <d v="2008-01-29T00:00:00"/>
    <n v="57.8"/>
    <x v="3"/>
    <d v="2008-02-25T00:00:00"/>
    <n v="62"/>
    <n v="2.25"/>
    <n v="27"/>
    <n v="4.2000000000000028"/>
    <n v="0"/>
    <x v="15"/>
    <n v="155.55555555555566"/>
    <n v="19.797379888888891"/>
    <n v="6"/>
    <n v="-1"/>
    <n v="23.759999999999998"/>
    <n v="-166.66666666666666"/>
    <n v="3.9118243333333336"/>
    <n v="19.063874999999999"/>
    <n v="4.3610836323172508"/>
  </r>
  <r>
    <x v="2"/>
    <x v="2"/>
    <n v="110"/>
    <n v="2.2000000000000002"/>
    <s v="WMG1-1"/>
    <d v="2015-12-08T00:00:00"/>
    <n v="60"/>
    <x v="6"/>
    <d v="2016-01-04T00:00:00"/>
    <n v="60.5"/>
    <n v="3"/>
    <n v="27"/>
    <n v="0.5"/>
    <n v="-0.5"/>
    <x v="16"/>
    <n v="18.518518518518519"/>
    <n v="13.100635462962963"/>
    <n v="14"/>
    <n v="-3.5"/>
    <n v="30.800000000000004"/>
    <n v="-250"/>
    <n v="-0.1373274999999996"/>
    <n v="13.878249999999998"/>
    <n v="-0.1114541156067248"/>
  </r>
  <r>
    <x v="2"/>
    <x v="2"/>
    <n v="110"/>
    <n v="2.2000000000000002"/>
    <s v="WMG1-10"/>
    <d v="2015-12-08T00:00:00"/>
    <n v="60"/>
    <x v="4"/>
    <d v="2016-01-04T00:00:00"/>
    <n v="65"/>
    <n v="3.5"/>
    <n v="27"/>
    <n v="5"/>
    <n v="0.5"/>
    <x v="16"/>
    <n v="185.18518518518516"/>
    <n v="21.697754629629628"/>
    <n v="14"/>
    <n v="1"/>
    <n v="30.800000000000004"/>
    <n v="71.428571428571431"/>
    <n v="16.089553571428571"/>
    <n v="15.952499999999999"/>
    <n v="15.00985984492481"/>
  </r>
  <r>
    <x v="2"/>
    <x v="2"/>
    <n v="110"/>
    <n v="2.2000000000000002"/>
    <s v="WMG1-11"/>
    <d v="2015-12-08T00:00:00"/>
    <n v="62.5"/>
    <x v="6"/>
    <d v="2016-01-04T00:00:00"/>
    <n v="65"/>
    <n v="3.5"/>
    <n v="27"/>
    <n v="2.5"/>
    <n v="0"/>
    <x v="16"/>
    <n v="92.592592592592581"/>
    <n v="17.344302314814815"/>
    <n v="14"/>
    <n v="-2"/>
    <n v="30.800000000000004"/>
    <n v="-142.85714285714286"/>
    <n v="5.7366303571428583"/>
    <n v="13.878249999999998"/>
    <n v="4.6558122955565997"/>
  </r>
  <r>
    <x v="2"/>
    <x v="2"/>
    <n v="110"/>
    <n v="2.2000000000000002"/>
    <s v="WMG1-12"/>
    <d v="2015-12-08T00:00:00"/>
    <n v="58"/>
    <x v="6"/>
    <d v="2016-01-04T00:00:00"/>
    <n v="62.5"/>
    <n v="3.5"/>
    <n v="27"/>
    <n v="4.5"/>
    <n v="0"/>
    <x v="16"/>
    <n v="166.66666666666666"/>
    <n v="20.404339166666666"/>
    <n v="14"/>
    <n v="0"/>
    <n v="30.800000000000004"/>
    <n v="0"/>
    <n v="12.1876725"/>
    <n v="13.878249999999998"/>
    <n v="9.8914366007675412"/>
  </r>
  <r>
    <x v="2"/>
    <x v="2"/>
    <n v="110"/>
    <n v="2.2000000000000002"/>
    <s v="WMG1-13"/>
    <d v="2015-12-08T00:00:00"/>
    <n v="57.5"/>
    <x v="4"/>
    <d v="2016-01-04T00:00:00"/>
    <n v="63"/>
    <n v="3.5"/>
    <n v="27"/>
    <n v="5.5"/>
    <n v="0.5"/>
    <x v="16"/>
    <n v="203.7037037037037"/>
    <n v="22.230265092592589"/>
    <n v="14"/>
    <n v="0.5"/>
    <n v="30.800000000000004"/>
    <n v="35.714285714285715"/>
    <n v="13.948386785714286"/>
    <n v="15.952499999999999"/>
    <n v="13.012376619830825"/>
  </r>
  <r>
    <x v="2"/>
    <x v="2"/>
    <n v="110"/>
    <n v="2.2000000000000002"/>
    <s v="WMG1-14"/>
    <d v="2015-12-08T00:00:00"/>
    <n v="59.5"/>
    <x v="4"/>
    <d v="2016-01-04T00:00:00"/>
    <n v="58.5"/>
    <n v="3.5"/>
    <n v="27"/>
    <n v="-1"/>
    <n v="0.5"/>
    <x v="16"/>
    <n v="-37.037037037037038"/>
    <n v="10.150384074074074"/>
    <n v="14"/>
    <n v="0.5"/>
    <n v="30.800000000000004"/>
    <n v="35.714285714285715"/>
    <n v="13.737024285714286"/>
    <n v="15.952499999999999"/>
    <n v="12.815197656015036"/>
  </r>
  <r>
    <x v="2"/>
    <x v="2"/>
    <n v="110"/>
    <n v="2.2000000000000002"/>
    <s v="WMG1-15"/>
    <d v="2015-12-08T00:00:00"/>
    <n v="62"/>
    <x v="4"/>
    <d v="2016-01-04T00:00:00"/>
    <n v="64"/>
    <n v="3"/>
    <n v="27"/>
    <n v="2"/>
    <n v="0"/>
    <x v="16"/>
    <n v="74.074074074074076"/>
    <n v="16.304521851851852"/>
    <n v="14"/>
    <n v="-4"/>
    <n v="30.800000000000004"/>
    <n v="-285.71428571428572"/>
    <n v="-1.4330442857142849"/>
    <n v="15.952499999999999"/>
    <n v="-1.3368794718045103"/>
  </r>
  <r>
    <x v="2"/>
    <x v="2"/>
    <n v="110"/>
    <n v="2.2000000000000002"/>
    <s v="WMG1-16"/>
    <d v="2015-12-08T00:00:00"/>
    <n v="58.5"/>
    <x v="4"/>
    <d v="2016-01-04T00:00:00"/>
    <n v="60"/>
    <n v="2.5"/>
    <n v="27"/>
    <n v="1.5"/>
    <n v="-0.5"/>
    <x v="16"/>
    <n v="55.55555555555555"/>
    <n v="14.757471388888888"/>
    <n v="14"/>
    <n v="-2.5"/>
    <n v="30.800000000000004"/>
    <n v="-178.57142857142858"/>
    <n v="3.2150110714285702"/>
    <n v="15.952499999999999"/>
    <n v="2.9992669074248108"/>
  </r>
  <r>
    <x v="2"/>
    <x v="2"/>
    <n v="110"/>
    <n v="2.2000000000000002"/>
    <s v="WMG1-17"/>
    <d v="2015-12-08T00:00:00"/>
    <n v="59"/>
    <x v="4"/>
    <d v="2016-01-04T00:00:00"/>
    <n v="60.5"/>
    <n v="3"/>
    <n v="27"/>
    <n v="1.5"/>
    <n v="0"/>
    <x v="16"/>
    <n v="55.55555555555555"/>
    <n v="14.842016388888888"/>
    <n v="14"/>
    <n v="-2"/>
    <n v="30.800000000000004"/>
    <n v="-142.85714285714286"/>
    <n v="5.0602703571428576"/>
    <n v="15.952499999999999"/>
    <n v="4.7206995831766907"/>
  </r>
  <r>
    <x v="2"/>
    <x v="2"/>
    <n v="110"/>
    <n v="2.2000000000000002"/>
    <s v="WMG1-18"/>
    <d v="2015-12-08T00:00:00"/>
    <n v="57"/>
    <x v="4"/>
    <d v="2016-01-04T00:00:00"/>
    <n v="58"/>
    <n v="3"/>
    <n v="27"/>
    <n v="1"/>
    <n v="0"/>
    <x v="16"/>
    <n v="37.037037037037038"/>
    <n v="13.548600925925925"/>
    <n v="14"/>
    <n v="-4.5"/>
    <n v="30.800000000000004"/>
    <n v="-321.42857142857144"/>
    <n v="-4.1237535714285727"/>
    <n v="15.952499999999999"/>
    <n v="-3.8470280028195489"/>
  </r>
  <r>
    <x v="2"/>
    <x v="2"/>
    <n v="110"/>
    <n v="2.2000000000000002"/>
    <s v="WMG1-19"/>
    <d v="2015-12-08T00:00:00"/>
    <n v="60.5"/>
    <x v="4"/>
    <d v="2016-01-04T00:00:00"/>
    <n v="64"/>
    <n v="3"/>
    <n v="27"/>
    <n v="3.5"/>
    <n v="0"/>
    <x v="16"/>
    <n v="129.62962962962962"/>
    <n v="18.916593240740738"/>
    <n v="14"/>
    <n v="0.5"/>
    <n v="30.800000000000004"/>
    <n v="35.714285714285715"/>
    <n v="14.286566785714285"/>
    <n v="15.952499999999999"/>
    <n v="13.327862961936088"/>
  </r>
  <r>
    <x v="2"/>
    <x v="2"/>
    <n v="110"/>
    <n v="2.2000000000000002"/>
    <s v="WMG1-2"/>
    <d v="2015-12-08T00:00:00"/>
    <n v="60.5"/>
    <x v="4"/>
    <d v="2016-01-04T00:00:00"/>
    <n v="62"/>
    <n v="3"/>
    <n v="27"/>
    <n v="1.5"/>
    <n v="0"/>
    <x v="16"/>
    <n v="55.55555555555555"/>
    <n v="15.095651388888887"/>
    <n v="14"/>
    <n v="-5"/>
    <n v="30.800000000000004"/>
    <n v="-357.14285714285717"/>
    <n v="-5.2503803571428591"/>
    <n v="15.952499999999999"/>
    <n v="-4.8980522015977455"/>
  </r>
  <r>
    <x v="2"/>
    <x v="2"/>
    <n v="110"/>
    <n v="2.2000000000000002"/>
    <s v="WMG1-20"/>
    <d v="2015-12-08T00:00:00"/>
    <n v="59.5"/>
    <x v="0"/>
    <d v="2016-01-04T00:00:00"/>
    <n v="62.5"/>
    <n v="3.5"/>
    <n v="27"/>
    <n v="3"/>
    <n v="1"/>
    <x v="16"/>
    <n v="111.1111111111111"/>
    <n v="17.792267777777777"/>
    <n v="14"/>
    <n v="3.5"/>
    <n v="30.800000000000004"/>
    <n v="250"/>
    <n v="24.639489999999999"/>
    <n v="18.02675"/>
    <n v="25.974849494590639"/>
  </r>
  <r>
    <x v="2"/>
    <x v="2"/>
    <n v="110"/>
    <n v="2.2000000000000002"/>
    <s v="WMG1-3"/>
    <d v="2015-12-08T00:00:00"/>
    <n v="58"/>
    <x v="4"/>
    <d v="2016-01-04T00:00:00"/>
    <n v="57.5"/>
    <n v="2.75"/>
    <n v="27"/>
    <n v="-0.5"/>
    <n v="-0.25"/>
    <x v="16"/>
    <n v="-18.518518518518519"/>
    <n v="10.851984537037037"/>
    <n v="14"/>
    <n v="-3"/>
    <n v="30.800000000000004"/>
    <n v="-214.28571428571428"/>
    <n v="1.2006617857142867"/>
    <n v="15.952499999999999"/>
    <n v="1.1200910606203016"/>
  </r>
  <r>
    <x v="2"/>
    <x v="2"/>
    <n v="110"/>
    <n v="2.2000000000000002"/>
    <s v="WMG1-31"/>
    <d v="2015-12-08T00:00:00"/>
    <n v="63.5"/>
    <x v="4"/>
    <d v="2016-01-04T00:00:00"/>
    <n v="69"/>
    <n v="3"/>
    <n v="27"/>
    <n v="5.5"/>
    <n v="0"/>
    <x v="16"/>
    <n v="203.7037037037037"/>
    <n v="23.244805092592593"/>
    <n v="14"/>
    <n v="0"/>
    <n v="30.800000000000004"/>
    <n v="0"/>
    <n v="13.2022125"/>
    <n v="15.952499999999999"/>
    <n v="12.316274555921051"/>
  </r>
  <r>
    <x v="2"/>
    <x v="2"/>
    <n v="110"/>
    <n v="2.2000000000000002"/>
    <s v="WMG1-32"/>
    <d v="2015-12-08T00:00:00"/>
    <n v="60.5"/>
    <x v="4"/>
    <d v="2016-01-04T00:00:00"/>
    <n v="64"/>
    <n v="3"/>
    <n v="27"/>
    <n v="3.5"/>
    <n v="0"/>
    <x v="16"/>
    <n v="129.62962962962962"/>
    <n v="18.916593240740738"/>
    <n v="14"/>
    <n v="-2"/>
    <n v="30.800000000000004"/>
    <n v="-142.85714285714286"/>
    <n v="5.4829953571428574"/>
    <n v="15.952499999999999"/>
    <n v="5.1150575108082705"/>
  </r>
  <r>
    <x v="2"/>
    <x v="2"/>
    <n v="110"/>
    <n v="2.2000000000000002"/>
    <s v="WMG1-33"/>
    <d v="2015-12-08T00:00:00"/>
    <n v="58.5"/>
    <x v="4"/>
    <d v="2016-01-04T00:00:00"/>
    <n v="65.5"/>
    <n v="3"/>
    <n v="27"/>
    <n v="7"/>
    <n v="0"/>
    <x v="16"/>
    <n v="259.25925925925924"/>
    <n v="25.265061481481482"/>
    <n v="14"/>
    <n v="1"/>
    <n v="30.800000000000004"/>
    <n v="71.428571428571431"/>
    <n v="16.005008571428569"/>
    <n v="15.952499999999999"/>
    <n v="14.930988259398491"/>
  </r>
  <r>
    <x v="2"/>
    <x v="2"/>
    <n v="110"/>
    <n v="2.2000000000000002"/>
    <s v="WMG1-34"/>
    <d v="2015-12-08T00:00:00"/>
    <n v="60"/>
    <x v="4"/>
    <d v="2016-01-04T00:00:00"/>
    <n v="68.5"/>
    <n v="3"/>
    <n v="27"/>
    <n v="8.5"/>
    <n v="0"/>
    <x v="16"/>
    <n v="314.81481481481484"/>
    <n v="28.384402870370369"/>
    <n v="14"/>
    <n v="3.5"/>
    <n v="30.800000000000004"/>
    <n v="250"/>
    <n v="25.189032499999996"/>
    <n v="15.952499999999999"/>
    <n v="23.498715845394731"/>
  </r>
  <r>
    <x v="2"/>
    <x v="2"/>
    <n v="110"/>
    <n v="2.2000000000000002"/>
    <s v="WMG1-35"/>
    <d v="2015-12-08T00:00:00"/>
    <n v="59.5"/>
    <x v="4"/>
    <d v="2016-01-04T00:00:00"/>
    <n v="64"/>
    <n v="3"/>
    <n v="27"/>
    <n v="4.5"/>
    <n v="0"/>
    <x v="16"/>
    <n v="166.66666666666666"/>
    <n v="20.657974166666662"/>
    <n v="14"/>
    <n v="-1.5"/>
    <n v="30.800000000000004"/>
    <n v="-107.14285714285714"/>
    <n v="7.1591646428571423"/>
    <n v="15.952499999999999"/>
    <n v="6.6787470155075166"/>
  </r>
  <r>
    <x v="2"/>
    <x v="2"/>
    <n v="110"/>
    <n v="2.2000000000000002"/>
    <s v="WMG1-36"/>
    <d v="2015-12-08T00:00:00"/>
    <n v="62"/>
    <x v="4"/>
    <d v="2016-01-04T00:00:00"/>
    <n v="67.5"/>
    <n v="3.5"/>
    <n v="27"/>
    <n v="5.5"/>
    <n v="0.5"/>
    <x v="16"/>
    <n v="203.7037037037037"/>
    <n v="22.99117009259259"/>
    <n v="14"/>
    <n v="-0.5"/>
    <n v="30.800000000000004"/>
    <n v="-35.714285714285715"/>
    <n v="11.187863214285713"/>
    <n v="15.952499999999999"/>
    <n v="10.437098709116539"/>
  </r>
  <r>
    <x v="2"/>
    <x v="2"/>
    <n v="110"/>
    <n v="2.2000000000000002"/>
    <s v="WMG1-37"/>
    <d v="2015-12-08T00:00:00"/>
    <n v="60.5"/>
    <x v="4"/>
    <d v="2016-01-04T00:00:00"/>
    <n v="66.5"/>
    <n v="3"/>
    <n v="27"/>
    <n v="6"/>
    <n v="0"/>
    <x v="16"/>
    <n v="222.2222222222222"/>
    <n v="23.692770555555555"/>
    <n v="14"/>
    <n v="0.5"/>
    <n v="30.800000000000004"/>
    <n v="35.714285714285715"/>
    <n v="14.497929285714285"/>
    <n v="15.952499999999999"/>
    <n v="13.525041925751877"/>
  </r>
  <r>
    <x v="2"/>
    <x v="2"/>
    <n v="110"/>
    <n v="2.2000000000000002"/>
    <s v="WMG1-38"/>
    <d v="2015-12-08T00:00:00"/>
    <n v="62.5"/>
    <x v="4"/>
    <d v="2016-01-04T00:00:00"/>
    <n v="63"/>
    <n v="3"/>
    <n v="27"/>
    <n v="0.5"/>
    <n v="0"/>
    <x v="16"/>
    <n v="18.518518518518519"/>
    <n v="13.523360462962962"/>
    <n v="14"/>
    <n v="-4"/>
    <n v="30.800000000000004"/>
    <n v="-285.71428571428572"/>
    <n v="-1.4753167857142842"/>
    <n v="15.952499999999999"/>
    <n v="-1.3763152645676675"/>
  </r>
  <r>
    <x v="2"/>
    <x v="2"/>
    <n v="110"/>
    <n v="2.2000000000000002"/>
    <s v="WMG1-39"/>
    <d v="2015-12-08T00:00:00"/>
    <n v="60.5"/>
    <x v="4"/>
    <d v="2016-01-04T00:00:00"/>
    <n v="64.5"/>
    <n v="3"/>
    <n v="27"/>
    <n v="4"/>
    <n v="0"/>
    <x v="16"/>
    <n v="148.14814814814815"/>
    <n v="19.871828703703702"/>
    <n v="14"/>
    <n v="-2"/>
    <n v="30.800000000000004"/>
    <n v="-142.85714285714286"/>
    <n v="5.5252678571428584"/>
    <n v="15.952499999999999"/>
    <n v="5.1544933035714289"/>
  </r>
  <r>
    <x v="2"/>
    <x v="2"/>
    <n v="110"/>
    <n v="2.2000000000000002"/>
    <s v="WMG1-4"/>
    <d v="2015-12-08T00:00:00"/>
    <n v="60"/>
    <x v="4"/>
    <d v="2016-01-04T00:00:00"/>
    <n v="66"/>
    <n v="3"/>
    <n v="27"/>
    <n v="6"/>
    <n v="0"/>
    <x v="16"/>
    <n v="222.2222222222222"/>
    <n v="23.608225555555553"/>
    <n v="14"/>
    <n v="5"/>
    <n v="30.800000000000004"/>
    <n v="357.14285714285717"/>
    <n v="30.259812857142855"/>
    <n v="15.952499999999999"/>
    <n v="28.229220152255632"/>
  </r>
  <r>
    <x v="2"/>
    <x v="2"/>
    <n v="110"/>
    <n v="2.2000000000000002"/>
    <s v="WMG1-40"/>
    <d v="2015-12-08T00:00:00"/>
    <n v="59"/>
    <x v="4"/>
    <d v="2016-01-04T00:00:00"/>
    <n v="60"/>
    <n v="3"/>
    <n v="27"/>
    <n v="1"/>
    <n v="0"/>
    <x v="16"/>
    <n v="37.037037037037038"/>
    <n v="13.886780925925926"/>
    <n v="14"/>
    <n v="-2.5"/>
    <n v="30.800000000000004"/>
    <n v="-178.57142857142858"/>
    <n v="3.2572835714285713"/>
    <n v="15.952499999999999"/>
    <n v="3.0387027001879692"/>
  </r>
  <r>
    <x v="2"/>
    <x v="2"/>
    <n v="110"/>
    <n v="2.2000000000000002"/>
    <s v="WMG1-5"/>
    <d v="2015-12-08T00:00:00"/>
    <n v="63.5"/>
    <x v="6"/>
    <d v="2016-01-04T00:00:00"/>
    <n v="67"/>
    <n v="3.5"/>
    <n v="27"/>
    <n v="3.5"/>
    <n v="0"/>
    <x v="16"/>
    <n v="129.62962962962962"/>
    <n v="19.42386324074074"/>
    <n v="14"/>
    <n v="-4"/>
    <n v="30.800000000000004"/>
    <n v="-285.71428571428572"/>
    <n v="-1.0525917857142844"/>
    <n v="13.878249999999998"/>
    <n v="-0.85427672222744233"/>
  </r>
  <r>
    <x v="2"/>
    <x v="2"/>
    <n v="110"/>
    <n v="2.2000000000000002"/>
    <s v="WMG1-6"/>
    <d v="2015-12-08T00:00:00"/>
    <n v="59.5"/>
    <x v="4"/>
    <d v="2016-01-04T00:00:00"/>
    <n v="61"/>
    <n v="3"/>
    <n v="27"/>
    <n v="1.5"/>
    <n v="0"/>
    <x v="16"/>
    <n v="55.55555555555555"/>
    <n v="14.926561388888889"/>
    <n v="14"/>
    <n v="-4.5"/>
    <n v="30.800000000000004"/>
    <n v="-321.42857142857144"/>
    <n v="-3.6587560714285718"/>
    <n v="15.952499999999999"/>
    <n v="-3.4132342824248116"/>
  </r>
  <r>
    <x v="2"/>
    <x v="2"/>
    <n v="110"/>
    <n v="2.2000000000000002"/>
    <s v="WMG1-7"/>
    <d v="2015-12-08T00:00:00"/>
    <n v="58.5"/>
    <x v="6"/>
    <d v="2016-01-04T00:00:00"/>
    <n v="57"/>
    <n v="3"/>
    <n v="27"/>
    <n v="-1.5"/>
    <n v="-0.5"/>
    <x v="16"/>
    <n v="-55.55555555555555"/>
    <n v="9.026058611111111"/>
    <n v="14"/>
    <n v="-2.5"/>
    <n v="30.800000000000004"/>
    <n v="-178.57142857142858"/>
    <n v="2.9613760714285711"/>
    <n v="13.878249999999998"/>
    <n v="2.4034337697838337"/>
  </r>
  <r>
    <x v="2"/>
    <x v="2"/>
    <n v="110"/>
    <n v="2.2000000000000002"/>
    <s v="WMG1-8"/>
    <d v="2015-12-08T00:00:00"/>
    <n v="64.5"/>
    <x v="6"/>
    <d v="2016-01-04T00:00:00"/>
    <n v="69"/>
    <n v="4"/>
    <n v="27"/>
    <n v="4.5"/>
    <n v="0.5"/>
    <x v="16"/>
    <n v="166.66666666666666"/>
    <n v="21.503424166666665"/>
    <n v="14"/>
    <n v="-1"/>
    <n v="30.800000000000004"/>
    <n v="-71.428571428571431"/>
    <n v="9.7653289285714298"/>
    <n v="13.878249999999998"/>
    <n v="7.9254781405231816"/>
  </r>
  <r>
    <x v="2"/>
    <x v="2"/>
    <n v="110"/>
    <n v="2.2000000000000002"/>
    <s v="WMG1-9"/>
    <d v="2015-12-08T00:00:00"/>
    <n v="57"/>
    <x v="6"/>
    <d v="2016-01-04T00:00:00"/>
    <n v="60.5"/>
    <n v="3"/>
    <n v="27"/>
    <n v="3.5"/>
    <n v="-0.5"/>
    <x v="16"/>
    <n v="129.62962962962962"/>
    <n v="18.324778240740738"/>
    <n v="14"/>
    <n v="0"/>
    <n v="30.800000000000004"/>
    <n v="0"/>
    <n v="11.934037499999999"/>
    <n v="13.878249999999998"/>
    <n v="9.6855880663377167"/>
  </r>
  <r>
    <x v="4"/>
    <x v="6"/>
    <n v="43"/>
    <n v="2.16"/>
    <s v="WMG2-41"/>
    <d v="2016-02-02T00:00:00"/>
    <n v="65"/>
    <x v="0"/>
    <d v="2016-03-01T00:00:00"/>
    <n v="69"/>
    <n v="2.75"/>
    <n v="28"/>
    <n v="4"/>
    <n v="0.25"/>
    <x v="17"/>
    <n v="142.85714285714286"/>
    <n v="20.37188714285714"/>
    <n v="13"/>
    <n v="1"/>
    <n v="28.080000000000002"/>
    <n v="76.923076923076934"/>
    <n v="17.121337692307691"/>
    <n v="18.02675"/>
    <n v="18.049244107883485"/>
  </r>
  <r>
    <x v="4"/>
    <x v="6"/>
    <n v="43"/>
    <n v="2.16"/>
    <s v="WMG2-42"/>
    <d v="2016-02-02T00:00:00"/>
    <n v="54.5"/>
    <x v="0"/>
    <d v="2016-03-01T00:00:00"/>
    <n v="57.5"/>
    <n v="2.75"/>
    <n v="28"/>
    <n v="3"/>
    <n v="0.25"/>
    <x v="17"/>
    <n v="107.14285714285714"/>
    <n v="16.751182857142858"/>
    <n v="13"/>
    <n v="-2"/>
    <n v="28.080000000000002"/>
    <n v="-153.84615384615387"/>
    <n v="3.8844246153846154"/>
    <n v="18.02675"/>
    <n v="4.0949445283850654"/>
  </r>
  <r>
    <x v="4"/>
    <x v="6"/>
    <n v="43"/>
    <n v="2.16"/>
    <s v="WMG2-43"/>
    <d v="2016-02-02T00:00:00"/>
    <n v="59.5"/>
    <x v="4"/>
    <d v="2016-03-01T00:00:00"/>
    <n v="60"/>
    <n v="2.5"/>
    <n v="28"/>
    <n v="0.5"/>
    <n v="-0.5"/>
    <x v="17"/>
    <n v="17.857142857142858"/>
    <n v="12.983484642857142"/>
    <n v="13"/>
    <n v="0"/>
    <n v="28.080000000000002"/>
    <n v="0"/>
    <n v="12.103127499999999"/>
    <n v="15.952499999999999"/>
    <n v="11.290943944078945"/>
  </r>
  <r>
    <x v="4"/>
    <x v="6"/>
    <n v="43"/>
    <n v="2.16"/>
    <s v="WMG2-44"/>
    <d v="2016-02-02T00:00:00"/>
    <n v="62.5"/>
    <x v="4"/>
    <d v="2016-03-01T00:00:00"/>
    <n v="66"/>
    <n v="3"/>
    <n v="28"/>
    <n v="3.5"/>
    <n v="0"/>
    <x v="17"/>
    <n v="125"/>
    <n v="19.026532499999998"/>
    <n v="13"/>
    <n v="-1"/>
    <n v="28.080000000000002"/>
    <n v="-76.923076923076934"/>
    <n v="9.0717248076923056"/>
    <n v="15.952499999999999"/>
    <n v="8.4629643271761097"/>
  </r>
  <r>
    <x v="4"/>
    <x v="6"/>
    <n v="43"/>
    <n v="2.16"/>
    <s v="WMG2-45"/>
    <d v="2016-02-02T00:00:00"/>
    <n v="56"/>
    <x v="0"/>
    <d v="2016-03-01T00:00:00"/>
    <n v="60"/>
    <n v="3"/>
    <n v="28"/>
    <n v="4"/>
    <n v="0.5"/>
    <x v="17"/>
    <n v="142.85714285714286"/>
    <n v="18.850077142857142"/>
    <n v="13"/>
    <n v="3"/>
    <n v="28.080000000000002"/>
    <n v="230.76923076923077"/>
    <n v="23.184143076923078"/>
    <n v="18.02675"/>
    <n v="24.440628725843453"/>
  </r>
  <r>
    <x v="4"/>
    <x v="6"/>
    <n v="43"/>
    <n v="2.16"/>
    <s v="WMG2-46"/>
    <d v="2016-02-02T00:00:00"/>
    <n v="63"/>
    <x v="4"/>
    <d v="2016-03-01T00:00:00"/>
    <n v="65"/>
    <n v="3"/>
    <n v="28"/>
    <n v="2"/>
    <n v="0"/>
    <x v="17"/>
    <n v="71.428571428571431"/>
    <n v="16.34318857142857"/>
    <n v="13"/>
    <n v="0.5"/>
    <n v="28.080000000000002"/>
    <n v="38.461538461538467"/>
    <n v="14.717913846153845"/>
    <n v="15.952499999999999"/>
    <n v="13.730264364372466"/>
  </r>
  <r>
    <x v="4"/>
    <x v="6"/>
    <n v="43"/>
    <n v="2.16"/>
    <s v="WMG2-47"/>
    <d v="2016-02-02T00:00:00"/>
    <n v="57.5"/>
    <x v="0"/>
    <d v="2016-03-01T00:00:00"/>
    <n v="61"/>
    <n v="3"/>
    <n v="28"/>
    <n v="3.5"/>
    <n v="0.5"/>
    <x v="17"/>
    <n v="125"/>
    <n v="18.181082499999999"/>
    <n v="13"/>
    <n v="3"/>
    <n v="28.080000000000002"/>
    <n v="230.76923076923077"/>
    <n v="23.395505576923078"/>
    <n v="18.02675"/>
    <n v="24.663446208116845"/>
  </r>
  <r>
    <x v="4"/>
    <x v="6"/>
    <n v="43"/>
    <n v="2.16"/>
    <s v="WMG2-48"/>
    <d v="2016-02-02T00:00:00"/>
    <n v="60.5"/>
    <x v="4"/>
    <d v="2016-03-01T00:00:00"/>
    <n v="62"/>
    <n v="2.75"/>
    <n v="28"/>
    <n v="1.5"/>
    <n v="-0.25"/>
    <x v="17"/>
    <n v="53.571428571428569"/>
    <n v="14.997833928571428"/>
    <n v="13"/>
    <n v="-1"/>
    <n v="28.080000000000002"/>
    <n v="-76.923076923076934"/>
    <n v="8.5644548076923073"/>
    <n v="15.952499999999999"/>
    <n v="7.9897348140182176"/>
  </r>
  <r>
    <x v="4"/>
    <x v="6"/>
    <n v="43"/>
    <n v="2.16"/>
    <s v="WMG2-49"/>
    <d v="2016-02-02T00:00:00"/>
    <n v="61.5"/>
    <x v="0"/>
    <d v="2016-03-01T00:00:00"/>
    <n v="69"/>
    <n v="3.25"/>
    <n v="28"/>
    <n v="7.5"/>
    <n v="0.75"/>
    <x v="17"/>
    <n v="267.85714285714283"/>
    <n v="26.238479642857143"/>
    <n v="13"/>
    <n v="3"/>
    <n v="28.080000000000002"/>
    <n v="230.76923076923077"/>
    <n v="24.410045576923075"/>
    <n v="18.02675"/>
    <n v="25.732970123029123"/>
  </r>
  <r>
    <x v="4"/>
    <x v="6"/>
    <n v="43"/>
    <n v="2.16"/>
    <s v="WMG2-50"/>
    <d v="2016-02-02T00:00:00"/>
    <n v="65"/>
    <x v="0"/>
    <d v="2016-03-01T00:00:00"/>
    <n v="70.5"/>
    <n v="3.25"/>
    <n v="28"/>
    <n v="5.5"/>
    <n v="0.75"/>
    <x v="17"/>
    <n v="196.42857142857142"/>
    <n v="23.139776071428571"/>
    <n v="13"/>
    <n v="3"/>
    <n v="28.080000000000002"/>
    <n v="230.76923076923077"/>
    <n v="24.832770576923075"/>
    <n v="18.02675"/>
    <n v="26.178605087575907"/>
  </r>
  <r>
    <x v="4"/>
    <x v="6"/>
    <n v="43"/>
    <n v="2.16"/>
    <s v="WMG2-51"/>
    <d v="2016-02-02T00:00:00"/>
    <n v="65"/>
    <x v="4"/>
    <d v="2016-03-01T00:00:00"/>
    <n v="69"/>
    <n v="3.25"/>
    <n v="28"/>
    <n v="4"/>
    <n v="0.25"/>
    <x v="17"/>
    <n v="142.85714285714286"/>
    <n v="20.37188714285714"/>
    <n v="13"/>
    <n v="3"/>
    <n v="28.080000000000002"/>
    <n v="230.76923076923077"/>
    <n v="24.705953076923077"/>
    <n v="15.952499999999999"/>
    <n v="23.048053594129552"/>
  </r>
  <r>
    <x v="4"/>
    <x v="6"/>
    <n v="43"/>
    <n v="2.16"/>
    <s v="WMG2-52"/>
    <d v="2016-02-02T00:00:00"/>
    <n v="60"/>
    <x v="4"/>
    <d v="2016-03-01T00:00:00"/>
    <n v="62.5"/>
    <n v="3"/>
    <n v="28"/>
    <n v="2.5"/>
    <n v="0"/>
    <x v="17"/>
    <n v="89.285714285714292"/>
    <n v="16.758548214285714"/>
    <n v="13"/>
    <n v="-0.5"/>
    <n v="28.080000000000002"/>
    <n v="-38.461538461538467"/>
    <n v="10.460608653846153"/>
    <n v="15.952499999999999"/>
    <n v="9.7586467573380542"/>
  </r>
  <r>
    <x v="4"/>
    <x v="6"/>
    <n v="43"/>
    <n v="2.16"/>
    <s v="WMG2-53"/>
    <d v="2016-02-02T00:00:00"/>
    <n v="64"/>
    <x v="4"/>
    <d v="2016-03-01T00:00:00"/>
    <n v="68"/>
    <n v="3.25"/>
    <n v="28"/>
    <n v="4"/>
    <n v="0.25"/>
    <x v="17"/>
    <n v="142.85714285714286"/>
    <n v="20.20279714285714"/>
    <n v="13"/>
    <n v="2"/>
    <n v="28.080000000000002"/>
    <n v="153.84615384615387"/>
    <n v="20.744555384615381"/>
    <n v="15.952499999999999"/>
    <n v="19.35248653643724"/>
  </r>
  <r>
    <x v="4"/>
    <x v="6"/>
    <n v="43"/>
    <n v="2.16"/>
    <s v="WMG2-54"/>
    <d v="2016-02-02T00:00:00"/>
    <n v="61.5"/>
    <x v="0"/>
    <d v="2016-03-01T00:00:00"/>
    <n v="67"/>
    <n v="3"/>
    <n v="28"/>
    <n v="5.5"/>
    <n v="0.5"/>
    <x v="17"/>
    <n v="196.42857142857142"/>
    <n v="22.547961071428567"/>
    <n v="13"/>
    <n v="5"/>
    <n v="28.080000000000002"/>
    <n v="384.61538461538464"/>
    <n v="31.82557096153846"/>
    <n v="18.02675"/>
    <n v="33.550386627538799"/>
  </r>
  <r>
    <x v="4"/>
    <x v="6"/>
    <n v="43"/>
    <n v="2.16"/>
    <s v="WMG2-55"/>
    <d v="2016-02-02T00:00:00"/>
    <n v="63"/>
    <x v="4"/>
    <d v="2016-03-01T00:00:00"/>
    <n v="66"/>
    <n v="3.25"/>
    <n v="28"/>
    <n v="3"/>
    <n v="0.25"/>
    <x v="17"/>
    <n v="107.14285714285714"/>
    <n v="18.188447857142855"/>
    <n v="13"/>
    <n v="1.5"/>
    <n v="28.080000000000002"/>
    <n v="115.38461538461539"/>
    <n v="18.594766538461538"/>
    <n v="15.952499999999999"/>
    <n v="17.34695983653846"/>
  </r>
  <r>
    <x v="4"/>
    <x v="6"/>
    <n v="43"/>
    <n v="2.16"/>
    <s v="WMG2-56"/>
    <d v="2016-02-02T00:00:00"/>
    <n v="63"/>
    <x v="4"/>
    <d v="2016-03-01T00:00:00"/>
    <n v="68"/>
    <n v="2.75"/>
    <n v="28"/>
    <n v="5"/>
    <n v="-0.25"/>
    <x v="17"/>
    <n v="178.57142857142858"/>
    <n v="21.878966428571427"/>
    <n v="13"/>
    <n v="2.5"/>
    <n v="28.080000000000002"/>
    <n v="192.30769230769232"/>
    <n v="22.556164230769227"/>
    <n v="15.952499999999999"/>
    <n v="21.042526894230761"/>
  </r>
  <r>
    <x v="4"/>
    <x v="6"/>
    <n v="43"/>
    <n v="2.16"/>
    <s v="WMG2-57"/>
    <d v="2016-02-02T00:00:00"/>
    <n v="60"/>
    <x v="0"/>
    <d v="2016-03-01T00:00:00"/>
    <n v="65"/>
    <n v="2.75"/>
    <n v="28"/>
    <n v="5"/>
    <n v="0.25"/>
    <x v="17"/>
    <n v="178.57142857142858"/>
    <n v="21.371696428571429"/>
    <n v="13"/>
    <n v="-0.5"/>
    <n v="28.080000000000002"/>
    <n v="-38.461538461538467"/>
    <n v="10.671971153846155"/>
    <n v="18.02675"/>
    <n v="11.250348303952991"/>
  </r>
  <r>
    <x v="4"/>
    <x v="6"/>
    <n v="43"/>
    <n v="2.16"/>
    <s v="WMG2-58"/>
    <d v="2016-02-02T00:00:00"/>
    <n v="58.5"/>
    <x v="0"/>
    <d v="2016-03-01T00:00:00"/>
    <n v="61"/>
    <n v="2.5"/>
    <n v="28"/>
    <n v="2.5"/>
    <n v="0"/>
    <x v="17"/>
    <n v="89.285714285714292"/>
    <n v="16.504913214285715"/>
    <n v="13"/>
    <n v="2"/>
    <n v="28.080000000000002"/>
    <n v="153.84615384615387"/>
    <n v="19.687742884615382"/>
    <n v="18.02675"/>
    <n v="20.754737955862005"/>
  </r>
  <r>
    <x v="4"/>
    <x v="6"/>
    <n v="43"/>
    <n v="2.16"/>
    <s v="WMG2-59"/>
    <d v="2016-02-02T00:00:00"/>
    <n v="65"/>
    <x v="0"/>
    <d v="2016-03-01T00:00:00"/>
    <n v="69.5"/>
    <n v="3"/>
    <n v="28"/>
    <n v="4.5"/>
    <n v="0.5"/>
    <x v="17"/>
    <n v="160.71428571428572"/>
    <n v="21.294516785714286"/>
    <n v="13"/>
    <n v="0.5"/>
    <n v="28.080000000000002"/>
    <n v="38.461538461538467"/>
    <n v="15.267456346153844"/>
    <n v="18.02675"/>
    <n v="16.094889981756072"/>
  </r>
  <r>
    <x v="4"/>
    <x v="6"/>
    <n v="43"/>
    <n v="2.16"/>
    <s v="WMG2-60"/>
    <d v="2016-02-02T00:00:00"/>
    <n v="63"/>
    <x v="0"/>
    <d v="2016-03-01T00:00:00"/>
    <n v="68"/>
    <n v="3"/>
    <n v="28"/>
    <n v="5"/>
    <n v="0.5"/>
    <x v="17"/>
    <n v="178.57142857142858"/>
    <n v="21.878966428571427"/>
    <n v="13"/>
    <n v="1.5"/>
    <n v="28.080000000000002"/>
    <n v="115.38461538461539"/>
    <n v="18.763856538461539"/>
    <n v="18.02675"/>
    <n v="19.780780751737513"/>
  </r>
  <r>
    <x v="4"/>
    <x v="6"/>
    <n v="43"/>
    <n v="2.16"/>
    <s v="WMG2-71"/>
    <d v="2016-02-02T00:00:00"/>
    <n v="57"/>
    <x v="0"/>
    <d v="2016-03-01T00:00:00"/>
    <n v="61"/>
    <n v="2.75"/>
    <n v="28"/>
    <n v="4"/>
    <n v="0.25"/>
    <x v="17"/>
    <n v="142.85714285714286"/>
    <n v="19.019167142857142"/>
    <n v="13"/>
    <n v="1"/>
    <n v="28.080000000000002"/>
    <n v="76.923076923076934"/>
    <n v="15.768617692307693"/>
    <n v="18.02675"/>
    <n v="16.623212221333784"/>
  </r>
  <r>
    <x v="4"/>
    <x v="6"/>
    <n v="43"/>
    <n v="2.16"/>
    <s v="WMG2-72"/>
    <d v="2016-02-02T00:00:00"/>
    <n v="60"/>
    <x v="0"/>
    <d v="2016-03-01T00:00:00"/>
    <n v="61"/>
    <n v="2.5"/>
    <n v="28"/>
    <n v="1"/>
    <n v="0"/>
    <x v="17"/>
    <n v="35.714285714285715"/>
    <n v="13.990659285714285"/>
    <n v="13"/>
    <n v="1"/>
    <n v="28.080000000000002"/>
    <n v="76.923076923076934"/>
    <n v="16.022252692307692"/>
    <n v="18.02675"/>
    <n v="16.890593200061851"/>
  </r>
  <r>
    <x v="4"/>
    <x v="6"/>
    <n v="43"/>
    <n v="2.16"/>
    <s v="WMG2-73"/>
    <d v="2016-02-02T00:00:00"/>
    <n v="64"/>
    <x v="4"/>
    <d v="2016-03-01T00:00:00"/>
    <n v="66.5"/>
    <n v="3"/>
    <n v="28"/>
    <n v="2.5"/>
    <n v="0"/>
    <x v="17"/>
    <n v="89.285714285714292"/>
    <n v="17.434908214285713"/>
    <n v="13"/>
    <n v="0"/>
    <n v="28.080000000000002"/>
    <n v="0"/>
    <n v="13.033122499999999"/>
    <n v="15.952499999999999"/>
    <n v="12.158531384868418"/>
  </r>
  <r>
    <x v="4"/>
    <x v="6"/>
    <n v="43"/>
    <n v="2.16"/>
    <s v="WMG2-74"/>
    <d v="2016-02-02T00:00:00"/>
    <n v="62"/>
    <x v="0"/>
    <d v="2016-03-01T00:00:00"/>
    <n v="66"/>
    <n v="3"/>
    <n v="28"/>
    <n v="4"/>
    <n v="0.5"/>
    <x v="17"/>
    <n v="142.85714285714286"/>
    <n v="19.864617142857142"/>
    <n v="13"/>
    <n v="0.5"/>
    <n v="28.080000000000002"/>
    <n v="38.461538461538467"/>
    <n v="14.717913846153845"/>
    <n v="18.02675"/>
    <n v="15.515564527845253"/>
  </r>
  <r>
    <x v="4"/>
    <x v="6"/>
    <n v="43"/>
    <n v="2.16"/>
    <s v="WMG2-75"/>
    <d v="2016-02-02T00:00:00"/>
    <n v="55"/>
    <x v="0"/>
    <d v="2016-03-01T00:00:00"/>
    <n v="57"/>
    <n v="2.75"/>
    <n v="28"/>
    <n v="2"/>
    <n v="0.25"/>
    <x v="17"/>
    <n v="71.428571428571431"/>
    <n v="14.99046857142857"/>
    <n v="13"/>
    <n v="-1.5"/>
    <n v="28.080000000000002"/>
    <n v="-115.38461538461539"/>
    <n v="5.780578461538461"/>
    <n v="18.02675"/>
    <n v="6.0938621509671602"/>
  </r>
  <r>
    <x v="4"/>
    <x v="6"/>
    <n v="43"/>
    <n v="2.16"/>
    <s v="WMG2-76"/>
    <d v="2016-02-02T00:00:00"/>
    <n v="64"/>
    <x v="4"/>
    <d v="2016-03-01T00:00:00"/>
    <n v="67.5"/>
    <n v="3.25"/>
    <n v="28"/>
    <n v="3.5"/>
    <n v="0.25"/>
    <x v="17"/>
    <n v="125"/>
    <n v="19.280167499999997"/>
    <n v="13"/>
    <n v="2"/>
    <n v="28.080000000000002"/>
    <n v="153.84615384615387"/>
    <n v="20.702282884615386"/>
    <n v="15.952499999999999"/>
    <n v="19.313050743674086"/>
  </r>
  <r>
    <x v="4"/>
    <x v="6"/>
    <n v="43"/>
    <n v="2.16"/>
    <s v="WMG2-77"/>
    <d v="2016-02-02T00:00:00"/>
    <n v="59"/>
    <x v="0"/>
    <d v="2016-03-01T00:00:00"/>
    <n v="62.5"/>
    <n v="3"/>
    <n v="28"/>
    <n v="3.5"/>
    <n v="0.5"/>
    <x v="17"/>
    <n v="125"/>
    <n v="18.434717499999998"/>
    <n v="13"/>
    <n v="-0.5"/>
    <n v="28.080000000000002"/>
    <n v="-38.461538461538467"/>
    <n v="10.376063653846154"/>
    <n v="18.02675"/>
    <n v="10.938403828770243"/>
  </r>
  <r>
    <x v="4"/>
    <x v="6"/>
    <n v="43"/>
    <n v="2.16"/>
    <s v="WMG2-78"/>
    <d v="2016-02-02T00:00:00"/>
    <n v="64.5"/>
    <x v="0"/>
    <d v="2016-03-01T00:00:00"/>
    <n v="66.5"/>
    <n v="3"/>
    <n v="28"/>
    <n v="2"/>
    <n v="0.5"/>
    <x v="17"/>
    <n v="71.428571428571431"/>
    <n v="16.596823571428569"/>
    <n v="13"/>
    <n v="-0.5"/>
    <n v="28.080000000000002"/>
    <n v="-38.461538461538467"/>
    <n v="11.179241153846153"/>
    <n v="18.02675"/>
    <n v="11.785110261409129"/>
  </r>
  <r>
    <x v="4"/>
    <x v="6"/>
    <n v="43"/>
    <n v="2.16"/>
    <s v="WMG2-79"/>
    <d v="2016-02-02T00:00:00"/>
    <n v="56"/>
    <x v="0"/>
    <d v="2016-03-01T00:00:00"/>
    <n v="61"/>
    <n v="3"/>
    <n v="28"/>
    <n v="5"/>
    <n v="0.5"/>
    <x v="17"/>
    <n v="178.57142857142858"/>
    <n v="20.69533642857143"/>
    <n v="13"/>
    <n v="0.5"/>
    <n v="28.080000000000002"/>
    <n v="38.461538461538467"/>
    <n v="13.787918846153845"/>
    <n v="18.02675"/>
    <n v="14.535167605842327"/>
  </r>
  <r>
    <x v="4"/>
    <x v="6"/>
    <n v="43"/>
    <n v="2.16"/>
    <s v="WMG2-80"/>
    <d v="2016-02-02T00:00:00"/>
    <n v="65"/>
    <x v="4"/>
    <d v="2016-03-01T00:00:00"/>
    <n v="67.5"/>
    <n v="3"/>
    <n v="28"/>
    <n v="2.5"/>
    <n v="0"/>
    <x v="17"/>
    <n v="89.285714285714292"/>
    <n v="17.603998214285713"/>
    <n v="13"/>
    <n v="-0.5"/>
    <n v="28.080000000000002"/>
    <n v="-38.461538461538467"/>
    <n v="11.306058653846154"/>
    <n v="15.952499999999999"/>
    <n v="10.547362612601214"/>
  </r>
  <r>
    <x v="3"/>
    <x v="3"/>
    <n v="46"/>
    <n v="3.16"/>
    <s v="MADFIG-21"/>
    <d v="2016-01-05T00:00:00"/>
    <n v="74"/>
    <x v="9"/>
    <d v="2016-02-02T00:00:00"/>
    <n v="74"/>
    <n v="3"/>
    <n v="28"/>
    <n v="0"/>
    <n v="-1"/>
    <x v="18"/>
    <n v="0"/>
    <n v="14.512659999999999"/>
    <n v="14"/>
    <n v="-4"/>
    <n v="44.24"/>
    <n v="-285.71428571428572"/>
    <n v="0.42694571428571493"/>
    <n v="11.803999999999998"/>
    <n v="0.29471738078529697"/>
  </r>
  <r>
    <x v="3"/>
    <x v="3"/>
    <n v="46"/>
    <n v="3.16"/>
    <s v="MADFIG-22"/>
    <d v="2016-01-05T00:00:00"/>
    <n v="78"/>
    <x v="10"/>
    <d v="2016-02-02T00:00:00"/>
    <n v="74"/>
    <n v="4"/>
    <n v="28"/>
    <n v="-4"/>
    <n v="-1"/>
    <x v="18"/>
    <n v="-142.85714285714286"/>
    <n v="7.807982857142858"/>
    <n v="14"/>
    <n v="-3"/>
    <n v="44.24"/>
    <n v="-214.28571428571428"/>
    <n v="4.2865542857142866"/>
    <n v="7.6555"/>
    <n v="1.9190477388471183"/>
  </r>
  <r>
    <x v="3"/>
    <x v="3"/>
    <n v="46"/>
    <n v="3.16"/>
    <s v="MADFIG-23"/>
    <d v="2016-01-05T00:00:00"/>
    <n v="74.5"/>
    <x v="10"/>
    <d v="2016-02-02T00:00:00"/>
    <n v="69.5"/>
    <n v="3"/>
    <n v="28"/>
    <n v="-5"/>
    <n v="-2"/>
    <x v="18"/>
    <n v="-178.57142857142858"/>
    <n v="5.3709085714285703"/>
    <n v="14"/>
    <n v="-4.5"/>
    <n v="44.24"/>
    <n v="-321.42857142857144"/>
    <n v="-1.6719485714285724"/>
    <n v="7.6555"/>
    <n v="-0.74851475371762788"/>
  </r>
  <r>
    <x v="3"/>
    <x v="3"/>
    <n v="46"/>
    <n v="3.16"/>
    <s v="MADFIG-24"/>
    <d v="2016-01-05T00:00:00"/>
    <n v="76.5"/>
    <x v="9"/>
    <d v="2016-02-02T00:00:00"/>
    <n v="74.5"/>
    <n v="4"/>
    <n v="28"/>
    <n v="-2"/>
    <n v="0"/>
    <x v="18"/>
    <n v="-71.428571428571431"/>
    <n v="11.244866428571429"/>
    <n v="14"/>
    <n v="-3.5"/>
    <n v="44.24"/>
    <n v="-250"/>
    <n v="2.4412950000000002"/>
    <n v="11.803999999999998"/>
    <n v="1.6852073789473683"/>
  </r>
  <r>
    <x v="3"/>
    <x v="3"/>
    <n v="46"/>
    <n v="3.16"/>
    <s v="MADFIG-25"/>
    <d v="2016-01-05T00:00:00"/>
    <n v="75.5"/>
    <x v="4"/>
    <d v="2016-02-02T00:00:00"/>
    <n v="71.5"/>
    <n v="3"/>
    <n v="28"/>
    <n v="-4"/>
    <n v="0"/>
    <x v="18"/>
    <n v="-142.85714285714286"/>
    <n v="7.3852578571428582"/>
    <n v="14"/>
    <n v="-3.5"/>
    <n v="44.24"/>
    <n v="-250"/>
    <n v="2.1031150000000007"/>
    <n v="15.952499999999999"/>
    <n v="1.9619849144736847"/>
  </r>
  <r>
    <x v="3"/>
    <x v="3"/>
    <n v="46"/>
    <n v="3.16"/>
    <s v="MADFIG-26"/>
    <d v="2016-01-05T00:00:00"/>
    <n v="78"/>
    <x v="4"/>
    <d v="2016-02-02T00:00:00"/>
    <n v="78"/>
    <n v="3"/>
    <n v="28"/>
    <n v="0"/>
    <n v="0"/>
    <x v="18"/>
    <n v="0"/>
    <n v="15.189019999999999"/>
    <n v="14"/>
    <n v="-3"/>
    <n v="44.24"/>
    <n v="-214.28571428571428"/>
    <n v="4.6247342857142861"/>
    <n v="15.952499999999999"/>
    <n v="4.3143902744360894"/>
  </r>
  <r>
    <x v="3"/>
    <x v="3"/>
    <n v="46"/>
    <n v="3.16"/>
    <s v="MADFIG-27"/>
    <d v="2016-01-05T00:00:00"/>
    <n v="77.5"/>
    <x v="4"/>
    <d v="2016-02-02T00:00:00"/>
    <n v="73.5"/>
    <n v="4"/>
    <n v="28"/>
    <n v="-4"/>
    <n v="1"/>
    <x v="18"/>
    <n v="-142.85714285714286"/>
    <n v="7.7234378571428577"/>
    <n v="14"/>
    <n v="-4"/>
    <n v="44.24"/>
    <n v="-285.71428571428572"/>
    <n v="0.68058071428571587"/>
    <n v="15.952499999999999"/>
    <n v="0.63491016635338482"/>
  </r>
  <r>
    <x v="3"/>
    <x v="3"/>
    <n v="46"/>
    <n v="3.16"/>
    <s v="MADFIG-28"/>
    <d v="2016-01-05T00:00:00"/>
    <n v="72.5"/>
    <x v="9"/>
    <d v="2016-02-02T00:00:00"/>
    <n v="70"/>
    <n v="4"/>
    <n v="28"/>
    <n v="-2.5"/>
    <n v="0"/>
    <x v="18"/>
    <n v="-89.285714285714292"/>
    <n v="9.645876785714286"/>
    <n v="14"/>
    <n v="-3"/>
    <n v="44.24"/>
    <n v="-214.28571428571428"/>
    <n v="3.4833767857142863"/>
    <n v="11.803999999999998"/>
    <n v="2.4045485133667501"/>
  </r>
  <r>
    <x v="3"/>
    <x v="3"/>
    <n v="46"/>
    <n v="3.16"/>
    <s v="MADFIG-29"/>
    <d v="2016-01-05T00:00:00"/>
    <n v="77.5"/>
    <x v="9"/>
    <d v="2016-02-02T00:00:00"/>
    <n v="73.5"/>
    <n v="4"/>
    <n v="28"/>
    <n v="-4"/>
    <n v="0"/>
    <x v="18"/>
    <n v="-142.85714285714286"/>
    <n v="7.7234378571428577"/>
    <n v="14"/>
    <n v="-3.5"/>
    <n v="44.24"/>
    <n v="-250"/>
    <n v="2.4412950000000002"/>
    <n v="11.803999999999998"/>
    <n v="1.6852073789473683"/>
  </r>
  <r>
    <x v="3"/>
    <x v="3"/>
    <n v="46"/>
    <n v="3.16"/>
    <s v="MADFIG-30"/>
    <d v="2016-01-05T00:00:00"/>
    <n v="76"/>
    <x v="4"/>
    <d v="2016-02-02T00:00:00"/>
    <n v="70.5"/>
    <n v="3"/>
    <n v="28"/>
    <n v="-5.5"/>
    <n v="0"/>
    <x v="18"/>
    <n v="-196.42857142857142"/>
    <n v="4.7019139285714289"/>
    <n v="14"/>
    <n v="-2.5"/>
    <n v="44.24"/>
    <n v="-178.57142857142858"/>
    <n v="5.5822710714285702"/>
    <n v="15.952499999999999"/>
    <n v="5.2076713021616516"/>
  </r>
  <r>
    <x v="3"/>
    <x v="3"/>
    <n v="46"/>
    <n v="3.16"/>
    <s v="MADFIG-31"/>
    <d v="2016-01-05T00:00:00"/>
    <n v="73"/>
    <x v="4"/>
    <d v="2016-02-02T00:00:00"/>
    <n v="69.5"/>
    <n v="3"/>
    <n v="28"/>
    <n v="-3.5"/>
    <n v="0"/>
    <x v="18"/>
    <n v="-125"/>
    <n v="7.8851624999999999"/>
    <n v="14"/>
    <n v="-3"/>
    <n v="44.24"/>
    <n v="-214.28571428571428"/>
    <n v="3.4833767857142863"/>
    <n v="15.952499999999999"/>
    <n v="3.2496238698308271"/>
  </r>
  <r>
    <x v="3"/>
    <x v="3"/>
    <n v="46"/>
    <n v="3.16"/>
    <s v="MADFIG-32"/>
    <d v="2016-01-05T00:00:00"/>
    <n v="77"/>
    <x v="9"/>
    <d v="2016-02-02T00:00:00"/>
    <n v="72.5"/>
    <n v="4"/>
    <n v="28"/>
    <n v="-4.5"/>
    <n v="0"/>
    <x v="18"/>
    <n v="-160.71428571428572"/>
    <n v="6.7162632142857142"/>
    <n v="14"/>
    <n v="-2.5"/>
    <n v="44.24"/>
    <n v="-178.57142857142858"/>
    <n v="5.8359060714285711"/>
    <n v="11.803999999999998"/>
    <n v="4.0284815945697572"/>
  </r>
  <r>
    <x v="3"/>
    <x v="3"/>
    <n v="46"/>
    <n v="3.16"/>
    <s v="MADFIG-33"/>
    <d v="2016-01-05T00:00:00"/>
    <n v="72.5"/>
    <x v="4"/>
    <d v="2016-02-02T00:00:00"/>
    <n v="68.5"/>
    <n v="3"/>
    <n v="28"/>
    <n v="-4"/>
    <n v="0"/>
    <x v="18"/>
    <n v="-142.85714285714286"/>
    <n v="6.8779878571428581"/>
    <n v="14"/>
    <n v="-3"/>
    <n v="44.24"/>
    <n v="-214.28571428571428"/>
    <n v="3.3565592857142867"/>
    <n v="15.952499999999999"/>
    <n v="3.1313164915413538"/>
  </r>
  <r>
    <x v="3"/>
    <x v="3"/>
    <n v="46"/>
    <n v="3.16"/>
    <s v="MADFIG-34"/>
    <d v="2016-01-05T00:00:00"/>
    <n v="73.5"/>
    <x v="10"/>
    <d v="2016-02-02T00:00:00"/>
    <n v="67.5"/>
    <n v="3"/>
    <n v="28"/>
    <n v="-6"/>
    <n v="-2"/>
    <x v="18"/>
    <n v="-214.28571428571428"/>
    <n v="3.3565592857142867"/>
    <n v="14"/>
    <n v="-4"/>
    <n v="44.24"/>
    <n v="-285.71428571428572"/>
    <n v="-0.16486928571428372"/>
    <n v="7.6555"/>
    <n v="-7.3810340162906357E-2"/>
  </r>
  <r>
    <x v="3"/>
    <x v="3"/>
    <n v="46"/>
    <n v="3.16"/>
    <s v="MADFIG-35"/>
    <d v="2016-01-05T00:00:00"/>
    <n v="74"/>
    <x v="10"/>
    <d v="2016-02-02T00:00:00"/>
    <n v="70"/>
    <n v="5"/>
    <n v="28"/>
    <n v="-4"/>
    <n v="0"/>
    <x v="18"/>
    <n v="-142.85714285714286"/>
    <n v="7.1316228571428573"/>
    <n v="14"/>
    <n v="-2"/>
    <n v="44.24"/>
    <n v="-142.85714285714286"/>
    <n v="7.1316228571428573"/>
    <n v="7.6555"/>
    <n v="3.1927566539682539"/>
  </r>
  <r>
    <x v="3"/>
    <x v="3"/>
    <n v="46"/>
    <n v="3.16"/>
    <s v="MADFIG-36"/>
    <d v="2016-01-05T00:00:00"/>
    <n v="75"/>
    <x v="9"/>
    <d v="2016-02-02T00:00:00"/>
    <n v="69.5"/>
    <n v="3"/>
    <n v="28"/>
    <n v="-5.5"/>
    <n v="-1"/>
    <x v="18"/>
    <n v="-196.42857142857142"/>
    <n v="4.53282392857143"/>
    <n v="14"/>
    <n v="-2.5"/>
    <n v="44.24"/>
    <n v="-178.57142857142858"/>
    <n v="5.4131810714285713"/>
    <n v="11.803999999999998"/>
    <n v="3.7366777407685876"/>
  </r>
  <r>
    <x v="3"/>
    <x v="3"/>
    <n v="46"/>
    <n v="3.16"/>
    <s v="MADFIG-37"/>
    <d v="2016-01-05T00:00:00"/>
    <n v="75"/>
    <x v="4"/>
    <d v="2016-02-02T00:00:00"/>
    <n v="69.5"/>
    <n v="3"/>
    <n v="28"/>
    <n v="-5.5"/>
    <n v="0"/>
    <x v="18"/>
    <n v="-196.42857142857142"/>
    <n v="4.53282392857143"/>
    <n v="14"/>
    <n v="-3.5"/>
    <n v="44.24"/>
    <n v="-250"/>
    <n v="1.8917525000000008"/>
    <n v="15.952499999999999"/>
    <n v="1.7648059506578953"/>
  </r>
  <r>
    <x v="3"/>
    <x v="3"/>
    <n v="46"/>
    <n v="3.16"/>
    <s v="MADFIG-38"/>
    <d v="2016-01-05T00:00:00"/>
    <n v="74.5"/>
    <x v="9"/>
    <d v="2016-02-02T00:00:00"/>
    <n v="72.5"/>
    <n v="4"/>
    <n v="28"/>
    <n v="-2"/>
    <n v="0"/>
    <x v="18"/>
    <n v="-71.428571428571431"/>
    <n v="10.90668642857143"/>
    <n v="14"/>
    <n v="-1.5"/>
    <n v="44.24"/>
    <n v="-107.14285714285714"/>
    <n v="9.1459721428571434"/>
    <n v="11.803999999999998"/>
    <n v="6.3133950394319118"/>
  </r>
  <r>
    <x v="3"/>
    <x v="3"/>
    <n v="46"/>
    <n v="3.16"/>
    <s v="MADFIG-39"/>
    <d v="2016-01-05T00:00:00"/>
    <n v="78"/>
    <x v="9"/>
    <d v="2016-02-02T00:00:00"/>
    <n v="75"/>
    <n v="3.5"/>
    <n v="28"/>
    <n v="-3"/>
    <n v="-0.5"/>
    <x v="18"/>
    <n v="-107.14285714285714"/>
    <n v="9.6532421428571435"/>
    <n v="14"/>
    <n v="-1"/>
    <n v="44.24"/>
    <n v="-71.428571428571431"/>
    <n v="11.41395642857143"/>
    <n v="11.803999999999998"/>
    <n v="7.8789673498746851"/>
  </r>
  <r>
    <x v="3"/>
    <x v="3"/>
    <n v="46"/>
    <n v="3.16"/>
    <s v="MADFIG-40"/>
    <d v="2016-01-05T00:00:00"/>
    <n v="74"/>
    <x v="4"/>
    <d v="2016-02-02T00:00:00"/>
    <n v="72.5"/>
    <n v="3.5"/>
    <n v="28"/>
    <n v="-1.5"/>
    <n v="0.5"/>
    <x v="18"/>
    <n v="-53.571428571428569"/>
    <n v="11.74477107142857"/>
    <n v="14"/>
    <n v="-2"/>
    <n v="44.24"/>
    <n v="-142.85714285714286"/>
    <n v="7.3429853571428572"/>
    <n v="15.952499999999999"/>
    <n v="6.850232392387217"/>
  </r>
  <r>
    <x v="3"/>
    <x v="3"/>
    <n v="46"/>
    <n v="3.16"/>
    <s v="MADFIG-81"/>
    <d v="2016-01-05T00:00:00"/>
    <n v="73.5"/>
    <x v="10"/>
    <d v="2016-02-02T00:00:00"/>
    <n v="67.5"/>
    <n v="3"/>
    <n v="28"/>
    <n v="-6"/>
    <n v="-2"/>
    <x v="18"/>
    <n v="-214.28571428571428"/>
    <n v="3.3565592857142867"/>
    <n v="14"/>
    <n v="-3"/>
    <n v="44.24"/>
    <n v="-214.28571428571428"/>
    <n v="3.3565592857142867"/>
    <n v="7.6555"/>
    <n v="1.5026982229114456"/>
  </r>
  <r>
    <x v="3"/>
    <x v="3"/>
    <n v="46"/>
    <n v="3.16"/>
    <s v="MADFIG-82"/>
    <d v="2016-01-05T00:00:00"/>
    <n v="77.5"/>
    <x v="10"/>
    <d v="2016-02-02T00:00:00"/>
    <n v="75.5"/>
    <n v="5"/>
    <n v="28"/>
    <n v="-2"/>
    <n v="0"/>
    <x v="18"/>
    <n v="-71.428571428571431"/>
    <n v="11.41395642857143"/>
    <n v="14"/>
    <n v="-3"/>
    <n v="44.24"/>
    <n v="-214.28571428571428"/>
    <n v="4.371099285714287"/>
    <n v="7.6555"/>
    <n v="1.9568976948412704"/>
  </r>
  <r>
    <x v="3"/>
    <x v="3"/>
    <n v="46"/>
    <n v="3.16"/>
    <s v="MADFIG-83"/>
    <d v="2016-01-05T00:00:00"/>
    <n v="75"/>
    <x v="4"/>
    <d v="2016-02-02T00:00:00"/>
    <n v="73"/>
    <n v="3"/>
    <n v="28"/>
    <n v="-2"/>
    <n v="0"/>
    <x v="18"/>
    <n v="-71.428571428571431"/>
    <n v="10.991231428571428"/>
    <n v="14"/>
    <n v="-1"/>
    <n v="44.24"/>
    <n v="-71.428571428571431"/>
    <n v="10.991231428571428"/>
    <n v="15.952499999999999"/>
    <n v="10.253661951127818"/>
  </r>
  <r>
    <x v="3"/>
    <x v="3"/>
    <n v="46"/>
    <n v="3.16"/>
    <s v="MADFIG-84"/>
    <d v="2016-01-05T00:00:00"/>
    <n v="78"/>
    <x v="10"/>
    <d v="2016-02-02T00:00:00"/>
    <n v="73"/>
    <n v="3.5"/>
    <n v="28"/>
    <n v="-5"/>
    <n v="-1.5"/>
    <x v="18"/>
    <n v="-178.57142857142858"/>
    <n v="5.9627235714285707"/>
    <n v="14"/>
    <n v="-3.5"/>
    <n v="44.24"/>
    <n v="-250"/>
    <n v="2.4412950000000002"/>
    <n v="7.6555"/>
    <n v="1.0929435013157893"/>
  </r>
  <r>
    <x v="3"/>
    <x v="3"/>
    <n v="46"/>
    <n v="3.16"/>
    <s v="MADFIG-85"/>
    <d v="2016-01-05T00:00:00"/>
    <n v="72"/>
    <x v="10"/>
    <d v="2016-02-02T00:00:00"/>
    <n v="69"/>
    <n v="4"/>
    <n v="28"/>
    <n v="-3"/>
    <n v="-1"/>
    <x v="18"/>
    <n v="-107.14285714285714"/>
    <n v="8.6387021428571433"/>
    <n v="14"/>
    <n v="-2.5"/>
    <n v="44.24"/>
    <n v="-178.57142857142858"/>
    <n v="5.1172735714285711"/>
    <n v="7.6555"/>
    <n v="2.290952504448621"/>
  </r>
  <r>
    <x v="3"/>
    <x v="3"/>
    <n v="46"/>
    <n v="3.16"/>
    <s v="MADFIG-86"/>
    <d v="2016-01-05T00:00:00"/>
    <n v="78"/>
    <x v="4"/>
    <d v="2016-02-02T00:00:00"/>
    <n v="73.5"/>
    <n v="3"/>
    <n v="28"/>
    <n v="-4.5"/>
    <n v="0"/>
    <x v="18"/>
    <n v="-160.71428571428572"/>
    <n v="6.885353214285713"/>
    <n v="14"/>
    <n v="-3.5"/>
    <n v="44.24"/>
    <n v="-250"/>
    <n v="2.4835674999999995"/>
    <n v="15.952499999999999"/>
    <n v="2.3169070493421047"/>
  </r>
  <r>
    <x v="3"/>
    <x v="3"/>
    <n v="46"/>
    <n v="3.16"/>
    <s v="MADFIG-87"/>
    <d v="2016-01-05T00:00:00"/>
    <n v="75"/>
    <x v="10"/>
    <d v="2016-02-02T00:00:00"/>
    <n v="73"/>
    <n v="4"/>
    <n v="28"/>
    <n v="-2"/>
    <n v="-1"/>
    <x v="18"/>
    <n v="-71.428571428571431"/>
    <n v="10.991231428571428"/>
    <n v="14"/>
    <n v="-3"/>
    <n v="44.24"/>
    <n v="-214.28571428571428"/>
    <n v="3.9483742857142854"/>
    <n v="7.6555"/>
    <n v="1.7676479148705093"/>
  </r>
  <r>
    <x v="3"/>
    <x v="3"/>
    <n v="46"/>
    <n v="3.16"/>
    <s v="MADFIG-88"/>
    <d v="2016-01-05T00:00:00"/>
    <n v="73"/>
    <x v="4"/>
    <d v="2016-02-02T00:00:00"/>
    <n v="71"/>
    <n v="3.5"/>
    <n v="28"/>
    <n v="-2"/>
    <n v="0.5"/>
    <x v="18"/>
    <n v="-71.428571428571431"/>
    <n v="10.653051428571429"/>
    <n v="14"/>
    <n v="-4"/>
    <n v="44.24"/>
    <n v="-285.71428571428572"/>
    <n v="8.8765714285715447E-2"/>
    <n v="15.952499999999999"/>
    <n v="8.2809067669173994E-2"/>
  </r>
  <r>
    <x v="3"/>
    <x v="3"/>
    <n v="46"/>
    <n v="3.16"/>
    <s v="MADFIG-89"/>
    <d v="2016-01-05T00:00:00"/>
    <n v="77.5"/>
    <x v="10"/>
    <d v="2016-02-02T00:00:00"/>
    <n v="73.5"/>
    <n v="3"/>
    <n v="28"/>
    <n v="-4"/>
    <n v="-2"/>
    <x v="18"/>
    <n v="-142.85714285714286"/>
    <n v="7.7234378571428577"/>
    <n v="14"/>
    <n v="-2.5"/>
    <n v="44.24"/>
    <n v="-178.57142857142858"/>
    <n v="5.9627235714285707"/>
    <n v="7.6555"/>
    <n v="2.6694520643901414"/>
  </r>
  <r>
    <x v="3"/>
    <x v="3"/>
    <n v="46"/>
    <n v="3.16"/>
    <s v="MADFIG-90"/>
    <d v="2016-01-05T00:00:00"/>
    <n v="75.5"/>
    <x v="10"/>
    <d v="2016-02-02T00:00:00"/>
    <n v="74.5"/>
    <n v="4.5"/>
    <n v="28"/>
    <n v="-1"/>
    <n v="-0.5"/>
    <x v="18"/>
    <n v="-35.714285714285715"/>
    <n v="12.921035714285713"/>
    <n v="14"/>
    <n v="-4"/>
    <n v="44.24"/>
    <n v="-285.71428571428572"/>
    <n v="0.59603571428571556"/>
    <n v="7.6555"/>
    <n v="0.26683926378446171"/>
  </r>
  <r>
    <x v="1"/>
    <x v="4"/>
    <n v="186"/>
    <n v="2.4300000000000002"/>
    <s v="2015E-1054"/>
    <d v="2015-02-10T00:00:00"/>
    <n v="54.6"/>
    <x v="4"/>
    <d v="2015-03-10T00:00:00"/>
    <n v="56.8"/>
    <n v="3"/>
    <n v="28"/>
    <n v="2.1999999999999957"/>
    <n v="0"/>
    <x v="19"/>
    <n v="78.571428571428413"/>
    <n v="15.29188442857142"/>
    <n v="7"/>
    <n v="0.79999999999999716"/>
    <n v="17.010000000000002"/>
    <n v="114.28571428571388"/>
    <n v="17.052598714285693"/>
    <n v="15.952499999999999"/>
    <n v="15.908279590037573"/>
  </r>
  <r>
    <x v="1"/>
    <x v="4"/>
    <n v="186"/>
    <n v="2.4300000000000002"/>
    <s v="2015E-1063"/>
    <d v="2015-02-10T00:00:00"/>
    <n v="56.8"/>
    <x v="6"/>
    <d v="2015-03-10T00:00:00"/>
    <n v="54.8"/>
    <n v="3.5"/>
    <n v="28"/>
    <n v="-2"/>
    <n v="0"/>
    <x v="19"/>
    <n v="-71.428571428571431"/>
    <n v="7.9137934285714291"/>
    <n v="7"/>
    <n v="-0.70000000000000284"/>
    <n v="17.010000000000002"/>
    <n v="-100.00000000000041"/>
    <n v="6.5052219999999794"/>
    <n v="13.878249999999998"/>
    <n v="5.2795963287426728"/>
  </r>
  <r>
    <x v="1"/>
    <x v="4"/>
    <n v="186"/>
    <n v="2.4300000000000002"/>
    <s v="2015E-1236"/>
    <d v="2015-02-10T00:00:00"/>
    <n v="54.6"/>
    <x v="0"/>
    <d v="2015-03-10T00:00:00"/>
    <n v="57.8"/>
    <n v="2.5"/>
    <n v="28"/>
    <n v="3.1999999999999957"/>
    <n v="0"/>
    <x v="19"/>
    <n v="114.28571428571414"/>
    <n v="17.137143714285706"/>
    <n v="7"/>
    <n v="0.29999999999999716"/>
    <n v="17.010000000000002"/>
    <n v="42.857142857142449"/>
    <n v="13.615715142857123"/>
    <n v="18.02675"/>
    <n v="14.353631166754365"/>
  </r>
  <r>
    <x v="1"/>
    <x v="4"/>
    <n v="186"/>
    <n v="2.4300000000000002"/>
    <s v="2015E-1242"/>
    <d v="2015-02-10T00:00:00"/>
    <n v="57.6"/>
    <x v="9"/>
    <d v="2015-03-10T00:00:00"/>
    <n v="60"/>
    <n v="4"/>
    <n v="28"/>
    <n v="2.3999999999999986"/>
    <n v="0"/>
    <x v="19"/>
    <n v="85.714285714285666"/>
    <n v="16.168206285714284"/>
    <n v="7"/>
    <n v="-1"/>
    <n v="17.010000000000002"/>
    <n v="-142.85714285714286"/>
    <n v="4.8996348571428578"/>
    <n v="11.803999999999998"/>
    <n v="3.3821806931996656"/>
  </r>
  <r>
    <x v="1"/>
    <x v="4"/>
    <n v="186"/>
    <n v="2.4300000000000002"/>
    <s v="2015E-1267"/>
    <d v="2015-02-10T00:00:00"/>
    <n v="58.4"/>
    <x v="0"/>
    <d v="2015-03-10T00:00:00"/>
    <n v="59.6"/>
    <n v="3.5"/>
    <n v="28"/>
    <n v="1.2000000000000028"/>
    <n v="1"/>
    <x v="19"/>
    <n v="42.857142857142961"/>
    <n v="14.089167142857148"/>
    <n v="7"/>
    <n v="2.1000000000000014"/>
    <n v="17.010000000000002"/>
    <n v="300.00000000000023"/>
    <n v="26.766310000000011"/>
    <n v="18.02675"/>
    <n v="28.216934432309948"/>
  </r>
  <r>
    <x v="1"/>
    <x v="4"/>
    <n v="186"/>
    <n v="2.4300000000000002"/>
    <s v="2015E-1275"/>
    <d v="2015-02-10T00:00:00"/>
    <n v="56"/>
    <x v="4"/>
    <d v="2015-03-10T00:00:00"/>
    <n v="55.7"/>
    <n v="3"/>
    <n v="28"/>
    <n v="-0.29999999999999716"/>
    <n v="0"/>
    <x v="19"/>
    <n v="-10.714285714285612"/>
    <n v="10.91546221428572"/>
    <n v="7"/>
    <n v="-1.2999999999999972"/>
    <n v="17.010000000000002"/>
    <n v="-185.7142857142853"/>
    <n v="2.2879622142857361"/>
    <n v="15.952499999999999"/>
    <n v="2.134427907800772"/>
  </r>
  <r>
    <x v="1"/>
    <x v="4"/>
    <n v="186"/>
    <n v="2.4300000000000002"/>
    <s v="2015E-1276"/>
    <d v="2015-02-10T00:00:00"/>
    <n v="56.8"/>
    <x v="6"/>
    <d v="2015-03-10T00:00:00"/>
    <n v="54.8"/>
    <n v="3.5"/>
    <n v="28"/>
    <n v="-2"/>
    <n v="0"/>
    <x v="19"/>
    <n v="-71.428571428571431"/>
    <n v="7.9137934285714291"/>
    <n v="7"/>
    <n v="-5.7000000000000028"/>
    <n v="17.010000000000002"/>
    <n v="-814.28571428571468"/>
    <n v="-28.709063714285737"/>
    <n v="13.878249999999998"/>
    <n v="-23.300091432326663"/>
  </r>
  <r>
    <x v="1"/>
    <x v="4"/>
    <n v="186"/>
    <n v="2.4300000000000002"/>
    <s v="2015E-1296"/>
    <d v="2015-02-10T00:00:00"/>
    <n v="57.8"/>
    <x v="4"/>
    <d v="2015-03-10T00:00:00"/>
    <n v="60.6"/>
    <n v="4"/>
    <n v="28"/>
    <n v="2.8000000000000043"/>
    <n v="1"/>
    <x v="19"/>
    <n v="100.00000000000016"/>
    <n v="16.940128000000009"/>
    <n v="7"/>
    <n v="2.1000000000000014"/>
    <n v="17.010000000000002"/>
    <n v="300.00000000000023"/>
    <n v="26.800128000000008"/>
    <n v="15.952499999999999"/>
    <n v="25.001698357894742"/>
  </r>
  <r>
    <x v="1"/>
    <x v="4"/>
    <n v="186"/>
    <n v="2.4300000000000002"/>
    <s v="2015E-1300"/>
    <d v="2015-02-10T00:00:00"/>
    <n v="52.4"/>
    <x v="0"/>
    <d v="2015-03-10T00:00:00"/>
    <n v="59.4"/>
    <n v="3.5"/>
    <n v="28"/>
    <n v="7"/>
    <n v="1"/>
    <x v="19"/>
    <n v="250"/>
    <n v="23.777130999999997"/>
    <n v="7"/>
    <n v="0.39999999999999858"/>
    <n v="17.010000000000002"/>
    <n v="57.14285714285694"/>
    <n v="14.269273857142846"/>
    <n v="18.02675"/>
    <n v="15.042610087967823"/>
  </r>
  <r>
    <x v="1"/>
    <x v="4"/>
    <n v="186"/>
    <n v="2.4300000000000002"/>
    <s v="2015E-1312"/>
    <d v="2015-02-10T00:00:00"/>
    <n v="57.2"/>
    <x v="4"/>
    <d v="2015-03-10T00:00:00"/>
    <n v="60.2"/>
    <n v="4"/>
    <n v="28"/>
    <n v="3"/>
    <n v="1"/>
    <x v="19"/>
    <n v="107.14285714285714"/>
    <n v="17.207725857142854"/>
    <n v="7"/>
    <n v="2.2000000000000028"/>
    <n v="17.010000000000002"/>
    <n v="314.28571428571468"/>
    <n v="27.419868714285734"/>
    <n v="15.952499999999999"/>
    <n v="25.579851208458663"/>
  </r>
  <r>
    <x v="1"/>
    <x v="4"/>
    <n v="186"/>
    <n v="2.4300000000000002"/>
    <s v="2015E-1335"/>
    <d v="2015-02-10T00:00:00"/>
    <n v="53.6"/>
    <x v="0"/>
    <d v="2015-03-10T00:00:00"/>
    <n v="55.6"/>
    <n v="3.5"/>
    <n v="28"/>
    <n v="2"/>
    <n v="1"/>
    <x v="19"/>
    <n v="71.428571428571431"/>
    <n v="14.753742571428571"/>
    <n v="7"/>
    <n v="1.1000000000000014"/>
    <n v="17.010000000000002"/>
    <n v="157.14285714285734"/>
    <n v="18.979456857142868"/>
    <n v="18.02675"/>
    <n v="20.008065725116971"/>
  </r>
  <r>
    <x v="1"/>
    <x v="4"/>
    <n v="186"/>
    <n v="2.4300000000000002"/>
    <s v="2015E-1339"/>
    <d v="2015-02-10T00:00:00"/>
    <n v="56"/>
    <x v="4"/>
    <d v="2015-03-10T00:00:00"/>
    <n v="56.8"/>
    <n v="3"/>
    <n v="28"/>
    <n v="0.79999999999999716"/>
    <n v="0"/>
    <x v="19"/>
    <n v="28.57142857142847"/>
    <n v="12.945247428571424"/>
    <n v="7"/>
    <n v="1.2999999999999972"/>
    <n v="17.010000000000002"/>
    <n v="185.7142857142853"/>
    <n v="20.692390285714264"/>
    <n v="15.952499999999999"/>
    <n v="19.30382199022554"/>
  </r>
  <r>
    <x v="1"/>
    <x v="4"/>
    <n v="186"/>
    <n v="2.4300000000000002"/>
    <s v="2015E-1362"/>
    <d v="2015-02-10T00:00:00"/>
    <n v="53.8"/>
    <x v="6"/>
    <d v="2015-03-10T00:00:00"/>
    <n v="55"/>
    <n v="4"/>
    <n v="28"/>
    <n v="1.2000000000000028"/>
    <n v="0.5"/>
    <x v="19"/>
    <n v="42.857142857142961"/>
    <n v="13.311353142857147"/>
    <n v="7"/>
    <n v="-2.5"/>
    <n v="17.010000000000002"/>
    <n v="-357.14285714285717"/>
    <n v="-6.408646857142859"/>
    <n v="13.878249999999998"/>
    <n v="-5.2012165640434427"/>
  </r>
  <r>
    <x v="1"/>
    <x v="4"/>
    <n v="186"/>
    <n v="2.4300000000000002"/>
    <s v="2015E-149"/>
    <d v="2015-02-10T00:00:00"/>
    <n v="52.2"/>
    <x v="6"/>
    <d v="2015-03-10T00:00:00"/>
    <n v="54.8"/>
    <n v="4"/>
    <n v="28"/>
    <n v="2.5999999999999943"/>
    <n v="0.5"/>
    <x v="19"/>
    <n v="92.857142857142648"/>
    <n v="15.624172142857132"/>
    <n v="7"/>
    <n v="0.29999999999999716"/>
    <n v="17.010000000000002"/>
    <n v="42.857142857142449"/>
    <n v="13.159172142857123"/>
    <n v="13.878249999999998"/>
    <n v="10.679899461497474"/>
  </r>
  <r>
    <x v="1"/>
    <x v="4"/>
    <n v="186"/>
    <n v="2.4300000000000002"/>
    <s v="2015E-207"/>
    <d v="2015-02-10T00:00:00"/>
    <n v="58.2"/>
    <x v="6"/>
    <d v="2015-03-10T00:00:00"/>
    <n v="61"/>
    <n v="4"/>
    <n v="28"/>
    <n v="2.7999999999999972"/>
    <n v="0.5"/>
    <x v="19"/>
    <n v="99.999999999999901"/>
    <n v="17.007763999999995"/>
    <n v="7"/>
    <n v="1"/>
    <n v="17.010000000000002"/>
    <n v="142.85714285714286"/>
    <n v="19.120621142857143"/>
    <n v="13.878249999999998"/>
    <n v="15.518173121395153"/>
  </r>
  <r>
    <x v="1"/>
    <x v="4"/>
    <n v="186"/>
    <n v="2.4300000000000002"/>
    <s v="2015E-22"/>
    <d v="2015-02-10T00:00:00"/>
    <n v="55.6"/>
    <x v="4"/>
    <d v="2015-03-10T00:00:00"/>
    <n v="58.8"/>
    <n v="3.5"/>
    <n v="28"/>
    <n v="3.1999999999999957"/>
    <n v="0.5"/>
    <x v="19"/>
    <n v="114.28571428571414"/>
    <n v="17.306233714285707"/>
    <n v="7"/>
    <n v="0.29999999999999716"/>
    <n v="17.010000000000002"/>
    <n v="42.857142857142449"/>
    <n v="13.784805142857124"/>
    <n v="15.952499999999999"/>
    <n v="12.859772166165394"/>
  </r>
  <r>
    <x v="1"/>
    <x v="4"/>
    <n v="186"/>
    <n v="2.4300000000000002"/>
    <s v="2015E-441"/>
    <d v="2015-02-10T00:00:00"/>
    <n v="56.4"/>
    <x v="4"/>
    <d v="2015-03-10T00:00:00"/>
    <n v="56.8"/>
    <n v="3.5"/>
    <n v="28"/>
    <n v="0.39999999999999858"/>
    <n v="0.5"/>
    <x v="19"/>
    <n v="14.285714285714235"/>
    <n v="12.27477971428571"/>
    <n v="7"/>
    <n v="1.7999999999999972"/>
    <n v="17.010000000000002"/>
    <n v="257.14285714285671"/>
    <n v="24.247636857142837"/>
    <n v="15.952499999999999"/>
    <n v="22.620492804887196"/>
  </r>
  <r>
    <x v="1"/>
    <x v="4"/>
    <n v="186"/>
    <n v="2.4300000000000002"/>
    <s v="2015E-646"/>
    <d v="2015-02-10T00:00:00"/>
    <n v="60"/>
    <x v="6"/>
    <d v="2015-03-10T00:00:00"/>
    <n v="58.6"/>
    <n v="2.5"/>
    <n v="28"/>
    <n v="-1.3999999999999986"/>
    <n v="-1"/>
    <x v="19"/>
    <n v="-49.99999999999995"/>
    <n v="9.5620370000000001"/>
    <n v="7"/>
    <n v="1.1000000000000014"/>
    <n v="17.010000000000002"/>
    <n v="157.14285714285734"/>
    <n v="19.774179857142865"/>
    <n v="13.878249999999998"/>
    <n v="16.048597169730577"/>
  </r>
  <r>
    <x v="1"/>
    <x v="4"/>
    <n v="186"/>
    <n v="2.4300000000000002"/>
    <s v="2015E-877"/>
    <d v="2015-02-10T00:00:00"/>
    <n v="55.8"/>
    <x v="4"/>
    <d v="2015-03-10T00:00:00"/>
    <n v="61.4"/>
    <n v="3"/>
    <n v="28"/>
    <n v="5.6000000000000014"/>
    <n v="0"/>
    <x v="19"/>
    <n v="200.00000000000003"/>
    <n v="21.768673999999997"/>
    <n v="7"/>
    <n v="0.89999999999999858"/>
    <n v="17.010000000000002"/>
    <n v="128.57142857142836"/>
    <n v="18.247245428571418"/>
    <n v="15.952499999999999"/>
    <n v="17.022759222180436"/>
  </r>
  <r>
    <x v="1"/>
    <x v="4"/>
    <n v="186"/>
    <n v="2.4300000000000002"/>
    <s v="2015E-955"/>
    <d v="2015-02-10T00:00:00"/>
    <n v="52.8"/>
    <x v="6"/>
    <d v="2015-03-10T00:00:00"/>
    <n v="56"/>
    <n v="4"/>
    <n v="28"/>
    <n v="3.2000000000000028"/>
    <n v="0.5"/>
    <x v="19"/>
    <n v="114.28571428571439"/>
    <n v="16.832781714285719"/>
    <n v="7"/>
    <n v="1.5"/>
    <n v="17.010000000000002"/>
    <n v="214.28571428571428"/>
    <n v="21.762781714285712"/>
    <n v="13.878249999999998"/>
    <n v="17.662533644812022"/>
  </r>
  <r>
    <x v="1"/>
    <x v="5"/>
    <n v="133"/>
    <n v="2.4700000000000002"/>
    <s v="2015W-1003"/>
    <d v="2015-02-10T00:00:00"/>
    <n v="58.4"/>
    <x v="0"/>
    <d v="2015-03-10T00:00:00"/>
    <n v="62.2"/>
    <n v="3"/>
    <n v="28"/>
    <n v="3.8000000000000043"/>
    <n v="0.5"/>
    <x v="20"/>
    <n v="135.71428571428586"/>
    <n v="18.88684128571429"/>
    <n v="7"/>
    <n v="0.20000000000000284"/>
    <n v="17.290000000000003"/>
    <n v="28.571428571428978"/>
    <n v="13.604698428571448"/>
    <n v="18.02675"/>
    <n v="14.342017391652066"/>
  </r>
  <r>
    <x v="1"/>
    <x v="5"/>
    <n v="133"/>
    <n v="2.4700000000000002"/>
    <s v="2015W-1032"/>
    <d v="2015-02-10T00:00:00"/>
    <n v="52.6"/>
    <x v="0"/>
    <d v="2015-03-10T00:00:00"/>
    <n v="55.6"/>
    <n v="3"/>
    <n v="28"/>
    <n v="3"/>
    <n v="0.5"/>
    <x v="20"/>
    <n v="107.14285714285714"/>
    <n v="16.429911857142855"/>
    <n v="7"/>
    <n v="-0.39999999999999858"/>
    <n v="17.290000000000003"/>
    <n v="-57.14285714285694"/>
    <n v="8.3306261428571524"/>
    <n v="18.02675"/>
    <n v="8.7821119778216463"/>
  </r>
  <r>
    <x v="1"/>
    <x v="5"/>
    <n v="133"/>
    <n v="2.4700000000000002"/>
    <s v="2015W-1051"/>
    <d v="2015-02-10T00:00:00"/>
    <n v="53.6"/>
    <x v="4"/>
    <d v="2015-03-10T00:00:00"/>
    <n v="53.6"/>
    <n v="2.5"/>
    <n v="28"/>
    <n v="0"/>
    <n v="-0.5"/>
    <x v="20"/>
    <n v="0"/>
    <n v="11.063224"/>
    <n v="7"/>
    <n v="0.60000000000000142"/>
    <n v="17.290000000000003"/>
    <n v="85.714285714285921"/>
    <n v="15.288938285714295"/>
    <n v="15.952499999999999"/>
    <n v="14.262970058646623"/>
  </r>
  <r>
    <x v="1"/>
    <x v="5"/>
    <n v="133"/>
    <n v="2.4700000000000002"/>
    <s v="2015W-1077"/>
    <d v="2015-02-10T00:00:00"/>
    <n v="55.6"/>
    <x v="4"/>
    <d v="2015-03-10T00:00:00"/>
    <n v="61.2"/>
    <n v="4"/>
    <n v="28"/>
    <n v="5.6000000000000014"/>
    <n v="1"/>
    <x v="20"/>
    <n v="200.00000000000003"/>
    <n v="21.734856000000001"/>
    <n v="7"/>
    <n v="-1.2999999999999972"/>
    <n v="17.290000000000003"/>
    <n v="-185.7142857142853"/>
    <n v="2.7191417142857368"/>
    <n v="15.952499999999999"/>
    <n v="2.536672993984983"/>
  </r>
  <r>
    <x v="1"/>
    <x v="5"/>
    <n v="133"/>
    <n v="2.4700000000000002"/>
    <s v="2015W-1084"/>
    <d v="2015-02-10T00:00:00"/>
    <n v="59.8"/>
    <x v="9"/>
    <d v="2015-03-10T00:00:00"/>
    <n v="64.400000000000006"/>
    <n v="4"/>
    <n v="28"/>
    <n v="4.6000000000000085"/>
    <n v="0"/>
    <x v="20"/>
    <n v="164.28571428571459"/>
    <n v="20.599774714285729"/>
    <n v="7"/>
    <n v="-0.59999999999999432"/>
    <n v="17.290000000000003"/>
    <n v="-85.714285714284898"/>
    <n v="8.2747747142857548"/>
    <n v="11.803999999999998"/>
    <n v="5.7120140776274289"/>
  </r>
  <r>
    <x v="1"/>
    <x v="5"/>
    <n v="133"/>
    <n v="2.4700000000000002"/>
    <s v="2015W-1096"/>
    <d v="2015-02-10T00:00:00"/>
    <n v="53.8"/>
    <x v="0"/>
    <d v="2015-03-10T00:00:00"/>
    <n v="60.4"/>
    <n v="3.5"/>
    <n v="28"/>
    <n v="6.6000000000000014"/>
    <n v="1"/>
    <x v="20"/>
    <n v="235.71428571428578"/>
    <n v="23.275753285714288"/>
    <n v="7"/>
    <n v="0.39999999999999858"/>
    <n v="17.290000000000003"/>
    <n v="57.14285714285694"/>
    <n v="14.472181857142846"/>
    <n v="18.02675"/>
    <n v="15.25651487095028"/>
  </r>
  <r>
    <x v="1"/>
    <x v="5"/>
    <n v="133"/>
    <n v="2.4700000000000002"/>
    <s v="2015W-1098"/>
    <d v="2015-02-10T00:00:00"/>
    <n v="55.4"/>
    <x v="6"/>
    <d v="2015-03-10T00:00:00"/>
    <n v="58"/>
    <n v="4.5"/>
    <n v="28"/>
    <n v="2.6000000000000014"/>
    <n v="1"/>
    <x v="20"/>
    <n v="92.857142857142904"/>
    <n v="16.165260142857143"/>
    <n v="7"/>
    <n v="-1"/>
    <n v="17.290000000000003"/>
    <n v="-142.85714285714286"/>
    <n v="4.5445458571428583"/>
    <n v="13.878249999999998"/>
    <n v="3.6883241837364245"/>
  </r>
  <r>
    <x v="1"/>
    <x v="5"/>
    <n v="133"/>
    <n v="2.4700000000000002"/>
    <s v="2015W-1202"/>
    <d v="2015-02-10T00:00:00"/>
    <n v="57"/>
    <x v="6"/>
    <d v="2015-03-10T00:00:00"/>
    <n v="56.8"/>
    <n v="4"/>
    <n v="28"/>
    <n v="-0.20000000000000284"/>
    <n v="0.5"/>
    <x v="20"/>
    <n v="-7.1428571428572445"/>
    <n v="11.269078142857136"/>
    <n v="7"/>
    <n v="-0.70000000000000284"/>
    <n v="17.290000000000003"/>
    <n v="-100.00000000000041"/>
    <n v="6.6912209999999783"/>
    <n v="13.878249999999998"/>
    <n v="5.4305519206578756"/>
  </r>
  <r>
    <x v="1"/>
    <x v="5"/>
    <n v="133"/>
    <n v="2.4700000000000002"/>
    <s v="2015W-195"/>
    <d v="2015-02-10T00:00:00"/>
    <n v="58"/>
    <x v="0"/>
    <d v="2015-03-10T00:00:00"/>
    <n v="61"/>
    <n v="2.5"/>
    <n v="28"/>
    <n v="3"/>
    <n v="0"/>
    <x v="20"/>
    <n v="107.14285714285714"/>
    <n v="17.342997857142855"/>
    <n v="7"/>
    <n v="0.5"/>
    <n v="17.290000000000003"/>
    <n v="71.428571428571431"/>
    <n v="15.582283571428571"/>
    <n v="18.02675"/>
    <n v="16.426779553874265"/>
  </r>
  <r>
    <x v="1"/>
    <x v="5"/>
    <n v="133"/>
    <n v="2.4700000000000002"/>
    <s v="2015W-410"/>
    <d v="2015-02-10T00:00:00"/>
    <n v="57.6"/>
    <x v="4"/>
    <d v="2015-03-10T00:00:00"/>
    <n v="60.2"/>
    <n v="4"/>
    <n v="28"/>
    <n v="2.6000000000000014"/>
    <n v="1"/>
    <x v="20"/>
    <n v="92.857142857142904"/>
    <n v="16.537258142857144"/>
    <n v="7"/>
    <n v="1.7000000000000028"/>
    <n v="17.290000000000003"/>
    <n v="242.85714285714326"/>
    <n v="23.932258142857162"/>
    <n v="15.952499999999999"/>
    <n v="22.326277662218057"/>
  </r>
  <r>
    <x v="1"/>
    <x v="5"/>
    <n v="133"/>
    <n v="2.4700000000000002"/>
    <s v="2015W-457"/>
    <d v="2015-02-10T00:00:00"/>
    <n v="55.4"/>
    <x v="4"/>
    <d v="2015-03-10T00:00:00"/>
    <n v="56.8"/>
    <n v="3"/>
    <n v="28"/>
    <n v="1.3999999999999986"/>
    <n v="0"/>
    <x v="20"/>
    <n v="49.99999999999995"/>
    <n v="13.950948999999994"/>
    <n v="7"/>
    <n v="0.29999999999999716"/>
    <n v="17.290000000000003"/>
    <n v="42.857142857142449"/>
    <n v="13.598806142857121"/>
    <n v="15.952499999999999"/>
    <n v="12.686254678007497"/>
  </r>
  <r>
    <x v="1"/>
    <x v="5"/>
    <n v="133"/>
    <n v="2.4700000000000002"/>
    <s v="2015W-490"/>
    <d v="2015-02-10T00:00:00"/>
    <n v="58"/>
    <x v="4"/>
    <d v="2015-03-10T00:00:00"/>
    <n v="58.6"/>
    <n v="3"/>
    <n v="28"/>
    <n v="0.60000000000000142"/>
    <n v="0"/>
    <x v="20"/>
    <n v="21.42857142857148"/>
    <n v="12.914375571428574"/>
    <n v="7"/>
    <n v="-1.8999999999999986"/>
    <n v="17.290000000000003"/>
    <n v="-271.42857142857122"/>
    <n v="-1.5234815714285617"/>
    <n v="15.952499999999999"/>
    <n v="-1.4212479396616449"/>
  </r>
  <r>
    <x v="1"/>
    <x v="5"/>
    <n v="133"/>
    <n v="2.4700000000000002"/>
    <s v="2015W-525"/>
    <d v="2015-02-10T00:00:00"/>
    <n v="52.2"/>
    <x v="0"/>
    <d v="2015-03-10T00:00:00"/>
    <n v="60.8"/>
    <n v="3.5"/>
    <n v="28"/>
    <n v="8.5999999999999943"/>
    <n v="1"/>
    <x v="20"/>
    <n v="307.14285714285694"/>
    <n v="26.695727857142849"/>
    <n v="7"/>
    <n v="1.2999999999999972"/>
    <n v="17.290000000000003"/>
    <n v="185.7142857142853"/>
    <n v="20.709299285714266"/>
    <n v="18.02675"/>
    <n v="21.831658532090618"/>
  </r>
  <r>
    <x v="1"/>
    <x v="5"/>
    <n v="133"/>
    <n v="2.4700000000000002"/>
    <s v="2015W-536"/>
    <d v="2015-02-10T00:00:00"/>
    <n v="53.6"/>
    <x v="4"/>
    <d v="2015-03-10T00:00:00"/>
    <n v="60"/>
    <n v="4"/>
    <n v="28"/>
    <n v="6.3999999999999986"/>
    <n v="1"/>
    <x v="20"/>
    <n v="228.5714285714285"/>
    <n v="22.872883428571424"/>
    <n v="7"/>
    <n v="3"/>
    <n v="17.290000000000003"/>
    <n v="428.57142857142856"/>
    <n v="32.732883428571427"/>
    <n v="15.952499999999999"/>
    <n v="30.536334672180441"/>
  </r>
  <r>
    <x v="1"/>
    <x v="5"/>
    <n v="133"/>
    <n v="2.4700000000000002"/>
    <s v="2015W-709"/>
    <d v="2015-02-10T00:00:00"/>
    <n v="60"/>
    <x v="6"/>
    <d v="2015-03-10T00:00:00"/>
    <n v="66"/>
    <n v="4"/>
    <n v="28"/>
    <n v="6"/>
    <n v="0.5"/>
    <x v="20"/>
    <n v="214.28571428571428"/>
    <n v="23.21695571428571"/>
    <n v="7"/>
    <n v="2"/>
    <n v="17.290000000000003"/>
    <n v="285.71428571428572"/>
    <n v="26.738384285714282"/>
    <n v="13.878249999999998"/>
    <n v="21.700700684983286"/>
  </r>
  <r>
    <x v="1"/>
    <x v="5"/>
    <n v="133"/>
    <n v="2.4700000000000002"/>
    <s v="2015W-844"/>
    <d v="2015-02-10T00:00:00"/>
    <n v="52.6"/>
    <x v="0"/>
    <d v="2015-03-10T00:00:00"/>
    <n v="54.6"/>
    <n v="3"/>
    <n v="28"/>
    <n v="2"/>
    <n v="0.5"/>
    <x v="20"/>
    <n v="71.428571428571431"/>
    <n v="14.58465257142857"/>
    <n v="7"/>
    <n v="0.10000000000000142"/>
    <n v="17.290000000000003"/>
    <n v="14.285714285714489"/>
    <n v="11.767509714285724"/>
    <n v="18.02675"/>
    <n v="12.405260569707613"/>
  </r>
  <r>
    <x v="1"/>
    <x v="5"/>
    <n v="133"/>
    <n v="2.4700000000000002"/>
    <s v="2015W-922"/>
    <d v="2015-02-10T00:00:00"/>
    <n v="57.2"/>
    <x v="4"/>
    <d v="2015-03-10T00:00:00"/>
    <n v="62"/>
    <n v="3.5"/>
    <n v="28"/>
    <n v="4.7999999999999972"/>
    <n v="0.5"/>
    <x v="20"/>
    <n v="171.42857142857133"/>
    <n v="20.529192571428567"/>
    <n v="7"/>
    <n v="1"/>
    <n v="17.290000000000003"/>
    <n v="142.85714285714286"/>
    <n v="19.120621142857143"/>
    <n v="15.952499999999999"/>
    <n v="17.837526829323306"/>
  </r>
  <r>
    <x v="1"/>
    <x v="5"/>
    <n v="133"/>
    <n v="2.4700000000000002"/>
    <s v="2015W-941"/>
    <d v="2015-02-10T00:00:00"/>
    <n v="57.2"/>
    <x v="6"/>
    <d v="2015-03-10T00:00:00"/>
    <n v="56.8"/>
    <n v="3.5"/>
    <n v="28"/>
    <n v="-0.40000000000000568"/>
    <n v="0"/>
    <x v="20"/>
    <n v="-14.285714285714489"/>
    <n v="10.933844285714276"/>
    <n v="7"/>
    <n v="-2.2000000000000028"/>
    <n v="17.290000000000003"/>
    <n v="-314.28571428571468"/>
    <n v="-3.8561557142857321"/>
    <n v="13.878249999999998"/>
    <n v="-3.1296311720342662"/>
  </r>
  <r>
    <x v="1"/>
    <x v="5"/>
    <n v="133"/>
    <n v="2.4700000000000002"/>
    <s v="2015W-945"/>
    <d v="2015-02-10T00:00:00"/>
    <n v="54.6"/>
    <x v="4"/>
    <d v="2015-03-10T00:00:00"/>
    <n v="57.2"/>
    <n v="2.5"/>
    <n v="28"/>
    <n v="2.6000000000000014"/>
    <n v="-0.5"/>
    <x v="20"/>
    <n v="92.857142857142904"/>
    <n v="16.029988142857142"/>
    <n v="7"/>
    <n v="0.20000000000000284"/>
    <n v="17.290000000000003"/>
    <n v="28.571428571428978"/>
    <n v="12.860702428571448"/>
    <n v="15.952499999999999"/>
    <n v="11.997681607706784"/>
  </r>
  <r>
    <x v="1"/>
    <x v="5"/>
    <n v="133"/>
    <n v="2.4700000000000002"/>
    <s v="2015W-969"/>
    <d v="2015-02-10T00:00:00"/>
    <n v="55.2"/>
    <x v="4"/>
    <d v="2015-03-10T00:00:00"/>
    <n v="53"/>
    <n v="3.5"/>
    <n v="28"/>
    <n v="-2.2000000000000028"/>
    <n v="0.5"/>
    <x v="20"/>
    <n v="-78.571428571428669"/>
    <n v="7.2741975714285676"/>
    <n v="7"/>
    <n v="1"/>
    <n v="17.290000000000003"/>
    <n v="142.85714285714286"/>
    <n v="18.190626142857141"/>
    <n v="15.952499999999999"/>
    <n v="16.969939388533831"/>
  </r>
  <r>
    <x v="1"/>
    <x v="7"/>
    <n v="245"/>
    <n v="2.35"/>
    <s v="2014C-1033"/>
    <d v="2014-02-17T00:00:00"/>
    <n v="55.8"/>
    <x v="11"/>
    <d v="2014-03-18T00:00:00"/>
    <n v="61"/>
    <m/>
    <n v="29"/>
    <n v="5.2000000000000028"/>
    <m/>
    <x v="21"/>
    <n v="179.31034482758631"/>
    <n v="20.714856000000005"/>
    <n v="13"/>
    <n v="4.3999999999999986"/>
    <n v="30.55"/>
    <n v="338.4615384615384"/>
    <n v="28.561009846153837"/>
    <n v="17.100000000000001"/>
    <n v="28.561009846153837"/>
  </r>
  <r>
    <x v="1"/>
    <x v="7"/>
    <n v="245"/>
    <n v="2.35"/>
    <s v="2014C-1087"/>
    <d v="2014-02-17T00:00:00"/>
    <n v="56.2"/>
    <x v="11"/>
    <d v="2014-03-18T00:00:00"/>
    <n v="60.5"/>
    <m/>
    <n v="29"/>
    <n v="4.2999999999999972"/>
    <m/>
    <x v="21"/>
    <n v="148.27586206896544"/>
    <n v="19.176401499999997"/>
    <n v="13"/>
    <n v="0.5"/>
    <n v="30.55"/>
    <n v="38.461538461538467"/>
    <n v="13.762555346153846"/>
    <n v="17.100000000000001"/>
    <n v="13.762555346153846"/>
  </r>
  <r>
    <x v="1"/>
    <x v="7"/>
    <n v="245"/>
    <n v="2.35"/>
    <s v="2014C-1092"/>
    <d v="2014-02-17T00:00:00"/>
    <n v="54"/>
    <x v="11"/>
    <d v="2014-03-18T00:00:00"/>
    <n v="56"/>
    <m/>
    <n v="29"/>
    <n v="2"/>
    <m/>
    <x v="21"/>
    <n v="68.965517241379303"/>
    <n v="14.699949999999999"/>
    <n v="13"/>
    <n v="1.3999999999999986"/>
    <n v="30.55"/>
    <n v="107.69230769230759"/>
    <n v="16.609180769230761"/>
    <n v="17.100000000000001"/>
    <n v="16.609180769230761"/>
  </r>
  <r>
    <x v="1"/>
    <x v="7"/>
    <n v="245"/>
    <n v="2.35"/>
    <s v="2014C-1251"/>
    <d v="2014-02-17T00:00:00"/>
    <n v="58"/>
    <x v="11"/>
    <d v="2014-03-18T00:00:00"/>
    <n v="62"/>
    <m/>
    <n v="29"/>
    <n v="4"/>
    <m/>
    <x v="21"/>
    <n v="137.93103448275861"/>
    <n v="18.945399999999999"/>
    <n v="13"/>
    <n v="7"/>
    <n v="30.55"/>
    <n v="538.46153846153845"/>
    <n v="38.691553846153838"/>
    <n v="17.100000000000001"/>
    <n v="38.691553846153838"/>
  </r>
  <r>
    <x v="1"/>
    <x v="7"/>
    <n v="245"/>
    <n v="2.35"/>
    <s v="2014C-1260"/>
    <d v="2014-02-17T00:00:00"/>
    <n v="58.8"/>
    <x v="11"/>
    <d v="2014-03-18T00:00:00"/>
    <n v="66.5"/>
    <m/>
    <n v="29"/>
    <n v="7.7000000000000028"/>
    <m/>
    <x v="21"/>
    <n v="265.51724137931041"/>
    <n v="25.683488500000003"/>
    <n v="13"/>
    <n v="8.1000000000000014"/>
    <n v="30.55"/>
    <n v="623.07692307692321"/>
    <n v="43.31118080769231"/>
    <n v="17.100000000000001"/>
    <n v="43.31118080769231"/>
  </r>
  <r>
    <x v="1"/>
    <x v="7"/>
    <n v="245"/>
    <n v="2.35"/>
    <s v="2014C-1300"/>
    <d v="2014-02-17T00:00:00"/>
    <n v="52.2"/>
    <x v="11"/>
    <d v="2014-03-18T00:00:00"/>
    <n v="57"/>
    <m/>
    <n v="29"/>
    <n v="4.7999999999999972"/>
    <m/>
    <x v="21"/>
    <n v="165.51724137931026"/>
    <n v="19.392313999999995"/>
    <n v="13"/>
    <n v="3"/>
    <n v="30.55"/>
    <n v="230.76923076923077"/>
    <n v="22.60923707692308"/>
    <n v="17.100000000000001"/>
    <n v="22.60923707692308"/>
  </r>
  <r>
    <x v="1"/>
    <x v="7"/>
    <n v="245"/>
    <n v="2.35"/>
    <s v="2014C-138"/>
    <d v="2014-02-17T00:00:00"/>
    <n v="54.6"/>
    <x v="11"/>
    <d v="2014-03-18T00:00:00"/>
    <n v="56"/>
    <m/>
    <n v="29"/>
    <n v="1.3999999999999986"/>
    <m/>
    <x v="21"/>
    <n v="48.275862068965466"/>
    <n v="13.730676999999996"/>
    <n v="13"/>
    <n v="0.39999999999999858"/>
    <n v="30.55"/>
    <n v="30.76923076923066"/>
    <n v="12.86760007692307"/>
    <n v="17.100000000000001"/>
    <n v="12.86760007692307"/>
  </r>
  <r>
    <x v="1"/>
    <x v="7"/>
    <n v="245"/>
    <n v="2.35"/>
    <s v="2014C-1487"/>
    <d v="2014-02-17T00:00:00"/>
    <n v="54.6"/>
    <x v="11"/>
    <d v="2014-03-18T00:00:00"/>
    <n v="60.5"/>
    <m/>
    <n v="29"/>
    <n v="5.8999999999999986"/>
    <m/>
    <x v="21"/>
    <n v="203.44827586206893"/>
    <n v="21.761129499999996"/>
    <n v="13"/>
    <n v="4.7000000000000028"/>
    <n v="30.55"/>
    <n v="361.53846153846177"/>
    <n v="29.554975653846164"/>
    <n v="17.100000000000001"/>
    <n v="29.554975653846164"/>
  </r>
  <r>
    <x v="1"/>
    <x v="7"/>
    <n v="245"/>
    <n v="2.35"/>
    <s v="2014C-1493"/>
    <d v="2014-02-17T00:00:00"/>
    <n v="54"/>
    <x v="11"/>
    <d v="2014-03-18T00:00:00"/>
    <n v="60"/>
    <m/>
    <n v="29"/>
    <n v="6"/>
    <m/>
    <x v="21"/>
    <n v="206.89655172413794"/>
    <n v="21.83813"/>
    <n v="13"/>
    <n v="4.2000000000000028"/>
    <n v="30.55"/>
    <n v="323.07692307692332"/>
    <n v="27.565822307692319"/>
    <n v="17.100000000000001"/>
    <n v="27.565822307692319"/>
  </r>
  <r>
    <x v="1"/>
    <x v="7"/>
    <n v="245"/>
    <n v="2.35"/>
    <s v="2014C-1496"/>
    <d v="2014-02-17T00:00:00"/>
    <n v="57.2"/>
    <x v="11"/>
    <d v="2014-03-18T00:00:00"/>
    <n v="60.5"/>
    <m/>
    <n v="29"/>
    <n v="3.2999999999999972"/>
    <m/>
    <x v="21"/>
    <n v="113.79310344827577"/>
    <n v="17.560946499999993"/>
    <n v="13"/>
    <n v="2.5"/>
    <n v="30.55"/>
    <n v="192.30769230769232"/>
    <n v="21.431715730769227"/>
    <n v="17.100000000000001"/>
    <n v="21.431715730769227"/>
  </r>
  <r>
    <x v="1"/>
    <x v="7"/>
    <n v="245"/>
    <n v="2.35"/>
    <s v="2014C-1607"/>
    <d v="2014-02-17T00:00:00"/>
    <n v="64.2"/>
    <x v="11"/>
    <d v="2014-03-18T00:00:00"/>
    <n v="71.5"/>
    <m/>
    <n v="29"/>
    <n v="7.2999999999999972"/>
    <m/>
    <x v="21"/>
    <n v="251.72413793103436"/>
    <n v="25.882756499999992"/>
    <n v="13"/>
    <n v="5.5"/>
    <n v="30.55"/>
    <n v="423.07692307692309"/>
    <n v="34.330448807692306"/>
    <n v="17.100000000000001"/>
    <n v="34.330448807692306"/>
  </r>
  <r>
    <x v="1"/>
    <x v="7"/>
    <n v="245"/>
    <n v="2.35"/>
    <s v="2014C-1614"/>
    <d v="2014-02-17T00:00:00"/>
    <n v="48.4"/>
    <x v="11"/>
    <d v="2014-03-18T00:00:00"/>
    <n v="54.5"/>
    <m/>
    <n v="29"/>
    <n v="6.1000000000000014"/>
    <m/>
    <x v="21"/>
    <n v="210.34482758620695"/>
    <n v="21.069680500000004"/>
    <n v="13"/>
    <n v="1.8999999999999986"/>
    <n v="30.55"/>
    <n v="146.15384615384605"/>
    <n v="17.905065115384609"/>
    <n v="17.100000000000001"/>
    <n v="17.905065115384609"/>
  </r>
  <r>
    <x v="1"/>
    <x v="7"/>
    <n v="245"/>
    <n v="2.35"/>
    <s v="2014C-1640"/>
    <d v="2014-02-17T00:00:00"/>
    <n v="55"/>
    <x v="11"/>
    <d v="2014-03-18T00:00:00"/>
    <n v="59"/>
    <m/>
    <n v="29"/>
    <n v="4"/>
    <m/>
    <x v="21"/>
    <n v="137.93103448275861"/>
    <n v="18.438130000000001"/>
    <n v="13"/>
    <n v="6.3999999999999986"/>
    <n v="30.55"/>
    <n v="492.30769230769221"/>
    <n v="35.908899230769222"/>
    <n v="17.100000000000001"/>
    <n v="35.908899230769222"/>
  </r>
  <r>
    <x v="1"/>
    <x v="7"/>
    <n v="245"/>
    <n v="2.35"/>
    <s v="2014C-1699"/>
    <d v="2014-02-17T00:00:00"/>
    <n v="50.6"/>
    <x v="11"/>
    <d v="2014-03-18T00:00:00"/>
    <n v="55.5"/>
    <m/>
    <n v="29"/>
    <n v="4.8999999999999986"/>
    <m/>
    <x v="21"/>
    <n v="168.96551724137925"/>
    <n v="19.300224499999995"/>
    <n v="13"/>
    <n v="2.2999999999999972"/>
    <n v="30.55"/>
    <n v="176.92307692307671"/>
    <n v="19.692532192307681"/>
    <n v="17.100000000000001"/>
    <n v="19.692532192307681"/>
  </r>
  <r>
    <x v="1"/>
    <x v="7"/>
    <n v="245"/>
    <n v="2.35"/>
    <s v="2014C-1784"/>
    <d v="2014-02-17T00:00:00"/>
    <n v="51.6"/>
    <x v="11"/>
    <d v="2014-03-18T00:00:00"/>
    <n v="56"/>
    <m/>
    <n v="29"/>
    <n v="4.3999999999999986"/>
    <m/>
    <x v="21"/>
    <n v="151.72413793103442"/>
    <n v="18.577041999999995"/>
    <n v="13"/>
    <n v="2.3999999999999986"/>
    <n v="30.55"/>
    <n v="184.61538461538453"/>
    <n v="20.198580461538455"/>
    <n v="17.100000000000001"/>
    <n v="20.198580461538455"/>
  </r>
  <r>
    <x v="1"/>
    <x v="7"/>
    <n v="245"/>
    <n v="2.35"/>
    <s v="2014C-1908"/>
    <d v="2014-02-17T00:00:00"/>
    <n v="49.6"/>
    <x v="11"/>
    <d v="2014-03-18T00:00:00"/>
    <n v="53.5"/>
    <m/>
    <n v="29"/>
    <n v="3.8999999999999986"/>
    <m/>
    <x v="21"/>
    <n v="134.48275862068962"/>
    <n v="17.346589499999997"/>
    <n v="13"/>
    <n v="-0.89999999999999858"/>
    <n v="30.55"/>
    <n v="-69.230769230769127"/>
    <n v="7.3035125769230813"/>
    <n v="17.100000000000001"/>
    <n v="7.3035125769230813"/>
  </r>
  <r>
    <x v="1"/>
    <x v="7"/>
    <n v="245"/>
    <n v="2.35"/>
    <s v="2014C-1965"/>
    <d v="2014-02-17T00:00:00"/>
    <n v="52.4"/>
    <x v="11"/>
    <d v="2014-03-18T00:00:00"/>
    <n v="60"/>
    <m/>
    <n v="29"/>
    <n v="7.6000000000000014"/>
    <m/>
    <x v="21"/>
    <n v="262.06896551724139"/>
    <n v="24.422857999999998"/>
    <n v="13"/>
    <n v="4"/>
    <n v="30.55"/>
    <n v="307.69230769230774"/>
    <n v="26.672088769230768"/>
    <n v="17.100000000000001"/>
    <n v="26.672088769230768"/>
  </r>
  <r>
    <x v="1"/>
    <x v="7"/>
    <n v="245"/>
    <n v="2.35"/>
    <s v="2014C-2011"/>
    <d v="2014-02-17T00:00:00"/>
    <n v="50.6"/>
    <x v="11"/>
    <d v="2014-03-18T00:00:00"/>
    <n v="54.5"/>
    <m/>
    <n v="29"/>
    <n v="3.8999999999999986"/>
    <m/>
    <x v="21"/>
    <n v="134.48275862068962"/>
    <n v="17.515679499999997"/>
    <n v="13"/>
    <n v="1.5"/>
    <n v="30.55"/>
    <n v="115.38461538461539"/>
    <n v="16.574141038461537"/>
    <n v="17.100000000000001"/>
    <n v="16.574141038461537"/>
  </r>
  <r>
    <x v="1"/>
    <x v="7"/>
    <n v="245"/>
    <n v="2.35"/>
    <s v="2014C-2018"/>
    <d v="2014-02-17T00:00:00"/>
    <n v="50"/>
    <x v="11"/>
    <d v="2014-03-18T00:00:00"/>
    <n v="54.5"/>
    <m/>
    <n v="29"/>
    <n v="4.5"/>
    <m/>
    <x v="21"/>
    <n v="155.17241379310346"/>
    <n v="18.484952499999999"/>
    <n v="13"/>
    <n v="3.2999999999999972"/>
    <n v="30.55"/>
    <n v="253.84615384615361"/>
    <n v="23.349567884615372"/>
    <n v="17.100000000000001"/>
    <n v="23.349567884615372"/>
  </r>
  <r>
    <x v="1"/>
    <x v="7"/>
    <n v="245"/>
    <n v="2.35"/>
    <s v="2014C-2032"/>
    <d v="2014-02-17T00:00:00"/>
    <n v="55.4"/>
    <x v="11"/>
    <d v="2014-03-18T00:00:00"/>
    <n v="62.5"/>
    <m/>
    <n v="29"/>
    <n v="7.1000000000000014"/>
    <m/>
    <x v="21"/>
    <n v="244.8275862068966"/>
    <n v="24.037855500000003"/>
    <n v="13"/>
    <n v="5.5"/>
    <n v="30.55"/>
    <n v="423.07692307692309"/>
    <n v="32.82554780769231"/>
    <n v="17.100000000000001"/>
    <n v="32.82554780769231"/>
  </r>
  <r>
    <x v="1"/>
    <x v="7"/>
    <n v="245"/>
    <n v="2.35"/>
    <s v="2014C-2093"/>
    <d v="2014-02-17T00:00:00"/>
    <n v="56.2"/>
    <x v="11"/>
    <d v="2014-03-18T00:00:00"/>
    <n v="61.5"/>
    <m/>
    <n v="29"/>
    <n v="5.2999999999999972"/>
    <m/>
    <x v="21"/>
    <n v="182.75862068965506"/>
    <n v="20.960946499999991"/>
    <n v="13"/>
    <n v="0.5"/>
    <n v="30.55"/>
    <n v="38.461538461538467"/>
    <n v="13.847100346153844"/>
    <n v="17.100000000000001"/>
    <n v="13.847100346153844"/>
  </r>
  <r>
    <x v="1"/>
    <x v="7"/>
    <n v="245"/>
    <n v="2.35"/>
    <s v="2014C-2155"/>
    <d v="2014-02-17T00:00:00"/>
    <n v="51"/>
    <x v="11"/>
    <d v="2014-03-18T00:00:00"/>
    <n v="55"/>
    <m/>
    <n v="29"/>
    <n v="4"/>
    <m/>
    <x v="21"/>
    <n v="137.93103448275861"/>
    <n v="17.761769999999999"/>
    <n v="13"/>
    <n v="7.6000000000000014"/>
    <n v="30.55"/>
    <n v="584.61538461538476"/>
    <n v="39.783308461538468"/>
    <n v="17.100000000000001"/>
    <n v="39.783308461538468"/>
  </r>
  <r>
    <x v="1"/>
    <x v="7"/>
    <n v="245"/>
    <n v="2.35"/>
    <s v="2014C-2329"/>
    <d v="2014-02-17T00:00:00"/>
    <n v="51.4"/>
    <x v="11"/>
    <d v="2014-03-18T00:00:00"/>
    <n v="59.5"/>
    <m/>
    <n v="29"/>
    <n v="8.1000000000000014"/>
    <m/>
    <x v="21"/>
    <n v="279.31034482758628"/>
    <n v="25.146040500000002"/>
    <n v="13"/>
    <n v="6.7000000000000028"/>
    <n v="30.55"/>
    <n v="515.38461538461559"/>
    <n v="36.784502038461547"/>
    <n v="17.100000000000001"/>
    <n v="36.784502038461547"/>
  </r>
  <r>
    <x v="1"/>
    <x v="7"/>
    <n v="245"/>
    <n v="2.35"/>
    <s v="2014C-2332"/>
    <d v="2014-02-17T00:00:00"/>
    <n v="48.6"/>
    <x v="11"/>
    <d v="2014-03-18T00:00:00"/>
    <n v="51"/>
    <m/>
    <n v="29"/>
    <n v="2.3999999999999986"/>
    <m/>
    <x v="21"/>
    <n v="82.758620689655132"/>
    <n v="14.500681999999998"/>
    <n v="13"/>
    <n v="2.3999999999999986"/>
    <n v="30.55"/>
    <n v="184.61538461538453"/>
    <n v="19.522220461538456"/>
    <n v="17.100000000000001"/>
    <n v="19.522220461538456"/>
  </r>
  <r>
    <x v="1"/>
    <x v="7"/>
    <n v="245"/>
    <n v="2.35"/>
    <s v="2014C-2342"/>
    <d v="2014-02-17T00:00:00"/>
    <n v="48.6"/>
    <x v="11"/>
    <d v="2014-03-18T00:00:00"/>
    <n v="50.5"/>
    <m/>
    <n v="29"/>
    <n v="1.8999999999999986"/>
    <m/>
    <x v="21"/>
    <n v="65.517241379310292"/>
    <n v="13.608409499999995"/>
    <n v="13"/>
    <n v="2.7000000000000028"/>
    <n v="30.55"/>
    <n v="207.69230769230791"/>
    <n v="20.617640269230776"/>
    <n v="17.100000000000001"/>
    <n v="20.617640269230776"/>
  </r>
  <r>
    <x v="1"/>
    <x v="7"/>
    <n v="245"/>
    <n v="2.35"/>
    <s v="2014C-2410"/>
    <d v="2014-02-17T00:00:00"/>
    <n v="62.8"/>
    <x v="11"/>
    <d v="2014-03-18T00:00:00"/>
    <n v="66.5"/>
    <m/>
    <n v="29"/>
    <n v="3.7000000000000028"/>
    <m/>
    <x v="21"/>
    <n v="127.58620689655181"/>
    <n v="19.221668500000003"/>
    <n v="13"/>
    <n v="2.5"/>
    <n v="30.55"/>
    <n v="192.30769230769232"/>
    <n v="22.412437730769231"/>
    <n v="17.100000000000001"/>
    <n v="22.412437730769231"/>
  </r>
  <r>
    <x v="1"/>
    <x v="7"/>
    <n v="245"/>
    <n v="2.35"/>
    <s v="2014C-2459"/>
    <d v="2014-02-17T00:00:00"/>
    <n v="55"/>
    <x v="11"/>
    <d v="2014-03-18T00:00:00"/>
    <n v="61"/>
    <m/>
    <n v="29"/>
    <n v="6"/>
    <m/>
    <x v="21"/>
    <n v="206.89655172413794"/>
    <n v="22.007219999999997"/>
    <n v="13"/>
    <n v="5.7999999999999972"/>
    <n v="30.55"/>
    <n v="446.15384615384596"/>
    <n v="33.802604615384602"/>
    <n v="17.100000000000001"/>
    <n v="33.802604615384602"/>
  </r>
  <r>
    <x v="1"/>
    <x v="7"/>
    <n v="245"/>
    <n v="2.35"/>
    <s v="2014C-2522"/>
    <d v="2014-02-17T00:00:00"/>
    <n v="63.2"/>
    <x v="11"/>
    <d v="2014-03-18T00:00:00"/>
    <n v="61.5"/>
    <m/>
    <n v="29"/>
    <n v="-1.7000000000000028"/>
    <m/>
    <x v="21"/>
    <n v="-58.620689655172512"/>
    <n v="9.6527614999999951"/>
    <n v="13"/>
    <n v="0.10000000000000142"/>
    <n v="30.55"/>
    <n v="7.6923076923078018"/>
    <n v="12.921992269230774"/>
    <n v="17.100000000000001"/>
    <n v="12.921992269230774"/>
  </r>
  <r>
    <x v="1"/>
    <x v="7"/>
    <n v="245"/>
    <n v="2.35"/>
    <s v="2014C-258"/>
    <d v="2014-02-17T00:00:00"/>
    <n v="51.8"/>
    <x v="11"/>
    <d v="2014-03-18T00:00:00"/>
    <n v="56"/>
    <m/>
    <n v="29"/>
    <n v="4.2000000000000028"/>
    <m/>
    <x v="21"/>
    <n v="144.82758620689665"/>
    <n v="18.253951000000001"/>
    <n v="13"/>
    <n v="4.6000000000000014"/>
    <n v="30.55"/>
    <n v="353.84615384615398"/>
    <n v="28.558566384615389"/>
    <n v="17.100000000000001"/>
    <n v="28.558566384615389"/>
  </r>
  <r>
    <x v="1"/>
    <x v="7"/>
    <n v="245"/>
    <n v="2.35"/>
    <s v="2014C-2655"/>
    <d v="2014-02-17T00:00:00"/>
    <n v="56.2"/>
    <x v="11"/>
    <d v="2014-03-18T00:00:00"/>
    <n v="62.5"/>
    <m/>
    <n v="29"/>
    <n v="6.2999999999999972"/>
    <m/>
    <x v="21"/>
    <n v="217.24137931034474"/>
    <n v="22.745491499999993"/>
    <n v="13"/>
    <n v="8.8999999999999986"/>
    <n v="30.55"/>
    <n v="684.61538461538453"/>
    <n v="45.787029961538451"/>
    <n v="17.100000000000001"/>
    <n v="45.787029961538451"/>
  </r>
  <r>
    <x v="1"/>
    <x v="7"/>
    <n v="245"/>
    <n v="2.35"/>
    <s v="2014C-2661"/>
    <d v="2014-02-17T00:00:00"/>
    <n v="59.6"/>
    <x v="11"/>
    <d v="2014-03-18T00:00:00"/>
    <n v="65"/>
    <m/>
    <n v="29"/>
    <n v="5.3999999999999986"/>
    <m/>
    <x v="21"/>
    <n v="186.2068965517241"/>
    <n v="21.714306999999998"/>
    <n v="13"/>
    <n v="5.7999999999999972"/>
    <n v="30.55"/>
    <n v="446.15384615384596"/>
    <n v="34.529691615384607"/>
    <n v="17.100000000000001"/>
    <n v="34.529691615384607"/>
  </r>
  <r>
    <x v="1"/>
    <x v="7"/>
    <n v="245"/>
    <n v="2.35"/>
    <s v="2014C-2663"/>
    <d v="2014-02-17T00:00:00"/>
    <n v="49.4"/>
    <x v="11"/>
    <d v="2014-03-18T00:00:00"/>
    <n v="53"/>
    <m/>
    <n v="29"/>
    <n v="3.6000000000000014"/>
    <m/>
    <x v="21"/>
    <n v="124.13793103448282"/>
    <n v="16.777408000000001"/>
    <n v="13"/>
    <n v="3.3999999999999986"/>
    <n v="30.55"/>
    <n v="261.53846153846143"/>
    <n v="23.551254153846148"/>
    <n v="17.100000000000001"/>
    <n v="23.551254153846148"/>
  </r>
  <r>
    <x v="1"/>
    <x v="7"/>
    <n v="245"/>
    <n v="2.35"/>
    <s v="2014C-2685"/>
    <d v="2014-02-17T00:00:00"/>
    <n v="52.8"/>
    <x v="11"/>
    <d v="2014-03-18T00:00:00"/>
    <n v="60"/>
    <m/>
    <n v="29"/>
    <n v="7.2000000000000028"/>
    <m/>
    <x v="21"/>
    <n v="248.27586206896564"/>
    <n v="23.776676000000002"/>
    <n v="13"/>
    <n v="3.2000000000000028"/>
    <n v="30.55"/>
    <n v="246.15384615384636"/>
    <n v="23.672060615384623"/>
    <n v="17.100000000000001"/>
    <n v="23.672060615384623"/>
  </r>
  <r>
    <x v="1"/>
    <x v="7"/>
    <n v="245"/>
    <n v="2.35"/>
    <s v="2014C-2719"/>
    <d v="2014-02-17T00:00:00"/>
    <n v="61.2"/>
    <x v="11"/>
    <d v="2014-03-18T00:00:00"/>
    <n v="62"/>
    <m/>
    <n v="29"/>
    <n v="0.79999999999999716"/>
    <m/>
    <x v="21"/>
    <n v="27.586206896551626"/>
    <n v="13.775943999999996"/>
    <n v="13"/>
    <n v="4.2000000000000028"/>
    <n v="30.55"/>
    <n v="323.07692307692332"/>
    <n v="28.343636307692318"/>
    <n v="17.100000000000001"/>
    <n v="28.343636307692318"/>
  </r>
  <r>
    <x v="1"/>
    <x v="7"/>
    <n v="245"/>
    <n v="2.35"/>
    <s v="2014C-2720"/>
    <d v="2014-02-17T00:00:00"/>
    <n v="50.6"/>
    <x v="11"/>
    <d v="2014-03-18T00:00:00"/>
    <n v="57"/>
    <m/>
    <n v="29"/>
    <n v="6.3999999999999986"/>
    <m/>
    <x v="21"/>
    <n v="220.68965517241372"/>
    <n v="21.977041999999997"/>
    <n v="13"/>
    <n v="6.7999999999999972"/>
    <n v="30.55"/>
    <n v="523.07692307692287"/>
    <n v="36.884734307692298"/>
    <n v="17.100000000000001"/>
    <n v="36.884734307692298"/>
  </r>
  <r>
    <x v="1"/>
    <x v="7"/>
    <n v="245"/>
    <n v="2.35"/>
    <s v="2014C-2774"/>
    <d v="2014-02-17T00:00:00"/>
    <n v="50.4"/>
    <x v="11"/>
    <d v="2014-03-18T00:00:00"/>
    <n v="55"/>
    <m/>
    <n v="29"/>
    <n v="4.6000000000000014"/>
    <m/>
    <x v="21"/>
    <n v="158.62068965517244"/>
    <n v="18.731043"/>
    <n v="13"/>
    <n v="3.2000000000000028"/>
    <n v="30.55"/>
    <n v="246.15384615384636"/>
    <n v="23.046427615384623"/>
    <n v="17.100000000000001"/>
    <n v="23.046427615384623"/>
  </r>
  <r>
    <x v="1"/>
    <x v="7"/>
    <n v="245"/>
    <n v="2.35"/>
    <s v="2014C-2873"/>
    <d v="2014-02-17T00:00:00"/>
    <n v="56.4"/>
    <x v="11"/>
    <d v="2014-03-18T00:00:00"/>
    <n v="57.5"/>
    <m/>
    <n v="29"/>
    <n v="1.1000000000000014"/>
    <m/>
    <x v="21"/>
    <n v="37.931034482758669"/>
    <n v="13.499675500000002"/>
    <n v="13"/>
    <n v="-2.5"/>
    <n v="30.55"/>
    <n v="-192.30769230769232"/>
    <n v="2.1489062692307694"/>
    <n v="17.100000000000001"/>
    <n v="2.1489062692307694"/>
  </r>
  <r>
    <x v="1"/>
    <x v="7"/>
    <n v="245"/>
    <n v="2.35"/>
    <s v="2014C-2888"/>
    <d v="2014-02-17T00:00:00"/>
    <n v="58.2"/>
    <x v="11"/>
    <d v="2014-03-18T00:00:00"/>
    <n v="59.5"/>
    <m/>
    <n v="29"/>
    <n v="1.2999999999999972"/>
    <m/>
    <x v="21"/>
    <n v="44.827586206896456"/>
    <n v="14.160946499999994"/>
    <n v="13"/>
    <n v="2.7000000000000028"/>
    <n v="30.55"/>
    <n v="207.69230769230791"/>
    <n v="22.19017726923078"/>
    <n v="17.100000000000001"/>
    <n v="22.19017726923078"/>
  </r>
  <r>
    <x v="1"/>
    <x v="7"/>
    <n v="245"/>
    <n v="2.35"/>
    <s v="2014C-2975"/>
    <d v="2014-02-17T00:00:00"/>
    <n v="53.8"/>
    <x v="11"/>
    <d v="2014-03-18T00:00:00"/>
    <n v="59"/>
    <m/>
    <n v="29"/>
    <n v="5.2000000000000028"/>
    <m/>
    <x v="21"/>
    <n v="179.31034482758631"/>
    <n v="20.376676000000003"/>
    <n v="13"/>
    <n v="7.3999999999999986"/>
    <n v="30.55"/>
    <n v="569.23076923076906"/>
    <n v="39.599752923076913"/>
    <n v="17.100000000000001"/>
    <n v="39.599752923076913"/>
  </r>
  <r>
    <x v="1"/>
    <x v="7"/>
    <n v="245"/>
    <n v="2.35"/>
    <s v="2014C-2987"/>
    <d v="2014-02-17T00:00:00"/>
    <n v="59.2"/>
    <x v="11"/>
    <d v="2014-03-18T00:00:00"/>
    <n v="58"/>
    <m/>
    <n v="29"/>
    <n v="-1.2000000000000028"/>
    <m/>
    <x v="21"/>
    <n v="-41.37931034482768"/>
    <n v="9.8686739999999951"/>
    <n v="13"/>
    <n v="-0.79999999999999716"/>
    <n v="30.55"/>
    <n v="-61.53846153846132"/>
    <n v="8.8748278461538561"/>
    <n v="17.100000000000001"/>
    <n v="8.8748278461538561"/>
  </r>
  <r>
    <x v="1"/>
    <x v="7"/>
    <n v="245"/>
    <n v="2.35"/>
    <s v="2014C-299"/>
    <d v="2014-02-17T00:00:00"/>
    <n v="52"/>
    <x v="11"/>
    <d v="2014-03-18T00:00:00"/>
    <n v="59.5"/>
    <m/>
    <n v="29"/>
    <n v="7.5"/>
    <m/>
    <x v="21"/>
    <n v="258.62068965517244"/>
    <n v="24.176767499999997"/>
    <n v="13"/>
    <n v="6.5"/>
    <n v="30.55"/>
    <n v="500"/>
    <n v="36.076767499999995"/>
    <n v="17.100000000000001"/>
    <n v="36.076767499999995"/>
  </r>
  <r>
    <x v="1"/>
    <x v="7"/>
    <n v="245"/>
    <n v="2.35"/>
    <s v="2014C-37"/>
    <d v="2014-02-17T00:00:00"/>
    <n v="60.6"/>
    <x v="11"/>
    <d v="2014-03-18T00:00:00"/>
    <n v="62.5"/>
    <m/>
    <n v="29"/>
    <n v="1.8999999999999986"/>
    <m/>
    <x v="21"/>
    <n v="65.517241379310292"/>
    <n v="15.637489499999996"/>
    <n v="13"/>
    <n v="6.2999999999999972"/>
    <n v="30.55"/>
    <n v="484.61538461538441"/>
    <n v="36.299027961538449"/>
    <n v="17.100000000000001"/>
    <n v="36.299027961538449"/>
  </r>
  <r>
    <x v="1"/>
    <x v="7"/>
    <n v="245"/>
    <n v="2.35"/>
    <s v="2014C-379"/>
    <d v="2014-02-17T00:00:00"/>
    <n v="51.2"/>
    <x v="11"/>
    <d v="2014-03-18T00:00:00"/>
    <n v="55"/>
    <m/>
    <n v="29"/>
    <n v="3.7999999999999972"/>
    <m/>
    <x v="21"/>
    <n v="131.03448275862058"/>
    <n v="17.438678999999993"/>
    <n v="13"/>
    <n v="5.6000000000000014"/>
    <n v="30.55"/>
    <n v="430.76923076923089"/>
    <n v="32.215602076923084"/>
    <n v="17.100000000000001"/>
    <n v="32.215602076923084"/>
  </r>
  <r>
    <x v="1"/>
    <x v="7"/>
    <n v="245"/>
    <n v="2.35"/>
    <s v="2014C-382"/>
    <d v="2014-02-17T00:00:00"/>
    <n v="63.4"/>
    <x v="11"/>
    <d v="2014-03-18T00:00:00"/>
    <n v="71"/>
    <m/>
    <n v="29"/>
    <n v="7.6000000000000014"/>
    <m/>
    <x v="21"/>
    <n v="262.06896551724139"/>
    <n v="26.282848000000001"/>
    <n v="13"/>
    <n v="7"/>
    <n v="30.55"/>
    <n v="538.46153846153845"/>
    <n v="39.909001846153842"/>
    <n v="17.100000000000001"/>
    <n v="39.909001846153842"/>
  </r>
  <r>
    <x v="1"/>
    <x v="7"/>
    <n v="245"/>
    <n v="2.35"/>
    <s v="2014C-387"/>
    <d v="2014-02-17T00:00:00"/>
    <n v="57.4"/>
    <x v="11"/>
    <d v="2014-03-18T00:00:00"/>
    <n v="60"/>
    <m/>
    <n v="29"/>
    <n v="2.6000000000000014"/>
    <m/>
    <x v="21"/>
    <n v="89.655172413793153"/>
    <n v="16.345583000000001"/>
    <n v="13"/>
    <n v="4.6000000000000014"/>
    <n v="30.55"/>
    <n v="353.84615384615398"/>
    <n v="29.370198384615389"/>
    <n v="17.100000000000001"/>
    <n v="29.370198384615389"/>
  </r>
  <r>
    <x v="1"/>
    <x v="7"/>
    <n v="245"/>
    <n v="2.35"/>
    <s v="2014C-481"/>
    <d v="2014-02-17T00:00:00"/>
    <n v="56.8"/>
    <x v="11"/>
    <d v="2014-03-18T00:00:00"/>
    <n v="63"/>
    <m/>
    <n v="29"/>
    <n v="6.2000000000000028"/>
    <m/>
    <x v="21"/>
    <n v="213.79310344827596"/>
    <n v="22.668491000000003"/>
    <n v="13"/>
    <n v="3.7999999999999972"/>
    <n v="30.55"/>
    <n v="292.30769230769209"/>
    <n v="26.539260230769216"/>
    <n v="17.100000000000001"/>
    <n v="26.539260230769216"/>
  </r>
  <r>
    <x v="1"/>
    <x v="7"/>
    <n v="245"/>
    <n v="2.35"/>
    <s v="2014C-50"/>
    <d v="2014-02-17T00:00:00"/>
    <n v="54.4"/>
    <x v="11"/>
    <d v="2014-03-18T00:00:00"/>
    <n v="59"/>
    <m/>
    <n v="29"/>
    <n v="4.6000000000000014"/>
    <m/>
    <x v="21"/>
    <n v="158.62068965517244"/>
    <n v="19.407403000000002"/>
    <n v="13"/>
    <n v="3.3999999999999986"/>
    <n v="30.55"/>
    <n v="261.53846153846143"/>
    <n v="24.48124915384615"/>
    <n v="17.100000000000001"/>
    <n v="24.48124915384615"/>
  </r>
  <r>
    <x v="1"/>
    <x v="7"/>
    <n v="245"/>
    <n v="2.35"/>
    <s v="2014C-648"/>
    <d v="2014-02-17T00:00:00"/>
    <n v="52.4"/>
    <x v="11"/>
    <d v="2014-03-18T00:00:00"/>
    <n v="58.5"/>
    <m/>
    <n v="29"/>
    <n v="6.1000000000000014"/>
    <m/>
    <x v="21"/>
    <n v="210.34482758620695"/>
    <n v="21.746040500000003"/>
    <n v="13"/>
    <n v="3.5"/>
    <n v="30.55"/>
    <n v="269.23076923076923"/>
    <n v="24.649117423076923"/>
    <n v="17.100000000000001"/>
    <n v="24.649117423076923"/>
  </r>
  <r>
    <x v="1"/>
    <x v="7"/>
    <n v="245"/>
    <n v="2.35"/>
    <s v="2014C-73"/>
    <d v="2014-02-17T00:00:00"/>
    <n v="52.8"/>
    <x v="11"/>
    <d v="2014-03-18T00:00:00"/>
    <n v="56"/>
    <m/>
    <n v="29"/>
    <n v="3.2000000000000028"/>
    <m/>
    <x v="21"/>
    <n v="110.34482758620699"/>
    <n v="16.638496000000004"/>
    <n v="13"/>
    <n v="5.3999999999999986"/>
    <n v="30.55"/>
    <n v="415.3846153846153"/>
    <n v="31.676957538461533"/>
    <n v="17.100000000000001"/>
    <n v="31.676957538461537"/>
  </r>
  <r>
    <x v="1"/>
    <x v="7"/>
    <n v="245"/>
    <n v="2.35"/>
    <s v="2014C-733"/>
    <d v="2014-02-17T00:00:00"/>
    <n v="54.4"/>
    <x v="11"/>
    <d v="2014-03-18T00:00:00"/>
    <n v="63"/>
    <m/>
    <n v="29"/>
    <n v="8.6000000000000014"/>
    <m/>
    <x v="21"/>
    <n v="296.55172413793105"/>
    <n v="26.545583000000001"/>
    <n v="13"/>
    <n v="4.7999999999999972"/>
    <n v="30.55"/>
    <n v="369.23076923076906"/>
    <n v="30.128659923076913"/>
    <n v="17.100000000000001"/>
    <n v="30.128659923076913"/>
  </r>
  <r>
    <x v="1"/>
    <x v="7"/>
    <n v="245"/>
    <n v="2.35"/>
    <s v="2014C-760"/>
    <d v="2014-02-17T00:00:00"/>
    <n v="57"/>
    <x v="11"/>
    <d v="2014-03-18T00:00:00"/>
    <n v="53"/>
    <m/>
    <n v="29"/>
    <n v="-4"/>
    <m/>
    <x v="21"/>
    <n v="-137.93103448275861"/>
    <n v="4.4999499999999992"/>
    <n v="13"/>
    <n v="0"/>
    <n v="30.55"/>
    <n v="0"/>
    <n v="11.299949999999999"/>
    <n v="17.100000000000001"/>
    <n v="11.299949999999999"/>
  </r>
  <r>
    <x v="1"/>
    <x v="7"/>
    <n v="245"/>
    <n v="2.35"/>
    <s v="2014C-78"/>
    <d v="2014-02-17T00:00:00"/>
    <n v="54.2"/>
    <x v="11"/>
    <d v="2014-03-18T00:00:00"/>
    <n v="60.5"/>
    <m/>
    <n v="29"/>
    <n v="6.2999999999999972"/>
    <m/>
    <x v="21"/>
    <n v="217.24137931034474"/>
    <n v="22.407311499999995"/>
    <n v="13"/>
    <n v="4.8999999999999986"/>
    <n v="30.55"/>
    <n v="376.92307692307679"/>
    <n v="30.279619192307685"/>
    <n v="17.100000000000001"/>
    <n v="30.279619192307685"/>
  </r>
  <r>
    <x v="1"/>
    <x v="7"/>
    <n v="245"/>
    <n v="2.35"/>
    <s v="2014C-914"/>
    <d v="2014-02-17T00:00:00"/>
    <n v="54.4"/>
    <x v="11"/>
    <d v="2014-03-18T00:00:00"/>
    <n v="59.5"/>
    <m/>
    <n v="29"/>
    <n v="5.1000000000000014"/>
    <m/>
    <x v="21"/>
    <n v="175.8620689655173"/>
    <n v="20.299675499999999"/>
    <n v="13"/>
    <n v="5.2999999999999972"/>
    <n v="30.55"/>
    <n v="407.69230769230745"/>
    <n v="31.728906269230755"/>
    <n v="17.100000000000001"/>
    <n v="31.728906269230755"/>
  </r>
  <r>
    <x v="1"/>
    <x v="8"/>
    <n v="161"/>
    <n v="2.36"/>
    <s v="2014SB-1048"/>
    <d v="2014-02-17T00:00:00"/>
    <n v="53.2"/>
    <x v="11"/>
    <d v="2014-03-18T00:00:00"/>
    <n v="58.5"/>
    <m/>
    <n v="29"/>
    <n v="5.2999999999999972"/>
    <m/>
    <x v="22"/>
    <n v="182.75862068965506"/>
    <n v="20.453676499999993"/>
    <n v="13"/>
    <n v="-0.10000000000000142"/>
    <n v="30.68"/>
    <n v="-7.6923076923078018"/>
    <n v="11.064445730769226"/>
    <n v="17.100000000000001"/>
    <n v="11.064445730769226"/>
  </r>
  <r>
    <x v="1"/>
    <x v="8"/>
    <n v="161"/>
    <n v="2.36"/>
    <s v="2014SB-1205"/>
    <d v="2014-02-17T00:00:00"/>
    <n v="54.4"/>
    <x v="11"/>
    <d v="2014-03-18T00:00:00"/>
    <n v="60"/>
    <m/>
    <n v="29"/>
    <n v="5.6000000000000014"/>
    <m/>
    <x v="22"/>
    <n v="193.10344827586212"/>
    <n v="21.191948000000004"/>
    <n v="13"/>
    <n v="0.20000000000000284"/>
    <n v="30.68"/>
    <n v="15.384615384615604"/>
    <n v="12.43040953846155"/>
    <n v="17.100000000000001"/>
    <n v="12.43040953846155"/>
  </r>
  <r>
    <x v="1"/>
    <x v="8"/>
    <n v="161"/>
    <n v="2.36"/>
    <s v="2014SB-1224"/>
    <d v="2014-02-17T00:00:00"/>
    <n v="53.2"/>
    <x v="11"/>
    <d v="2014-03-18T00:00:00"/>
    <n v="60"/>
    <m/>
    <n v="29"/>
    <n v="6.7999999999999972"/>
    <m/>
    <x v="22"/>
    <n v="234.48275862068957"/>
    <n v="23.130493999999995"/>
    <n v="13"/>
    <n v="0"/>
    <n v="30.68"/>
    <n v="0"/>
    <n v="11.570494"/>
    <n v="17.100000000000001"/>
    <n v="11.570494"/>
  </r>
  <r>
    <x v="1"/>
    <x v="8"/>
    <n v="161"/>
    <n v="2.36"/>
    <s v="2014SB-1234"/>
    <d v="2014-02-17T00:00:00"/>
    <n v="52.4"/>
    <x v="11"/>
    <d v="2014-03-18T00:00:00"/>
    <n v="57.5"/>
    <m/>
    <n v="29"/>
    <n v="5.1000000000000014"/>
    <m/>
    <x v="22"/>
    <n v="175.8620689655173"/>
    <n v="19.961495500000002"/>
    <n v="13"/>
    <n v="-0.29999999999999716"/>
    <n v="30.68"/>
    <n v="-23.07692307692286"/>
    <n v="10.153803192307702"/>
    <n v="17.100000000000001"/>
    <n v="10.153803192307702"/>
  </r>
  <r>
    <x v="1"/>
    <x v="8"/>
    <n v="161"/>
    <n v="2.36"/>
    <s v="2014SB-1248"/>
    <d v="2014-02-17T00:00:00"/>
    <n v="54.8"/>
    <x v="11"/>
    <d v="2014-03-18T00:00:00"/>
    <n v="64.5"/>
    <m/>
    <n v="29"/>
    <n v="9.7000000000000028"/>
    <m/>
    <x v="22"/>
    <n v="334.48275862068976"/>
    <n v="28.576218500000003"/>
    <n v="13"/>
    <n v="1.7000000000000028"/>
    <n v="30.68"/>
    <n v="130.769230769231"/>
    <n v="18.533141576923086"/>
    <n v="17.100000000000001"/>
    <n v="18.533141576923086"/>
  </r>
  <r>
    <x v="1"/>
    <x v="8"/>
    <n v="161"/>
    <n v="2.36"/>
    <s v="2014SB-1252"/>
    <d v="2014-02-17T00:00:00"/>
    <n v="54.6"/>
    <x v="11"/>
    <d v="2014-03-18T00:00:00"/>
    <n v="62.5"/>
    <m/>
    <n v="29"/>
    <n v="7.8999999999999986"/>
    <m/>
    <x v="22"/>
    <n v="272.4137931034482"/>
    <n v="25.330219499999995"/>
    <n v="13"/>
    <n v="0.70000000000000284"/>
    <n v="30.68"/>
    <n v="53.846153846154067"/>
    <n v="14.554834884615394"/>
    <n v="17.100000000000001"/>
    <n v="14.554834884615394"/>
  </r>
  <r>
    <x v="1"/>
    <x v="8"/>
    <n v="161"/>
    <n v="2.36"/>
    <s v="2014SB-1277"/>
    <d v="2014-02-17T00:00:00"/>
    <n v="50.6"/>
    <x v="11"/>
    <d v="2014-03-18T00:00:00"/>
    <n v="57"/>
    <m/>
    <n v="29"/>
    <n v="6.3999999999999986"/>
    <m/>
    <x v="22"/>
    <n v="220.68965517241372"/>
    <n v="21.977041999999997"/>
    <n v="13"/>
    <n v="-0.39999999999999858"/>
    <n v="30.68"/>
    <n v="-30.76923076923066"/>
    <n v="9.5801189230769275"/>
    <n v="17.100000000000001"/>
    <n v="9.5801189230769275"/>
  </r>
  <r>
    <x v="1"/>
    <x v="8"/>
    <n v="161"/>
    <n v="2.36"/>
    <s v="2014SB-1283"/>
    <d v="2014-02-17T00:00:00"/>
    <n v="54.6"/>
    <x v="11"/>
    <d v="2014-03-18T00:00:00"/>
    <n v="62.5"/>
    <m/>
    <n v="29"/>
    <n v="7.8999999999999986"/>
    <m/>
    <x v="22"/>
    <n v="272.4137931034482"/>
    <n v="25.330219499999995"/>
    <n v="13"/>
    <n v="1.7000000000000028"/>
    <n v="30.68"/>
    <n v="130.769230769231"/>
    <n v="18.347142576923087"/>
    <n v="17.100000000000001"/>
    <n v="18.347142576923087"/>
  </r>
  <r>
    <x v="1"/>
    <x v="8"/>
    <n v="161"/>
    <n v="2.36"/>
    <s v="2014SB-1424"/>
    <d v="2014-02-17T00:00:00"/>
    <n v="51"/>
    <x v="11"/>
    <d v="2014-03-18T00:00:00"/>
    <n v="58.5"/>
    <m/>
    <n v="29"/>
    <n v="7.5"/>
    <m/>
    <x v="22"/>
    <n v="258.62068965517244"/>
    <n v="24.0076775"/>
    <n v="13"/>
    <n v="1.5"/>
    <n v="30.68"/>
    <n v="115.38461538461539"/>
    <n v="16.946139038461538"/>
    <n v="17.100000000000001"/>
    <n v="16.946139038461538"/>
  </r>
  <r>
    <x v="1"/>
    <x v="8"/>
    <n v="161"/>
    <n v="2.36"/>
    <s v="2014SB-1492"/>
    <d v="2014-02-17T00:00:00"/>
    <n v="52.8"/>
    <x v="11"/>
    <d v="2014-03-18T00:00:00"/>
    <n v="59.5"/>
    <m/>
    <n v="29"/>
    <n v="6.7000000000000028"/>
    <m/>
    <x v="22"/>
    <n v="231.03448275862078"/>
    <n v="22.884403500000005"/>
    <n v="13"/>
    <n v="1.8999999999999986"/>
    <n v="30.68"/>
    <n v="146.15384615384605"/>
    <n v="18.699788115384607"/>
    <n v="17.100000000000001"/>
    <n v="18.699788115384607"/>
  </r>
  <r>
    <x v="1"/>
    <x v="8"/>
    <n v="161"/>
    <n v="2.36"/>
    <s v="2014SB-1639"/>
    <d v="2014-02-17T00:00:00"/>
    <n v="56.2"/>
    <x v="11"/>
    <d v="2014-03-18T00:00:00"/>
    <n v="62.5"/>
    <m/>
    <n v="29"/>
    <n v="6.2999999999999972"/>
    <m/>
    <x v="22"/>
    <n v="217.24137931034474"/>
    <n v="22.745491499999993"/>
    <n v="13"/>
    <n v="-1.9000000000000057"/>
    <n v="30.68"/>
    <n v="-146.15384615384659"/>
    <n v="4.830106884615363"/>
    <n v="17.100000000000001"/>
    <n v="4.830106884615363"/>
  </r>
  <r>
    <x v="1"/>
    <x v="8"/>
    <n v="161"/>
    <n v="2.36"/>
    <s v="2014SB-1686"/>
    <d v="2014-02-17T00:00:00"/>
    <n v="53.4"/>
    <x v="11"/>
    <d v="2014-03-18T00:00:00"/>
    <n v="56.5"/>
    <m/>
    <n v="29"/>
    <n v="3.1000000000000014"/>
    <m/>
    <x v="22"/>
    <n v="106.89655172413798"/>
    <n v="16.561495500000003"/>
    <n v="13"/>
    <n v="-1.5"/>
    <n v="30.68"/>
    <n v="-115.38461538461539"/>
    <n v="5.6030339615384612"/>
    <n v="17.100000000000001"/>
    <n v="5.6030339615384612"/>
  </r>
  <r>
    <x v="1"/>
    <x v="8"/>
    <n v="161"/>
    <n v="2.36"/>
    <s v="2014SB-1712"/>
    <d v="2014-02-17T00:00:00"/>
    <n v="55.4"/>
    <x v="11"/>
    <d v="2014-03-18T00:00:00"/>
    <n v="60.5"/>
    <m/>
    <n v="29"/>
    <n v="5.1000000000000014"/>
    <m/>
    <x v="22"/>
    <n v="175.8620689655173"/>
    <n v="20.468765500000003"/>
    <n v="13"/>
    <n v="1.8999999999999986"/>
    <n v="30.68"/>
    <n v="146.15384615384605"/>
    <n v="19.004150115384611"/>
    <n v="17.100000000000001"/>
    <n v="19.004150115384611"/>
  </r>
  <r>
    <x v="1"/>
    <x v="8"/>
    <n v="161"/>
    <n v="2.36"/>
    <s v="2014SB-180"/>
    <d v="2014-02-17T00:00:00"/>
    <n v="61.2"/>
    <x v="11"/>
    <d v="2014-03-18T00:00:00"/>
    <n v="70"/>
    <m/>
    <n v="29"/>
    <n v="8.7999999999999972"/>
    <m/>
    <x v="22"/>
    <n v="303.44827586206884"/>
    <n v="28.052303999999992"/>
    <n v="13"/>
    <n v="2.7999999999999972"/>
    <n v="30.68"/>
    <n v="215.38461538461519"/>
    <n v="23.710765538461526"/>
    <n v="17.100000000000001"/>
    <n v="23.710765538461526"/>
  </r>
  <r>
    <x v="1"/>
    <x v="8"/>
    <n v="161"/>
    <n v="2.36"/>
    <s v="2014SB-2041"/>
    <d v="2014-02-17T00:00:00"/>
    <n v="51"/>
    <x v="11"/>
    <d v="2014-03-18T00:00:00"/>
    <n v="54"/>
    <m/>
    <n v="29"/>
    <n v="3"/>
    <m/>
    <x v="22"/>
    <n v="103.44827586206897"/>
    <n v="15.977224999999999"/>
    <n v="13"/>
    <n v="1"/>
    <n v="30.68"/>
    <n v="76.923076923076934"/>
    <n v="14.669532692307691"/>
    <n v="17.100000000000001"/>
    <n v="14.669532692307691"/>
  </r>
  <r>
    <x v="1"/>
    <x v="8"/>
    <n v="161"/>
    <n v="2.36"/>
    <s v="2014SB-2083"/>
    <d v="2014-02-17T00:00:00"/>
    <n v="51.4"/>
    <x v="11"/>
    <d v="2014-03-18T00:00:00"/>
    <n v="55"/>
    <m/>
    <n v="29"/>
    <n v="3.6000000000000014"/>
    <m/>
    <x v="22"/>
    <n v="124.13793103448282"/>
    <n v="17.115588000000002"/>
    <n v="13"/>
    <n v="-0.60000000000000142"/>
    <n v="30.68"/>
    <n v="-46.15384615384626"/>
    <n v="8.7202033846153792"/>
    <n v="17.100000000000001"/>
    <n v="8.7202033846153792"/>
  </r>
  <r>
    <x v="1"/>
    <x v="8"/>
    <n v="161"/>
    <n v="2.36"/>
    <s v="2014SB-2131"/>
    <d v="2014-02-17T00:00:00"/>
    <n v="54.2"/>
    <x v="11"/>
    <d v="2014-03-18T00:00:00"/>
    <n v="59.5"/>
    <m/>
    <n v="29"/>
    <n v="5.2999999999999972"/>
    <m/>
    <x v="22"/>
    <n v="182.75862068965506"/>
    <n v="20.622766499999994"/>
    <n v="13"/>
    <n v="-0.5"/>
    <n v="30.68"/>
    <n v="-38.461538461538467"/>
    <n v="9.7166126538461537"/>
    <n v="17.100000000000001"/>
    <n v="9.7166126538461537"/>
  </r>
  <r>
    <x v="1"/>
    <x v="8"/>
    <n v="161"/>
    <n v="2.36"/>
    <s v="2014SB-2148"/>
    <d v="2014-02-17T00:00:00"/>
    <n v="56"/>
    <x v="11"/>
    <d v="2014-03-18T00:00:00"/>
    <n v="60"/>
    <m/>
    <n v="29"/>
    <n v="4"/>
    <m/>
    <x v="22"/>
    <n v="137.93103448275861"/>
    <n v="18.607219999999998"/>
    <n v="13"/>
    <n v="0"/>
    <n v="30.68"/>
    <n v="0"/>
    <n v="11.807219999999999"/>
    <n v="17.100000000000001"/>
    <n v="11.807219999999999"/>
  </r>
  <r>
    <x v="1"/>
    <x v="8"/>
    <n v="161"/>
    <n v="2.36"/>
    <s v="2014SB-2154"/>
    <d v="2014-02-17T00:00:00"/>
    <n v="63.2"/>
    <x v="11"/>
    <d v="2014-03-18T00:00:00"/>
    <n v="68"/>
    <m/>
    <n v="29"/>
    <n v="4.7999999999999972"/>
    <m/>
    <x v="22"/>
    <n v="165.51724137931026"/>
    <n v="21.252303999999995"/>
    <n v="13"/>
    <n v="-1.2000000000000028"/>
    <n v="30.68"/>
    <n v="-92.30769230769252"/>
    <n v="8.5415347692307577"/>
    <n v="17.100000000000001"/>
    <n v="8.5415347692307577"/>
  </r>
  <r>
    <x v="1"/>
    <x v="8"/>
    <n v="161"/>
    <n v="2.36"/>
    <s v="2014SB-2162"/>
    <d v="2014-02-17T00:00:00"/>
    <n v="55.6"/>
    <x v="11"/>
    <d v="2014-03-18T00:00:00"/>
    <n v="61"/>
    <m/>
    <n v="29"/>
    <n v="5.3999999999999986"/>
    <m/>
    <x v="22"/>
    <n v="186.2068965517241"/>
    <n v="21.037946999999996"/>
    <n v="13"/>
    <n v="-1"/>
    <n v="30.68"/>
    <n v="-76.923076923076934"/>
    <n v="8.0656393076923081"/>
    <n v="17.100000000000001"/>
    <n v="8.0656393076923081"/>
  </r>
  <r>
    <x v="1"/>
    <x v="8"/>
    <n v="161"/>
    <n v="2.36"/>
    <s v="2014SB-2306"/>
    <d v="2014-02-17T00:00:00"/>
    <n v="58.4"/>
    <x v="11"/>
    <d v="2014-03-18T00:00:00"/>
    <n v="62"/>
    <m/>
    <n v="29"/>
    <n v="3.6000000000000014"/>
    <m/>
    <x v="22"/>
    <n v="124.13793103448282"/>
    <n v="18.299218000000003"/>
    <n v="13"/>
    <n v="-0.60000000000000142"/>
    <n v="30.68"/>
    <n v="-46.15384615384626"/>
    <n v="9.9038333846153801"/>
    <n v="17.100000000000001"/>
    <n v="9.9038333846153801"/>
  </r>
  <r>
    <x v="1"/>
    <x v="8"/>
    <n v="161"/>
    <n v="2.36"/>
    <s v="2014SB-2311"/>
    <d v="2014-02-17T00:00:00"/>
    <n v="53.4"/>
    <x v="11"/>
    <d v="2014-03-18T00:00:00"/>
    <n v="56.5"/>
    <m/>
    <n v="29"/>
    <n v="3.1000000000000014"/>
    <m/>
    <x v="22"/>
    <n v="106.89655172413798"/>
    <n v="16.561495500000003"/>
    <n v="13"/>
    <n v="0.70000000000000284"/>
    <n v="30.68"/>
    <n v="53.846153846154067"/>
    <n v="13.946110884615395"/>
    <n v="17.100000000000001"/>
    <n v="13.946110884615395"/>
  </r>
  <r>
    <x v="1"/>
    <x v="8"/>
    <n v="161"/>
    <n v="2.36"/>
    <s v="2014SB-2320"/>
    <d v="2014-02-17T00:00:00"/>
    <n v="51.4"/>
    <x v="11"/>
    <d v="2014-03-18T00:00:00"/>
    <n v="57.5"/>
    <m/>
    <n v="29"/>
    <n v="6.1000000000000014"/>
    <m/>
    <x v="22"/>
    <n v="210.34482758620695"/>
    <n v="21.576950500000002"/>
    <n v="13"/>
    <n v="-0.29999999999999716"/>
    <n v="30.68"/>
    <n v="-23.07692307692286"/>
    <n v="10.069258192307704"/>
    <n v="17.100000000000001"/>
    <n v="10.069258192307704"/>
  </r>
  <r>
    <x v="1"/>
    <x v="8"/>
    <n v="161"/>
    <n v="2.36"/>
    <s v="2014SB-2343"/>
    <d v="2014-02-17T00:00:00"/>
    <n v="51.6"/>
    <x v="11"/>
    <d v="2014-03-18T00:00:00"/>
    <n v="58.5"/>
    <m/>
    <n v="29"/>
    <n v="6.8999999999999986"/>
    <m/>
    <x v="22"/>
    <n v="237.93103448275858"/>
    <n v="23.038404499999995"/>
    <n v="13"/>
    <n v="0.89999999999999858"/>
    <n v="30.68"/>
    <n v="69.230769230769127"/>
    <n v="14.721481423076916"/>
    <n v="17.100000000000001"/>
    <n v="14.721481423076916"/>
  </r>
  <r>
    <x v="1"/>
    <x v="8"/>
    <n v="161"/>
    <n v="2.36"/>
    <s v="2014SB-2430"/>
    <d v="2014-02-17T00:00:00"/>
    <n v="55.8"/>
    <x v="11"/>
    <d v="2014-03-18T00:00:00"/>
    <n v="61.5"/>
    <m/>
    <n v="29"/>
    <n v="5.7000000000000028"/>
    <m/>
    <x v="22"/>
    <n v="196.55172413793113"/>
    <n v="21.607128500000002"/>
    <n v="13"/>
    <n v="1.7000000000000028"/>
    <n v="30.68"/>
    <n v="130.769230769231"/>
    <n v="18.364051576923085"/>
    <n v="17.100000000000001"/>
    <n v="18.364051576923085"/>
  </r>
  <r>
    <x v="1"/>
    <x v="8"/>
    <n v="161"/>
    <n v="2.36"/>
    <s v="2014SB-2458"/>
    <d v="2014-02-17T00:00:00"/>
    <n v="55.6"/>
    <x v="11"/>
    <d v="2014-03-18T00:00:00"/>
    <n v="61.5"/>
    <m/>
    <n v="29"/>
    <n v="5.8999999999999986"/>
    <m/>
    <x v="22"/>
    <n v="203.44827586206893"/>
    <n v="21.930219499999996"/>
    <n v="13"/>
    <n v="-1.8999999999999986"/>
    <n v="30.68"/>
    <n v="-146.15384615384605"/>
    <n v="4.6948348846153891"/>
    <n v="17.100000000000001"/>
    <n v="4.6948348846153891"/>
  </r>
  <r>
    <x v="1"/>
    <x v="8"/>
    <n v="161"/>
    <n v="2.36"/>
    <s v="2014SB-2469"/>
    <d v="2014-02-17T00:00:00"/>
    <n v="53.6"/>
    <x v="11"/>
    <d v="2014-03-18T00:00:00"/>
    <n v="57.5"/>
    <m/>
    <n v="29"/>
    <n v="3.8999999999999986"/>
    <m/>
    <x v="22"/>
    <n v="134.48275862068962"/>
    <n v="18.022949499999996"/>
    <n v="13"/>
    <n v="0.89999999999999858"/>
    <n v="30.68"/>
    <n v="69.230769230769127"/>
    <n v="14.806026423076917"/>
    <n v="17.100000000000001"/>
    <n v="14.806026423076917"/>
  </r>
  <r>
    <x v="1"/>
    <x v="8"/>
    <n v="161"/>
    <n v="2.36"/>
    <s v="2014SB-2524"/>
    <d v="2014-02-17T00:00:00"/>
    <n v="57.6"/>
    <x v="11"/>
    <d v="2014-03-18T00:00:00"/>
    <n v="62"/>
    <m/>
    <n v="29"/>
    <n v="4.3999999999999986"/>
    <m/>
    <x v="22"/>
    <n v="151.72413793103442"/>
    <n v="19.591581999999995"/>
    <n v="13"/>
    <n v="-0.20000000000000284"/>
    <n v="30.68"/>
    <n v="-15.384615384615604"/>
    <n v="11.353120461538449"/>
    <n v="17.100000000000001"/>
    <n v="11.353120461538449"/>
  </r>
  <r>
    <x v="1"/>
    <x v="8"/>
    <n v="161"/>
    <n v="2.36"/>
    <s v="2014SB-2590"/>
    <d v="2014-02-17T00:00:00"/>
    <n v="50.4"/>
    <x v="11"/>
    <d v="2014-03-18T00:00:00"/>
    <n v="52"/>
    <m/>
    <n v="29"/>
    <n v="1.6000000000000014"/>
    <m/>
    <x v="22"/>
    <n v="55.172413793103495"/>
    <n v="13.377408000000003"/>
    <n v="13"/>
    <n v="-0.39999999999999858"/>
    <n v="30.68"/>
    <n v="-30.76923076923066"/>
    <n v="9.1404849230769294"/>
    <n v="17.100000000000001"/>
    <n v="9.1404849230769294"/>
  </r>
  <r>
    <x v="1"/>
    <x v="8"/>
    <n v="161"/>
    <n v="2.36"/>
    <s v="2014SB-2630"/>
    <d v="2014-02-17T00:00:00"/>
    <n v="49.6"/>
    <x v="11"/>
    <d v="2014-03-18T00:00:00"/>
    <n v="56.5"/>
    <m/>
    <n v="29"/>
    <n v="6.8999999999999986"/>
    <m/>
    <x v="22"/>
    <n v="237.93103448275858"/>
    <n v="22.700224499999997"/>
    <n v="13"/>
    <n v="3.7000000000000028"/>
    <n v="30.68"/>
    <n v="284.61538461538481"/>
    <n v="25.001762961538468"/>
    <n v="17.100000000000001"/>
    <n v="25.001762961538468"/>
  </r>
  <r>
    <x v="1"/>
    <x v="8"/>
    <n v="161"/>
    <n v="2.36"/>
    <s v="2014SB-2632"/>
    <d v="2014-02-17T00:00:00"/>
    <n v="49.4"/>
    <x v="11"/>
    <d v="2014-03-18T00:00:00"/>
    <n v="54"/>
    <m/>
    <n v="29"/>
    <n v="4.6000000000000014"/>
    <m/>
    <x v="22"/>
    <n v="158.62068965517244"/>
    <n v="18.561953000000003"/>
    <n v="13"/>
    <n v="-1.2000000000000028"/>
    <n v="30.68"/>
    <n v="-92.30769230769252"/>
    <n v="6.1911837692307596"/>
    <n v="17.100000000000001"/>
    <n v="6.1911837692307596"/>
  </r>
  <r>
    <x v="1"/>
    <x v="8"/>
    <n v="161"/>
    <n v="2.36"/>
    <s v="2014SB-2695"/>
    <d v="2014-02-17T00:00:00"/>
    <n v="60.4"/>
    <x v="11"/>
    <d v="2014-03-18T00:00:00"/>
    <n v="63.5"/>
    <m/>
    <n v="29"/>
    <n v="3.1000000000000014"/>
    <m/>
    <x v="22"/>
    <n v="106.89655172413798"/>
    <n v="17.745125500000004"/>
    <n v="13"/>
    <n v="-0.29999999999999716"/>
    <n v="30.68"/>
    <n v="-23.07692307692286"/>
    <n v="11.337433192307703"/>
    <n v="17.100000000000001"/>
    <n v="11.337433192307703"/>
  </r>
  <r>
    <x v="1"/>
    <x v="8"/>
    <n v="161"/>
    <n v="2.36"/>
    <s v="2014SB-2718"/>
    <d v="2014-02-17T00:00:00"/>
    <n v="58"/>
    <x v="11"/>
    <d v="2014-03-18T00:00:00"/>
    <n v="67"/>
    <m/>
    <n v="29"/>
    <n v="9"/>
    <m/>
    <x v="22"/>
    <n v="310.34482758620692"/>
    <n v="27.868124999999999"/>
    <n v="13"/>
    <n v="1.2000000000000028"/>
    <n v="30.68"/>
    <n v="92.30769230769252"/>
    <n v="17.118894230769243"/>
    <n v="17.100000000000001"/>
    <n v="17.118894230769243"/>
  </r>
  <r>
    <x v="1"/>
    <x v="8"/>
    <n v="161"/>
    <n v="2.36"/>
    <s v="2014SB-2730"/>
    <d v="2014-02-17T00:00:00"/>
    <n v="52.6"/>
    <x v="11"/>
    <d v="2014-03-18T00:00:00"/>
    <n v="52.5"/>
    <m/>
    <n v="29"/>
    <n v="-0.10000000000000142"/>
    <m/>
    <x v="22"/>
    <n v="-3.4482758620690146"/>
    <n v="10.715679499999997"/>
    <n v="13"/>
    <n v="-1.1000000000000014"/>
    <n v="30.68"/>
    <n v="-84.615384615384727"/>
    <n v="6.7141410384615314"/>
    <n v="17.100000000000001"/>
    <n v="6.7141410384615314"/>
  </r>
  <r>
    <x v="1"/>
    <x v="8"/>
    <n v="161"/>
    <n v="2.36"/>
    <s v="2014SB-2761"/>
    <d v="2014-02-17T00:00:00"/>
    <n v="56.6"/>
    <x v="11"/>
    <d v="2014-03-18T00:00:00"/>
    <n v="61.5"/>
    <m/>
    <n v="29"/>
    <n v="4.8999999999999986"/>
    <m/>
    <x v="22"/>
    <n v="168.96551724137925"/>
    <n v="20.314764499999995"/>
    <n v="13"/>
    <n v="-0.89999999999999858"/>
    <n v="30.68"/>
    <n v="-69.230769230769127"/>
    <n v="8.5716875769230807"/>
    <n v="17.100000000000001"/>
    <n v="8.5716875769230807"/>
  </r>
  <r>
    <x v="1"/>
    <x v="8"/>
    <n v="161"/>
    <n v="2.36"/>
    <s v="2014SB-2865"/>
    <d v="2014-02-17T00:00:00"/>
    <n v="58.6"/>
    <x v="11"/>
    <d v="2014-03-18T00:00:00"/>
    <n v="64.5"/>
    <m/>
    <n v="29"/>
    <n v="5.8999999999999986"/>
    <m/>
    <x v="22"/>
    <n v="203.44827586206893"/>
    <n v="22.437489499999998"/>
    <n v="13"/>
    <n v="-1.7000000000000028"/>
    <n v="30.68"/>
    <n v="-130.769230769231"/>
    <n v="5.9605664230769113"/>
    <n v="17.100000000000001"/>
    <n v="5.9605664230769113"/>
  </r>
  <r>
    <x v="1"/>
    <x v="8"/>
    <n v="161"/>
    <n v="2.36"/>
    <s v="2014SB-2868"/>
    <d v="2014-02-17T00:00:00"/>
    <n v="56.6"/>
    <x v="11"/>
    <d v="2014-03-18T00:00:00"/>
    <n v="59"/>
    <m/>
    <n v="29"/>
    <n v="2.3999999999999986"/>
    <m/>
    <x v="22"/>
    <n v="82.758620689655132"/>
    <n v="15.853401999999996"/>
    <n v="13"/>
    <n v="-1.7999999999999972"/>
    <n v="30.68"/>
    <n v="-138.46153846153825"/>
    <n v="4.9472481538461635"/>
    <n v="17.100000000000001"/>
    <n v="4.9472481538461635"/>
  </r>
  <r>
    <x v="1"/>
    <x v="8"/>
    <n v="161"/>
    <n v="2.36"/>
    <s v="2014SB-2884"/>
    <d v="2014-02-17T00:00:00"/>
    <n v="64"/>
    <x v="11"/>
    <d v="2014-03-18T00:00:00"/>
    <n v="68.5"/>
    <m/>
    <n v="29"/>
    <n v="4.5"/>
    <m/>
    <x v="22"/>
    <n v="155.17241379310346"/>
    <n v="20.8522125"/>
    <n v="13"/>
    <n v="-1.0999999999999943"/>
    <n v="30.68"/>
    <n v="-84.615384615384173"/>
    <n v="9.0306740384615605"/>
    <n v="17.100000000000001"/>
    <n v="9.0306740384615605"/>
  </r>
  <r>
    <x v="1"/>
    <x v="8"/>
    <n v="161"/>
    <n v="2.36"/>
    <s v="2014SB-2893"/>
    <d v="2014-02-17T00:00:00"/>
    <n v="51.4"/>
    <x v="11"/>
    <d v="2014-03-18T00:00:00"/>
    <n v="56.5"/>
    <m/>
    <n v="29"/>
    <n v="5.1000000000000014"/>
    <m/>
    <x v="22"/>
    <n v="175.8620689655173"/>
    <n v="19.792405500000001"/>
    <n v="13"/>
    <n v="-0.89999999999999858"/>
    <n v="30.68"/>
    <n v="-69.230769230769127"/>
    <n v="7.709328576923081"/>
    <n v="17.100000000000001"/>
    <n v="7.7093285769230802"/>
  </r>
  <r>
    <x v="1"/>
    <x v="8"/>
    <n v="161"/>
    <n v="2.36"/>
    <s v="2014SB-356"/>
    <d v="2014-02-17T00:00:00"/>
    <n v="49"/>
    <x v="11"/>
    <d v="2014-03-18T00:00:00"/>
    <n v="49.5"/>
    <m/>
    <n v="29"/>
    <n v="0.5"/>
    <m/>
    <x v="22"/>
    <n v="17.241379310344826"/>
    <n v="11.1776825"/>
    <n v="13"/>
    <n v="-1.5"/>
    <n v="30.68"/>
    <n v="-115.38461538461539"/>
    <n v="4.6392209615384612"/>
    <n v="17.100000000000001"/>
    <n v="4.6392209615384612"/>
  </r>
  <r>
    <x v="1"/>
    <x v="8"/>
    <n v="161"/>
    <n v="2.36"/>
    <s v="2014SB-38"/>
    <d v="2014-02-17T00:00:00"/>
    <n v="53"/>
    <x v="11"/>
    <d v="2014-03-18T00:00:00"/>
    <n v="59"/>
    <m/>
    <n v="29"/>
    <n v="6"/>
    <m/>
    <x v="22"/>
    <n v="206.89655172413794"/>
    <n v="21.669039999999999"/>
    <n v="13"/>
    <n v="1.3999999999999986"/>
    <n v="30.68"/>
    <n v="107.69230769230759"/>
    <n v="16.778270769230765"/>
    <n v="17.100000000000001"/>
    <n v="16.778270769230765"/>
  </r>
  <r>
    <x v="1"/>
    <x v="8"/>
    <n v="161"/>
    <n v="2.36"/>
    <s v="2014SB-439"/>
    <d v="2014-02-17T00:00:00"/>
    <n v="53.8"/>
    <x v="11"/>
    <d v="2014-03-18T00:00:00"/>
    <n v="60"/>
    <m/>
    <n v="29"/>
    <n v="6.2000000000000028"/>
    <m/>
    <x v="22"/>
    <n v="213.79310344827596"/>
    <n v="22.161221000000005"/>
    <n v="13"/>
    <n v="2.2000000000000028"/>
    <n v="30.68"/>
    <n v="169.23076923076945"/>
    <n v="19.964297923076934"/>
    <n v="17.100000000000001"/>
    <n v="19.964297923076934"/>
  </r>
  <r>
    <x v="1"/>
    <x v="8"/>
    <n v="161"/>
    <n v="2.36"/>
    <s v="2014SB-631"/>
    <d v="2014-02-17T00:00:00"/>
    <n v="52.2"/>
    <x v="11"/>
    <d v="2014-03-18T00:00:00"/>
    <n v="58"/>
    <m/>
    <n v="29"/>
    <n v="5.7999999999999972"/>
    <m/>
    <x v="22"/>
    <n v="199.99999999999989"/>
    <n v="21.176858999999993"/>
    <n v="13"/>
    <n v="-1"/>
    <n v="30.68"/>
    <n v="-76.923076923076934"/>
    <n v="7.524551307692307"/>
    <n v="17.100000000000001"/>
    <n v="7.524551307692307"/>
  </r>
  <r>
    <x v="1"/>
    <x v="8"/>
    <n v="161"/>
    <n v="2.36"/>
    <s v="2014SB-67"/>
    <d v="2014-02-17T00:00:00"/>
    <n v="55.2"/>
    <x v="11"/>
    <d v="2014-03-18T00:00:00"/>
    <n v="59"/>
    <m/>
    <n v="29"/>
    <n v="3.7999999999999972"/>
    <m/>
    <x v="22"/>
    <n v="131.03448275862058"/>
    <n v="18.115038999999996"/>
    <n v="13"/>
    <n v="0.20000000000000284"/>
    <n v="30.68"/>
    <n v="15.384615384615604"/>
    <n v="12.41350053846155"/>
    <n v="17.100000000000001"/>
    <n v="12.41350053846155"/>
  </r>
  <r>
    <x v="1"/>
    <x v="8"/>
    <n v="161"/>
    <n v="2.36"/>
    <s v="2014SB-74"/>
    <d v="2014-02-17T00:00:00"/>
    <n v="51.6"/>
    <x v="11"/>
    <d v="2014-03-18T00:00:00"/>
    <n v="60.5"/>
    <m/>
    <n v="29"/>
    <n v="8.8999999999999986"/>
    <m/>
    <x v="22"/>
    <n v="306.89655172413785"/>
    <n v="26.607494499999994"/>
    <n v="13"/>
    <n v="1.5"/>
    <n v="30.68"/>
    <n v="115.38461538461539"/>
    <n v="17.165956038461538"/>
    <n v="17.100000000000001"/>
    <n v="17.165956038461538"/>
  </r>
  <r>
    <x v="1"/>
    <x v="8"/>
    <n v="161"/>
    <n v="2.36"/>
    <s v="2014SB-752"/>
    <d v="2014-02-17T00:00:00"/>
    <n v="51.6"/>
    <x v="11"/>
    <d v="2014-03-18T00:00:00"/>
    <n v="53.5"/>
    <m/>
    <n v="29"/>
    <n v="1.8999999999999986"/>
    <m/>
    <x v="22"/>
    <n v="65.517241379310292"/>
    <n v="14.115679499999995"/>
    <n v="13"/>
    <n v="0.70000000000000284"/>
    <n v="30.68"/>
    <n v="53.846153846154067"/>
    <n v="13.540294884615394"/>
    <n v="17.100000000000001"/>
    <n v="13.540294884615394"/>
  </r>
  <r>
    <x v="1"/>
    <x v="8"/>
    <n v="161"/>
    <n v="2.36"/>
    <s v="2014SB-776"/>
    <d v="2014-02-17T00:00:00"/>
    <n v="52.2"/>
    <x v="11"/>
    <d v="2014-03-18T00:00:00"/>
    <n v="58.5"/>
    <m/>
    <n v="29"/>
    <n v="6.2999999999999972"/>
    <m/>
    <x v="22"/>
    <n v="217.24137931034474"/>
    <n v="22.069131499999997"/>
    <n v="13"/>
    <n v="1.5"/>
    <n v="30.68"/>
    <n v="115.38461538461539"/>
    <n v="17.047593038461539"/>
    <n v="17.100000000000001"/>
    <n v="17.047593038461539"/>
  </r>
  <r>
    <x v="1"/>
    <x v="8"/>
    <n v="161"/>
    <n v="2.36"/>
    <s v="2014SB-783"/>
    <d v="2014-02-17T00:00:00"/>
    <n v="55.4"/>
    <x v="11"/>
    <d v="2014-03-18T00:00:00"/>
    <n v="60"/>
    <m/>
    <n v="29"/>
    <n v="4.6000000000000014"/>
    <m/>
    <x v="22"/>
    <n v="158.62068965517244"/>
    <n v="19.576493000000003"/>
    <n v="13"/>
    <n v="4.3999999999999986"/>
    <n v="30.68"/>
    <n v="338.4615384615384"/>
    <n v="28.442646846153842"/>
    <n v="17.100000000000001"/>
    <n v="28.442646846153842"/>
  </r>
  <r>
    <x v="1"/>
    <x v="8"/>
    <n v="161"/>
    <n v="2.36"/>
    <s v="2014SB-785"/>
    <d v="2014-02-17T00:00:00"/>
    <n v="57.8"/>
    <x v="11"/>
    <d v="2014-03-18T00:00:00"/>
    <n v="62.5"/>
    <m/>
    <n v="29"/>
    <n v="4.7000000000000028"/>
    <m/>
    <x v="22"/>
    <n v="162.06896551724148"/>
    <n v="20.160763500000005"/>
    <n v="13"/>
    <n v="1.5"/>
    <n v="30.68"/>
    <n v="115.38461538461539"/>
    <n v="17.859225038461538"/>
    <n v="17.100000000000001"/>
    <n v="17.859225038461538"/>
  </r>
  <r>
    <x v="1"/>
    <x v="8"/>
    <n v="161"/>
    <n v="2.36"/>
    <s v="2014SB-809"/>
    <d v="2014-02-17T00:00:00"/>
    <n v="62.4"/>
    <x v="11"/>
    <d v="2014-03-18T00:00:00"/>
    <n v="65"/>
    <m/>
    <n v="29"/>
    <n v="2.6000000000000014"/>
    <m/>
    <x v="22"/>
    <n v="89.655172413793153"/>
    <n v="17.191033000000001"/>
    <n v="13"/>
    <n v="-1.4000000000000057"/>
    <n v="30.68"/>
    <n v="-107.69230769230813"/>
    <n v="7.4618022307692087"/>
    <n v="17.100000000000001"/>
    <n v="7.4618022307692087"/>
  </r>
  <r>
    <x v="1"/>
    <x v="8"/>
    <n v="161"/>
    <n v="2.36"/>
    <s v="2014SB-85"/>
    <d v="2014-02-17T00:00:00"/>
    <n v="50.2"/>
    <x v="11"/>
    <d v="2014-03-18T00:00:00"/>
    <n v="56"/>
    <m/>
    <n v="29"/>
    <n v="5.7999999999999972"/>
    <m/>
    <x v="22"/>
    <n v="199.99999999999989"/>
    <n v="20.838678999999992"/>
    <n v="13"/>
    <n v="2.2000000000000028"/>
    <n v="30.68"/>
    <n v="169.23076923076945"/>
    <n v="19.321755923076935"/>
    <n v="17.100000000000001"/>
    <n v="19.321755923076935"/>
  </r>
  <r>
    <x v="1"/>
    <x v="8"/>
    <n v="161"/>
    <n v="2.36"/>
    <s v="2014SB-928"/>
    <d v="2014-02-17T00:00:00"/>
    <n v="52.2"/>
    <x v="11"/>
    <d v="2014-03-18T00:00:00"/>
    <n v="60.5"/>
    <m/>
    <n v="29"/>
    <n v="8.2999999999999972"/>
    <m/>
    <x v="22"/>
    <n v="286.20689655172407"/>
    <n v="25.638221499999993"/>
    <n v="13"/>
    <n v="2.5"/>
    <n v="30.68"/>
    <n v="192.30769230769232"/>
    <n v="21.008990730769227"/>
    <n v="17.100000000000001"/>
    <n v="21.008990730769227"/>
  </r>
  <r>
    <x v="0"/>
    <x v="0"/>
    <n v="14"/>
    <n v="1.98"/>
    <s v="2008CSR-1016"/>
    <d v="2008-01-29T00:00:00"/>
    <n v="54"/>
    <x v="0"/>
    <d v="2008-03-04T00:00:00"/>
    <n v="62.6"/>
    <m/>
    <n v="35"/>
    <n v="8.6000000000000014"/>
    <m/>
    <x v="23"/>
    <n v="245.71428571428575"/>
    <n v="23.971661285714283"/>
    <n v="8"/>
    <n v="2"/>
    <n v="15.84"/>
    <n v="250"/>
    <n v="24.182946999999999"/>
    <n v="18.02675"/>
    <n v="25.493563732880116"/>
  </r>
  <r>
    <x v="0"/>
    <x v="0"/>
    <n v="14"/>
    <n v="1.98"/>
    <s v="2008CSR-1019"/>
    <d v="2008-01-29T00:00:00"/>
    <n v="56.6"/>
    <x v="0"/>
    <d v="2008-03-04T00:00:00"/>
    <n v="65.599999999999994"/>
    <m/>
    <n v="35"/>
    <n v="8.9999999999999929"/>
    <m/>
    <x v="23"/>
    <n v="257.14285714285694"/>
    <n v="25.008541857142845"/>
    <n v="8"/>
    <n v="3.3999999999999915"/>
    <n v="15.84"/>
    <n v="424.99999999999892"/>
    <n v="33.283898999999948"/>
    <n v="18.02675"/>
    <n v="35.087750075920994"/>
  </r>
  <r>
    <x v="0"/>
    <x v="0"/>
    <n v="14"/>
    <n v="1.98"/>
    <s v="2008CSR-1045"/>
    <d v="2008-01-29T00:00:00"/>
    <n v="56.6"/>
    <x v="1"/>
    <d v="2008-03-04T00:00:00"/>
    <n v="64.2"/>
    <m/>
    <n v="35"/>
    <n v="7.6000000000000014"/>
    <m/>
    <x v="23"/>
    <n v="217.1428571428572"/>
    <n v="22.918178857142859"/>
    <n v="8"/>
    <n v="1.4000000000000057"/>
    <n v="15.84"/>
    <n v="175.00000000000071"/>
    <n v="20.840536000000036"/>
    <n v="14.915374999999999"/>
    <n v="18.178035651520499"/>
  </r>
  <r>
    <x v="0"/>
    <x v="0"/>
    <n v="14"/>
    <n v="1.98"/>
    <s v="2008CSR-1137"/>
    <d v="2008-01-29T00:00:00"/>
    <n v="63.6"/>
    <x v="1"/>
    <d v="2008-03-04T00:00:00"/>
    <n v="70.400000000000006"/>
    <m/>
    <n v="35"/>
    <n v="6.8000000000000043"/>
    <m/>
    <x v="23"/>
    <n v="194.28571428571439"/>
    <n v="22.907315714285719"/>
    <n v="8"/>
    <n v="-3"/>
    <n v="15.84"/>
    <n v="-375"/>
    <n v="-5.1584699999999977"/>
    <n v="14.915374999999999"/>
    <n v="-4.4994452910087688"/>
  </r>
  <r>
    <x v="0"/>
    <x v="0"/>
    <n v="14"/>
    <n v="1.98"/>
    <s v="2008CSR-1203"/>
    <d v="2008-01-29T00:00:00"/>
    <n v="52.4"/>
    <x v="2"/>
    <d v="2008-03-04T00:00:00"/>
    <n v="61.6"/>
    <m/>
    <n v="35"/>
    <n v="9.2000000000000028"/>
    <m/>
    <x v="23"/>
    <n v="262.85714285714295"/>
    <n v="24.596987142857145"/>
    <n v="8"/>
    <n v="-1.3999999999999986"/>
    <n v="15.84"/>
    <n v="-174.99999999999983"/>
    <n v="3.0106300000000097"/>
    <n v="20.100999999999999"/>
    <n v="3.5389867619883151"/>
  </r>
  <r>
    <x v="0"/>
    <x v="0"/>
    <n v="14"/>
    <n v="1.98"/>
    <s v="2008CSR-1211"/>
    <d v="2008-01-29T00:00:00"/>
    <n v="53.2"/>
    <x v="0"/>
    <d v="2008-03-04T00:00:00"/>
    <n v="61.2"/>
    <m/>
    <n v="35"/>
    <n v="8"/>
    <m/>
    <x v="23"/>
    <n v="228.57142857142856"/>
    <n v="22.940519428571427"/>
    <n v="8"/>
    <n v="1.6000000000000014"/>
    <n v="15.84"/>
    <n v="200.00000000000017"/>
    <n v="21.531948000000007"/>
    <n v="18.02675"/>
    <n v="22.698891439122811"/>
  </r>
  <r>
    <x v="0"/>
    <x v="0"/>
    <n v="14"/>
    <n v="1.98"/>
    <s v="2008CSR-1231"/>
    <d v="2008-01-29T00:00:00"/>
    <n v="60.2"/>
    <x v="3"/>
    <d v="2008-03-04T00:00:00"/>
    <n v="70"/>
    <m/>
    <n v="35"/>
    <n v="9.7999999999999972"/>
    <m/>
    <x v="23"/>
    <n v="279.99999999999994"/>
    <n v="26.811758999999995"/>
    <n v="8"/>
    <n v="2.4000000000000057"/>
    <n v="15.84"/>
    <n v="300.00000000000068"/>
    <n v="27.797759000000028"/>
    <n v="19.063874999999999"/>
    <n v="30.990234085153539"/>
  </r>
  <r>
    <x v="0"/>
    <x v="0"/>
    <n v="14"/>
    <n v="1.98"/>
    <s v="2008CSR-1250"/>
    <d v="2008-01-29T00:00:00"/>
    <n v="60.2"/>
    <x v="4"/>
    <d v="2008-03-04T00:00:00"/>
    <n v="69.599999999999994"/>
    <m/>
    <n v="35"/>
    <n v="9.3999999999999915"/>
    <m/>
    <x v="23"/>
    <n v="268.57142857142833"/>
    <n v="26.214512428571418"/>
    <n v="8"/>
    <n v="0.59999999999999432"/>
    <n v="15.84"/>
    <n v="74.999999999999289"/>
    <n v="16.671440999999966"/>
    <n v="15.952499999999999"/>
    <n v="15.552699564473651"/>
  </r>
  <r>
    <x v="0"/>
    <x v="0"/>
    <n v="14"/>
    <n v="1.98"/>
    <s v="2008CSR-1251"/>
    <d v="2008-01-29T00:00:00"/>
    <n v="50.6"/>
    <x v="5"/>
    <d v="2008-03-04T00:00:00"/>
    <n v="63.6"/>
    <m/>
    <n v="35"/>
    <n v="13"/>
    <m/>
    <x v="23"/>
    <n v="371.42857142857144"/>
    <n v="29.966467571428574"/>
    <n v="8"/>
    <n v="1.2000000000000028"/>
    <n v="15.84"/>
    <n v="150.00000000000034"/>
    <n v="19.050039000000016"/>
    <n v="21.138124999999999"/>
    <n v="23.548661148355279"/>
  </r>
  <r>
    <x v="0"/>
    <x v="0"/>
    <n v="14"/>
    <n v="1.98"/>
    <s v="2008CSR-1299"/>
    <d v="2008-01-29T00:00:00"/>
    <n v="63.2"/>
    <x v="0"/>
    <d v="2008-03-04T00:00:00"/>
    <n v="73.8"/>
    <m/>
    <n v="35"/>
    <n v="10.599999999999994"/>
    <m/>
    <x v="23"/>
    <n v="302.85714285714272"/>
    <n v="28.513522142857134"/>
    <n v="8"/>
    <n v="1.7999999999999972"/>
    <n v="15.84"/>
    <n v="224.99999999999966"/>
    <n v="24.675164999999982"/>
    <n v="18.02675"/>
    <n v="26.012457933552611"/>
  </r>
  <r>
    <x v="0"/>
    <x v="0"/>
    <n v="14"/>
    <n v="1.98"/>
    <s v="2008CSR-1343"/>
    <d v="2008-01-29T00:00:00"/>
    <n v="57.2"/>
    <x v="6"/>
    <d v="2008-03-04T00:00:00"/>
    <n v="66.400000000000006"/>
    <m/>
    <n v="35"/>
    <n v="9.2000000000000028"/>
    <m/>
    <x v="23"/>
    <n v="262.85714285714295"/>
    <n v="25.408619142857148"/>
    <n v="8"/>
    <n v="-1.5999999999999943"/>
    <n v="15.84"/>
    <n v="-199.99999999999929"/>
    <n v="2.5897620000000359"/>
    <n v="13.878249999999998"/>
    <n v="2.1018341799123093"/>
  </r>
  <r>
    <x v="0"/>
    <x v="0"/>
    <n v="14"/>
    <n v="1.98"/>
    <s v="2008CSR-1394"/>
    <d v="2008-01-29T00:00:00"/>
    <n v="48.2"/>
    <x v="3"/>
    <d v="2008-03-04T00:00:00"/>
    <n v="57.6"/>
    <m/>
    <n v="35"/>
    <n v="9.3999999999999986"/>
    <m/>
    <x v="23"/>
    <n v="268.5714285714285"/>
    <n v="24.185432428571424"/>
    <n v="8"/>
    <n v="-0.39999999999999858"/>
    <n v="15.84"/>
    <n v="-49.999999999999822"/>
    <n v="8.4798610000000103"/>
    <n v="19.063874999999999"/>
    <n v="9.4537432819517644"/>
  </r>
  <r>
    <x v="0"/>
    <x v="0"/>
    <n v="14"/>
    <n v="1.98"/>
    <s v="2008CSR-1475"/>
    <d v="2008-01-29T00:00:00"/>
    <n v="66.400000000000006"/>
    <x v="0"/>
    <d v="2008-03-04T00:00:00"/>
    <n v="72.599999999999994"/>
    <m/>
    <n v="35"/>
    <n v="6.1999999999999886"/>
    <m/>
    <x v="23"/>
    <n v="177.14285714285683"/>
    <n v="22.48489785714284"/>
    <n v="8"/>
    <n v="-3.6000000000000085"/>
    <n v="15.84"/>
    <n v="-450.00000000000108"/>
    <n v="-8.4332450000000527"/>
    <n v="18.02675"/>
    <n v="-8.8902923569444994"/>
  </r>
  <r>
    <x v="0"/>
    <x v="0"/>
    <n v="14"/>
    <n v="1.98"/>
    <s v="2008CSR-1506"/>
    <d v="2008-01-29T00:00:00"/>
    <n v="48.4"/>
    <x v="2"/>
    <d v="2008-03-04T00:00:00"/>
    <n v="55.8"/>
    <m/>
    <n v="35"/>
    <n v="7.3999999999999986"/>
    <m/>
    <x v="23"/>
    <n v="211.42857142857139"/>
    <n v="21.233017571428569"/>
    <n v="8"/>
    <n v="2"/>
    <n v="15.84"/>
    <n v="250"/>
    <n v="23.134588999999998"/>
    <n v="20.100999999999999"/>
    <n v="27.194641724502919"/>
  </r>
  <r>
    <x v="0"/>
    <x v="0"/>
    <n v="14"/>
    <n v="1.98"/>
    <s v="2008CSR-159"/>
    <d v="2008-01-29T00:00:00"/>
    <n v="53"/>
    <x v="2"/>
    <d v="2008-03-04T00:00:00"/>
    <n v="63"/>
    <m/>
    <n v="35"/>
    <n v="10"/>
    <m/>
    <x v="23"/>
    <n v="285.71428571428572"/>
    <n v="25.892934285714283"/>
    <n v="8"/>
    <n v="1"/>
    <n v="15.84"/>
    <n v="125"/>
    <n v="17.969719999999999"/>
    <n v="20.100999999999999"/>
    <n v="21.123353316959058"/>
  </r>
  <r>
    <x v="0"/>
    <x v="0"/>
    <n v="14"/>
    <n v="1.98"/>
    <s v="2008CSR-1646"/>
    <d v="2008-01-29T00:00:00"/>
    <n v="60"/>
    <x v="2"/>
    <d v="2008-03-04T00:00:00"/>
    <n v="68.2"/>
    <m/>
    <n v="35"/>
    <n v="8.2000000000000028"/>
    <m/>
    <x v="23"/>
    <n v="234.28571428571436"/>
    <n v="24.388954714285717"/>
    <n v="8"/>
    <n v="0"/>
    <n v="15.84"/>
    <n v="0"/>
    <n v="12.838668999999998"/>
    <n v="20.100999999999999"/>
    <n v="15.091817869532161"/>
  </r>
  <r>
    <x v="0"/>
    <x v="0"/>
    <n v="14"/>
    <n v="1.98"/>
    <s v="2008CSR-1675"/>
    <d v="2008-01-29T00:00:00"/>
    <n v="64.2"/>
    <x v="4"/>
    <d v="2008-03-04T00:00:00"/>
    <n v="71.400000000000006"/>
    <m/>
    <n v="35"/>
    <n v="7.2000000000000028"/>
    <m/>
    <x v="23"/>
    <n v="205.71428571428581"/>
    <n v="23.60601628571429"/>
    <n v="8"/>
    <n v="-2.7999999999999972"/>
    <n v="15.84"/>
    <n v="-349.99999999999966"/>
    <n v="-3.7906979999999795"/>
    <n v="15.952499999999999"/>
    <n v="-3.5363222131578751"/>
  </r>
  <r>
    <x v="0"/>
    <x v="0"/>
    <n v="14"/>
    <n v="1.98"/>
    <s v="2008CSR-1711"/>
    <d v="2008-01-29T00:00:00"/>
    <n v="56.4"/>
    <x v="0"/>
    <d v="2008-03-04T00:00:00"/>
    <n v="66.599999999999994"/>
    <m/>
    <n v="35"/>
    <n v="10.199999999999996"/>
    <m/>
    <x v="23"/>
    <n v="291.42857142857133"/>
    <n v="26.766463571428567"/>
    <n v="8"/>
    <n v="1"/>
    <n v="15.84"/>
    <n v="125"/>
    <n v="18.561534999999999"/>
    <n v="18.02675"/>
    <n v="19.567494214108184"/>
  </r>
  <r>
    <x v="0"/>
    <x v="0"/>
    <n v="14"/>
    <n v="1.98"/>
    <s v="2008CSR-1759"/>
    <d v="2008-01-29T00:00:00"/>
    <n v="64"/>
    <x v="4"/>
    <d v="2008-03-04T00:00:00"/>
    <n v="71.400000000000006"/>
    <m/>
    <n v="35"/>
    <n v="7.4000000000000057"/>
    <m/>
    <x v="23"/>
    <n v="211.42857142857162"/>
    <n v="23.870821571428579"/>
    <n v="8"/>
    <n v="-5.1999999999999886"/>
    <n v="15.84"/>
    <n v="-649.99999999999864"/>
    <n v="-18.597606999999932"/>
    <n v="15.952499999999999"/>
    <n v="-17.349609688157827"/>
  </r>
  <r>
    <x v="0"/>
    <x v="0"/>
    <n v="14"/>
    <n v="1.98"/>
    <s v="2008CSR-1781"/>
    <d v="2008-01-29T00:00:00"/>
    <n v="54"/>
    <x v="0"/>
    <d v="2008-03-04T00:00:00"/>
    <n v="60.6"/>
    <m/>
    <n v="35"/>
    <n v="6.6000000000000014"/>
    <m/>
    <x v="23"/>
    <n v="188.57142857142861"/>
    <n v="20.985428428571428"/>
    <n v="8"/>
    <n v="0.39999999999999858"/>
    <n v="15.84"/>
    <n v="49.999999999999822"/>
    <n v="14.15385699999999"/>
    <n v="18.02675"/>
    <n v="14.92093810963449"/>
  </r>
  <r>
    <x v="0"/>
    <x v="0"/>
    <n v="14"/>
    <n v="1.98"/>
    <s v="2008CSR-18"/>
    <d v="2008-01-29T00:00:00"/>
    <n v="59.2"/>
    <x v="5"/>
    <d v="2008-03-04T00:00:00"/>
    <n v="67.2"/>
    <m/>
    <n v="35"/>
    <n v="8"/>
    <m/>
    <x v="23"/>
    <n v="228.57142857142856"/>
    <n v="23.955059428571428"/>
    <n v="8"/>
    <n v="-3"/>
    <n v="15.84"/>
    <n v="-375"/>
    <n v="-5.8010119999999965"/>
    <n v="21.138124999999999"/>
    <n v="-7.170907414181281"/>
  </r>
  <r>
    <x v="0"/>
    <x v="0"/>
    <n v="14"/>
    <n v="1.98"/>
    <s v="2008CSR-2130"/>
    <d v="2008-01-29T00:00:00"/>
    <n v="57.8"/>
    <x v="5"/>
    <d v="2008-03-04T00:00:00"/>
    <n v="66.400000000000006"/>
    <m/>
    <n v="35"/>
    <n v="8.6000000000000085"/>
    <m/>
    <x v="23"/>
    <n v="245.71428571428598"/>
    <n v="24.614203285714296"/>
    <n v="8"/>
    <n v="2.2000000000000028"/>
    <n v="15.84"/>
    <n v="275.00000000000034"/>
    <n v="26.057989000000017"/>
    <n v="21.138124999999999"/>
    <n v="32.211522147989783"/>
  </r>
  <r>
    <x v="0"/>
    <x v="0"/>
    <n v="14"/>
    <n v="1.98"/>
    <s v="2008CSR-2152"/>
    <d v="2008-01-29T00:00:00"/>
    <n v="56.2"/>
    <x v="7"/>
    <d v="2008-03-04T00:00:00"/>
    <n v="68.8"/>
    <m/>
    <n v="35"/>
    <n v="12.599999999999994"/>
    <m/>
    <x v="23"/>
    <n v="359.99999999999983"/>
    <n v="30.316124999999992"/>
    <n v="8"/>
    <n v="0.79999999999999716"/>
    <n v="15.84"/>
    <n v="99.999999999999645"/>
    <n v="17.49812499999998"/>
    <n v="16.989624999999997"/>
    <n v="17.385180231176875"/>
  </r>
  <r>
    <x v="0"/>
    <x v="0"/>
    <n v="14"/>
    <n v="1.98"/>
    <s v="2008CSR-2265"/>
    <d v="2008-01-29T00:00:00"/>
    <n v="58"/>
    <x v="3"/>
    <d v="2008-03-04T00:00:00"/>
    <n v="67.2"/>
    <m/>
    <n v="35"/>
    <n v="9.2000000000000028"/>
    <m/>
    <x v="23"/>
    <n v="262.85714285714295"/>
    <n v="25.543891142857149"/>
    <n v="8"/>
    <n v="0.79999999999999716"/>
    <n v="15.84"/>
    <n v="99.999999999999645"/>
    <n v="17.515033999999982"/>
    <n v="19.063874999999999"/>
    <n v="19.526574198640329"/>
  </r>
  <r>
    <x v="0"/>
    <x v="0"/>
    <n v="14"/>
    <n v="1.98"/>
    <s v="2008CSR-2366"/>
    <d v="2008-01-29T00:00:00"/>
    <n v="67"/>
    <x v="3"/>
    <d v="2008-03-04T00:00:00"/>
    <n v="72"/>
    <m/>
    <n v="35"/>
    <n v="5"/>
    <m/>
    <x v="23"/>
    <n v="142.85714285714286"/>
    <n v="20.79461214285714"/>
    <n v="8"/>
    <n v="1.2000000000000028"/>
    <n v="15.84"/>
    <n v="150.00000000000034"/>
    <n v="21.146755000000013"/>
    <n v="19.063874999999999"/>
    <n v="23.575385612609661"/>
  </r>
  <r>
    <x v="0"/>
    <x v="0"/>
    <n v="14"/>
    <n v="1.98"/>
    <s v="2008CSR-2395"/>
    <d v="2008-01-29T00:00:00"/>
    <n v="70.599999999999994"/>
    <x v="4"/>
    <d v="2008-03-04T00:00:00"/>
    <n v="81.599999999999994"/>
    <m/>
    <n v="35"/>
    <n v="11"/>
    <m/>
    <x v="23"/>
    <n v="314.28571428571428"/>
    <n v="30.362034714285713"/>
    <n v="8"/>
    <n v="-1"/>
    <n v="15.84"/>
    <n v="-125"/>
    <n v="8.7052489999999985"/>
    <n v="15.952499999999999"/>
    <n v="8.1210809749999981"/>
  </r>
  <r>
    <x v="0"/>
    <x v="0"/>
    <n v="14"/>
    <n v="1.98"/>
    <s v="2008CSR-2415"/>
    <d v="2008-01-29T00:00:00"/>
    <n v="61.6"/>
    <x v="0"/>
    <d v="2008-03-04T00:00:00"/>
    <n v="72.599999999999994"/>
    <m/>
    <n v="35"/>
    <n v="10.999999999999993"/>
    <m/>
    <x v="23"/>
    <n v="314.28571428571405"/>
    <n v="28.8402247142857"/>
    <n v="8"/>
    <n v="1.3999999999999915"/>
    <n v="15.84"/>
    <n v="174.99999999999892"/>
    <n v="21.973438999999942"/>
    <n v="18.02675"/>
    <n v="23.164309444049643"/>
  </r>
  <r>
    <x v="0"/>
    <x v="0"/>
    <n v="14"/>
    <n v="1.98"/>
    <s v="2008CSR-269"/>
    <d v="2008-01-29T00:00:00"/>
    <n v="60"/>
    <x v="0"/>
    <d v="2008-03-04T00:00:00"/>
    <n v="67.400000000000006"/>
    <m/>
    <n v="35"/>
    <n v="7.4000000000000057"/>
    <m/>
    <x v="23"/>
    <n v="211.42857142857162"/>
    <n v="23.19446157142858"/>
    <n v="8"/>
    <n v="0.80000000000001137"/>
    <n v="15.84"/>
    <n v="100.00000000000142"/>
    <n v="17.70103300000007"/>
    <n v="18.02675"/>
    <n v="18.660356528231066"/>
  </r>
  <r>
    <x v="0"/>
    <x v="0"/>
    <n v="14"/>
    <n v="1.98"/>
    <s v="2008CSR-31"/>
    <d v="2008-01-29T00:00:00"/>
    <n v="58"/>
    <x v="4"/>
    <d v="2008-03-04T00:00:00"/>
    <n v="67"/>
    <m/>
    <n v="35"/>
    <n v="9"/>
    <m/>
    <x v="23"/>
    <n v="257.14285714285711"/>
    <n v="25.245267857142856"/>
    <n v="8"/>
    <n v="0.79999999999999716"/>
    <n v="15.84"/>
    <n v="99.999999999999645"/>
    <n v="17.49812499999998"/>
    <n v="15.952499999999999"/>
    <n v="16.32390871710524"/>
  </r>
  <r>
    <x v="0"/>
    <x v="0"/>
    <n v="14"/>
    <n v="1.98"/>
    <s v="2008CSR-336"/>
    <d v="2008-01-29T00:00:00"/>
    <n v="55.2"/>
    <x v="0"/>
    <d v="2008-03-04T00:00:00"/>
    <n v="65"/>
    <m/>
    <n v="35"/>
    <n v="9.7999999999999972"/>
    <m/>
    <x v="23"/>
    <n v="279.99999999999994"/>
    <n v="25.966308999999995"/>
    <n v="8"/>
    <n v="3.2000000000000028"/>
    <n v="15.84"/>
    <n v="400.00000000000034"/>
    <n v="31.882309000000017"/>
    <n v="18.02675"/>
    <n v="33.610199635423996"/>
  </r>
  <r>
    <x v="0"/>
    <x v="0"/>
    <n v="14"/>
    <n v="1.98"/>
    <s v="2008CSR-362"/>
    <d v="2008-01-29T00:00:00"/>
    <n v="60.6"/>
    <x v="2"/>
    <d v="2008-03-04T00:00:00"/>
    <n v="66.8"/>
    <m/>
    <n v="35"/>
    <n v="6.1999999999999957"/>
    <m/>
    <x v="23"/>
    <n v="177.14285714285703"/>
    <n v="21.504175857142847"/>
    <n v="8"/>
    <n v="0.79999999999999716"/>
    <n v="15.84"/>
    <n v="99.999999999999645"/>
    <n v="17.701032999999981"/>
    <n v="20.100999999999999"/>
    <n v="20.807512534093544"/>
  </r>
  <r>
    <x v="0"/>
    <x v="0"/>
    <n v="14"/>
    <n v="1.98"/>
    <s v="2008CSR-4"/>
    <d v="2008-01-29T00:00:00"/>
    <n v="64.400000000000006"/>
    <x v="5"/>
    <d v="2008-03-04T00:00:00"/>
    <n v="70.8"/>
    <m/>
    <n v="35"/>
    <n v="6.3999999999999915"/>
    <m/>
    <x v="23"/>
    <n v="182.85714285714261"/>
    <n v="22.445341142857128"/>
    <n v="8"/>
    <n v="-1"/>
    <n v="15.84"/>
    <n v="-125"/>
    <n v="7.2679839999999984"/>
    <n v="21.138124999999999"/>
    <n v="8.9843014204678333"/>
  </r>
  <r>
    <x v="0"/>
    <x v="0"/>
    <n v="14"/>
    <n v="1.98"/>
    <s v="2008CSR-797"/>
    <d v="2008-01-29T00:00:00"/>
    <n v="54"/>
    <x v="5"/>
    <d v="2008-03-04T00:00:00"/>
    <n v="64.599999999999994"/>
    <m/>
    <n v="35"/>
    <n v="10.599999999999994"/>
    <m/>
    <x v="23"/>
    <n v="302.85714285714272"/>
    <n v="26.957894142857135"/>
    <n v="8"/>
    <n v="2.3999999999999915"/>
    <n v="15.84"/>
    <n v="299.99999999999892"/>
    <n v="26.817036999999942"/>
    <n v="21.138124999999999"/>
    <n v="33.149817557638812"/>
  </r>
  <r>
    <x v="0"/>
    <x v="0"/>
    <n v="14"/>
    <n v="1.98"/>
    <s v="2008CSR-82"/>
    <d v="2008-01-29T00:00:00"/>
    <n v="71"/>
    <x v="2"/>
    <d v="2008-03-04T00:00:00"/>
    <n v="71"/>
    <m/>
    <n v="35"/>
    <n v="0"/>
    <m/>
    <x v="23"/>
    <n v="0"/>
    <n v="14.005389999999998"/>
    <n v="8"/>
    <n v="-0.79999999999999716"/>
    <n v="15.84"/>
    <n v="-99.999999999999645"/>
    <n v="9.0753900000000165"/>
    <n v="20.100999999999999"/>
    <n v="10.668094408771948"/>
  </r>
  <r>
    <x v="0"/>
    <x v="0"/>
    <n v="14"/>
    <n v="1.98"/>
    <s v="2008CSR-1016"/>
    <d v="2008-01-29T00:00:00"/>
    <n v="54"/>
    <x v="0"/>
    <d v="2008-03-11T00:00:00"/>
    <n v="62"/>
    <n v="2.5"/>
    <n v="42"/>
    <n v="8"/>
    <n v="0"/>
    <x v="11"/>
    <n v="190.47619047619045"/>
    <n v="21.197696190476186"/>
    <n v="7"/>
    <n v="-0.60000000000000142"/>
    <n v="13.86"/>
    <n v="-85.714285714285921"/>
    <n v="7.5815057142857034"/>
    <n v="18.02675"/>
    <n v="7.9923922885964798"/>
  </r>
  <r>
    <x v="0"/>
    <x v="0"/>
    <n v="14"/>
    <n v="1.98"/>
    <s v="2008CSR-1019"/>
    <d v="2008-01-29T00:00:00"/>
    <n v="56.6"/>
    <x v="0"/>
    <d v="2008-03-11T00:00:00"/>
    <n v="63.2"/>
    <n v="2.75"/>
    <n v="42"/>
    <n v="6.6000000000000014"/>
    <n v="0.25"/>
    <x v="11"/>
    <n v="157.14285714285717"/>
    <n v="19.875633857142859"/>
    <n v="7"/>
    <n v="-2.3999999999999915"/>
    <n v="13.86"/>
    <n v="-342.85714285714164"/>
    <n v="-4.7743661428570832"/>
    <n v="18.02675"/>
    <n v="-5.0331172436110476"/>
  </r>
  <r>
    <x v="0"/>
    <x v="0"/>
    <n v="14"/>
    <n v="1.98"/>
    <s v="2008CSR-1045"/>
    <d v="2008-01-29T00:00:00"/>
    <n v="56.6"/>
    <x v="1"/>
    <d v="2008-03-11T00:00:00"/>
    <n v="65.2"/>
    <n v="3.75"/>
    <n v="42"/>
    <n v="8.6000000000000014"/>
    <n v="0.5"/>
    <x v="11"/>
    <n v="204.76190476190479"/>
    <n v="22.392342904761904"/>
    <n v="7"/>
    <n v="1"/>
    <n v="13.86"/>
    <n v="142.85714285714286"/>
    <n v="19.340438142857142"/>
    <n v="14.915374999999999"/>
    <n v="16.869584068129694"/>
  </r>
  <r>
    <x v="0"/>
    <x v="0"/>
    <n v="14"/>
    <n v="1.98"/>
    <s v="2008CSR-1137"/>
    <d v="2008-01-29T00:00:00"/>
    <n v="63.6"/>
    <x v="1"/>
    <d v="2008-03-11T00:00:00"/>
    <n v="68.8"/>
    <n v="3.5"/>
    <n v="42"/>
    <n v="5.1999999999999957"/>
    <n v="0.25"/>
    <x v="11"/>
    <n v="123.8095238095237"/>
    <n v="19.297567523809519"/>
    <n v="7"/>
    <n v="-1.6000000000000085"/>
    <n v="13.86"/>
    <n v="-228.57142857142978"/>
    <n v="1.9251865714285117"/>
    <n v="14.915374999999999"/>
    <n v="1.6792327285275166"/>
  </r>
  <r>
    <x v="0"/>
    <x v="0"/>
    <n v="14"/>
    <n v="1.98"/>
    <s v="2008CSR-1203"/>
    <d v="2008-01-29T00:00:00"/>
    <n v="52.4"/>
    <x v="2"/>
    <d v="2008-03-11T00:00:00"/>
    <n v="60.6"/>
    <n v="2.5"/>
    <n v="42"/>
    <n v="8.2000000000000028"/>
    <n v="0.5"/>
    <x v="11"/>
    <n v="195.2380952380953"/>
    <n v="21.178823095238098"/>
    <n v="7"/>
    <n v="-1"/>
    <n v="13.86"/>
    <n v="-142.85714285714286"/>
    <n v="4.5107278571428582"/>
    <n v="20.100999999999999"/>
    <n v="5.3023474068086891"/>
  </r>
  <r>
    <x v="0"/>
    <x v="0"/>
    <n v="14"/>
    <n v="1.98"/>
    <s v="2008CSR-1211"/>
    <d v="2008-01-29T00:00:00"/>
    <n v="53.2"/>
    <x v="0"/>
    <d v="2008-03-11T00:00:00"/>
    <n v="60.4"/>
    <n v="3"/>
    <n v="42"/>
    <n v="7.1999999999999957"/>
    <n v="0.5"/>
    <x v="11"/>
    <n v="171.42857142857133"/>
    <n v="20.055740571428565"/>
    <n v="7"/>
    <n v="-0.80000000000000426"/>
    <n v="13.86"/>
    <n v="-114.28571428571489"/>
    <n v="5.9700262857142548"/>
    <n v="18.02675"/>
    <n v="6.2935772716958729"/>
  </r>
  <r>
    <x v="0"/>
    <x v="0"/>
    <n v="14"/>
    <n v="1.98"/>
    <s v="2008CSR-1231"/>
    <d v="2008-01-29T00:00:00"/>
    <n v="60.2"/>
    <x v="3"/>
    <d v="2008-03-11T00:00:00"/>
    <n v="68.599999999999994"/>
    <n v="2"/>
    <n v="42"/>
    <n v="8.3999999999999915"/>
    <n v="-0.25"/>
    <x v="11"/>
    <n v="199.9999999999998"/>
    <n v="22.74939599999999"/>
    <n v="7"/>
    <n v="-1.4000000000000057"/>
    <n v="13.86"/>
    <n v="-200.00000000000082"/>
    <n v="3.0293959999999593"/>
    <n v="19.063874999999999"/>
    <n v="3.377311501140305"/>
  </r>
  <r>
    <x v="0"/>
    <x v="0"/>
    <n v="14"/>
    <n v="1.98"/>
    <s v="2008CSR-1250"/>
    <d v="2008-01-29T00:00:00"/>
    <n v="60.2"/>
    <x v="4"/>
    <d v="2008-03-11T00:00:00"/>
    <n v="68.599999999999994"/>
    <n v="3"/>
    <n v="42"/>
    <n v="8.3999999999999915"/>
    <n v="0"/>
    <x v="11"/>
    <n v="199.9999999999998"/>
    <n v="22.74939599999999"/>
    <n v="7"/>
    <n v="-1"/>
    <n v="13.86"/>
    <n v="-142.85714285714286"/>
    <n v="5.8465388571428578"/>
    <n v="15.952499999999999"/>
    <n v="5.4542053285714278"/>
  </r>
  <r>
    <x v="0"/>
    <x v="0"/>
    <n v="14"/>
    <n v="1.98"/>
    <s v="2008CSR-1251"/>
    <d v="2008-01-29T00:00:00"/>
    <n v="50.6"/>
    <x v="5"/>
    <d v="2008-03-11T00:00:00"/>
    <n v="63.8"/>
    <n v="2"/>
    <n v="42"/>
    <n v="13.199999999999996"/>
    <n v="0.25"/>
    <x v="11"/>
    <n v="314.28571428571416"/>
    <n v="27.16623371428571"/>
    <n v="7"/>
    <n v="0.19999999999999574"/>
    <n v="13.86"/>
    <n v="28.571428571427962"/>
    <n v="13.080519428571399"/>
    <n v="21.138124999999999"/>
    <n v="16.169453493922266"/>
  </r>
  <r>
    <x v="0"/>
    <x v="0"/>
    <n v="14"/>
    <n v="1.98"/>
    <s v="2008CSR-1299"/>
    <d v="2008-01-29T00:00:00"/>
    <n v="63.2"/>
    <x v="0"/>
    <d v="2008-03-11T00:00:00"/>
    <n v="72"/>
    <n v="3.5"/>
    <n v="42"/>
    <n v="8.7999999999999972"/>
    <n v="1"/>
    <x v="11"/>
    <n v="209.52380952380943"/>
    <n v="23.760007809523803"/>
    <n v="7"/>
    <n v="-1.7999999999999972"/>
    <n v="13.86"/>
    <n v="-257.14285714285671"/>
    <n v="0.75334114285716147"/>
    <n v="18.02675"/>
    <n v="0.79416914894738799"/>
  </r>
  <r>
    <x v="0"/>
    <x v="0"/>
    <n v="14"/>
    <n v="1.98"/>
    <s v="2008CSR-1343"/>
    <d v="2008-01-29T00:00:00"/>
    <n v="57.2"/>
    <x v="6"/>
    <d v="2008-03-11T00:00:00"/>
    <n v="65"/>
    <n v="3.5"/>
    <n v="42"/>
    <n v="7.7999999999999972"/>
    <n v="0"/>
    <x v="11"/>
    <n v="185.71428571428564"/>
    <n v="21.48711328571428"/>
    <n v="7"/>
    <n v="-1.4000000000000057"/>
    <n v="13.86"/>
    <n v="-200.00000000000082"/>
    <n v="2.471398999999959"/>
    <n v="13.878249999999998"/>
    <n v="2.0057715305116623"/>
  </r>
  <r>
    <x v="0"/>
    <x v="0"/>
    <n v="14"/>
    <n v="1.98"/>
    <s v="2008CSR-1394"/>
    <d v="2008-01-29T00:00:00"/>
    <n v="48.2"/>
    <x v="3"/>
    <d v="2008-03-11T00:00:00"/>
    <n v="57.6"/>
    <n v="3"/>
    <n v="42"/>
    <n v="9.3999999999999986"/>
    <n v="0.75"/>
    <x v="11"/>
    <n v="223.80952380952377"/>
    <n v="21.978670523809523"/>
    <n v="7"/>
    <n v="0"/>
    <n v="13.86"/>
    <n v="0"/>
    <n v="10.944861000000001"/>
    <n v="19.063874999999999"/>
    <n v="12.201839882828947"/>
  </r>
  <r>
    <x v="0"/>
    <x v="0"/>
    <n v="14"/>
    <n v="1.98"/>
    <s v="2008CSR-1475"/>
    <d v="2008-01-29T00:00:00"/>
    <n v="66.400000000000006"/>
    <x v="0"/>
    <d v="2008-03-11T00:00:00"/>
    <n v="70.8"/>
    <n v="3"/>
    <n v="42"/>
    <n v="4.3999999999999915"/>
    <n v="0.5"/>
    <x v="11"/>
    <n v="104.76190476190456"/>
    <n v="18.764335904761893"/>
    <n v="7"/>
    <n v="-1.7999999999999972"/>
    <n v="13.86"/>
    <n v="-257.14285714285671"/>
    <n v="0.9224311428571621"/>
    <n v="18.02675"/>
    <n v="0.97242313476610209"/>
  </r>
  <r>
    <x v="0"/>
    <x v="0"/>
    <n v="14"/>
    <n v="1.98"/>
    <s v="2008CSR-1506"/>
    <d v="2008-01-29T00:00:00"/>
    <n v="48.4"/>
    <x v="2"/>
    <d v="2008-03-11T00:00:00"/>
    <n v="54.4"/>
    <n v="2.25"/>
    <n v="42"/>
    <n v="6"/>
    <n v="0.25"/>
    <x v="11"/>
    <n v="142.85714285714286"/>
    <n v="17.734083142857141"/>
    <n v="7"/>
    <n v="-1.3999999999999986"/>
    <n v="13.86"/>
    <n v="-199.9999999999998"/>
    <n v="0.83122600000000979"/>
    <n v="20.100999999999999"/>
    <n v="0.97710373251463134"/>
  </r>
  <r>
    <x v="0"/>
    <x v="0"/>
    <n v="14"/>
    <n v="1.98"/>
    <s v="2008CSR-159"/>
    <d v="2008-01-29T00:00:00"/>
    <n v="53"/>
    <x v="2"/>
    <d v="2008-03-11T00:00:00"/>
    <n v="61.4"/>
    <n v="2.5"/>
    <n v="42"/>
    <n v="8.3999999999999986"/>
    <n v="0.5"/>
    <x v="11"/>
    <n v="199.99999999999994"/>
    <n v="21.531948"/>
    <n v="7"/>
    <n v="-1.6000000000000014"/>
    <n v="13.86"/>
    <n v="-228.57142857142878"/>
    <n v="0.40337657142856109"/>
    <n v="20.100999999999999"/>
    <n v="0.4741679802506143"/>
  </r>
  <r>
    <x v="0"/>
    <x v="0"/>
    <n v="14"/>
    <n v="1.98"/>
    <s v="2008CSR-1646"/>
    <d v="2008-01-29T00:00:00"/>
    <n v="60"/>
    <x v="2"/>
    <d v="2008-03-11T00:00:00"/>
    <n v="65.400000000000006"/>
    <n v="2.5"/>
    <n v="42"/>
    <n v="5.4000000000000057"/>
    <n v="0.5"/>
    <x v="11"/>
    <n v="128.5714285714287"/>
    <n v="18.940514428571433"/>
    <n v="7"/>
    <n v="-2.7999999999999972"/>
    <n v="13.86"/>
    <n v="-399.9999999999996"/>
    <n v="-7.1180569999999772"/>
    <n v="20.100999999999999"/>
    <n v="-8.367255190467807"/>
  </r>
  <r>
    <x v="0"/>
    <x v="0"/>
    <n v="14"/>
    <n v="1.98"/>
    <s v="2008CSR-1675"/>
    <d v="2008-01-29T00:00:00"/>
    <n v="64.2"/>
    <x v="4"/>
    <d v="2008-03-11T00:00:00"/>
    <n v="69.8"/>
    <n v="3"/>
    <n v="42"/>
    <n v="5.5999999999999943"/>
    <n v="0"/>
    <x v="11"/>
    <n v="133.3333333333332"/>
    <n v="19.902363333333327"/>
    <n v="7"/>
    <n v="-1.6000000000000085"/>
    <n v="13.86"/>
    <n v="-228.57142857142978"/>
    <n v="2.0604585714285122"/>
    <n v="15.952499999999999"/>
    <n v="1.9221909567668616"/>
  </r>
  <r>
    <x v="0"/>
    <x v="0"/>
    <n v="14"/>
    <n v="1.98"/>
    <s v="2008CSR-1711"/>
    <d v="2008-01-29T00:00:00"/>
    <n v="56.4"/>
    <x v="0"/>
    <d v="2008-03-11T00:00:00"/>
    <n v="65.599999999999994"/>
    <n v="3"/>
    <n v="42"/>
    <n v="9.1999999999999957"/>
    <n v="0.5"/>
    <x v="11"/>
    <n v="219.04761904761892"/>
    <n v="23.113537619047612"/>
    <n v="7"/>
    <n v="-1"/>
    <n v="13.86"/>
    <n v="-142.85714285714286"/>
    <n v="5.2716328571428575"/>
    <n v="18.02675"/>
    <n v="5.5573337782163748"/>
  </r>
  <r>
    <x v="0"/>
    <x v="0"/>
    <n v="14"/>
    <n v="1.98"/>
    <s v="2008CSR-1759"/>
    <d v="2008-01-29T00:00:00"/>
    <n v="64"/>
    <x v="4"/>
    <d v="2008-03-11T00:00:00"/>
    <n v="71"/>
    <n v="4"/>
    <n v="42"/>
    <n v="7"/>
    <n v="1"/>
    <x v="11"/>
    <n v="166.66666666666666"/>
    <n v="21.630241666666663"/>
    <n v="7"/>
    <n v="-0.40000000000000568"/>
    <n v="13.86"/>
    <n v="-57.142857142857956"/>
    <n v="10.596432142857104"/>
    <n v="15.952499999999999"/>
    <n v="9.8853557753759009"/>
  </r>
  <r>
    <x v="0"/>
    <x v="0"/>
    <n v="14"/>
    <n v="1.98"/>
    <s v="2008CSR-1781"/>
    <d v="2008-01-29T00:00:00"/>
    <n v="54"/>
    <x v="0"/>
    <d v="2008-03-11T00:00:00"/>
    <n v="61.4"/>
    <n v="2.5"/>
    <n v="42"/>
    <n v="7.3999999999999986"/>
    <n v="0"/>
    <x v="11"/>
    <n v="176.19047619047615"/>
    <n v="20.442683476190474"/>
    <n v="7"/>
    <n v="0.79999999999999716"/>
    <n v="13.86"/>
    <n v="114.28571428571388"/>
    <n v="17.390778714285695"/>
    <n v="18.02675"/>
    <n v="18.333287730277757"/>
  </r>
  <r>
    <x v="0"/>
    <x v="0"/>
    <n v="14"/>
    <n v="1.98"/>
    <s v="2008CSR-18"/>
    <d v="2008-01-29T00:00:00"/>
    <n v="59.2"/>
    <x v="5"/>
    <d v="2008-03-11T00:00:00"/>
    <n v="70.2"/>
    <n v="2"/>
    <n v="42"/>
    <n v="11"/>
    <n v="0.25"/>
    <x v="11"/>
    <n v="261.90476190476193"/>
    <n v="25.852027761904761"/>
    <n v="7"/>
    <n v="3"/>
    <n v="13.86"/>
    <n v="428.57142857142856"/>
    <n v="34.068694428571426"/>
    <n v="21.138124999999999"/>
    <n v="42.113936925026103"/>
  </r>
  <r>
    <x v="0"/>
    <x v="0"/>
    <n v="14"/>
    <n v="1.98"/>
    <s v="2008CSR-2130"/>
    <d v="2008-01-29T00:00:00"/>
    <n v="57.8"/>
    <x v="5"/>
    <d v="2008-03-11T00:00:00"/>
    <n v="65.2"/>
    <n v="2"/>
    <n v="42"/>
    <n v="7.4000000000000057"/>
    <n v="0.25"/>
    <x v="11"/>
    <n v="176.19047619047632"/>
    <n v="21.08522547619048"/>
    <n v="7"/>
    <n v="-1.2000000000000028"/>
    <n v="13.86"/>
    <n v="-171.42857142857184"/>
    <n v="3.9476064285714081"/>
    <n v="21.138124999999999"/>
    <n v="4.8798244525114605"/>
  </r>
  <r>
    <x v="0"/>
    <x v="0"/>
    <n v="14"/>
    <n v="1.98"/>
    <s v="2008CSR-2152"/>
    <d v="2008-01-29T00:00:00"/>
    <n v="56.2"/>
    <x v="7"/>
    <d v="2008-03-11T00:00:00"/>
    <n v="68.599999999999994"/>
    <n v="3.25"/>
    <n v="42"/>
    <n v="12.399999999999991"/>
    <n v="0.5"/>
    <x v="11"/>
    <n v="295.23809523809501"/>
    <n v="27.106454095238082"/>
    <n v="7"/>
    <n v="-0.20000000000000284"/>
    <n v="13.86"/>
    <n v="-28.571428571428978"/>
    <n v="11.14264457142855"/>
    <n v="16.989624999999997"/>
    <n v="11.070722384611505"/>
  </r>
  <r>
    <x v="0"/>
    <x v="0"/>
    <n v="14"/>
    <n v="1.98"/>
    <s v="2008CSR-2265"/>
    <d v="2008-01-29T00:00:00"/>
    <n v="58"/>
    <x v="3"/>
    <d v="2008-03-11T00:00:00"/>
    <n v="67.599999999999994"/>
    <n v="3"/>
    <n v="42"/>
    <n v="9.5999999999999943"/>
    <n v="0.75"/>
    <x v="11"/>
    <n v="228.57142857142841"/>
    <n v="23.88742342857142"/>
    <n v="7"/>
    <n v="0.39999999999999147"/>
    <n v="13.86"/>
    <n v="57.142857142855924"/>
    <n v="15.435994857142795"/>
    <n v="19.063874999999999"/>
    <n v="17.20876470510018"/>
  </r>
  <r>
    <x v="0"/>
    <x v="0"/>
    <n v="14"/>
    <n v="1.98"/>
    <s v="2008CSR-2366"/>
    <d v="2008-01-29T00:00:00"/>
    <n v="67"/>
    <x v="3"/>
    <d v="2008-03-11T00:00:00"/>
    <n v="71.599999999999994"/>
    <n v="2.5"/>
    <n v="42"/>
    <n v="4.5999999999999943"/>
    <n v="0.25"/>
    <x v="11"/>
    <n v="109.52380952380939"/>
    <n v="19.117460809523802"/>
    <n v="7"/>
    <n v="-0.40000000000000568"/>
    <n v="13.86"/>
    <n v="-57.142857142857956"/>
    <n v="10.900794142857102"/>
    <n v="19.063874999999999"/>
    <n v="12.152712101763738"/>
  </r>
  <r>
    <x v="0"/>
    <x v="0"/>
    <n v="14"/>
    <n v="1.98"/>
    <s v="2008CSR-2395"/>
    <d v="2008-01-29T00:00:00"/>
    <n v="70.599999999999994"/>
    <x v="4"/>
    <d v="2008-03-11T00:00:00"/>
    <n v="79.400000000000006"/>
    <n v="3"/>
    <n v="42"/>
    <n v="8.8000000000000114"/>
    <n v="0"/>
    <x v="11"/>
    <n v="209.5238095238098"/>
    <n v="25.011273809523821"/>
    <n v="7"/>
    <n v="-2.1999999999999886"/>
    <n v="13.86"/>
    <n v="-314.28571428571269"/>
    <n v="-0.81253571428563376"/>
    <n v="15.952499999999999"/>
    <n v="-0.75801029135330822"/>
  </r>
  <r>
    <x v="0"/>
    <x v="0"/>
    <n v="14"/>
    <n v="1.98"/>
    <s v="2008CSR-2415"/>
    <d v="2008-01-29T00:00:00"/>
    <n v="61.6"/>
    <x v="0"/>
    <d v="2008-03-11T00:00:00"/>
    <n v="71.400000000000006"/>
    <n v="2"/>
    <n v="42"/>
    <n v="9.8000000000000043"/>
    <n v="-0.5"/>
    <x v="11"/>
    <n v="233.33333333333346"/>
    <n v="24.747818333333338"/>
    <n v="7"/>
    <n v="-1.1999999999999886"/>
    <n v="13.86"/>
    <n v="-171.4285714285698"/>
    <n v="4.7930564285715089"/>
    <n v="18.02675"/>
    <n v="5.0528204663012541"/>
  </r>
  <r>
    <x v="0"/>
    <x v="0"/>
    <n v="14"/>
    <n v="1.98"/>
    <s v="2008CSR-269"/>
    <d v="2008-01-29T00:00:00"/>
    <n v="60"/>
    <x v="0"/>
    <d v="2008-03-11T00:00:00"/>
    <n v="67"/>
    <n v="2.5"/>
    <n v="42"/>
    <n v="7"/>
    <n v="0"/>
    <x v="11"/>
    <n v="166.66666666666666"/>
    <n v="20.953881666666664"/>
    <n v="7"/>
    <n v="-0.40000000000000568"/>
    <n v="13.86"/>
    <n v="-57.142857142857956"/>
    <n v="9.9200721428571015"/>
    <n v="18.02675"/>
    <n v="10.4576994445175"/>
  </r>
  <r>
    <x v="0"/>
    <x v="0"/>
    <n v="14"/>
    <n v="1.98"/>
    <s v="2008CSR-31"/>
    <d v="2008-01-29T00:00:00"/>
    <n v="58"/>
    <x v="4"/>
    <d v="2008-03-11T00:00:00"/>
    <n v="65.599999999999994"/>
    <n v="3"/>
    <n v="42"/>
    <n v="7.5999999999999943"/>
    <n v="0"/>
    <x v="11"/>
    <n v="180.95238095238082"/>
    <n v="21.370714380952371"/>
    <n v="7"/>
    <n v="-1.4000000000000057"/>
    <n v="13.86"/>
    <n v="-200.00000000000082"/>
    <n v="2.5897619999999595"/>
    <n v="15.952499999999999"/>
    <n v="2.4159753394736456"/>
  </r>
  <r>
    <x v="0"/>
    <x v="0"/>
    <n v="14"/>
    <n v="1.98"/>
    <s v="2008CSR-336"/>
    <d v="2008-01-29T00:00:00"/>
    <n v="55.2"/>
    <x v="0"/>
    <d v="2008-03-11T00:00:00"/>
    <n v="60"/>
    <n v="2.25"/>
    <n v="42"/>
    <n v="4.7999999999999972"/>
    <n v="-0.25"/>
    <x v="11"/>
    <n v="114.28571428571421"/>
    <n v="17.373869714285711"/>
    <n v="7"/>
    <n v="-5"/>
    <n v="13.86"/>
    <n v="-714.28571428571433"/>
    <n v="-23.474701714285715"/>
    <n v="18.02675"/>
    <n v="-24.746934451929821"/>
  </r>
  <r>
    <x v="0"/>
    <x v="0"/>
    <n v="14"/>
    <n v="1.98"/>
    <s v="2008CSR-362"/>
    <d v="2008-01-29T00:00:00"/>
    <n v="60.6"/>
    <x v="2"/>
    <d v="2008-03-11T00:00:00"/>
    <n v="67"/>
    <n v="2.5"/>
    <n v="42"/>
    <n v="6.3999999999999986"/>
    <n v="0.5"/>
    <x v="11"/>
    <n v="152.38095238095235"/>
    <n v="20.300322952380949"/>
    <n v="7"/>
    <n v="0.20000000000000284"/>
    <n v="13.86"/>
    <n v="28.571428571428978"/>
    <n v="14.196513428571448"/>
    <n v="20.100999999999999"/>
    <n v="16.687960025012554"/>
  </r>
  <r>
    <x v="0"/>
    <x v="0"/>
    <n v="14"/>
    <n v="1.98"/>
    <s v="2008CSR-4"/>
    <d v="2008-01-29T00:00:00"/>
    <n v="64.400000000000006"/>
    <x v="5"/>
    <d v="2008-03-11T00:00:00"/>
    <n v="69.8"/>
    <n v="2"/>
    <n v="42"/>
    <n v="5.3999999999999915"/>
    <n v="0.25"/>
    <x v="11"/>
    <n v="128.57142857142836"/>
    <n v="19.684510428571414"/>
    <n v="7"/>
    <n v="-1"/>
    <n v="13.86"/>
    <n v="-142.85714285714286"/>
    <n v="6.303081857142856"/>
    <n v="21.138124999999999"/>
    <n v="7.7915398936560134"/>
  </r>
  <r>
    <x v="0"/>
    <x v="0"/>
    <n v="14"/>
    <n v="1.98"/>
    <s v="2008CSR-797"/>
    <d v="2008-01-29T00:00:00"/>
    <n v="54"/>
    <x v="5"/>
    <d v="2008-03-11T00:00:00"/>
    <n v="62.4"/>
    <n v="2"/>
    <n v="42"/>
    <n v="8.3999999999999986"/>
    <n v="0.25"/>
    <x v="11"/>
    <n v="199.99999999999994"/>
    <n v="21.701037999999997"/>
    <n v="7"/>
    <n v="-2.1999999999999957"/>
    <n v="13.86"/>
    <n v="-314.28571428571365"/>
    <n v="-3.6532477142856834"/>
    <n v="21.138124999999999"/>
    <n v="-4.5159536164055583"/>
  </r>
  <r>
    <x v="0"/>
    <x v="0"/>
    <n v="14"/>
    <n v="1.98"/>
    <s v="2008CSR-82"/>
    <d v="2008-01-29T00:00:00"/>
    <n v="71"/>
    <x v="2"/>
    <d v="2008-03-11T00:00:00"/>
    <n v="72.8"/>
    <n v="2.25"/>
    <n v="42"/>
    <n v="1.7999999999999972"/>
    <n v="0.25"/>
    <x v="11"/>
    <n v="42.85714285714279"/>
    <n v="16.270428142857142"/>
    <n v="7"/>
    <n v="1.7999999999999972"/>
    <n v="13.86"/>
    <n v="257.14285714285671"/>
    <n v="26.834713857142837"/>
    <n v="20.100999999999999"/>
    <n v="31.544127674995799"/>
  </r>
  <r>
    <x v="1"/>
    <x v="4"/>
    <n v="186"/>
    <n v="2.4300000000000002"/>
    <s v="2015E-1054"/>
    <d v="2015-02-10T00:00:00"/>
    <n v="54.6"/>
    <x v="4"/>
    <d v="2015-03-24T00:00:00"/>
    <n v="56"/>
    <n v="4"/>
    <n v="42"/>
    <n v="1.3999999999999986"/>
    <n v="1"/>
    <x v="24"/>
    <n v="33.3333333333333"/>
    <n v="12.99401033333333"/>
    <n v="14"/>
    <n v="-0.79999999999999716"/>
    <n v="34.020000000000003"/>
    <n v="-57.14285714285694"/>
    <n v="8.5335341428571532"/>
    <n v="15.952499999999999"/>
    <n v="7.9608890885338424"/>
  </r>
  <r>
    <x v="1"/>
    <x v="4"/>
    <n v="186"/>
    <n v="2.4300000000000002"/>
    <s v="2015E-1063"/>
    <d v="2015-02-10T00:00:00"/>
    <n v="56.8"/>
    <x v="6"/>
    <d v="2015-03-24T00:00:00"/>
    <n v="53.9"/>
    <n v="4.5"/>
    <n v="42"/>
    <n v="-2.8999999999999986"/>
    <n v="1"/>
    <x v="24"/>
    <n v="-69.047619047619008"/>
    <n v="7.9550838809523814"/>
    <n v="14"/>
    <n v="-0.89999999999999858"/>
    <n v="34.020000000000003"/>
    <n v="-64.285714285714178"/>
    <n v="8.1898457857142901"/>
    <n v="13.878249999999998"/>
    <n v="6.6468261564672115"/>
  </r>
  <r>
    <x v="1"/>
    <x v="4"/>
    <n v="186"/>
    <n v="2.4300000000000002"/>
    <s v="2015E-1236"/>
    <d v="2015-02-10T00:00:00"/>
    <n v="54.6"/>
    <x v="0"/>
    <d v="2015-03-24T00:00:00"/>
    <n v="57"/>
    <n v="4"/>
    <n v="42"/>
    <n v="2.3999999999999986"/>
    <n v="1.5"/>
    <x v="24"/>
    <n v="57.142857142857103"/>
    <n v="14.252364857142855"/>
    <n v="14"/>
    <n v="-0.79999999999999716"/>
    <n v="34.020000000000003"/>
    <n v="-57.14285714285694"/>
    <n v="8.6180791428571517"/>
    <n v="18.02675"/>
    <n v="9.0851437537134583"/>
  </r>
  <r>
    <x v="1"/>
    <x v="4"/>
    <n v="186"/>
    <n v="2.4300000000000002"/>
    <s v="2015E-1242"/>
    <d v="2015-02-10T00:00:00"/>
    <n v="57.6"/>
    <x v="9"/>
    <d v="2015-03-24T00:00:00"/>
    <n v="59"/>
    <n v="3.5"/>
    <n v="42"/>
    <n v="1.3999999999999986"/>
    <n v="-0.5"/>
    <x v="24"/>
    <n v="33.3333333333333"/>
    <n v="13.50128033333333"/>
    <n v="14"/>
    <n v="-1"/>
    <n v="34.020000000000003"/>
    <n v="-71.428571428571431"/>
    <n v="8.3365184285714289"/>
    <n v="11.803999999999998"/>
    <n v="5.7546352942021715"/>
  </r>
  <r>
    <x v="1"/>
    <x v="4"/>
    <n v="186"/>
    <n v="2.4300000000000002"/>
    <s v="2015E-1267"/>
    <d v="2015-02-10T00:00:00"/>
    <n v="58.4"/>
    <x v="0"/>
    <d v="2015-03-24T00:00:00"/>
    <n v="56.2"/>
    <n v="3.5"/>
    <n v="42"/>
    <n v="-2.1999999999999957"/>
    <n v="1"/>
    <x v="24"/>
    <n v="-52.38095238095228"/>
    <n v="9.1064760476190507"/>
    <n v="14"/>
    <n v="-3.3999999999999986"/>
    <n v="34.020000000000003"/>
    <n v="-242.85714285714275"/>
    <n v="-0.28400014285713837"/>
    <n v="18.02675"/>
    <n v="-0.299391788026311"/>
  </r>
  <r>
    <x v="1"/>
    <x v="4"/>
    <n v="186"/>
    <n v="2.4300000000000002"/>
    <s v="2015E-1275"/>
    <d v="2015-02-10T00:00:00"/>
    <n v="56"/>
    <x v="4"/>
    <d v="2015-03-24T00:00:00"/>
    <n v="53.6"/>
    <n v="3.5"/>
    <n v="42"/>
    <n v="-2.3999999999999986"/>
    <n v="0.5"/>
    <x v="24"/>
    <n v="-57.142857142857103"/>
    <n v="8.448989142857144"/>
    <n v="14"/>
    <n v="-2.1000000000000014"/>
    <n v="34.020000000000003"/>
    <n v="-150.00000000000011"/>
    <n v="3.871131999999994"/>
    <n v="15.952499999999999"/>
    <n v="3.6113586684210461"/>
  </r>
  <r>
    <x v="1"/>
    <x v="4"/>
    <n v="186"/>
    <n v="2.4300000000000002"/>
    <s v="2015E-1276"/>
    <d v="2015-02-10T00:00:00"/>
    <n v="56.8"/>
    <x v="6"/>
    <d v="2015-03-24T00:00:00"/>
    <n v="56.6"/>
    <n v="3.5"/>
    <n v="42"/>
    <n v="-0.19999999999999574"/>
    <n v="0"/>
    <x v="24"/>
    <n v="-4.7619047619046597"/>
    <n v="11.3526410952381"/>
    <n v="14"/>
    <n v="1.8000000000000043"/>
    <n v="34.020000000000003"/>
    <n v="128.57142857142887"/>
    <n v="17.925974428571443"/>
    <n v="13.878249999999998"/>
    <n v="14.548605532942783"/>
  </r>
  <r>
    <x v="1"/>
    <x v="4"/>
    <n v="186"/>
    <n v="2.4300000000000002"/>
    <s v="2015E-1296"/>
    <d v="2015-02-10T00:00:00"/>
    <n v="57.8"/>
    <x v="4"/>
    <d v="2015-03-24T00:00:00"/>
    <n v="57.4"/>
    <n v="4.5"/>
    <n v="42"/>
    <n v="-0.39999999999999858"/>
    <n v="1.5"/>
    <x v="24"/>
    <n v="-9.52380952380949"/>
    <n v="11.27006019047619"/>
    <n v="14"/>
    <n v="-3.2000000000000028"/>
    <n v="34.020000000000003"/>
    <n v="-228.57142857142878"/>
    <n v="0.47101257142855957"/>
    <n v="15.952499999999999"/>
    <n v="0.4394051488721693"/>
  </r>
  <r>
    <x v="1"/>
    <x v="4"/>
    <n v="186"/>
    <n v="2.4300000000000002"/>
    <s v="2015E-1300"/>
    <d v="2015-02-10T00:00:00"/>
    <n v="52.4"/>
    <x v="0"/>
    <d v="2015-03-24T00:00:00"/>
    <n v="56"/>
    <n v="4"/>
    <n v="42"/>
    <n v="3.6000000000000014"/>
    <n v="1.5"/>
    <x v="24"/>
    <n v="85.714285714285737"/>
    <n v="15.390392285714288"/>
    <n v="14"/>
    <n v="-3.3999999999999986"/>
    <n v="34.020000000000003"/>
    <n v="-242.85714285714275"/>
    <n v="-0.80817914285713677"/>
    <n v="18.02675"/>
    <n v="-0.85197914406432107"/>
  </r>
  <r>
    <x v="1"/>
    <x v="4"/>
    <n v="186"/>
    <n v="2.4300000000000002"/>
    <s v="2015E-1312"/>
    <d v="2015-02-10T00:00:00"/>
    <n v="57.2"/>
    <x v="4"/>
    <d v="2015-03-24T00:00:00"/>
    <n v="56.4"/>
    <n v="3.5"/>
    <n v="42"/>
    <n v="-0.80000000000000426"/>
    <n v="0.5"/>
    <x v="24"/>
    <n v="-19.04761904761915"/>
    <n v="10.665264380952374"/>
    <n v="14"/>
    <n v="-3.8000000000000043"/>
    <n v="34.020000000000003"/>
    <n v="-271.42857142857173"/>
    <n v="-1.7771165714285875"/>
    <n v="15.952499999999999"/>
    <n v="-1.6578626962406162"/>
  </r>
  <r>
    <x v="1"/>
    <x v="4"/>
    <n v="186"/>
    <n v="2.4300000000000002"/>
    <s v="2015E-1335"/>
    <d v="2015-02-10T00:00:00"/>
    <n v="53.6"/>
    <x v="0"/>
    <d v="2015-03-24T00:00:00"/>
    <n v="52.8"/>
    <n v="4"/>
    <n v="42"/>
    <n v="-0.80000000000000426"/>
    <n v="1.5"/>
    <x v="24"/>
    <n v="-19.04761904761915"/>
    <n v="10.056540380952375"/>
    <n v="14"/>
    <n v="-2.8000000000000043"/>
    <n v="34.020000000000003"/>
    <n v="-200.00000000000031"/>
    <n v="1.1355879999999843"/>
    <n v="18.02675"/>
    <n v="1.1971322209941353"/>
  </r>
  <r>
    <x v="1"/>
    <x v="4"/>
    <n v="186"/>
    <n v="2.4300000000000002"/>
    <s v="2015E-1339"/>
    <d v="2015-02-10T00:00:00"/>
    <n v="56"/>
    <x v="4"/>
    <d v="2015-03-24T00:00:00"/>
    <n v="54.8"/>
    <n v="3.5"/>
    <n v="42"/>
    <n v="-1.2000000000000028"/>
    <n v="0.5"/>
    <x v="24"/>
    <n v="-28.57142857142864"/>
    <n v="9.9590145714285683"/>
    <n v="14"/>
    <n v="-2"/>
    <n v="34.020000000000003"/>
    <n v="-142.85714285714286"/>
    <n v="4.3247288571428575"/>
    <n v="15.952499999999999"/>
    <n v="4.0345167890977436"/>
  </r>
  <r>
    <x v="1"/>
    <x v="4"/>
    <n v="186"/>
    <n v="2.4300000000000002"/>
    <s v="2015E-1362"/>
    <d v="2015-02-10T00:00:00"/>
    <n v="53.8"/>
    <x v="6"/>
    <d v="2015-03-24T00:00:00"/>
    <n v="53"/>
    <n v="4"/>
    <n v="42"/>
    <n v="-0.79999999999999716"/>
    <n v="0.5"/>
    <x v="24"/>
    <n v="-19.04761904761898"/>
    <n v="10.090358380952384"/>
    <n v="14"/>
    <n v="-2"/>
    <n v="34.020000000000003"/>
    <n v="-142.85714285714286"/>
    <n v="3.986548857142858"/>
    <n v="13.878249999999998"/>
    <n v="3.2354574079908103"/>
  </r>
  <r>
    <x v="1"/>
    <x v="4"/>
    <n v="186"/>
    <n v="2.4300000000000002"/>
    <s v="2015E-149"/>
    <d v="2015-02-10T00:00:00"/>
    <n v="52.2"/>
    <x v="6"/>
    <d v="2015-03-24T00:00:00"/>
    <n v="52.5"/>
    <n v="4"/>
    <n v="42"/>
    <n v="0.29999999999999716"/>
    <n v="0.5"/>
    <x v="24"/>
    <n v="7.1428571428570748"/>
    <n v="11.204004357142853"/>
    <n v="14"/>
    <n v="-2.2999999999999972"/>
    <n v="34.020000000000003"/>
    <n v="-164.28571428571408"/>
    <n v="2.7525757857142956"/>
    <n v="13.878249999999998"/>
    <n v="2.2339728010578601"/>
  </r>
  <r>
    <x v="1"/>
    <x v="4"/>
    <n v="186"/>
    <n v="2.4300000000000002"/>
    <s v="2015E-207"/>
    <d v="2015-02-10T00:00:00"/>
    <n v="58.2"/>
    <x v="6"/>
    <d v="2015-03-24T00:00:00"/>
    <n v="55.8"/>
    <n v="4"/>
    <n v="42"/>
    <n v="-2.4000000000000057"/>
    <n v="0.5"/>
    <x v="24"/>
    <n v="-57.142857142857281"/>
    <n v="8.8209871428571365"/>
    <n v="14"/>
    <n v="-5.2000000000000028"/>
    <n v="34.020000000000003"/>
    <n v="-371.42857142857162"/>
    <n v="-6.6732985714285782"/>
    <n v="13.878249999999998"/>
    <n v="-5.416006192919804"/>
  </r>
  <r>
    <x v="1"/>
    <x v="4"/>
    <n v="186"/>
    <n v="2.4300000000000002"/>
    <s v="2015E-22"/>
    <d v="2015-02-10T00:00:00"/>
    <n v="55.6"/>
    <x v="4"/>
    <d v="2015-03-24T00:00:00"/>
    <n v="56.6"/>
    <n v="4"/>
    <n v="42"/>
    <n v="1"/>
    <n v="1"/>
    <x v="24"/>
    <n v="23.809523809523807"/>
    <n v="12.659758523809524"/>
    <n v="14"/>
    <n v="-2.1999999999999957"/>
    <n v="34.020000000000003"/>
    <n v="-157.14285714285683"/>
    <n v="3.7388061428571584"/>
    <n v="15.952499999999999"/>
    <n v="3.4879125727443747"/>
  </r>
  <r>
    <x v="1"/>
    <x v="4"/>
    <n v="186"/>
    <n v="2.4300000000000002"/>
    <s v="2015E-441"/>
    <d v="2015-02-10T00:00:00"/>
    <n v="56.4"/>
    <x v="4"/>
    <d v="2015-03-24T00:00:00"/>
    <n v="57.2"/>
    <n v="4"/>
    <n v="42"/>
    <n v="0.80000000000000426"/>
    <n v="1"/>
    <x v="24"/>
    <n v="19.04761904761915"/>
    <n v="12.543359619047623"/>
    <n v="14"/>
    <n v="0.40000000000000568"/>
    <n v="34.020000000000003"/>
    <n v="28.571428571428978"/>
    <n v="13.012883428571447"/>
    <n v="15.952499999999999"/>
    <n v="12.139650461654151"/>
  </r>
  <r>
    <x v="1"/>
    <x v="4"/>
    <n v="186"/>
    <n v="2.4300000000000002"/>
    <s v="2015E-646"/>
    <d v="2015-02-10T00:00:00"/>
    <n v="60"/>
    <x v="6"/>
    <d v="2015-03-24T00:00:00"/>
    <n v="57.2"/>
    <n v="4"/>
    <n v="42"/>
    <n v="-2.7999999999999972"/>
    <n v="0.5"/>
    <x v="24"/>
    <n v="-66.6666666666666"/>
    <n v="8.622007333333336"/>
    <n v="14"/>
    <n v="-1.3999999999999986"/>
    <n v="34.020000000000003"/>
    <n v="-99.999999999999901"/>
    <n v="6.9786740000000052"/>
    <n v="13.878249999999998"/>
    <n v="5.6638469263450322"/>
  </r>
  <r>
    <x v="1"/>
    <x v="4"/>
    <n v="186"/>
    <n v="2.4300000000000002"/>
    <s v="2015E-877"/>
    <d v="2015-02-10T00:00:00"/>
    <n v="55.8"/>
    <x v="4"/>
    <d v="2015-03-24T00:00:00"/>
    <n v="58"/>
    <n v="4"/>
    <n v="42"/>
    <n v="2.2000000000000028"/>
    <n v="1"/>
    <x v="24"/>
    <n v="52.380952380952451"/>
    <n v="14.203601952380954"/>
    <n v="14"/>
    <n v="-3.3999999999999986"/>
    <n v="34.020000000000003"/>
    <n v="-242.85714285714275"/>
    <n v="-0.35163614285713862"/>
    <n v="15.952499999999999"/>
    <n v="-0.32803950695488321"/>
  </r>
  <r>
    <x v="1"/>
    <x v="4"/>
    <n v="186"/>
    <n v="2.4300000000000002"/>
    <s v="2015E-955"/>
    <d v="2015-02-10T00:00:00"/>
    <n v="52.8"/>
    <x v="6"/>
    <d v="2015-03-24T00:00:00"/>
    <n v="52.5"/>
    <n v="4"/>
    <n v="42"/>
    <n v="-0.29999999999999716"/>
    <n v="0.5"/>
    <x v="24"/>
    <n v="-7.1428571428570748"/>
    <n v="10.550445642857145"/>
    <n v="14"/>
    <n v="-3.5"/>
    <n v="34.020000000000003"/>
    <n v="-250"/>
    <n v="-1.4224115000000008"/>
    <n v="13.878249999999998"/>
    <n v="-1.1544200233845034"/>
  </r>
  <r>
    <x v="1"/>
    <x v="5"/>
    <n v="133"/>
    <n v="2.4700000000000002"/>
    <s v="2015W-1003"/>
    <d v="2015-02-10T00:00:00"/>
    <n v="58.4"/>
    <x v="0"/>
    <d v="2015-03-24T00:00:00"/>
    <n v="57.6"/>
    <n v="3.5"/>
    <n v="42"/>
    <n v="-0.79999999999999716"/>
    <n v="1"/>
    <x v="25"/>
    <n v="-19.04761904761898"/>
    <n v="10.868172380952384"/>
    <n v="14"/>
    <n v="-4.6000000000000014"/>
    <n v="34.580000000000005"/>
    <n v="-328.57142857142867"/>
    <n v="-4.3913514285714346"/>
    <n v="18.02675"/>
    <n v="-4.629344699707608"/>
  </r>
  <r>
    <x v="1"/>
    <x v="5"/>
    <n v="133"/>
    <n v="2.4700000000000002"/>
    <s v="2015W-1032"/>
    <d v="2015-02-10T00:00:00"/>
    <n v="52.6"/>
    <x v="0"/>
    <d v="2015-03-24T00:00:00"/>
    <n v="51.8"/>
    <n v="3"/>
    <n v="42"/>
    <n v="-0.80000000000000426"/>
    <n v="0.5"/>
    <x v="25"/>
    <n v="-19.04761904761915"/>
    <n v="9.8874503809523766"/>
    <n v="14"/>
    <n v="-3.8000000000000043"/>
    <n v="34.580000000000005"/>
    <n v="-271.42857142857173"/>
    <n v="-2.554930571428585"/>
    <n v="18.02675"/>
    <n v="-2.6933973496198971"/>
  </r>
  <r>
    <x v="1"/>
    <x v="5"/>
    <n v="133"/>
    <n v="2.4700000000000002"/>
    <s v="2015W-1051"/>
    <d v="2015-02-10T00:00:00"/>
    <n v="53.6"/>
    <x v="4"/>
    <d v="2015-03-24T00:00:00"/>
    <n v="51.6"/>
    <n v="3"/>
    <n v="42"/>
    <n v="-2"/>
    <n v="0"/>
    <x v="25"/>
    <n v="-47.619047619047613"/>
    <n v="8.5465149523809529"/>
    <n v="14"/>
    <n v="-2"/>
    <n v="34.580000000000005"/>
    <n v="-142.85714285714286"/>
    <n v="3.8512768571428575"/>
    <n v="15.952499999999999"/>
    <n v="3.5928359101503755"/>
  </r>
  <r>
    <x v="1"/>
    <x v="5"/>
    <n v="133"/>
    <n v="2.4700000000000002"/>
    <s v="2015W-1077"/>
    <d v="2015-02-10T00:00:00"/>
    <n v="55.6"/>
    <x v="4"/>
    <d v="2015-03-24T00:00:00"/>
    <n v="59.4"/>
    <n v="3.5"/>
    <n v="42"/>
    <n v="3.7999999999999972"/>
    <n v="0.5"/>
    <x v="25"/>
    <n v="90.476190476190411"/>
    <n v="16.183151190476185"/>
    <n v="14"/>
    <n v="-1.8000000000000043"/>
    <n v="34.580000000000005"/>
    <n v="-128.57142857142887"/>
    <n v="5.3841035714285566"/>
    <n v="15.952499999999999"/>
    <n v="5.0228018843984819"/>
  </r>
  <r>
    <x v="1"/>
    <x v="5"/>
    <n v="133"/>
    <n v="2.4700000000000002"/>
    <s v="2015W-1084"/>
    <d v="2015-02-10T00:00:00"/>
    <n v="59.8"/>
    <x v="9"/>
    <d v="2015-03-24T00:00:00"/>
    <n v="62.6"/>
    <n v="3"/>
    <n v="42"/>
    <n v="2.8000000000000043"/>
    <n v="-1"/>
    <x v="25"/>
    <n v="66.666666666666757"/>
    <n v="15.63497466666667"/>
    <n v="14"/>
    <n v="-1.8000000000000043"/>
    <n v="34.580000000000005"/>
    <n v="-128.57142857142887"/>
    <n v="6.0097365714285571"/>
    <n v="11.803999999999998"/>
    <n v="4.148475467201326"/>
  </r>
  <r>
    <x v="1"/>
    <x v="5"/>
    <n v="133"/>
    <n v="2.4700000000000002"/>
    <s v="2015W-1096"/>
    <d v="2015-02-10T00:00:00"/>
    <n v="53.8"/>
    <x v="0"/>
    <d v="2015-03-24T00:00:00"/>
    <n v="56.8"/>
    <n v="3"/>
    <n v="42"/>
    <n v="3"/>
    <n v="0.5"/>
    <x v="25"/>
    <n v="71.428571428571431"/>
    <n v="14.87210557142857"/>
    <n v="14"/>
    <n v="-3.6000000000000014"/>
    <n v="34.580000000000005"/>
    <n v="-257.14285714285722"/>
    <n v="-1.3264658571428622"/>
    <n v="18.02675"/>
    <n v="-1.3983548766228122"/>
  </r>
  <r>
    <x v="1"/>
    <x v="5"/>
    <n v="133"/>
    <n v="2.4700000000000002"/>
    <s v="2015W-1098"/>
    <d v="2015-02-10T00:00:00"/>
    <n v="55.4"/>
    <x v="6"/>
    <d v="2015-03-24T00:00:00"/>
    <n v="58.2"/>
    <n v="3.5"/>
    <n v="42"/>
    <n v="2.8000000000000043"/>
    <n v="0"/>
    <x v="25"/>
    <n v="66.666666666666757"/>
    <n v="14.890978666666669"/>
    <n v="14"/>
    <n v="0.20000000000000284"/>
    <n v="34.580000000000005"/>
    <n v="14.285714285714489"/>
    <n v="12.308597714285723"/>
    <n v="13.878249999999998"/>
    <n v="9.9895787268003371"/>
  </r>
  <r>
    <x v="1"/>
    <x v="5"/>
    <n v="133"/>
    <n v="2.4700000000000002"/>
    <s v="2015W-1202"/>
    <d v="2015-02-10T00:00:00"/>
    <n v="57"/>
    <x v="6"/>
    <d v="2015-03-24T00:00:00"/>
    <n v="54.8"/>
    <n v="4"/>
    <n v="42"/>
    <n v="-2.2000000000000028"/>
    <n v="0.5"/>
    <x v="25"/>
    <n v="-52.380952380952451"/>
    <n v="8.8697500476190445"/>
    <n v="14"/>
    <n v="-2"/>
    <n v="34.580000000000005"/>
    <n v="-142.85714285714286"/>
    <n v="4.4092738571428578"/>
    <n v="13.878249999999998"/>
    <n v="3.5785382987071843"/>
  </r>
  <r>
    <x v="1"/>
    <x v="5"/>
    <n v="133"/>
    <n v="2.4700000000000002"/>
    <s v="2015W-195"/>
    <d v="2015-02-10T00:00:00"/>
    <n v="58"/>
    <x v="0"/>
    <d v="2015-03-24T00:00:00"/>
    <n v="59.2"/>
    <n v="3.5"/>
    <n v="42"/>
    <n v="1.2000000000000028"/>
    <n v="1"/>
    <x v="25"/>
    <n v="28.57142857142864"/>
    <n v="13.317245428571432"/>
    <n v="14"/>
    <n v="-1.7999999999999972"/>
    <n v="34.580000000000005"/>
    <n v="-128.57142857142836"/>
    <n v="5.5701025714285812"/>
    <n v="18.02675"/>
    <n v="5.8719793292105358"/>
  </r>
  <r>
    <x v="1"/>
    <x v="5"/>
    <n v="133"/>
    <n v="2.4700000000000002"/>
    <s v="2015W-410"/>
    <d v="2015-02-10T00:00:00"/>
    <n v="57.6"/>
    <x v="4"/>
    <d v="2015-03-24T00:00:00"/>
    <n v="58"/>
    <n v="4"/>
    <n v="42"/>
    <n v="0.39999999999999858"/>
    <n v="1"/>
    <x v="25"/>
    <n v="9.52380952380949"/>
    <n v="12.242925809523808"/>
    <n v="14"/>
    <n v="-2.2000000000000028"/>
    <n v="34.580000000000005"/>
    <n v="-157.14285714285734"/>
    <n v="4.0262591428571328"/>
    <n v="15.952499999999999"/>
    <n v="3.7560759635338248"/>
  </r>
  <r>
    <x v="1"/>
    <x v="5"/>
    <n v="133"/>
    <n v="2.4700000000000002"/>
    <s v="2015W-457"/>
    <d v="2015-02-10T00:00:00"/>
    <n v="55.4"/>
    <x v="4"/>
    <d v="2015-03-24T00:00:00"/>
    <n v="57"/>
    <n v="3.5"/>
    <n v="42"/>
    <n v="1.6000000000000014"/>
    <n v="0.5"/>
    <x v="25"/>
    <n v="38.095238095238123"/>
    <n v="13.380953238095239"/>
    <n v="14"/>
    <n v="0.20000000000000284"/>
    <n v="34.580000000000005"/>
    <n v="14.285714285714489"/>
    <n v="12.207143714285724"/>
    <n v="15.952499999999999"/>
    <n v="11.387980122932339"/>
  </r>
  <r>
    <x v="1"/>
    <x v="5"/>
    <n v="133"/>
    <n v="2.4700000000000002"/>
    <s v="2015W-490"/>
    <d v="2015-02-10T00:00:00"/>
    <n v="58"/>
    <x v="4"/>
    <d v="2015-03-24T00:00:00"/>
    <n v="53.8"/>
    <n v="3.5"/>
    <n v="42"/>
    <n v="-4.2000000000000028"/>
    <n v="0.5"/>
    <x v="25"/>
    <n v="-100.00000000000006"/>
    <n v="6.5221309999999972"/>
    <n v="14"/>
    <n v="-4.8000000000000043"/>
    <n v="34.580000000000005"/>
    <n v="-342.85714285714312"/>
    <n v="-5.450726142857155"/>
    <n v="15.952499999999999"/>
    <n v="-5.0849537306391088"/>
  </r>
  <r>
    <x v="1"/>
    <x v="5"/>
    <n v="133"/>
    <n v="2.4700000000000002"/>
    <s v="2015W-525"/>
    <d v="2015-02-10T00:00:00"/>
    <n v="52.2"/>
    <x v="0"/>
    <d v="2015-03-24T00:00:00"/>
    <n v="60"/>
    <n v="2.5"/>
    <n v="42"/>
    <n v="7.7999999999999972"/>
    <n v="0"/>
    <x v="25"/>
    <n v="185.71428571428564"/>
    <n v="20.64166328571428"/>
    <n v="14"/>
    <n v="-0.79999999999999716"/>
    <n v="34.580000000000005"/>
    <n v="-57.14285714285694"/>
    <n v="8.6688061428571537"/>
    <n v="18.02675"/>
    <n v="9.1386199494590752"/>
  </r>
  <r>
    <x v="1"/>
    <x v="5"/>
    <n v="133"/>
    <n v="2.4700000000000002"/>
    <s v="2015W-536"/>
    <d v="2015-02-10T00:00:00"/>
    <n v="53.6"/>
    <x v="4"/>
    <d v="2015-03-24T00:00:00"/>
    <n v="52.8"/>
    <n v="3.5"/>
    <n v="42"/>
    <n v="-0.80000000000000426"/>
    <n v="0.5"/>
    <x v="25"/>
    <n v="-19.04761904761915"/>
    <n v="10.056540380952375"/>
    <n v="14"/>
    <n v="-7.2000000000000028"/>
    <n v="34.580000000000005"/>
    <n v="-514.28571428571445"/>
    <n v="-14.358697714285725"/>
    <n v="15.952499999999999"/>
    <n v="-13.395153525563918"/>
  </r>
  <r>
    <x v="1"/>
    <x v="5"/>
    <n v="133"/>
    <n v="2.4700000000000002"/>
    <s v="2015W-709"/>
    <d v="2015-02-10T00:00:00"/>
    <n v="60"/>
    <x v="6"/>
    <d v="2015-03-24T00:00:00"/>
    <n v="62"/>
    <n v="4"/>
    <n v="42"/>
    <n v="2"/>
    <n v="0.5"/>
    <x v="25"/>
    <n v="47.619047619047613"/>
    <n v="14.662109047619047"/>
    <n v="14"/>
    <n v="-4"/>
    <n v="34.580000000000005"/>
    <n v="-285.71428571428572"/>
    <n v="-1.7712242857142844"/>
    <n v="13.878249999999998"/>
    <n v="-1.4375142364452784"/>
  </r>
  <r>
    <x v="1"/>
    <x v="5"/>
    <n v="133"/>
    <n v="2.4700000000000002"/>
    <s v="2015W-844"/>
    <d v="2015-02-10T00:00:00"/>
    <n v="52.6"/>
    <x v="0"/>
    <d v="2015-03-24T00:00:00"/>
    <n v="55.2"/>
    <n v="3.5"/>
    <n v="42"/>
    <n v="2.6000000000000014"/>
    <n v="1"/>
    <x v="25"/>
    <n v="61.904761904761941"/>
    <n v="14.165855761904764"/>
    <n v="14"/>
    <n v="0.60000000000000142"/>
    <n v="34.580000000000005"/>
    <n v="42.857142857142961"/>
    <n v="13.226808142857148"/>
    <n v="18.02675"/>
    <n v="13.943646999371349"/>
  </r>
  <r>
    <x v="1"/>
    <x v="5"/>
    <n v="133"/>
    <n v="2.4700000000000002"/>
    <s v="2015W-922"/>
    <d v="2015-02-10T00:00:00"/>
    <n v="57.2"/>
    <x v="4"/>
    <d v="2015-03-24T00:00:00"/>
    <n v="58"/>
    <n v="3.5"/>
    <n v="42"/>
    <n v="0.79999999999999716"/>
    <n v="0.5"/>
    <x v="25"/>
    <n v="19.04761904761898"/>
    <n v="12.678631619047614"/>
    <n v="14"/>
    <n v="-4"/>
    <n v="34.580000000000005"/>
    <n v="-285.71428571428572"/>
    <n v="-2.3461302857142847"/>
    <n v="15.952499999999999"/>
    <n v="-2.1886925954887206"/>
  </r>
  <r>
    <x v="1"/>
    <x v="5"/>
    <n v="133"/>
    <n v="2.4700000000000002"/>
    <s v="2015W-941"/>
    <d v="2015-02-10T00:00:00"/>
    <n v="57.2"/>
    <x v="6"/>
    <d v="2015-03-24T00:00:00"/>
    <n v="54.2"/>
    <n v="3"/>
    <n v="42"/>
    <n v="-3"/>
    <n v="-0.5"/>
    <x v="25"/>
    <n v="-71.428571428571431"/>
    <n v="7.896884428571429"/>
    <n v="14"/>
    <n v="-2.5999999999999943"/>
    <n v="34.580000000000005"/>
    <n v="-185.7142857142853"/>
    <n v="2.2625987142857351"/>
    <n v="13.878249999999998"/>
    <n v="1.8363105617857307"/>
  </r>
  <r>
    <x v="1"/>
    <x v="5"/>
    <n v="133"/>
    <n v="2.4700000000000002"/>
    <s v="2015W-945"/>
    <d v="2015-02-10T00:00:00"/>
    <n v="54.6"/>
    <x v="4"/>
    <d v="2015-03-24T00:00:00"/>
    <n v="54.4"/>
    <n v="4"/>
    <n v="42"/>
    <n v="-0.20000000000000284"/>
    <n v="1"/>
    <x v="25"/>
    <n v="-4.7619047619048303"/>
    <n v="10.98064309523809"/>
    <n v="14"/>
    <n v="-2.8000000000000043"/>
    <n v="34.580000000000005"/>
    <n v="-200.00000000000031"/>
    <n v="1.3554049999999833"/>
    <n v="15.952499999999999"/>
    <n v="1.2644501907894581"/>
  </r>
  <r>
    <x v="1"/>
    <x v="5"/>
    <n v="133"/>
    <n v="2.4700000000000002"/>
    <s v="2015W-969"/>
    <d v="2015-02-10T00:00:00"/>
    <n v="55.2"/>
    <x v="4"/>
    <d v="2015-03-24T00:00:00"/>
    <n v="51.4"/>
    <n v="3.5"/>
    <n v="42"/>
    <n v="-3.8000000000000043"/>
    <n v="0.5"/>
    <x v="25"/>
    <n v="-90.476190476190567"/>
    <n v="6.5520208095238051"/>
    <n v="14"/>
    <n v="-1.6000000000000014"/>
    <n v="34.580000000000005"/>
    <n v="-114.28571428571439"/>
    <n v="5.3782112857142801"/>
    <n v="15.952499999999999"/>
    <n v="5.0173050020676628"/>
  </r>
  <r>
    <x v="1"/>
    <x v="7"/>
    <n v="245"/>
    <n v="2.35"/>
    <s v="2014C-1033"/>
    <d v="2014-02-17T00:00:00"/>
    <n v="55.8"/>
    <x v="11"/>
    <d v="2014-04-02T00:00:00"/>
    <n v="62.2"/>
    <m/>
    <n v="44"/>
    <n v="6.4000000000000057"/>
    <m/>
    <x v="26"/>
    <n v="145.45454545454558"/>
    <n v="19.147219090909097"/>
    <n v="15"/>
    <n v="1.2000000000000028"/>
    <n v="35.25"/>
    <n v="80.000000000000199"/>
    <n v="15.92031000000001"/>
    <n v="17.100000000000001"/>
    <n v="15.92031000000001"/>
  </r>
  <r>
    <x v="1"/>
    <x v="7"/>
    <n v="245"/>
    <n v="2.35"/>
    <s v="2014C-1087"/>
    <d v="2014-02-17T00:00:00"/>
    <n v="56.2"/>
    <x v="11"/>
    <d v="2014-04-02T00:00:00"/>
    <n v="64"/>
    <m/>
    <n v="44"/>
    <n v="7.7999999999999972"/>
    <m/>
    <x v="26"/>
    <n v="177.27272727272722"/>
    <n v="20.90185445454545"/>
    <n v="15"/>
    <n v="3.5"/>
    <n v="35.25"/>
    <n v="233.33333333333334"/>
    <n v="23.665642333333331"/>
    <n v="17.100000000000001"/>
    <n v="23.665642333333331"/>
  </r>
  <r>
    <x v="1"/>
    <x v="7"/>
    <n v="245"/>
    <n v="2.35"/>
    <s v="2014C-1092"/>
    <d v="2014-02-17T00:00:00"/>
    <n v="54"/>
    <x v="11"/>
    <d v="2014-04-02T00:00:00"/>
    <n v="58.8"/>
    <m/>
    <n v="44"/>
    <n v="4.7999999999999972"/>
    <m/>
    <x v="26"/>
    <n v="109.09090909090904"/>
    <n v="16.914857818181815"/>
    <n v="15"/>
    <n v="2.7999999999999972"/>
    <n v="35.25"/>
    <n v="186.66666666666649"/>
    <n v="20.739342666666658"/>
    <n v="17.100000000000001"/>
    <n v="20.739342666666658"/>
  </r>
  <r>
    <x v="1"/>
    <x v="7"/>
    <n v="245"/>
    <n v="2.35"/>
    <s v="2014C-1251"/>
    <d v="2014-02-17T00:00:00"/>
    <n v="58"/>
    <x v="11"/>
    <d v="2014-04-02T00:00:00"/>
    <n v="62.6"/>
    <m/>
    <n v="44"/>
    <n v="4.6000000000000014"/>
    <m/>
    <x v="26"/>
    <n v="104.54545454545458"/>
    <n v="17.350217909090908"/>
    <n v="15"/>
    <n v="0.60000000000000142"/>
    <n v="35.25"/>
    <n v="40.000000000000099"/>
    <n v="14.168127000000004"/>
    <n v="17.100000000000001"/>
    <n v="14.168127000000004"/>
  </r>
  <r>
    <x v="1"/>
    <x v="7"/>
    <n v="245"/>
    <n v="2.35"/>
    <s v="2014C-1260"/>
    <d v="2014-02-17T00:00:00"/>
    <n v="58.8"/>
    <x v="11"/>
    <d v="2014-04-02T00:00:00"/>
    <n v="64.599999999999994"/>
    <m/>
    <n v="44"/>
    <n v="5.7999999999999972"/>
    <m/>
    <x v="26"/>
    <n v="131.81818181818176"/>
    <n v="18.931489363636359"/>
    <n v="15"/>
    <n v="-1.9000000000000057"/>
    <n v="35.25"/>
    <n v="-126.66666666666704"/>
    <n v="6.1881863333333129"/>
    <n v="17.100000000000001"/>
    <n v="6.1881863333333129"/>
  </r>
  <r>
    <x v="1"/>
    <x v="7"/>
    <n v="245"/>
    <n v="2.35"/>
    <s v="2014C-1300"/>
    <d v="2014-02-17T00:00:00"/>
    <n v="52.2"/>
    <x v="11"/>
    <d v="2014-04-02T00:00:00"/>
    <n v="59"/>
    <m/>
    <n v="44"/>
    <n v="6.7999999999999972"/>
    <m/>
    <x v="26"/>
    <n v="154.54545454545448"/>
    <n v="19.020494909090907"/>
    <n v="15"/>
    <n v="2"/>
    <n v="35.25"/>
    <n v="133.33333333333334"/>
    <n v="17.974737333333334"/>
    <n v="17.100000000000001"/>
    <n v="17.974737333333334"/>
  </r>
  <r>
    <x v="1"/>
    <x v="7"/>
    <n v="245"/>
    <n v="2.35"/>
    <s v="2014C-138"/>
    <d v="2014-02-17T00:00:00"/>
    <n v="54.6"/>
    <x v="11"/>
    <d v="2014-04-02T00:00:00"/>
    <n v="60.2"/>
    <m/>
    <n v="44"/>
    <n v="5.6000000000000014"/>
    <m/>
    <x v="26"/>
    <n v="127.27272727272731"/>
    <n v="17.980311454545458"/>
    <n v="15"/>
    <n v="4.2000000000000028"/>
    <n v="35.25"/>
    <n v="280.00000000000017"/>
    <n v="25.50976600000001"/>
    <n v="17.100000000000001"/>
    <n v="25.50976600000001"/>
  </r>
  <r>
    <x v="1"/>
    <x v="7"/>
    <n v="245"/>
    <n v="2.35"/>
    <s v="2014C-1487"/>
    <d v="2014-02-17T00:00:00"/>
    <n v="54.6"/>
    <x v="11"/>
    <d v="2014-04-02T00:00:00"/>
    <n v="64.599999999999994"/>
    <m/>
    <n v="44"/>
    <n v="9.9999999999999929"/>
    <m/>
    <x v="26"/>
    <n v="227.27272727272711"/>
    <n v="23.282309454545445"/>
    <n v="15"/>
    <n v="4.0999999999999943"/>
    <n v="35.25"/>
    <n v="273.33333333333292"/>
    <n v="25.553097333333312"/>
    <n v="17.100000000000001"/>
    <n v="25.553097333333312"/>
  </r>
  <r>
    <x v="1"/>
    <x v="7"/>
    <n v="245"/>
    <n v="2.35"/>
    <s v="2014C-1493"/>
    <d v="2014-02-17T00:00:00"/>
    <n v="54"/>
    <x v="11"/>
    <d v="2014-04-02T00:00:00"/>
    <n v="63"/>
    <m/>
    <n v="44"/>
    <n v="9"/>
    <m/>
    <x v="26"/>
    <n v="204.54545454545456"/>
    <n v="21.97585590909091"/>
    <n v="15"/>
    <n v="3"/>
    <n v="35.25"/>
    <n v="200"/>
    <n v="21.751764999999999"/>
    <n v="17.100000000000001"/>
    <n v="21.751764999999999"/>
  </r>
  <r>
    <x v="1"/>
    <x v="7"/>
    <n v="245"/>
    <n v="2.35"/>
    <s v="2014C-1496"/>
    <d v="2014-02-17T00:00:00"/>
    <n v="57.2"/>
    <x v="11"/>
    <d v="2014-04-02T00:00:00"/>
    <n v="61"/>
    <m/>
    <n v="44"/>
    <n v="3.7999999999999972"/>
    <m/>
    <x v="26"/>
    <n v="86.363636363636289"/>
    <n v="16.250946272727269"/>
    <n v="15"/>
    <n v="0.5"/>
    <n v="35.25"/>
    <n v="33.333333333333336"/>
    <n v="13.636552333333332"/>
    <n v="17.100000000000001"/>
    <n v="13.636552333333332"/>
  </r>
  <r>
    <x v="1"/>
    <x v="7"/>
    <n v="245"/>
    <n v="2.35"/>
    <s v="2014C-1607"/>
    <d v="2014-02-17T00:00:00"/>
    <n v="64.2"/>
    <x v="11"/>
    <d v="2014-04-02T00:00:00"/>
    <n v="68.400000000000006"/>
    <m/>
    <n v="44"/>
    <n v="4.2000000000000028"/>
    <m/>
    <x v="26"/>
    <n v="95.45454545454551"/>
    <n v="17.916576090909096"/>
    <n v="15"/>
    <n v="-3.0999999999999943"/>
    <n v="35.25"/>
    <n v="-206.66666666666629"/>
    <n v="3.022000333333354"/>
    <n v="17.100000000000001"/>
    <n v="3.022000333333354"/>
  </r>
  <r>
    <x v="1"/>
    <x v="7"/>
    <n v="245"/>
    <n v="2.35"/>
    <s v="2014C-1614"/>
    <d v="2014-02-17T00:00:00"/>
    <n v="48.4"/>
    <x v="11"/>
    <d v="2014-04-02T00:00:00"/>
    <n v="53.8"/>
    <m/>
    <n v="44"/>
    <n v="5.3999999999999986"/>
    <m/>
    <x v="26"/>
    <n v="122.72727272727271"/>
    <n v="16.690953545454541"/>
    <n v="15"/>
    <n v="-0.70000000000000284"/>
    <n v="35.25"/>
    <n v="-46.666666666666856"/>
    <n v="8.3398323333333231"/>
    <n v="17.100000000000001"/>
    <n v="8.3398323333333231"/>
  </r>
  <r>
    <x v="1"/>
    <x v="7"/>
    <n v="245"/>
    <n v="2.35"/>
    <s v="2014C-1640"/>
    <d v="2014-02-17T00:00:00"/>
    <n v="55"/>
    <x v="11"/>
    <d v="2014-04-02T00:00:00"/>
    <n v="59.2"/>
    <m/>
    <n v="44"/>
    <n v="4.2000000000000028"/>
    <m/>
    <x v="26"/>
    <n v="95.45454545454551"/>
    <n v="16.360948090909094"/>
    <n v="15"/>
    <n v="0.20000000000000284"/>
    <n v="35.25"/>
    <n v="13.333333333333524"/>
    <n v="12.312372333333343"/>
    <n v="17.100000000000001"/>
    <n v="12.312372333333343"/>
  </r>
  <r>
    <x v="1"/>
    <x v="7"/>
    <n v="245"/>
    <n v="2.35"/>
    <s v="2014C-1699"/>
    <d v="2014-02-17T00:00:00"/>
    <n v="50.6"/>
    <x v="11"/>
    <d v="2014-04-02T00:00:00"/>
    <n v="56.8"/>
    <m/>
    <n v="44"/>
    <n v="6.1999999999999957"/>
    <m/>
    <x v="26"/>
    <n v="140.90909090909082"/>
    <n v="18.026951181818177"/>
    <n v="15"/>
    <n v="1.2999999999999972"/>
    <n v="35.25"/>
    <n v="86.666666666666472"/>
    <n v="15.352799666666657"/>
    <n v="17.100000000000001"/>
    <n v="15.352799666666655"/>
  </r>
  <r>
    <x v="1"/>
    <x v="7"/>
    <n v="245"/>
    <n v="2.35"/>
    <s v="2014C-1784"/>
    <d v="2014-02-17T00:00:00"/>
    <n v="51.6"/>
    <x v="11"/>
    <d v="2014-04-02T00:00:00"/>
    <n v="56.8"/>
    <m/>
    <n v="44"/>
    <n v="5.1999999999999957"/>
    <m/>
    <x v="26"/>
    <n v="118.18181818181809"/>
    <n v="16.991041636363633"/>
    <n v="15"/>
    <n v="0.79999999999999716"/>
    <n v="35.25"/>
    <n v="53.333333333333144"/>
    <n v="13.794011333333325"/>
    <n v="17.100000000000001"/>
    <n v="13.794011333333325"/>
  </r>
  <r>
    <x v="1"/>
    <x v="7"/>
    <n v="245"/>
    <n v="2.35"/>
    <s v="2014C-1908"/>
    <d v="2014-02-17T00:00:00"/>
    <n v="49.6"/>
    <x v="11"/>
    <d v="2014-04-02T00:00:00"/>
    <n v="55.4"/>
    <m/>
    <n v="44"/>
    <n v="5.7999999999999972"/>
    <m/>
    <x v="26"/>
    <n v="131.81818181818176"/>
    <n v="17.375861363636361"/>
    <n v="15"/>
    <n v="1.8999999999999986"/>
    <n v="35.25"/>
    <n v="126.66666666666657"/>
    <n v="17.121891666666659"/>
    <n v="17.100000000000001"/>
    <n v="17.121891666666659"/>
  </r>
  <r>
    <x v="1"/>
    <x v="7"/>
    <n v="245"/>
    <n v="2.35"/>
    <s v="2014C-1965"/>
    <d v="2014-02-17T00:00:00"/>
    <n v="52.4"/>
    <x v="11"/>
    <d v="2014-04-02T00:00:00"/>
    <n v="62.6"/>
    <m/>
    <n v="44"/>
    <n v="10.200000000000003"/>
    <m/>
    <x v="26"/>
    <n v="231.8181818181819"/>
    <n v="23.151311363636367"/>
    <n v="15"/>
    <n v="2.6000000000000014"/>
    <n v="35.25"/>
    <n v="173.33333333333343"/>
    <n v="20.268008333333334"/>
    <n v="17.100000000000001"/>
    <n v="20.268008333333334"/>
  </r>
  <r>
    <x v="1"/>
    <x v="7"/>
    <n v="245"/>
    <n v="2.35"/>
    <s v="2014C-2011"/>
    <d v="2014-02-17T00:00:00"/>
    <n v="50.6"/>
    <x v="11"/>
    <d v="2014-04-02T00:00:00"/>
    <n v="55.6"/>
    <m/>
    <n v="44"/>
    <n v="5"/>
    <m/>
    <x v="26"/>
    <n v="113.63636363636363"/>
    <n v="16.580951727272726"/>
    <n v="15"/>
    <n v="1.1000000000000014"/>
    <n v="35.25"/>
    <n v="73.333333333333428"/>
    <n v="14.594012333333337"/>
    <n v="17.100000000000001"/>
    <n v="14.594012333333337"/>
  </r>
  <r>
    <x v="1"/>
    <x v="7"/>
    <n v="245"/>
    <n v="2.35"/>
    <s v="2014C-2018"/>
    <d v="2014-02-17T00:00:00"/>
    <n v="50"/>
    <x v="11"/>
    <d v="2014-04-02T00:00:00"/>
    <n v="55.2"/>
    <m/>
    <n v="44"/>
    <n v="5.2000000000000028"/>
    <m/>
    <x v="26"/>
    <n v="118.18181818181824"/>
    <n v="16.720497636363639"/>
    <n v="15"/>
    <n v="0.70000000000000284"/>
    <n v="35.25"/>
    <n v="46.666666666666856"/>
    <n v="13.194800666666675"/>
    <n v="17.100000000000001"/>
    <n v="13.194800666666675"/>
  </r>
  <r>
    <x v="1"/>
    <x v="7"/>
    <n v="245"/>
    <n v="2.35"/>
    <s v="2014C-2032"/>
    <d v="2014-02-17T00:00:00"/>
    <n v="55.4"/>
    <x v="11"/>
    <d v="2014-04-02T00:00:00"/>
    <n v="66.8"/>
    <m/>
    <n v="44"/>
    <n v="11.399999999999999"/>
    <m/>
    <x v="26"/>
    <n v="259.09090909090907"/>
    <n v="25.104580818181816"/>
    <n v="15"/>
    <n v="4.2999999999999972"/>
    <n v="35.25"/>
    <n v="286.66666666666646"/>
    <n v="26.464065666666656"/>
    <n v="17.100000000000001"/>
    <n v="26.464065666666656"/>
  </r>
  <r>
    <x v="1"/>
    <x v="7"/>
    <n v="245"/>
    <n v="2.35"/>
    <s v="2014C-2093"/>
    <d v="2014-02-17T00:00:00"/>
    <n v="56.2"/>
    <x v="11"/>
    <d v="2014-04-02T00:00:00"/>
    <n v="65.8"/>
    <m/>
    <n v="44"/>
    <n v="9.5999999999999943"/>
    <m/>
    <x v="26"/>
    <n v="218.18181818181807"/>
    <n v="23.07085363636363"/>
    <n v="15"/>
    <n v="4.2999999999999972"/>
    <n v="35.25"/>
    <n v="286.66666666666646"/>
    <n v="26.447156666666654"/>
    <n v="17.100000000000001"/>
    <n v="26.447156666666654"/>
  </r>
  <r>
    <x v="1"/>
    <x v="7"/>
    <n v="245"/>
    <n v="2.35"/>
    <s v="2014C-2155"/>
    <d v="2014-02-17T00:00:00"/>
    <n v="51"/>
    <x v="11"/>
    <d v="2014-04-02T00:00:00"/>
    <n v="56.2"/>
    <m/>
    <n v="44"/>
    <n v="5.2000000000000028"/>
    <m/>
    <x v="26"/>
    <n v="118.18181818181824"/>
    <n v="16.88958763636364"/>
    <n v="15"/>
    <n v="1.2000000000000028"/>
    <n v="35.25"/>
    <n v="80.000000000000199"/>
    <n v="15.00722400000001"/>
    <n v="17.100000000000001"/>
    <n v="15.007224000000008"/>
  </r>
  <r>
    <x v="1"/>
    <x v="7"/>
    <n v="245"/>
    <n v="2.35"/>
    <s v="2014C-2329"/>
    <d v="2014-02-17T00:00:00"/>
    <n v="51.4"/>
    <x v="11"/>
    <d v="2014-04-02T00:00:00"/>
    <n v="58.6"/>
    <m/>
    <n v="44"/>
    <n v="7.2000000000000028"/>
    <m/>
    <x v="26"/>
    <n v="163.63636363636368"/>
    <n v="19.367222727272729"/>
    <n v="15"/>
    <n v="-0.89999999999999858"/>
    <n v="35.25"/>
    <n v="-59.999999999999908"/>
    <n v="8.3419500000000042"/>
    <n v="17.100000000000001"/>
    <n v="8.3419500000000042"/>
  </r>
  <r>
    <x v="1"/>
    <x v="7"/>
    <n v="245"/>
    <n v="2.35"/>
    <s v="2014C-2332"/>
    <d v="2014-02-17T00:00:00"/>
    <n v="48.6"/>
    <x v="11"/>
    <d v="2014-04-02T00:00:00"/>
    <n v="53.4"/>
    <m/>
    <n v="44"/>
    <n v="4.7999999999999972"/>
    <m/>
    <x v="26"/>
    <n v="109.09090909090904"/>
    <n v="16.001771818181815"/>
    <n v="15"/>
    <n v="2.3999999999999986"/>
    <n v="35.25"/>
    <n v="159.99999999999989"/>
    <n v="18.511589999999995"/>
    <n v="17.100000000000001"/>
    <n v="18.511589999999995"/>
  </r>
  <r>
    <x v="1"/>
    <x v="7"/>
    <n v="245"/>
    <n v="2.35"/>
    <s v="2014C-2342"/>
    <d v="2014-02-17T00:00:00"/>
    <n v="48.6"/>
    <x v="11"/>
    <d v="2014-04-02T00:00:00"/>
    <n v="49.4"/>
    <m/>
    <n v="44"/>
    <n v="0.79999999999999716"/>
    <m/>
    <x v="26"/>
    <n v="18.181818181818119"/>
    <n v="11.181773636363632"/>
    <n v="15"/>
    <n v="-1.1000000000000014"/>
    <n v="35.25"/>
    <n v="-73.333333333333428"/>
    <n v="6.6700766666666613"/>
    <n v="17.100000000000001"/>
    <n v="6.6700766666666613"/>
  </r>
  <r>
    <x v="1"/>
    <x v="7"/>
    <n v="245"/>
    <n v="2.35"/>
    <s v="2014C-2410"/>
    <d v="2014-02-17T00:00:00"/>
    <n v="62.8"/>
    <x v="11"/>
    <d v="2014-04-02T00:00:00"/>
    <n v="68"/>
    <m/>
    <n v="44"/>
    <n v="5.2000000000000028"/>
    <m/>
    <x v="26"/>
    <n v="118.18181818181824"/>
    <n v="18.88484963636364"/>
    <n v="15"/>
    <n v="1.5"/>
    <n v="35.25"/>
    <n v="100"/>
    <n v="17.988486000000002"/>
    <n v="17.100000000000001"/>
    <n v="17.988486000000002"/>
  </r>
  <r>
    <x v="1"/>
    <x v="7"/>
    <n v="245"/>
    <n v="2.35"/>
    <s v="2014C-2459"/>
    <d v="2014-02-17T00:00:00"/>
    <n v="55"/>
    <x v="11"/>
    <d v="2014-04-02T00:00:00"/>
    <n v="62.4"/>
    <m/>
    <n v="44"/>
    <n v="7.3999999999999986"/>
    <m/>
    <x v="26"/>
    <n v="168.18181818181816"/>
    <n v="20.216946636363634"/>
    <n v="15"/>
    <n v="1.3999999999999986"/>
    <n v="35.25"/>
    <n v="93.333333333333243"/>
    <n v="16.526916333333329"/>
    <n v="17.100000000000001"/>
    <n v="16.526916333333329"/>
  </r>
  <r>
    <x v="1"/>
    <x v="7"/>
    <n v="245"/>
    <n v="2.35"/>
    <s v="2014C-2522"/>
    <d v="2014-02-17T00:00:00"/>
    <n v="63.2"/>
    <x v="11"/>
    <d v="2014-04-02T00:00:00"/>
    <n v="67.8"/>
    <m/>
    <n v="44"/>
    <n v="4.5999999999999943"/>
    <m/>
    <x v="26"/>
    <n v="104.54545454545442"/>
    <n v="18.229485909090901"/>
    <n v="15"/>
    <n v="6.2999999999999972"/>
    <n v="35.25"/>
    <n v="419.99999999999983"/>
    <n v="33.781394999999989"/>
    <n v="17.100000000000001"/>
    <n v="33.781394999999989"/>
  </r>
  <r>
    <x v="1"/>
    <x v="7"/>
    <n v="245"/>
    <n v="2.35"/>
    <s v="2014C-258"/>
    <d v="2014-02-17T00:00:00"/>
    <n v="51.8"/>
    <x v="11"/>
    <d v="2014-04-02T00:00:00"/>
    <n v="58.2"/>
    <m/>
    <n v="44"/>
    <n v="6.4000000000000057"/>
    <m/>
    <x v="26"/>
    <n v="145.45454545454558"/>
    <n v="18.470859090909094"/>
    <n v="15"/>
    <n v="2.2000000000000028"/>
    <n v="35.25"/>
    <n v="146.66666666666686"/>
    <n v="18.530616666666674"/>
    <n v="17.100000000000001"/>
    <n v="18.530616666666674"/>
  </r>
  <r>
    <x v="1"/>
    <x v="7"/>
    <n v="245"/>
    <n v="2.35"/>
    <s v="2014C-2655"/>
    <d v="2014-02-17T00:00:00"/>
    <n v="56.2"/>
    <x v="11"/>
    <d v="2014-04-02T00:00:00"/>
    <n v="63"/>
    <m/>
    <n v="44"/>
    <n v="6.7999999999999972"/>
    <m/>
    <x v="26"/>
    <n v="154.54545454545448"/>
    <n v="19.696854909090906"/>
    <n v="15"/>
    <n v="0.5"/>
    <n v="35.25"/>
    <n v="33.333333333333336"/>
    <n v="13.721097333333333"/>
    <n v="17.100000000000001"/>
    <n v="13.721097333333333"/>
  </r>
  <r>
    <x v="1"/>
    <x v="7"/>
    <n v="245"/>
    <n v="2.35"/>
    <s v="2014C-2661"/>
    <d v="2014-02-17T00:00:00"/>
    <n v="59.6"/>
    <x v="11"/>
    <d v="2014-04-02T00:00:00"/>
    <n v="65.2"/>
    <m/>
    <n v="44"/>
    <n v="5.6000000000000014"/>
    <m/>
    <x v="26"/>
    <n v="127.27272727272731"/>
    <n v="18.825761454545457"/>
    <n v="15"/>
    <n v="0.20000000000000284"/>
    <n v="35.25"/>
    <n v="13.333333333333524"/>
    <n v="13.208549333333343"/>
    <n v="17.100000000000001"/>
    <n v="13.208549333333343"/>
  </r>
  <r>
    <x v="1"/>
    <x v="7"/>
    <n v="245"/>
    <n v="2.35"/>
    <s v="2014C-2663"/>
    <d v="2014-02-17T00:00:00"/>
    <n v="49.4"/>
    <x v="11"/>
    <d v="2014-04-02T00:00:00"/>
    <n v="55"/>
    <m/>
    <n v="44"/>
    <n v="5.6000000000000014"/>
    <m/>
    <x v="26"/>
    <n v="127.27272727272731"/>
    <n v="17.101043454545458"/>
    <n v="15"/>
    <n v="2"/>
    <n v="35.25"/>
    <n v="133.33333333333334"/>
    <n v="17.399831333333335"/>
    <n v="17.100000000000001"/>
    <n v="17.399831333333335"/>
  </r>
  <r>
    <x v="1"/>
    <x v="7"/>
    <n v="245"/>
    <n v="2.35"/>
    <s v="2014C-2685"/>
    <d v="2014-02-17T00:00:00"/>
    <n v="52.8"/>
    <x v="11"/>
    <d v="2014-04-02T00:00:00"/>
    <n v="62.4"/>
    <m/>
    <n v="44"/>
    <n v="9.6000000000000014"/>
    <m/>
    <x v="26"/>
    <n v="218.18181818181822"/>
    <n v="22.495947636363638"/>
    <n v="15"/>
    <n v="2.3999999999999986"/>
    <n v="35.25"/>
    <n v="159.99999999999989"/>
    <n v="19.627583999999992"/>
    <n v="17.100000000000001"/>
    <n v="19.627583999999992"/>
  </r>
  <r>
    <x v="1"/>
    <x v="7"/>
    <n v="245"/>
    <n v="2.35"/>
    <s v="2014C-2719"/>
    <d v="2014-02-17T00:00:00"/>
    <n v="61.2"/>
    <x v="11"/>
    <d v="2014-04-02T00:00:00"/>
    <n v="65"/>
    <m/>
    <n v="44"/>
    <n v="3.7999999999999972"/>
    <m/>
    <x v="26"/>
    <n v="86.363636363636289"/>
    <n v="16.927306272727268"/>
    <n v="15"/>
    <n v="3"/>
    <n v="35.25"/>
    <n v="200"/>
    <n v="22.529578999999998"/>
    <n v="17.100000000000001"/>
    <n v="22.529578999999998"/>
  </r>
  <r>
    <x v="1"/>
    <x v="7"/>
    <n v="245"/>
    <n v="2.35"/>
    <s v="2014C-2720"/>
    <d v="2014-02-17T00:00:00"/>
    <n v="50.6"/>
    <x v="11"/>
    <d v="2014-04-02T00:00:00"/>
    <n v="56.2"/>
    <m/>
    <n v="44"/>
    <n v="5.6000000000000014"/>
    <m/>
    <x v="26"/>
    <n v="127.27272727272731"/>
    <n v="17.303951454545455"/>
    <n v="15"/>
    <n v="-0.79999999999999716"/>
    <n v="35.25"/>
    <n v="-53.333333333333144"/>
    <n v="8.4000726666666754"/>
    <n v="17.100000000000001"/>
    <n v="8.4000726666666754"/>
  </r>
  <r>
    <x v="1"/>
    <x v="7"/>
    <n v="245"/>
    <n v="2.35"/>
    <s v="2014C-2774"/>
    <d v="2014-02-17T00:00:00"/>
    <n v="50.4"/>
    <x v="11"/>
    <d v="2014-04-02T00:00:00"/>
    <n v="57.8"/>
    <m/>
    <n v="44"/>
    <n v="7.3999999999999986"/>
    <m/>
    <x v="26"/>
    <n v="168.18181818181816"/>
    <n v="19.439132636363631"/>
    <n v="15"/>
    <n v="2.7999999999999972"/>
    <n v="35.25"/>
    <n v="186.66666666666649"/>
    <n v="20.350435666666655"/>
    <n v="17.100000000000001"/>
    <n v="20.350435666666655"/>
  </r>
  <r>
    <x v="1"/>
    <x v="7"/>
    <n v="245"/>
    <n v="2.35"/>
    <s v="2014C-2873"/>
    <d v="2014-02-17T00:00:00"/>
    <n v="56.4"/>
    <x v="11"/>
    <d v="2014-04-02T00:00:00"/>
    <n v="62.6"/>
    <m/>
    <n v="44"/>
    <n v="6.2000000000000028"/>
    <m/>
    <x v="26"/>
    <n v="140.90909090909099"/>
    <n v="19.007673181818184"/>
    <n v="15"/>
    <n v="5.1000000000000014"/>
    <n v="35.25"/>
    <n v="340.00000000000006"/>
    <n v="28.822855000000004"/>
    <n v="17.100000000000001"/>
    <n v="28.822855000000004"/>
  </r>
  <r>
    <x v="1"/>
    <x v="7"/>
    <n v="245"/>
    <n v="2.35"/>
    <s v="2014C-2888"/>
    <d v="2014-02-17T00:00:00"/>
    <n v="58.2"/>
    <x v="11"/>
    <d v="2014-04-02T00:00:00"/>
    <n v="58.4"/>
    <m/>
    <n v="44"/>
    <n v="0.19999999999999574"/>
    <m/>
    <x v="26"/>
    <n v="4.545454545454449"/>
    <n v="12.082037909090904"/>
    <n v="15"/>
    <n v="-1.1000000000000014"/>
    <n v="35.25"/>
    <n v="-73.333333333333428"/>
    <n v="8.2426136666666618"/>
    <n v="17.100000000000001"/>
    <n v="8.2426136666666618"/>
  </r>
  <r>
    <x v="1"/>
    <x v="7"/>
    <n v="245"/>
    <n v="2.35"/>
    <s v="2014C-2975"/>
    <d v="2014-02-17T00:00:00"/>
    <n v="53.8"/>
    <x v="11"/>
    <d v="2014-04-02T00:00:00"/>
    <n v="59"/>
    <m/>
    <n v="44"/>
    <n v="5.2000000000000028"/>
    <m/>
    <x v="26"/>
    <n v="118.18181818181824"/>
    <n v="17.363039636363638"/>
    <n v="15"/>
    <n v="0"/>
    <n v="35.25"/>
    <n v="0"/>
    <n v="11.536676"/>
    <n v="17.100000000000001"/>
    <n v="11.536676"/>
  </r>
  <r>
    <x v="1"/>
    <x v="7"/>
    <n v="245"/>
    <n v="2.35"/>
    <s v="2014C-2987"/>
    <d v="2014-02-17T00:00:00"/>
    <n v="59.2"/>
    <x v="11"/>
    <d v="2014-04-02T00:00:00"/>
    <n v="59.4"/>
    <m/>
    <n v="44"/>
    <n v="0.19999999999999574"/>
    <m/>
    <x v="26"/>
    <n v="4.545454545454449"/>
    <n v="12.251127909090902"/>
    <n v="15"/>
    <n v="1.3999999999999986"/>
    <n v="35.25"/>
    <n v="93.333333333333243"/>
    <n v="16.628370333333326"/>
    <n v="17.100000000000001"/>
    <n v="16.628370333333326"/>
  </r>
  <r>
    <x v="1"/>
    <x v="7"/>
    <n v="245"/>
    <n v="2.35"/>
    <s v="2014C-299"/>
    <d v="2014-02-17T00:00:00"/>
    <n v="52"/>
    <x v="11"/>
    <d v="2014-04-02T00:00:00"/>
    <n v="60.8"/>
    <m/>
    <n v="44"/>
    <n v="8.7999999999999972"/>
    <m/>
    <x v="26"/>
    <n v="199.99999999999991"/>
    <n v="21.396675999999996"/>
    <n v="15"/>
    <n v="1.2999999999999972"/>
    <n v="35.25"/>
    <n v="86.666666666666472"/>
    <n v="15.809342666666657"/>
    <n v="17.100000000000001"/>
    <n v="15.809342666666657"/>
  </r>
  <r>
    <x v="1"/>
    <x v="7"/>
    <n v="245"/>
    <n v="2.35"/>
    <s v="2014C-37"/>
    <d v="2014-02-17T00:00:00"/>
    <n v="60.6"/>
    <x v="11"/>
    <d v="2014-04-02T00:00:00"/>
    <n v="65.599999999999994"/>
    <m/>
    <n v="44"/>
    <n v="4.9999999999999929"/>
    <m/>
    <x v="26"/>
    <n v="113.63636363636348"/>
    <n v="18.271851727272718"/>
    <n v="15"/>
    <n v="3.0999999999999943"/>
    <n v="35.25"/>
    <n v="206.66666666666629"/>
    <n v="22.858245666666647"/>
    <n v="17.100000000000001"/>
    <n v="22.858245666666647"/>
  </r>
  <r>
    <x v="1"/>
    <x v="7"/>
    <n v="245"/>
    <n v="2.35"/>
    <s v="2014C-379"/>
    <d v="2014-02-17T00:00:00"/>
    <n v="51.2"/>
    <x v="11"/>
    <d v="2014-04-02T00:00:00"/>
    <n v="53.2"/>
    <m/>
    <n v="44"/>
    <n v="2"/>
    <m/>
    <x v="26"/>
    <n v="45.454545454545453"/>
    <n v="13.067407090909091"/>
    <n v="15"/>
    <n v="-1.7999999999999972"/>
    <n v="35.25"/>
    <n v="-119.99999999999982"/>
    <n v="4.9104980000000102"/>
    <n v="17.100000000000001"/>
    <n v="4.9104980000000102"/>
  </r>
  <r>
    <x v="1"/>
    <x v="7"/>
    <n v="245"/>
    <n v="2.35"/>
    <s v="2014C-382"/>
    <d v="2014-02-17T00:00:00"/>
    <n v="63.4"/>
    <x v="11"/>
    <d v="2014-04-02T00:00:00"/>
    <n v="71.599999999999994"/>
    <m/>
    <n v="44"/>
    <n v="8.1999999999999957"/>
    <m/>
    <x v="26"/>
    <n v="186.36363636363626"/>
    <n v="22.601302272727267"/>
    <n v="15"/>
    <n v="0.59999999999999432"/>
    <n v="35.25"/>
    <n v="39.999999999999616"/>
    <n v="15.385574999999982"/>
    <n v="17.100000000000001"/>
    <n v="15.38557499999998"/>
  </r>
  <r>
    <x v="1"/>
    <x v="7"/>
    <n v="245"/>
    <n v="2.35"/>
    <s v="2014C-387"/>
    <d v="2014-02-17T00:00:00"/>
    <n v="57.4"/>
    <x v="11"/>
    <d v="2014-04-02T00:00:00"/>
    <n v="61"/>
    <m/>
    <n v="44"/>
    <n v="3.6000000000000014"/>
    <m/>
    <x v="26"/>
    <n v="81.818181818181841"/>
    <n v="16.043764363636363"/>
    <n v="15"/>
    <n v="1"/>
    <n v="35.25"/>
    <n v="66.666666666666671"/>
    <n v="15.296794666666667"/>
    <n v="17.100000000000001"/>
    <n v="15.296794666666667"/>
  </r>
  <r>
    <x v="1"/>
    <x v="7"/>
    <n v="245"/>
    <n v="2.35"/>
    <s v="2014C-481"/>
    <d v="2014-02-17T00:00:00"/>
    <n v="56.8"/>
    <x v="11"/>
    <d v="2014-04-02T00:00:00"/>
    <n v="65"/>
    <m/>
    <n v="44"/>
    <n v="8.2000000000000028"/>
    <m/>
    <x v="26"/>
    <n v="186.36363636363643"/>
    <n v="21.485308272727274"/>
    <n v="15"/>
    <n v="2"/>
    <n v="35.25"/>
    <n v="133.33333333333334"/>
    <n v="18.870914333333332"/>
    <n v="17.100000000000001"/>
    <n v="18.870914333333332"/>
  </r>
  <r>
    <x v="1"/>
    <x v="7"/>
    <n v="245"/>
    <n v="2.35"/>
    <s v="2014C-50"/>
    <d v="2014-02-17T00:00:00"/>
    <n v="54.4"/>
    <x v="11"/>
    <d v="2014-04-02T00:00:00"/>
    <n v="61"/>
    <m/>
    <n v="44"/>
    <n v="6.6000000000000014"/>
    <m/>
    <x v="26"/>
    <n v="150.00000000000003"/>
    <n v="19.151493000000002"/>
    <n v="15"/>
    <n v="2"/>
    <n v="35.25"/>
    <n v="133.33333333333334"/>
    <n v="18.329826333333333"/>
    <n v="17.100000000000001"/>
    <n v="18.329826333333333"/>
  </r>
  <r>
    <x v="1"/>
    <x v="7"/>
    <n v="245"/>
    <n v="2.35"/>
    <s v="2014C-648"/>
    <d v="2014-02-17T00:00:00"/>
    <n v="52.4"/>
    <x v="11"/>
    <d v="2014-04-02T00:00:00"/>
    <n v="57"/>
    <m/>
    <n v="44"/>
    <n v="4.6000000000000014"/>
    <m/>
    <x v="26"/>
    <n v="104.54545454545458"/>
    <n v="16.403313909090912"/>
    <n v="15"/>
    <n v="-1.5"/>
    <n v="35.25"/>
    <n v="-100"/>
    <n v="6.3192230000000009"/>
    <n v="17.100000000000001"/>
    <n v="6.3192230000000009"/>
  </r>
  <r>
    <x v="1"/>
    <x v="7"/>
    <n v="245"/>
    <n v="2.35"/>
    <s v="2014C-73"/>
    <d v="2014-02-17T00:00:00"/>
    <n v="52.8"/>
    <x v="11"/>
    <d v="2014-04-02T00:00:00"/>
    <n v="55"/>
    <m/>
    <n v="44"/>
    <n v="2.2000000000000028"/>
    <m/>
    <x v="26"/>
    <n v="50.000000000000064"/>
    <n v="13.578951000000002"/>
    <n v="15"/>
    <n v="-1"/>
    <n v="35.25"/>
    <n v="-66.666666666666671"/>
    <n v="7.8272843333333313"/>
    <n v="17.100000000000001"/>
    <n v="7.8272843333333313"/>
  </r>
  <r>
    <x v="1"/>
    <x v="7"/>
    <n v="245"/>
    <n v="2.35"/>
    <s v="2014C-733"/>
    <d v="2014-02-17T00:00:00"/>
    <n v="54.4"/>
    <x v="11"/>
    <d v="2014-04-02T00:00:00"/>
    <n v="62.8"/>
    <m/>
    <n v="44"/>
    <n v="8.3999999999999986"/>
    <m/>
    <x v="26"/>
    <n v="190.90909090909088"/>
    <n v="21.320492181818178"/>
    <n v="15"/>
    <n v="-0.20000000000000284"/>
    <n v="35.25"/>
    <n v="-13.333333333333524"/>
    <n v="11.251340666666655"/>
    <n v="17.100000000000001"/>
    <n v="11.251340666666655"/>
  </r>
  <r>
    <x v="1"/>
    <x v="7"/>
    <n v="245"/>
    <n v="2.35"/>
    <s v="2014C-760"/>
    <d v="2014-02-17T00:00:00"/>
    <n v="57"/>
    <x v="11"/>
    <d v="2014-04-02T00:00:00"/>
    <n v="71.599999999999994"/>
    <m/>
    <n v="44"/>
    <n v="14.599999999999994"/>
    <m/>
    <x v="26"/>
    <n v="331.8181818181817"/>
    <n v="29.231123363636357"/>
    <n v="15"/>
    <n v="18.599999999999994"/>
    <n v="35.25"/>
    <n v="1239.9999999999995"/>
    <n v="74.004486999999983"/>
    <n v="17.100000000000001"/>
    <n v="74.004486999999983"/>
  </r>
  <r>
    <x v="1"/>
    <x v="7"/>
    <n v="245"/>
    <n v="2.35"/>
    <s v="2014C-78"/>
    <d v="2014-02-17T00:00:00"/>
    <n v="54.2"/>
    <x v="11"/>
    <d v="2014-04-02T00:00:00"/>
    <n v="61.2"/>
    <m/>
    <n v="44"/>
    <n v="7"/>
    <m/>
    <x v="26"/>
    <n v="159.09090909090909"/>
    <n v="19.599674818181818"/>
    <n v="15"/>
    <n v="0.70000000000000284"/>
    <n v="35.25"/>
    <n v="46.666666666666856"/>
    <n v="14.057159666666676"/>
    <n v="17.100000000000001"/>
    <n v="14.057159666666676"/>
  </r>
  <r>
    <x v="1"/>
    <x v="7"/>
    <n v="245"/>
    <n v="2.35"/>
    <s v="2014C-914"/>
    <d v="2014-02-17T00:00:00"/>
    <n v="54.4"/>
    <x v="11"/>
    <d v="2014-04-02T00:00:00"/>
    <n v="59.2"/>
    <m/>
    <n v="44"/>
    <n v="4.8000000000000043"/>
    <m/>
    <x v="26"/>
    <n v="109.09090909090918"/>
    <n v="16.982493818181823"/>
    <n v="15"/>
    <n v="-0.29999999999999716"/>
    <n v="35.25"/>
    <n v="-19.999999999999808"/>
    <n v="10.618312000000008"/>
    <n v="17.100000000000001"/>
    <n v="10.618312000000008"/>
  </r>
  <r>
    <x v="1"/>
    <x v="8"/>
    <n v="161"/>
    <n v="2.36"/>
    <s v="2014SB-1048"/>
    <d v="2014-02-17T00:00:00"/>
    <n v="53.2"/>
    <x v="11"/>
    <d v="2014-04-02T00:00:00"/>
    <n v="60.2"/>
    <m/>
    <n v="44"/>
    <n v="7"/>
    <m/>
    <x v="27"/>
    <n v="159.09090909090909"/>
    <n v="19.430584818181817"/>
    <n v="15"/>
    <n v="1.7000000000000028"/>
    <n v="35.4"/>
    <n v="113.33333333333353"/>
    <n v="17.174736333333342"/>
    <n v="17.100000000000001"/>
    <n v="17.174736333333342"/>
  </r>
  <r>
    <x v="1"/>
    <x v="8"/>
    <n v="161"/>
    <n v="2.36"/>
    <s v="2014SB-1205"/>
    <d v="2014-02-17T00:00:00"/>
    <n v="54.4"/>
    <x v="11"/>
    <d v="2014-04-02T00:00:00"/>
    <n v="60.8"/>
    <m/>
    <n v="44"/>
    <n v="6.3999999999999986"/>
    <m/>
    <x v="27"/>
    <n v="145.45454545454541"/>
    <n v="18.910493090909089"/>
    <n v="15"/>
    <n v="0.79999999999999716"/>
    <n v="35.4"/>
    <n v="53.333333333333144"/>
    <n v="14.368917333333323"/>
    <n v="17.100000000000001"/>
    <n v="14.368917333333323"/>
  </r>
  <r>
    <x v="1"/>
    <x v="8"/>
    <n v="161"/>
    <n v="2.36"/>
    <s v="2014SB-1224"/>
    <d v="2014-02-17T00:00:00"/>
    <n v="53.2"/>
    <x v="11"/>
    <d v="2014-04-02T00:00:00"/>
    <n v="60"/>
    <m/>
    <n v="44"/>
    <n v="6.7999999999999972"/>
    <m/>
    <x v="27"/>
    <n v="154.54545454545448"/>
    <n v="19.189584909090904"/>
    <n v="15"/>
    <n v="0"/>
    <n v="35.4"/>
    <n v="0"/>
    <n v="11.570494"/>
    <n v="17.100000000000001"/>
    <n v="11.570494"/>
  </r>
  <r>
    <x v="1"/>
    <x v="8"/>
    <n v="161"/>
    <n v="2.36"/>
    <s v="2014SB-1234"/>
    <d v="2014-02-17T00:00:00"/>
    <n v="52.4"/>
    <x v="11"/>
    <d v="2014-04-02T00:00:00"/>
    <n v="59.8"/>
    <m/>
    <n v="44"/>
    <n v="7.3999999999999986"/>
    <m/>
    <x v="27"/>
    <n v="168.18181818181816"/>
    <n v="19.777312636363632"/>
    <n v="15"/>
    <n v="2.2999999999999972"/>
    <n v="35.4"/>
    <n v="153.33333333333314"/>
    <n v="19.045282333333322"/>
    <n v="17.100000000000001"/>
    <n v="19.045282333333322"/>
  </r>
  <r>
    <x v="1"/>
    <x v="8"/>
    <n v="161"/>
    <n v="2.36"/>
    <s v="2014SB-1248"/>
    <d v="2014-02-17T00:00:00"/>
    <n v="54.8"/>
    <x v="11"/>
    <d v="2014-04-02T00:00:00"/>
    <n v="64.599999999999994"/>
    <m/>
    <n v="44"/>
    <n v="9.7999999999999972"/>
    <m/>
    <x v="27"/>
    <n v="222.72727272727266"/>
    <n v="23.075127545454542"/>
    <n v="15"/>
    <n v="9.9999999999994316E-2"/>
    <n v="35.4"/>
    <n v="6.6666666666662877"/>
    <n v="12.423339666666646"/>
    <n v="17.100000000000001"/>
    <n v="12.423339666666646"/>
  </r>
  <r>
    <x v="1"/>
    <x v="8"/>
    <n v="161"/>
    <n v="2.36"/>
    <s v="2014SB-1252"/>
    <d v="2014-02-17T00:00:00"/>
    <n v="54.6"/>
    <x v="11"/>
    <d v="2014-04-02T00:00:00"/>
    <n v="64.8"/>
    <m/>
    <n v="44"/>
    <n v="10.199999999999996"/>
    <m/>
    <x v="27"/>
    <n v="231.81818181818173"/>
    <n v="23.523309363636358"/>
    <n v="15"/>
    <n v="2.2999999999999972"/>
    <n v="35.4"/>
    <n v="153.33333333333314"/>
    <n v="19.654006333333324"/>
    <n v="17.100000000000001"/>
    <n v="19.654006333333324"/>
  </r>
  <r>
    <x v="1"/>
    <x v="8"/>
    <n v="161"/>
    <n v="2.36"/>
    <s v="2014SB-1277"/>
    <d v="2014-02-17T00:00:00"/>
    <n v="50.6"/>
    <x v="11"/>
    <d v="2014-04-02T00:00:00"/>
    <n v="59.6"/>
    <m/>
    <n v="44"/>
    <n v="9"/>
    <m/>
    <x v="27"/>
    <n v="204.54545454545456"/>
    <n v="21.400949909090908"/>
    <n v="15"/>
    <n v="2.6000000000000014"/>
    <n v="35.4"/>
    <n v="173.33333333333343"/>
    <n v="19.862192333333336"/>
    <n v="17.100000000000001"/>
    <n v="19.862192333333336"/>
  </r>
  <r>
    <x v="1"/>
    <x v="8"/>
    <n v="161"/>
    <n v="2.36"/>
    <s v="2014SB-1283"/>
    <d v="2014-02-17T00:00:00"/>
    <n v="54.6"/>
    <x v="11"/>
    <d v="2014-04-02T00:00:00"/>
    <n v="63.6"/>
    <m/>
    <n v="44"/>
    <n v="9"/>
    <m/>
    <x v="27"/>
    <n v="204.54545454545456"/>
    <n v="22.077309909090907"/>
    <n v="15"/>
    <n v="1.1000000000000014"/>
    <n v="35.4"/>
    <n v="73.333333333333428"/>
    <n v="15.608552333333337"/>
    <n v="17.100000000000001"/>
    <n v="15.608552333333337"/>
  </r>
  <r>
    <x v="1"/>
    <x v="8"/>
    <n v="161"/>
    <n v="2.36"/>
    <s v="2014SB-1424"/>
    <d v="2014-02-17T00:00:00"/>
    <n v="51"/>
    <x v="11"/>
    <d v="2014-04-02T00:00:00"/>
    <n v="58.6"/>
    <m/>
    <n v="44"/>
    <n v="7.6000000000000014"/>
    <m/>
    <x v="27"/>
    <n v="172.72727272727275"/>
    <n v="19.781586545454545"/>
    <n v="15"/>
    <n v="0.10000000000000142"/>
    <n v="35.4"/>
    <n v="6.666666666666762"/>
    <n v="11.594798666666669"/>
    <n v="17.100000000000001"/>
    <n v="11.594798666666669"/>
  </r>
  <r>
    <x v="1"/>
    <x v="8"/>
    <n v="161"/>
    <n v="2.36"/>
    <s v="2014SB-1492"/>
    <d v="2014-02-17T00:00:00"/>
    <n v="52.8"/>
    <x v="11"/>
    <d v="2014-04-02T00:00:00"/>
    <n v="58.4"/>
    <m/>
    <n v="44"/>
    <n v="5.6000000000000014"/>
    <m/>
    <x v="27"/>
    <n v="127.27272727272731"/>
    <n v="17.675949454545453"/>
    <n v="15"/>
    <n v="-1.1000000000000014"/>
    <n v="35.4"/>
    <n v="-73.333333333333428"/>
    <n v="7.7860706666666601"/>
    <n v="17.100000000000001"/>
    <n v="7.7860706666666593"/>
  </r>
  <r>
    <x v="1"/>
    <x v="8"/>
    <n v="161"/>
    <n v="2.36"/>
    <s v="2014SB-1639"/>
    <d v="2014-02-17T00:00:00"/>
    <n v="56.2"/>
    <x v="11"/>
    <d v="2014-04-02T00:00:00"/>
    <n v="60.8"/>
    <m/>
    <n v="44"/>
    <n v="4.5999999999999943"/>
    <m/>
    <x v="27"/>
    <n v="104.54545454545442"/>
    <n v="17.045855909090903"/>
    <n v="15"/>
    <n v="-1.7000000000000028"/>
    <n v="35.4"/>
    <n v="-113.33333333333353"/>
    <n v="6.3044316666666571"/>
    <n v="17.100000000000001"/>
    <n v="6.3044316666666571"/>
  </r>
  <r>
    <x v="1"/>
    <x v="8"/>
    <n v="161"/>
    <n v="2.36"/>
    <s v="2014SB-1686"/>
    <d v="2014-02-17T00:00:00"/>
    <n v="53.4"/>
    <x v="11"/>
    <d v="2014-04-02T00:00:00"/>
    <n v="55.2"/>
    <m/>
    <n v="44"/>
    <n v="1.8000000000000043"/>
    <m/>
    <x v="27"/>
    <n v="40.909090909091006"/>
    <n v="13.198405181818185"/>
    <n v="15"/>
    <n v="-1.2999999999999972"/>
    <n v="35.4"/>
    <n v="-86.666666666666472"/>
    <n v="6.9089203333333415"/>
    <n v="17.100000000000001"/>
    <n v="6.9089203333333415"/>
  </r>
  <r>
    <x v="1"/>
    <x v="8"/>
    <n v="161"/>
    <n v="2.36"/>
    <s v="2014SB-1712"/>
    <d v="2014-02-17T00:00:00"/>
    <n v="55.4"/>
    <x v="11"/>
    <d v="2014-04-02T00:00:00"/>
    <n v="60.6"/>
    <m/>
    <n v="44"/>
    <n v="5.2000000000000028"/>
    <m/>
    <x v="27"/>
    <n v="118.18181818181824"/>
    <n v="17.633583636363639"/>
    <n v="15"/>
    <n v="0.10000000000000142"/>
    <n v="35.4"/>
    <n v="6.666666666666762"/>
    <n v="12.135886666666671"/>
    <n v="17.100000000000001"/>
    <n v="12.135886666666671"/>
  </r>
  <r>
    <x v="1"/>
    <x v="8"/>
    <n v="161"/>
    <n v="2.36"/>
    <s v="2014SB-180"/>
    <d v="2014-02-17T00:00:00"/>
    <n v="61.2"/>
    <x v="11"/>
    <d v="2014-04-02T00:00:00"/>
    <n v="69.400000000000006"/>
    <m/>
    <n v="44"/>
    <n v="8.2000000000000028"/>
    <m/>
    <x v="27"/>
    <n v="186.36363636363643"/>
    <n v="22.229304272727276"/>
    <n v="15"/>
    <n v="-0.59999999999999432"/>
    <n v="35.4"/>
    <n v="-39.999999999999616"/>
    <n v="11.06957700000002"/>
    <n v="17.100000000000001"/>
    <n v="11.06957700000002"/>
  </r>
  <r>
    <x v="1"/>
    <x v="8"/>
    <n v="161"/>
    <n v="2.36"/>
    <s v="2014SB-2041"/>
    <d v="2014-02-17T00:00:00"/>
    <n v="51"/>
    <x v="11"/>
    <d v="2014-04-02T00:00:00"/>
    <n v="51"/>
    <m/>
    <n v="44"/>
    <n v="0"/>
    <m/>
    <x v="27"/>
    <n v="0"/>
    <n v="10.62359"/>
    <n v="15"/>
    <n v="-3"/>
    <n v="35.4"/>
    <n v="-200"/>
    <n v="0.76359000000000066"/>
    <n v="17.100000000000001"/>
    <n v="0.76359000000000066"/>
  </r>
  <r>
    <x v="1"/>
    <x v="8"/>
    <n v="161"/>
    <n v="2.36"/>
    <s v="2014SB-2083"/>
    <d v="2014-02-17T00:00:00"/>
    <n v="51.4"/>
    <x v="11"/>
    <d v="2014-04-02T00:00:00"/>
    <n v="55.6"/>
    <m/>
    <n v="44"/>
    <n v="4.2000000000000028"/>
    <m/>
    <x v="27"/>
    <n v="95.45454545454551"/>
    <n v="15.752224090909094"/>
    <n v="15"/>
    <n v="0.60000000000000142"/>
    <n v="35.4"/>
    <n v="40.000000000000099"/>
    <n v="13.018315000000005"/>
    <n v="17.100000000000001"/>
    <n v="13.018315000000005"/>
  </r>
  <r>
    <x v="1"/>
    <x v="8"/>
    <n v="161"/>
    <n v="2.36"/>
    <s v="2014SB-2131"/>
    <d v="2014-02-17T00:00:00"/>
    <n v="54.2"/>
    <x v="11"/>
    <d v="2014-04-02T00:00:00"/>
    <n v="58.8"/>
    <m/>
    <n v="44"/>
    <n v="4.5999999999999943"/>
    <m/>
    <x v="27"/>
    <n v="104.54545454545442"/>
    <n v="16.707675909090902"/>
    <n v="15"/>
    <n v="-0.70000000000000284"/>
    <n v="35.4"/>
    <n v="-46.666666666666856"/>
    <n v="9.2529183333333247"/>
    <n v="17.100000000000001"/>
    <n v="9.2529183333333247"/>
  </r>
  <r>
    <x v="1"/>
    <x v="8"/>
    <n v="161"/>
    <n v="2.36"/>
    <s v="2014SB-2148"/>
    <d v="2014-02-17T00:00:00"/>
    <n v="56"/>
    <x v="11"/>
    <d v="2014-04-02T00:00:00"/>
    <n v="63.2"/>
    <m/>
    <n v="44"/>
    <n v="7.2000000000000028"/>
    <m/>
    <x v="27"/>
    <n v="163.63636363636368"/>
    <n v="20.145036727272732"/>
    <n v="15"/>
    <n v="3.2000000000000028"/>
    <n v="35.4"/>
    <n v="213.33333333333351"/>
    <n v="22.595097333333342"/>
    <n v="17.100000000000001"/>
    <n v="22.595097333333342"/>
  </r>
  <r>
    <x v="1"/>
    <x v="8"/>
    <n v="161"/>
    <n v="2.36"/>
    <s v="2014SB-2154"/>
    <d v="2014-02-17T00:00:00"/>
    <n v="63.2"/>
    <x v="11"/>
    <d v="2014-04-02T00:00:00"/>
    <n v="70.599999999999994"/>
    <m/>
    <n v="44"/>
    <n v="7.3999999999999915"/>
    <m/>
    <x v="27"/>
    <n v="168.18181818181799"/>
    <n v="21.603484636363625"/>
    <n v="15"/>
    <n v="2.5999999999999943"/>
    <n v="35.4"/>
    <n v="173.33333333333294"/>
    <n v="21.857454333333315"/>
    <n v="17.100000000000001"/>
    <n v="21.857454333333315"/>
  </r>
  <r>
    <x v="1"/>
    <x v="8"/>
    <n v="161"/>
    <n v="2.36"/>
    <s v="2014SB-2162"/>
    <d v="2014-02-17T00:00:00"/>
    <n v="55.6"/>
    <x v="11"/>
    <d v="2014-04-02T00:00:00"/>
    <n v="64"/>
    <m/>
    <n v="44"/>
    <n v="8.3999999999999986"/>
    <m/>
    <x v="27"/>
    <n v="190.90909090909088"/>
    <n v="21.523400181818179"/>
    <n v="15"/>
    <n v="3"/>
    <n v="35.4"/>
    <n v="200"/>
    <n v="21.971581999999998"/>
    <n v="17.100000000000001"/>
    <n v="21.971581999999998"/>
  </r>
  <r>
    <x v="1"/>
    <x v="8"/>
    <n v="161"/>
    <n v="2.36"/>
    <s v="2014SB-2306"/>
    <d v="2014-02-17T00:00:00"/>
    <n v="58.4"/>
    <x v="11"/>
    <d v="2014-04-02T00:00:00"/>
    <n v="63"/>
    <m/>
    <n v="44"/>
    <n v="4.6000000000000014"/>
    <m/>
    <x v="27"/>
    <n v="104.54545454545458"/>
    <n v="17.417853909090908"/>
    <n v="15"/>
    <n v="1"/>
    <n v="35.4"/>
    <n v="66.666666666666671"/>
    <n v="15.550429666666666"/>
    <n v="17.100000000000001"/>
    <n v="15.550429666666666"/>
  </r>
  <r>
    <x v="1"/>
    <x v="8"/>
    <n v="161"/>
    <n v="2.36"/>
    <s v="2014SB-2311"/>
    <d v="2014-02-17T00:00:00"/>
    <n v="53.4"/>
    <x v="11"/>
    <d v="2014-04-02T00:00:00"/>
    <n v="57"/>
    <m/>
    <n v="44"/>
    <n v="3.6000000000000014"/>
    <m/>
    <x v="27"/>
    <n v="81.818181818181841"/>
    <n v="15.367404363636364"/>
    <n v="15"/>
    <n v="0.5"/>
    <n v="35.4"/>
    <n v="33.333333333333336"/>
    <n v="12.977101333333332"/>
    <n v="17.100000000000001"/>
    <n v="12.977101333333332"/>
  </r>
  <r>
    <x v="1"/>
    <x v="8"/>
    <n v="161"/>
    <n v="2.36"/>
    <s v="2014SB-2320"/>
    <d v="2014-02-17T00:00:00"/>
    <n v="51.4"/>
    <x v="11"/>
    <d v="2014-04-02T00:00:00"/>
    <n v="58"/>
    <m/>
    <n v="44"/>
    <n v="6.6000000000000014"/>
    <m/>
    <x v="27"/>
    <n v="150.00000000000003"/>
    <n v="18.644223"/>
    <n v="15"/>
    <n v="0.5"/>
    <n v="35.4"/>
    <n v="33.333333333333336"/>
    <n v="12.892556333333333"/>
    <n v="17.100000000000001"/>
    <n v="12.892556333333333"/>
  </r>
  <r>
    <x v="1"/>
    <x v="8"/>
    <n v="161"/>
    <n v="2.36"/>
    <s v="2014SB-2343"/>
    <d v="2014-02-17T00:00:00"/>
    <n v="51.6"/>
    <x v="11"/>
    <d v="2014-04-02T00:00:00"/>
    <n v="56.8"/>
    <m/>
    <n v="44"/>
    <n v="5.1999999999999957"/>
    <m/>
    <x v="27"/>
    <n v="118.18181818181809"/>
    <n v="16.991041636363633"/>
    <n v="15"/>
    <n v="-1.7000000000000028"/>
    <n v="35.4"/>
    <n v="-113.33333333333353"/>
    <n v="5.577344666666658"/>
    <n v="17.100000000000001"/>
    <n v="5.577344666666658"/>
  </r>
  <r>
    <x v="1"/>
    <x v="8"/>
    <n v="161"/>
    <n v="2.36"/>
    <s v="2014SB-2430"/>
    <d v="2014-02-17T00:00:00"/>
    <n v="55.8"/>
    <x v="11"/>
    <d v="2014-04-02T00:00:00"/>
    <n v="61"/>
    <m/>
    <n v="44"/>
    <n v="5.2000000000000028"/>
    <m/>
    <x v="27"/>
    <n v="118.18181818181824"/>
    <n v="17.701219636363639"/>
    <n v="15"/>
    <n v="-0.5"/>
    <n v="35.4"/>
    <n v="-33.333333333333336"/>
    <n v="10.231522666666667"/>
    <n v="17.100000000000001"/>
    <n v="10.231522666666667"/>
  </r>
  <r>
    <x v="1"/>
    <x v="8"/>
    <n v="161"/>
    <n v="2.36"/>
    <s v="2014SB-2458"/>
    <d v="2014-02-17T00:00:00"/>
    <n v="55.6"/>
    <x v="11"/>
    <d v="2014-04-02T00:00:00"/>
    <n v="60.8"/>
    <m/>
    <n v="44"/>
    <n v="5.1999999999999957"/>
    <m/>
    <x v="27"/>
    <n v="118.18181818181809"/>
    <n v="17.667401636363628"/>
    <n v="15"/>
    <n v="-0.70000000000000284"/>
    <n v="35.4"/>
    <n v="-46.666666666666856"/>
    <n v="9.540371333333324"/>
    <n v="17.100000000000001"/>
    <n v="9.540371333333324"/>
  </r>
  <r>
    <x v="1"/>
    <x v="8"/>
    <n v="161"/>
    <n v="2.36"/>
    <s v="2014SB-2469"/>
    <d v="2014-02-17T00:00:00"/>
    <n v="53.6"/>
    <x v="11"/>
    <d v="2014-04-02T00:00:00"/>
    <n v="54.8"/>
    <m/>
    <n v="44"/>
    <n v="1.1999999999999957"/>
    <m/>
    <x v="27"/>
    <n v="27.272727272727174"/>
    <n v="12.509223454545451"/>
    <n v="15"/>
    <n v="-2.7000000000000028"/>
    <n v="35.4"/>
    <n v="-180.0000000000002"/>
    <n v="2.2906779999999909"/>
    <n v="17.100000000000001"/>
    <n v="2.2906779999999909"/>
  </r>
  <r>
    <x v="1"/>
    <x v="8"/>
    <n v="161"/>
    <n v="2.36"/>
    <s v="2014SB-2524"/>
    <d v="2014-02-17T00:00:00"/>
    <n v="57.6"/>
    <x v="11"/>
    <d v="2014-04-02T00:00:00"/>
    <n v="60.6"/>
    <m/>
    <n v="44"/>
    <n v="3"/>
    <m/>
    <x v="27"/>
    <n v="68.181818181818173"/>
    <n v="15.354582636363636"/>
    <n v="15"/>
    <n v="-1.3999999999999986"/>
    <n v="35.4"/>
    <n v="-93.333333333333243"/>
    <n v="7.3918856666666715"/>
    <n v="17.100000000000001"/>
    <n v="7.3918856666666715"/>
  </r>
  <r>
    <x v="1"/>
    <x v="8"/>
    <n v="161"/>
    <n v="2.36"/>
    <s v="2014SB-2590"/>
    <d v="2014-02-17T00:00:00"/>
    <n v="50.4"/>
    <x v="11"/>
    <d v="2014-04-02T00:00:00"/>
    <n v="52.2"/>
    <m/>
    <n v="44"/>
    <n v="1.8000000000000043"/>
    <m/>
    <x v="27"/>
    <n v="40.909090909091006"/>
    <n v="12.691135181818185"/>
    <n v="15"/>
    <n v="0.20000000000000284"/>
    <n v="35.4"/>
    <n v="13.333333333333524"/>
    <n v="11.331650333333341"/>
    <n v="17.100000000000001"/>
    <n v="11.331650333333341"/>
  </r>
  <r>
    <x v="1"/>
    <x v="8"/>
    <n v="161"/>
    <n v="2.36"/>
    <s v="2014SB-2630"/>
    <d v="2014-02-17T00:00:00"/>
    <n v="49.6"/>
    <x v="11"/>
    <d v="2014-04-02T00:00:00"/>
    <n v="56.6"/>
    <m/>
    <n v="44"/>
    <n v="7"/>
    <m/>
    <x v="27"/>
    <n v="159.09090909090909"/>
    <n v="18.821860818181818"/>
    <n v="15"/>
    <n v="0.10000000000000142"/>
    <n v="35.4"/>
    <n v="6.666666666666762"/>
    <n v="11.30734566666667"/>
    <n v="17.100000000000001"/>
    <n v="11.30734566666667"/>
  </r>
  <r>
    <x v="1"/>
    <x v="8"/>
    <n v="161"/>
    <n v="2.36"/>
    <s v="2014SB-2632"/>
    <d v="2014-02-17T00:00:00"/>
    <n v="49.4"/>
    <x v="11"/>
    <d v="2014-04-02T00:00:00"/>
    <n v="55.6"/>
    <m/>
    <n v="44"/>
    <n v="6.2000000000000028"/>
    <m/>
    <x v="27"/>
    <n v="140.90909090909099"/>
    <n v="17.824043181818183"/>
    <n v="15"/>
    <n v="1.6000000000000014"/>
    <n v="35.4"/>
    <n v="106.66666666666676"/>
    <n v="16.135891666666669"/>
    <n v="17.100000000000001"/>
    <n v="16.135891666666669"/>
  </r>
  <r>
    <x v="1"/>
    <x v="8"/>
    <n v="161"/>
    <n v="2.36"/>
    <s v="2014SB-2695"/>
    <d v="2014-02-17T00:00:00"/>
    <n v="60.4"/>
    <x v="11"/>
    <d v="2014-04-02T00:00:00"/>
    <n v="68"/>
    <m/>
    <n v="44"/>
    <n v="7.6000000000000014"/>
    <m/>
    <x v="27"/>
    <n v="172.72727272727275"/>
    <n v="21.371032545454547"/>
    <n v="15"/>
    <n v="4.5"/>
    <n v="35.4"/>
    <n v="300"/>
    <n v="27.645578"/>
    <n v="17.100000000000001"/>
    <n v="27.645578"/>
  </r>
  <r>
    <x v="1"/>
    <x v="8"/>
    <n v="161"/>
    <n v="2.36"/>
    <s v="2014SB-2718"/>
    <d v="2014-02-17T00:00:00"/>
    <n v="58"/>
    <x v="11"/>
    <d v="2014-04-02T00:00:00"/>
    <n v="71.599999999999994"/>
    <m/>
    <n v="44"/>
    <n v="13.599999999999994"/>
    <m/>
    <x v="27"/>
    <n v="309.09090909090895"/>
    <n v="28.195213818181809"/>
    <n v="15"/>
    <n v="4.5999999999999943"/>
    <n v="35.4"/>
    <n v="306.66666666666629"/>
    <n v="28.075698666666646"/>
    <n v="17.100000000000001"/>
    <n v="28.075698666666646"/>
  </r>
  <r>
    <x v="1"/>
    <x v="8"/>
    <n v="161"/>
    <n v="2.36"/>
    <s v="2014SB-2730"/>
    <d v="2014-02-17T00:00:00"/>
    <n v="52.6"/>
    <x v="11"/>
    <d v="2014-04-02T00:00:00"/>
    <n v="52.8"/>
    <m/>
    <n v="44"/>
    <n v="0.19999999999999574"/>
    <m/>
    <x v="27"/>
    <n v="4.545454545454449"/>
    <n v="11.135133909090904"/>
    <n v="15"/>
    <n v="0.29999999999999716"/>
    <n v="35.4"/>
    <n v="19.999999999999808"/>
    <n v="11.897042999999989"/>
    <n v="17.100000000000001"/>
    <n v="11.897042999999989"/>
  </r>
  <r>
    <x v="1"/>
    <x v="8"/>
    <n v="161"/>
    <n v="2.36"/>
    <s v="2014SB-2761"/>
    <d v="2014-02-17T00:00:00"/>
    <n v="56.6"/>
    <x v="11"/>
    <d v="2014-04-02T00:00:00"/>
    <n v="58.6"/>
    <m/>
    <n v="44"/>
    <n v="2"/>
    <m/>
    <x v="27"/>
    <n v="45.454545454545453"/>
    <n v="13.980493090909089"/>
    <n v="15"/>
    <n v="-2.8999999999999986"/>
    <n v="35.4"/>
    <n v="-193.33333333333326"/>
    <n v="2.2082506666666699"/>
    <n v="17.100000000000001"/>
    <n v="2.2082506666666699"/>
  </r>
  <r>
    <x v="1"/>
    <x v="8"/>
    <n v="161"/>
    <n v="2.36"/>
    <s v="2014SB-2865"/>
    <d v="2014-02-17T00:00:00"/>
    <n v="58.6"/>
    <x v="11"/>
    <d v="2014-04-02T00:00:00"/>
    <n v="68.400000000000006"/>
    <m/>
    <n v="44"/>
    <n v="9.8000000000000043"/>
    <m/>
    <x v="27"/>
    <n v="222.72727272727283"/>
    <n v="23.717669545454548"/>
    <n v="15"/>
    <n v="3.9000000000000057"/>
    <n v="35.4"/>
    <n v="260.0000000000004"/>
    <n v="25.555215000000018"/>
    <n v="17.100000000000001"/>
    <n v="25.555215000000018"/>
  </r>
  <r>
    <x v="1"/>
    <x v="8"/>
    <n v="161"/>
    <n v="2.36"/>
    <s v="2014SB-2868"/>
    <d v="2014-02-17T00:00:00"/>
    <n v="56.6"/>
    <x v="11"/>
    <d v="2014-04-02T00:00:00"/>
    <n v="58.2"/>
    <m/>
    <n v="44"/>
    <n v="1.6000000000000014"/>
    <m/>
    <x v="27"/>
    <n v="36.363636363636395"/>
    <n v="13.498493272727275"/>
    <n v="15"/>
    <n v="-0.79999999999999716"/>
    <n v="35.4"/>
    <n v="-53.333333333333144"/>
    <n v="9.0764326666666761"/>
    <n v="17.100000000000001"/>
    <n v="9.0764326666666761"/>
  </r>
  <r>
    <x v="1"/>
    <x v="8"/>
    <n v="161"/>
    <n v="2.36"/>
    <s v="2014SB-2884"/>
    <d v="2014-02-17T00:00:00"/>
    <n v="64"/>
    <x v="11"/>
    <d v="2014-04-02T00:00:00"/>
    <n v="70.2"/>
    <m/>
    <n v="44"/>
    <n v="6.2000000000000028"/>
    <m/>
    <x v="27"/>
    <n v="140.90909090909099"/>
    <n v="20.292757181818182"/>
    <n v="15"/>
    <n v="1.7000000000000028"/>
    <n v="35.4"/>
    <n v="113.33333333333353"/>
    <n v="18.933272333333342"/>
    <n v="17.100000000000001"/>
    <n v="18.933272333333342"/>
  </r>
  <r>
    <x v="1"/>
    <x v="8"/>
    <n v="161"/>
    <n v="2.36"/>
    <s v="2014SB-2893"/>
    <d v="2014-02-17T00:00:00"/>
    <n v="51.4"/>
    <x v="11"/>
    <d v="2014-04-02T00:00:00"/>
    <n v="60.2"/>
    <m/>
    <n v="44"/>
    <n v="8.8000000000000043"/>
    <m/>
    <x v="27"/>
    <n v="200.00000000000009"/>
    <n v="21.295222000000003"/>
    <n v="15"/>
    <n v="3.7000000000000028"/>
    <n v="35.4"/>
    <n v="246.66666666666686"/>
    <n v="23.595888666666674"/>
    <n v="17.100000000000001"/>
    <n v="23.595888666666674"/>
  </r>
  <r>
    <x v="1"/>
    <x v="8"/>
    <n v="161"/>
    <n v="2.36"/>
    <s v="2014SB-356"/>
    <d v="2014-02-17T00:00:00"/>
    <n v="49"/>
    <x v="11"/>
    <d v="2014-04-02T00:00:00"/>
    <n v="51.8"/>
    <m/>
    <n v="44"/>
    <n v="2.7999999999999972"/>
    <m/>
    <x v="27"/>
    <n v="63.636363636363576"/>
    <n v="13.659408727272723"/>
    <n v="15"/>
    <n v="2.2999999999999972"/>
    <n v="35.4"/>
    <n v="153.33333333333314"/>
    <n v="18.081469333333324"/>
    <n v="17.100000000000001"/>
    <n v="18.081469333333324"/>
  </r>
  <r>
    <x v="1"/>
    <x v="8"/>
    <n v="161"/>
    <n v="2.36"/>
    <s v="2014SB-38"/>
    <d v="2014-02-17T00:00:00"/>
    <n v="53"/>
    <x v="11"/>
    <d v="2014-04-02T00:00:00"/>
    <n v="59.6"/>
    <m/>
    <n v="44"/>
    <n v="6.6000000000000014"/>
    <m/>
    <x v="27"/>
    <n v="150.00000000000003"/>
    <n v="18.914766999999998"/>
    <n v="15"/>
    <n v="0.60000000000000142"/>
    <n v="35.4"/>
    <n v="40.000000000000099"/>
    <n v="13.491767000000003"/>
    <n v="17.100000000000001"/>
    <n v="13.491767000000003"/>
  </r>
  <r>
    <x v="1"/>
    <x v="8"/>
    <n v="161"/>
    <n v="2.36"/>
    <s v="2014SB-439"/>
    <d v="2014-02-17T00:00:00"/>
    <n v="53.8"/>
    <x v="11"/>
    <d v="2014-04-02T00:00:00"/>
    <n v="59.2"/>
    <m/>
    <n v="44"/>
    <n v="5.4000000000000057"/>
    <m/>
    <x v="27"/>
    <n v="122.72727272727285"/>
    <n v="17.604039545454551"/>
    <n v="15"/>
    <n v="-0.79999999999999716"/>
    <n v="35.4"/>
    <n v="-53.333333333333144"/>
    <n v="8.9242516666666756"/>
    <n v="17.100000000000001"/>
    <n v="8.9242516666666756"/>
  </r>
  <r>
    <x v="1"/>
    <x v="8"/>
    <n v="161"/>
    <n v="2.36"/>
    <s v="2014SB-631"/>
    <d v="2014-02-17T00:00:00"/>
    <n v="52.2"/>
    <x v="11"/>
    <d v="2014-04-02T00:00:00"/>
    <n v="58.3"/>
    <m/>
    <n v="44"/>
    <n v="6.0999999999999943"/>
    <m/>
    <x v="27"/>
    <n v="138.63636363636351"/>
    <n v="18.17699522727272"/>
    <n v="15"/>
    <n v="0.29999999999999716"/>
    <n v="35.4"/>
    <n v="19.999999999999808"/>
    <n v="12.32822249999999"/>
    <n v="17.100000000000001"/>
    <n v="12.32822249999999"/>
  </r>
  <r>
    <x v="1"/>
    <x v="8"/>
    <n v="161"/>
    <n v="2.36"/>
    <s v="2014SB-67"/>
    <d v="2014-02-17T00:00:00"/>
    <n v="55.2"/>
    <x v="11"/>
    <d v="2014-04-02T00:00:00"/>
    <n v="59.8"/>
    <m/>
    <n v="44"/>
    <n v="4.5999999999999943"/>
    <m/>
    <x v="27"/>
    <n v="104.54545454545442"/>
    <n v="16.876765909090899"/>
    <n v="15"/>
    <n v="0.79999999999999716"/>
    <n v="35.4"/>
    <n v="53.333333333333144"/>
    <n v="14.352008333333323"/>
    <n v="17.100000000000001"/>
    <n v="14.352008333333323"/>
  </r>
  <r>
    <x v="1"/>
    <x v="8"/>
    <n v="161"/>
    <n v="2.36"/>
    <s v="2014SB-74"/>
    <d v="2014-02-17T00:00:00"/>
    <n v="51.6"/>
    <x v="11"/>
    <d v="2014-04-02T00:00:00"/>
    <n v="57.4"/>
    <m/>
    <n v="44"/>
    <n v="5.7999999999999972"/>
    <m/>
    <x v="27"/>
    <n v="131.81818181818176"/>
    <n v="17.714041363636358"/>
    <n v="15"/>
    <n v="-3.1000000000000014"/>
    <n v="35.4"/>
    <n v="-206.66666666666674"/>
    <n v="1.0267383333333289"/>
    <n v="17.100000000000001"/>
    <n v="1.0267383333333289"/>
  </r>
  <r>
    <x v="1"/>
    <x v="8"/>
    <n v="161"/>
    <n v="2.36"/>
    <s v="2014SB-752"/>
    <d v="2014-02-17T00:00:00"/>
    <n v="51.6"/>
    <x v="11"/>
    <d v="2014-04-02T00:00:00"/>
    <n v="54.2"/>
    <m/>
    <n v="44"/>
    <n v="2.6000000000000014"/>
    <m/>
    <x v="27"/>
    <n v="59.090909090909122"/>
    <n v="13.858042818181822"/>
    <n v="15"/>
    <n v="0.70000000000000284"/>
    <n v="35.4"/>
    <n v="46.666666666666856"/>
    <n v="13.245527666666677"/>
    <n v="17.100000000000001"/>
    <n v="13.245527666666677"/>
  </r>
  <r>
    <x v="1"/>
    <x v="8"/>
    <n v="161"/>
    <n v="2.36"/>
    <s v="2014SB-776"/>
    <d v="2014-02-17T00:00:00"/>
    <n v="52.2"/>
    <x v="11"/>
    <d v="2014-04-02T00:00:00"/>
    <n v="58.2"/>
    <m/>
    <n v="44"/>
    <n v="6"/>
    <m/>
    <x v="27"/>
    <n v="136.36363636363635"/>
    <n v="18.056495272727272"/>
    <n v="15"/>
    <n v="-0.29999999999999716"/>
    <n v="35.4"/>
    <n v="-19.999999999999808"/>
    <n v="10.347768000000009"/>
    <n v="17.100000000000001"/>
    <n v="10.347768000000009"/>
  </r>
  <r>
    <x v="1"/>
    <x v="8"/>
    <n v="161"/>
    <n v="2.36"/>
    <s v="2014SB-783"/>
    <d v="2014-02-17T00:00:00"/>
    <n v="55.4"/>
    <x v="11"/>
    <d v="2014-04-02T00:00:00"/>
    <n v="59.6"/>
    <m/>
    <n v="44"/>
    <n v="4.2000000000000028"/>
    <m/>
    <x v="27"/>
    <n v="95.45454545454551"/>
    <n v="16.428584090909091"/>
    <n v="15"/>
    <n v="-0.39999999999999858"/>
    <n v="35.4"/>
    <n v="-26.666666666666572"/>
    <n v="10.408008333333337"/>
    <n v="17.100000000000001"/>
    <n v="10.408008333333337"/>
  </r>
  <r>
    <x v="1"/>
    <x v="8"/>
    <n v="161"/>
    <n v="2.36"/>
    <s v="2014SB-785"/>
    <d v="2014-02-17T00:00:00"/>
    <n v="57.8"/>
    <x v="11"/>
    <d v="2014-04-02T00:00:00"/>
    <n v="60.2"/>
    <m/>
    <n v="44"/>
    <n v="2.4000000000000057"/>
    <m/>
    <x v="27"/>
    <n v="54.545454545454675"/>
    <n v="14.665400909090915"/>
    <n v="15"/>
    <n v="-2.2999999999999972"/>
    <n v="35.4"/>
    <n v="-153.33333333333314"/>
    <n v="4.4169766666666757"/>
    <n v="17.100000000000001"/>
    <n v="4.4169766666666757"/>
  </r>
  <r>
    <x v="1"/>
    <x v="8"/>
    <n v="161"/>
    <n v="2.36"/>
    <s v="2014SB-809"/>
    <d v="2014-02-17T00:00:00"/>
    <n v="62.4"/>
    <x v="11"/>
    <d v="2014-04-02T00:00:00"/>
    <n v="63.6"/>
    <m/>
    <n v="44"/>
    <n v="1.2000000000000028"/>
    <m/>
    <x v="27"/>
    <n v="27.272727272727337"/>
    <n v="13.997215454545456"/>
    <n v="15"/>
    <n v="-1.3999999999999986"/>
    <n v="35.4"/>
    <n v="-93.333333333333243"/>
    <n v="8.0513366666666712"/>
    <n v="17.100000000000001"/>
    <n v="8.0513366666666712"/>
  </r>
  <r>
    <x v="1"/>
    <x v="8"/>
    <n v="161"/>
    <n v="2.36"/>
    <s v="2014SB-85"/>
    <d v="2014-02-17T00:00:00"/>
    <n v="50.2"/>
    <x v="11"/>
    <d v="2014-04-02T00:00:00"/>
    <n v="56.6"/>
    <m/>
    <n v="44"/>
    <n v="6.3999999999999986"/>
    <m/>
    <x v="27"/>
    <n v="145.45454545454541"/>
    <n v="18.20031509090909"/>
    <n v="15"/>
    <n v="0.60000000000000142"/>
    <n v="35.4"/>
    <n v="40.000000000000099"/>
    <n v="13.001406000000005"/>
    <n v="17.100000000000001"/>
    <n v="13.001406000000005"/>
  </r>
  <r>
    <x v="1"/>
    <x v="8"/>
    <n v="161"/>
    <n v="2.36"/>
    <s v="2014SB-928"/>
    <d v="2014-02-17T00:00:00"/>
    <n v="52.2"/>
    <x v="11"/>
    <d v="2014-04-02T00:00:00"/>
    <n v="60.4"/>
    <m/>
    <n v="44"/>
    <n v="8.1999999999999957"/>
    <m/>
    <x v="27"/>
    <n v="186.36363636363626"/>
    <n v="20.707494272727267"/>
    <n v="15"/>
    <n v="-0.10000000000000142"/>
    <n v="35.4"/>
    <n v="-6.666666666666762"/>
    <n v="11.191100333333328"/>
    <n v="17.100000000000001"/>
    <n v="11.191100333333328"/>
  </r>
  <r>
    <x v="0"/>
    <x v="0"/>
    <n v="14"/>
    <n v="1.98"/>
    <s v="2008CSR-1016"/>
    <d v="2008-01-29T00:00:00"/>
    <n v="54"/>
    <x v="0"/>
    <d v="2008-03-18T00:00:00"/>
    <n v="62.2"/>
    <n v="2.75"/>
    <n v="49"/>
    <n v="8.2000000000000028"/>
    <n v="0.25"/>
    <x v="28"/>
    <n v="167.34693877551027"/>
    <n v="20.074333081632656"/>
    <n v="7"/>
    <n v="0.20000000000000284"/>
    <n v="13.86"/>
    <n v="28.571428571428978"/>
    <n v="13.232700428571448"/>
    <n v="18.02675"/>
    <n v="13.949858622850897"/>
  </r>
  <r>
    <x v="0"/>
    <x v="0"/>
    <n v="14"/>
    <n v="1.98"/>
    <s v="2008CSR-1019"/>
    <d v="2008-01-29T00:00:00"/>
    <n v="56.6"/>
    <x v="0"/>
    <d v="2008-03-18T00:00:00"/>
    <n v="62.2"/>
    <n v="2.5"/>
    <n v="49"/>
    <n v="5.6000000000000014"/>
    <n v="0"/>
    <x v="28"/>
    <n v="114.28571428571431"/>
    <n v="17.678231714285715"/>
    <n v="7"/>
    <n v="-1"/>
    <n v="13.86"/>
    <n v="-142.85714285714286"/>
    <n v="5.0010888571428582"/>
    <n v="18.02675"/>
    <n v="5.2721274009064327"/>
  </r>
  <r>
    <x v="0"/>
    <x v="0"/>
    <n v="14"/>
    <n v="1.98"/>
    <s v="2008CSR-1045"/>
    <d v="2008-01-29T00:00:00"/>
    <n v="56.6"/>
    <x v="1"/>
    <d v="2008-03-18T00:00:00"/>
    <n v="64"/>
    <n v="3"/>
    <n v="49"/>
    <n v="7.3999999999999986"/>
    <n v="-0.25"/>
    <x v="28"/>
    <n v="151.02040816326527"/>
    <n v="19.641433122448976"/>
    <n v="7"/>
    <n v="-1.2000000000000028"/>
    <n v="13.86"/>
    <n v="-171.42857142857184"/>
    <n v="3.7446984285714073"/>
    <n v="14.915374999999999"/>
    <n v="3.2662913055001899"/>
  </r>
  <r>
    <x v="0"/>
    <x v="0"/>
    <n v="14"/>
    <n v="1.98"/>
    <s v="2008CSR-1137"/>
    <d v="2008-01-29T00:00:00"/>
    <n v="63.6"/>
    <x v="1"/>
    <d v="2008-03-18T00:00:00"/>
    <n v="68.2"/>
    <n v="3"/>
    <n v="49"/>
    <n v="4.6000000000000014"/>
    <n v="-0.25"/>
    <x v="28"/>
    <n v="93.877551020408191"/>
    <n v="17.771194265306125"/>
    <n v="7"/>
    <n v="-0.59999999999999432"/>
    <n v="13.86"/>
    <n v="-85.714285714284898"/>
    <n v="8.9173167142857555"/>
    <n v="14.915374999999999"/>
    <n v="7.7780773559847889"/>
  </r>
  <r>
    <x v="0"/>
    <x v="0"/>
    <n v="14"/>
    <n v="1.98"/>
    <s v="2008CSR-1203"/>
    <d v="2008-01-29T00:00:00"/>
    <n v="52.4"/>
    <x v="2"/>
    <d v="2008-03-18T00:00:00"/>
    <n v="60"/>
    <n v="2"/>
    <n v="49"/>
    <n v="7.6000000000000014"/>
    <n v="0"/>
    <x v="28"/>
    <n v="155.10204081632656"/>
    <n v="19.149388612244898"/>
    <n v="7"/>
    <n v="-0.60000000000000142"/>
    <n v="13.86"/>
    <n v="-85.714285714285921"/>
    <n v="7.2771437142857041"/>
    <n v="20.100999999999999"/>
    <n v="8.5542611579448504"/>
  </r>
  <r>
    <x v="0"/>
    <x v="0"/>
    <n v="14"/>
    <n v="1.98"/>
    <s v="2008CSR-1211"/>
    <d v="2008-01-29T00:00:00"/>
    <n v="53.2"/>
    <x v="0"/>
    <d v="2008-03-18T00:00:00"/>
    <n v="60.8"/>
    <n v="2.5"/>
    <n v="49"/>
    <n v="7.5999999999999943"/>
    <n v="0"/>
    <x v="28"/>
    <n v="155.10204081632642"/>
    <n v="19.284660612244892"/>
    <n v="7"/>
    <n v="0.39999999999999858"/>
    <n v="13.86"/>
    <n v="57.14285714285694"/>
    <n v="14.455272857142848"/>
    <n v="18.02675"/>
    <n v="15.23868947236841"/>
  </r>
  <r>
    <x v="0"/>
    <x v="0"/>
    <n v="14"/>
    <n v="1.98"/>
    <s v="2008CSR-1231"/>
    <d v="2008-01-29T00:00:00"/>
    <n v="60.2"/>
    <x v="3"/>
    <d v="2008-03-18T00:00:00"/>
    <n v="65.8"/>
    <n v="1.75"/>
    <n v="49"/>
    <n v="5.5999999999999943"/>
    <n v="-0.5"/>
    <x v="28"/>
    <n v="114.28571428571418"/>
    <n v="18.286955714285707"/>
    <n v="7"/>
    <n v="-2.7999999999999972"/>
    <n v="13.86"/>
    <n v="-399.9999999999996"/>
    <n v="-7.0673299999999788"/>
    <n v="19.063874999999999"/>
    <n v="-7.8789880528508531"/>
  </r>
  <r>
    <x v="0"/>
    <x v="0"/>
    <n v="14"/>
    <n v="1.98"/>
    <s v="2008CSR-1250"/>
    <d v="2008-01-29T00:00:00"/>
    <n v="60.2"/>
    <x v="4"/>
    <d v="2008-03-18T00:00:00"/>
    <n v="69.2"/>
    <n v="3"/>
    <n v="49"/>
    <n v="9"/>
    <n v="0"/>
    <x v="28"/>
    <n v="183.67346938775512"/>
    <n v="21.995225040816326"/>
    <n v="7"/>
    <n v="0.60000000000000853"/>
    <n v="13.86"/>
    <n v="85.71428571428693"/>
    <n v="17.165837285714346"/>
    <n v="15.952499999999999"/>
    <n v="16.013919257330883"/>
  </r>
  <r>
    <x v="0"/>
    <x v="0"/>
    <n v="14"/>
    <n v="1.98"/>
    <s v="2008CSR-1251"/>
    <d v="2008-01-29T00:00:00"/>
    <n v="50.6"/>
    <x v="5"/>
    <d v="2008-03-18T00:00:00"/>
    <n v="62.6"/>
    <n v="1.75"/>
    <n v="49"/>
    <n v="12"/>
    <n v="0"/>
    <x v="28"/>
    <n v="244.89795918367346"/>
    <n v="23.6439633877551"/>
    <n v="7"/>
    <n v="-1.1999999999999957"/>
    <n v="13.86"/>
    <n v="-171.42857142857082"/>
    <n v="3.1190654285714583"/>
    <n v="21.138124999999999"/>
    <n v="3.8556254334691258"/>
  </r>
  <r>
    <x v="0"/>
    <x v="0"/>
    <n v="14"/>
    <n v="1.98"/>
    <s v="2008CSR-1299"/>
    <d v="2008-01-29T00:00:00"/>
    <n v="63.2"/>
    <x v="0"/>
    <d v="2008-03-18T00:00:00"/>
    <n v="69.2"/>
    <n v="2.5"/>
    <n v="49"/>
    <n v="6"/>
    <n v="0"/>
    <x v="28"/>
    <n v="122.44897959183673"/>
    <n v="19.230492693877551"/>
    <n v="7"/>
    <n v="-2.7999999999999972"/>
    <n v="13.86"/>
    <n v="-399.9999999999996"/>
    <n v="-6.5262419999999786"/>
    <n v="18.02675"/>
    <n v="-6.879937600789451"/>
  </r>
  <r>
    <x v="0"/>
    <x v="0"/>
    <n v="14"/>
    <n v="1.98"/>
    <s v="2008CSR-1343"/>
    <d v="2008-01-29T00:00:00"/>
    <n v="57.2"/>
    <x v="6"/>
    <d v="2008-03-18T00:00:00"/>
    <n v="64.2"/>
    <n v="3"/>
    <n v="49"/>
    <n v="7"/>
    <n v="-0.5"/>
    <x v="28"/>
    <n v="142.85714285714286"/>
    <n v="19.306620142857142"/>
    <n v="7"/>
    <n v="-0.79999999999999716"/>
    <n v="13.86"/>
    <n v="-114.28571428571388"/>
    <n v="6.6294772857143052"/>
    <n v="13.878249999999998"/>
    <n v="5.3804411193254111"/>
  </r>
  <r>
    <x v="0"/>
    <x v="0"/>
    <n v="14"/>
    <n v="1.98"/>
    <s v="2008CSR-1394"/>
    <d v="2008-01-29T00:00:00"/>
    <n v="48.2"/>
    <x v="3"/>
    <d v="2008-03-18T00:00:00"/>
    <n v="57.2"/>
    <n v="2.75"/>
    <n v="49"/>
    <n v="9"/>
    <n v="0.5"/>
    <x v="28"/>
    <n v="183.67346938775512"/>
    <n v="19.966145040816325"/>
    <n v="7"/>
    <n v="-0.39999999999999858"/>
    <n v="13.86"/>
    <n v="-57.14285714285694"/>
    <n v="8.0939001428571515"/>
    <n v="19.063874999999999"/>
    <n v="9.0234561746146706"/>
  </r>
  <r>
    <x v="0"/>
    <x v="0"/>
    <n v="14"/>
    <n v="1.98"/>
    <s v="2008CSR-1475"/>
    <d v="2008-01-29T00:00:00"/>
    <n v="66.400000000000006"/>
    <x v="0"/>
    <d v="2008-03-18T00:00:00"/>
    <n v="70"/>
    <n v="2.25"/>
    <n v="49"/>
    <n v="3.5999999999999943"/>
    <n v="-0.25"/>
    <x v="28"/>
    <n v="73.46938775510192"/>
    <n v="17.153978816326525"/>
    <n v="7"/>
    <n v="-0.79999999999999716"/>
    <n v="13.86"/>
    <n v="-114.28571428571388"/>
    <n v="7.8976522857143063"/>
    <n v="18.02675"/>
    <n v="8.3256727100292593"/>
  </r>
  <r>
    <x v="0"/>
    <x v="0"/>
    <n v="14"/>
    <n v="1.98"/>
    <s v="2008CSR-1506"/>
    <d v="2008-01-29T00:00:00"/>
    <n v="48.4"/>
    <x v="2"/>
    <d v="2008-03-18T00:00:00"/>
    <n v="53.2"/>
    <n v="2.25"/>
    <n v="49"/>
    <n v="4.8000000000000043"/>
    <n v="0.25"/>
    <x v="28"/>
    <n v="97.959183673469482"/>
    <n v="15.419159755102044"/>
    <n v="7"/>
    <n v="-1.1999999999999957"/>
    <n v="13.86"/>
    <n v="-171.42857142857082"/>
    <n v="2.1383434285714564"/>
    <n v="20.100999999999999"/>
    <n v="2.5136164478195813"/>
  </r>
  <r>
    <x v="0"/>
    <x v="0"/>
    <n v="14"/>
    <n v="1.98"/>
    <s v="2008CSR-159"/>
    <d v="2008-01-29T00:00:00"/>
    <n v="53"/>
    <x v="2"/>
    <d v="2008-03-18T00:00:00"/>
    <n v="61.8"/>
    <n v="1.75"/>
    <n v="49"/>
    <n v="8.7999999999999972"/>
    <n v="-0.25"/>
    <x v="28"/>
    <n v="179.5918367346938"/>
    <n v="20.559643551020404"/>
    <n v="7"/>
    <n v="0.39999999999999858"/>
    <n v="13.86"/>
    <n v="57.14285714285694"/>
    <n v="14.522908857142845"/>
    <n v="20.100999999999999"/>
    <n v="17.071636896925632"/>
  </r>
  <r>
    <x v="0"/>
    <x v="0"/>
    <n v="14"/>
    <n v="1.98"/>
    <s v="2008CSR-1646"/>
    <d v="2008-01-29T00:00:00"/>
    <n v="60"/>
    <x v="2"/>
    <d v="2008-03-18T00:00:00"/>
    <n v="67.2"/>
    <n v="2.25"/>
    <n v="49"/>
    <n v="7.2000000000000028"/>
    <n v="0.25"/>
    <x v="28"/>
    <n v="146.93877551020415"/>
    <n v="19.998205632653065"/>
    <n v="7"/>
    <n v="1.7999999999999972"/>
    <n v="13.86"/>
    <n v="257.14285714285671"/>
    <n v="25.431266857142838"/>
    <n v="20.100999999999999"/>
    <n v="29.894379830141997"/>
  </r>
  <r>
    <x v="0"/>
    <x v="0"/>
    <n v="14"/>
    <n v="1.98"/>
    <s v="2008CSR-1675"/>
    <d v="2008-01-29T00:00:00"/>
    <n v="64.2"/>
    <x v="4"/>
    <d v="2008-03-18T00:00:00"/>
    <n v="69"/>
    <n v="3"/>
    <n v="49"/>
    <n v="4.7999999999999972"/>
    <n v="0"/>
    <x v="28"/>
    <n v="97.959183673469326"/>
    <n v="18.090781755102036"/>
    <n v="7"/>
    <n v="-0.79999999999999716"/>
    <n v="13.86"/>
    <n v="-114.28571428571388"/>
    <n v="7.6271082857143053"/>
    <n v="15.952499999999999"/>
    <n v="7.1152891770676865"/>
  </r>
  <r>
    <x v="0"/>
    <x v="0"/>
    <n v="14"/>
    <n v="1.98"/>
    <s v="2008CSR-1711"/>
    <d v="2008-01-29T00:00:00"/>
    <n v="56.4"/>
    <x v="0"/>
    <d v="2008-03-18T00:00:00"/>
    <n v="66"/>
    <n v="2"/>
    <n v="49"/>
    <n v="9.6000000000000014"/>
    <n v="-0.5"/>
    <x v="28"/>
    <n v="195.91836734693879"/>
    <n v="22.007083510204083"/>
    <n v="7"/>
    <n v="0.40000000000000568"/>
    <n v="13.86"/>
    <n v="57.142857142857956"/>
    <n v="15.165450857142897"/>
    <n v="18.02675"/>
    <n v="15.987356212807059"/>
  </r>
  <r>
    <x v="0"/>
    <x v="0"/>
    <n v="14"/>
    <n v="1.98"/>
    <s v="2008CSR-1759"/>
    <d v="2008-01-29T00:00:00"/>
    <n v="64"/>
    <x v="4"/>
    <d v="2008-03-18T00:00:00"/>
    <n v="69"/>
    <n v="3"/>
    <n v="49"/>
    <n v="5"/>
    <n v="0"/>
    <x v="28"/>
    <n v="102.04081632653062"/>
    <n v="18.275097244897957"/>
    <n v="7"/>
    <n v="-2"/>
    <n v="13.86"/>
    <n v="-285.71428571428572"/>
    <n v="-0.84122928571428446"/>
    <n v="15.952499999999999"/>
    <n v="-0.78477837312029941"/>
  </r>
  <r>
    <x v="0"/>
    <x v="0"/>
    <n v="14"/>
    <n v="1.98"/>
    <s v="2008CSR-1781"/>
    <d v="2008-01-29T00:00:00"/>
    <n v="54"/>
    <x v="0"/>
    <d v="2008-03-18T00:00:00"/>
    <n v="60.4"/>
    <n v="2.75"/>
    <n v="49"/>
    <n v="6.3999999999999986"/>
    <n v="0.25"/>
    <x v="28"/>
    <n v="130.61224489795916"/>
    <n v="18.111131673469387"/>
    <n v="7"/>
    <n v="-1"/>
    <n v="13.86"/>
    <n v="-142.85714285714286"/>
    <n v="4.6290908571428586"/>
    <n v="18.02675"/>
    <n v="4.879968632105264"/>
  </r>
  <r>
    <x v="0"/>
    <x v="0"/>
    <n v="14"/>
    <n v="1.98"/>
    <s v="2008CSR-18"/>
    <d v="2008-01-29T00:00:00"/>
    <n v="59.2"/>
    <x v="5"/>
    <d v="2008-03-18T00:00:00"/>
    <n v="68.400000000000006"/>
    <n v="1.75"/>
    <n v="49"/>
    <n v="9.2000000000000028"/>
    <n v="0"/>
    <x v="28"/>
    <n v="187.75510204081638"/>
    <n v="22.044268530612246"/>
    <n v="7"/>
    <n v="-1.7999999999999972"/>
    <n v="13.86"/>
    <n v="-257.14285714285671"/>
    <n v="0.11079914285716264"/>
    <n v="21.138124999999999"/>
    <n v="0.13696410126360004"/>
  </r>
  <r>
    <x v="0"/>
    <x v="0"/>
    <n v="14"/>
    <n v="1.98"/>
    <s v="2008CSR-2130"/>
    <d v="2008-01-29T00:00:00"/>
    <n v="57.8"/>
    <x v="5"/>
    <d v="2008-03-18T00:00:00"/>
    <n v="64.2"/>
    <n v="2"/>
    <n v="49"/>
    <n v="6.4000000000000057"/>
    <n v="0.25"/>
    <x v="28"/>
    <n v="130.6122448979593"/>
    <n v="18.753673673469393"/>
    <n v="7"/>
    <n v="-1"/>
    <n v="13.86"/>
    <n v="-142.85714285714286"/>
    <n v="5.2716328571428575"/>
    <n v="21.138124999999999"/>
    <n v="6.5165166250522129"/>
  </r>
  <r>
    <x v="0"/>
    <x v="0"/>
    <n v="14"/>
    <n v="1.98"/>
    <s v="2008CSR-2152"/>
    <d v="2008-01-29T00:00:00"/>
    <n v="56.2"/>
    <x v="7"/>
    <d v="2008-03-18T00:00:00"/>
    <n v="68.2"/>
    <n v="3"/>
    <n v="49"/>
    <n v="12"/>
    <n v="0.25"/>
    <x v="28"/>
    <n v="244.89795918367346"/>
    <n v="24.5908673877551"/>
    <n v="7"/>
    <n v="-0.39999999999999147"/>
    <n v="13.86"/>
    <n v="-57.142857142855924"/>
    <n v="9.7002551428572019"/>
    <n v="16.989624999999997"/>
    <n v="9.637643115875159"/>
  </r>
  <r>
    <x v="0"/>
    <x v="0"/>
    <n v="14"/>
    <n v="1.98"/>
    <s v="2008CSR-2265"/>
    <d v="2008-01-29T00:00:00"/>
    <n v="58"/>
    <x v="3"/>
    <d v="2008-03-18T00:00:00"/>
    <n v="65"/>
    <n v="2.5"/>
    <n v="49"/>
    <n v="7"/>
    <n v="0.25"/>
    <x v="28"/>
    <n v="142.85714285714286"/>
    <n v="19.441892142857142"/>
    <n v="7"/>
    <n v="-2.5999999999999943"/>
    <n v="13.86"/>
    <n v="-371.42857142857059"/>
    <n v="-5.9123935714285292"/>
    <n v="19.063874999999999"/>
    <n v="-6.5914112278664936"/>
  </r>
  <r>
    <x v="0"/>
    <x v="0"/>
    <n v="14"/>
    <n v="1.98"/>
    <s v="2008CSR-2366"/>
    <d v="2008-01-29T00:00:00"/>
    <n v="67"/>
    <x v="3"/>
    <d v="2008-03-18T00:00:00"/>
    <n v="70.2"/>
    <n v="3"/>
    <n v="49"/>
    <n v="3.2000000000000028"/>
    <n v="0.75"/>
    <x v="28"/>
    <n v="65.30612244897965"/>
    <n v="16.819165836734697"/>
    <n v="7"/>
    <n v="-1.3999999999999915"/>
    <n v="13.86"/>
    <n v="-199.99999999999878"/>
    <n v="3.7395740000000597"/>
    <n v="19.063874999999999"/>
    <n v="4.1690509525877859"/>
  </r>
  <r>
    <x v="0"/>
    <x v="0"/>
    <n v="14"/>
    <n v="1.98"/>
    <s v="2008CSR-2395"/>
    <d v="2008-01-29T00:00:00"/>
    <n v="70.599999999999994"/>
    <x v="4"/>
    <d v="2008-03-18T00:00:00"/>
    <n v="77.599999999999994"/>
    <n v="3"/>
    <n v="49"/>
    <n v="7"/>
    <n v="0"/>
    <x v="28"/>
    <n v="142.85714285714286"/>
    <n v="21.57242614285714"/>
    <n v="7"/>
    <n v="-1.8000000000000114"/>
    <n v="13.86"/>
    <n v="-257.14285714285876"/>
    <n v="1.8524261428570608"/>
    <n v="15.952499999999999"/>
    <n v="1.7281185990600736"/>
  </r>
  <r>
    <x v="0"/>
    <x v="0"/>
    <n v="14"/>
    <n v="1.98"/>
    <s v="2008CSR-2415"/>
    <d v="2008-01-29T00:00:00"/>
    <n v="61.6"/>
    <x v="0"/>
    <d v="2008-03-18T00:00:00"/>
    <n v="70.8"/>
    <n v="1.75"/>
    <n v="49"/>
    <n v="9.1999999999999957"/>
    <n v="-0.75"/>
    <x v="28"/>
    <n v="187.75510204081624"/>
    <n v="22.450084530612237"/>
    <n v="7"/>
    <n v="-0.60000000000000853"/>
    <n v="13.86"/>
    <n v="-85.71428571428693"/>
    <n v="8.9680437142856526"/>
    <n v="18.02675"/>
    <n v="9.4540749723098756"/>
  </r>
  <r>
    <x v="0"/>
    <x v="0"/>
    <n v="14"/>
    <n v="1.98"/>
    <s v="2008CSR-269"/>
    <d v="2008-01-29T00:00:00"/>
    <n v="60"/>
    <x v="0"/>
    <d v="2008-03-18T00:00:00"/>
    <n v="67.400000000000006"/>
    <n v="2.5"/>
    <n v="49"/>
    <n v="7.4000000000000057"/>
    <n v="0"/>
    <x v="28"/>
    <n v="151.02040816326542"/>
    <n v="20.216339122448986"/>
    <n v="7"/>
    <n v="0.40000000000000568"/>
    <n v="13.86"/>
    <n v="57.142857142857956"/>
    <n v="15.588175857142897"/>
    <n v="18.02675"/>
    <n v="16.432991177353845"/>
  </r>
  <r>
    <x v="0"/>
    <x v="0"/>
    <n v="14"/>
    <n v="1.98"/>
    <s v="2008CSR-31"/>
    <d v="2008-01-29T00:00:00"/>
    <n v="58"/>
    <x v="4"/>
    <d v="2008-03-18T00:00:00"/>
    <n v="63.6"/>
    <n v="2.75"/>
    <n v="49"/>
    <n v="5.6000000000000014"/>
    <n v="-0.25"/>
    <x v="28"/>
    <n v="114.28571428571431"/>
    <n v="17.914957714285713"/>
    <n v="7"/>
    <n v="-1.9999999999999929"/>
    <n v="13.86"/>
    <n v="-285.7142857142847"/>
    <n v="-1.8050422857142365"/>
    <n v="15.952499999999999"/>
    <n v="-1.6839144481202546"/>
  </r>
  <r>
    <x v="0"/>
    <x v="0"/>
    <n v="14"/>
    <n v="1.98"/>
    <s v="2008CSR-336"/>
    <d v="2008-01-29T00:00:00"/>
    <n v="55.2"/>
    <x v="0"/>
    <d v="2008-03-18T00:00:00"/>
    <n v="52.4"/>
    <n v="2.5"/>
    <n v="49"/>
    <n v="-2.8000000000000043"/>
    <n v="0"/>
    <x v="28"/>
    <n v="-57.142857142857231"/>
    <n v="8.2798991428571362"/>
    <n v="7"/>
    <n v="-7.6000000000000014"/>
    <n v="13.86"/>
    <n v="-1085.7142857142858"/>
    <n v="-42.428672285714285"/>
    <n v="18.02675"/>
    <n v="-44.728132638976604"/>
  </r>
  <r>
    <x v="0"/>
    <x v="0"/>
    <n v="14"/>
    <n v="1.98"/>
    <s v="2008CSR-362"/>
    <d v="2008-01-29T00:00:00"/>
    <n v="60.6"/>
    <x v="2"/>
    <d v="2008-03-18T00:00:00"/>
    <n v="67.2"/>
    <n v="3"/>
    <n v="49"/>
    <n v="6.6000000000000014"/>
    <n v="1"/>
    <x v="28"/>
    <n v="134.69387755102045"/>
    <n v="19.445259163265309"/>
    <n v="7"/>
    <n v="0.20000000000000284"/>
    <n v="13.86"/>
    <n v="28.571428571428978"/>
    <n v="14.21342242857145"/>
    <n v="20.100999999999999"/>
    <n v="16.707836505071032"/>
  </r>
  <r>
    <x v="0"/>
    <x v="0"/>
    <n v="14"/>
    <n v="1.98"/>
    <s v="2008CSR-4"/>
    <d v="2008-01-29T00:00:00"/>
    <n v="64.400000000000006"/>
    <x v="5"/>
    <d v="2008-03-18T00:00:00"/>
    <n v="70.2"/>
    <n v="1.75"/>
    <n v="49"/>
    <n v="5.7999999999999972"/>
    <n v="0"/>
    <x v="28"/>
    <n v="118.36734693877546"/>
    <n v="19.215267204081631"/>
    <n v="7"/>
    <n v="0.40000000000000568"/>
    <n v="13.86"/>
    <n v="57.142857142857956"/>
    <n v="16.196899857142899"/>
    <n v="21.138124999999999"/>
    <n v="20.021759870922146"/>
  </r>
  <r>
    <x v="0"/>
    <x v="0"/>
    <n v="14"/>
    <n v="1.98"/>
    <s v="2008CSR-797"/>
    <d v="2008-01-29T00:00:00"/>
    <n v="54"/>
    <x v="5"/>
    <d v="2008-03-18T00:00:00"/>
    <n v="65.400000000000006"/>
    <n v="1.75"/>
    <n v="49"/>
    <n v="11.400000000000006"/>
    <n v="0"/>
    <x v="28"/>
    <n v="232.65306122448993"/>
    <n v="23.564468918367353"/>
    <n v="7"/>
    <n v="3.0000000000000071"/>
    <n v="13.86"/>
    <n v="428.57142857142958"/>
    <n v="33.223244428571476"/>
    <n v="21.138124999999999"/>
    <n v="41.068835885186978"/>
  </r>
  <r>
    <x v="0"/>
    <x v="0"/>
    <n v="14"/>
    <n v="1.98"/>
    <s v="2008CSR-82"/>
    <d v="2008-01-29T00:00:00"/>
    <n v="71"/>
    <x v="2"/>
    <d v="2008-03-18T00:00:00"/>
    <n v="72"/>
    <n v="2.25"/>
    <n v="49"/>
    <n v="1"/>
    <n v="0.25"/>
    <x v="28"/>
    <n v="20.408163265306122"/>
    <n v="15.09605744897959"/>
    <n v="7"/>
    <n v="-0.79999999999999716"/>
    <n v="13.86"/>
    <n v="-114.28571428571388"/>
    <n v="8.4556492857143049"/>
    <n v="20.100999999999999"/>
    <n v="9.9395910112364447"/>
  </r>
  <r>
    <x v="0"/>
    <x v="0"/>
    <n v="14"/>
    <n v="1.98"/>
    <s v="2008CSR-1016"/>
    <d v="2008-01-29T00:00:00"/>
    <n v="54"/>
    <x v="0"/>
    <d v="2008-03-25T00:00:00"/>
    <n v="58.2"/>
    <n v="2"/>
    <n v="56"/>
    <n v="4.2000000000000028"/>
    <n v="-0.5"/>
    <x v="29"/>
    <n v="75.000000000000057"/>
    <n v="15.183449000000003"/>
    <n v="7"/>
    <n v="-4"/>
    <n v="13.86"/>
    <n v="-571.42857142857144"/>
    <n v="-16.685479571428566"/>
    <n v="18.02675"/>
    <n v="-17.589764261067245"/>
  </r>
  <r>
    <x v="0"/>
    <x v="0"/>
    <n v="14"/>
    <n v="1.98"/>
    <s v="2008CSR-1019"/>
    <d v="2008-01-29T00:00:00"/>
    <n v="56.6"/>
    <x v="0"/>
    <d v="2008-03-25T00:00:00"/>
    <n v="57.8"/>
    <n v="2.5"/>
    <n v="56"/>
    <n v="1.1999999999999957"/>
    <n v="0"/>
    <x v="29"/>
    <n v="21.428571428571352"/>
    <n v="12.728376571428567"/>
    <n v="7"/>
    <n v="-4.4000000000000057"/>
    <n v="13.86"/>
    <n v="-628.57142857142935"/>
    <n v="-19.316623428571464"/>
    <n v="18.02675"/>
    <n v="-20.363505344502958"/>
  </r>
  <r>
    <x v="0"/>
    <x v="0"/>
    <n v="14"/>
    <n v="1.98"/>
    <s v="2008CSR-1045"/>
    <d v="2008-01-29T00:00:00"/>
    <n v="56.6"/>
    <x v="1"/>
    <d v="2008-03-25T00:00:00"/>
    <n v="62.6"/>
    <n v="2.75"/>
    <n v="56"/>
    <n v="6"/>
    <n v="-0.5"/>
    <x v="29"/>
    <n v="107.14285714285714"/>
    <n v="17.359906857142857"/>
    <n v="7"/>
    <n v="-1.3999999999999986"/>
    <n v="13.86"/>
    <n v="-199.9999999999998"/>
    <n v="2.2177640000000114"/>
    <n v="14.915374999999999"/>
    <n v="1.9344316796198928"/>
  </r>
  <r>
    <x v="0"/>
    <x v="0"/>
    <n v="14"/>
    <n v="1.98"/>
    <s v="2008CSR-1137"/>
    <d v="2008-01-29T00:00:00"/>
    <n v="63.6"/>
    <x v="1"/>
    <d v="2008-03-25T00:00:00"/>
    <n v="65.599999999999994"/>
    <n v="2.75"/>
    <n v="56"/>
    <n v="1.9999999999999929"/>
    <n v="-0.5"/>
    <x v="29"/>
    <n v="35.714285714285587"/>
    <n v="14.683928285714277"/>
    <n v="7"/>
    <n v="-2.6000000000000085"/>
    <n v="13.86"/>
    <n v="-371.42857142857264"/>
    <n v="-5.3882145714286338"/>
    <n v="14.915374999999999"/>
    <n v="-4.6998386499018912"/>
  </r>
  <r>
    <x v="0"/>
    <x v="0"/>
    <n v="14"/>
    <n v="1.98"/>
    <s v="2008CSR-1203"/>
    <d v="2008-01-29T00:00:00"/>
    <n v="52.4"/>
    <x v="2"/>
    <d v="2008-03-25T00:00:00"/>
    <n v="59"/>
    <n v="2"/>
    <n v="56"/>
    <n v="6.6000000000000014"/>
    <n v="0"/>
    <x v="29"/>
    <n v="117.85714285714289"/>
    <n v="17.228670142857144"/>
    <n v="7"/>
    <n v="-1"/>
    <n v="13.86"/>
    <n v="-142.85714285714286"/>
    <n v="4.3754558571428577"/>
    <n v="20.100999999999999"/>
    <n v="5.143335566340852"/>
  </r>
  <r>
    <x v="0"/>
    <x v="0"/>
    <n v="14"/>
    <n v="1.98"/>
    <s v="2008CSR-1211"/>
    <d v="2008-01-29T00:00:00"/>
    <n v="53.2"/>
    <x v="0"/>
    <d v="2008-03-25T00:00:00"/>
    <n v="58.4"/>
    <n v="2.25"/>
    <n v="56"/>
    <n v="5.1999999999999957"/>
    <n v="-0.25"/>
    <x v="29"/>
    <n v="92.857142857142776"/>
    <n v="16.013079142857137"/>
    <n v="7"/>
    <n v="-2.3999999999999986"/>
    <n v="13.86"/>
    <n v="-342.85714285714266"/>
    <n v="-5.4676351428571301"/>
    <n v="18.02675"/>
    <n v="-5.7639585854678224"/>
  </r>
  <r>
    <x v="0"/>
    <x v="0"/>
    <n v="14"/>
    <n v="1.98"/>
    <s v="2008CSR-1231"/>
    <d v="2008-01-29T00:00:00"/>
    <n v="60.2"/>
    <x v="3"/>
    <d v="2008-03-25T00:00:00"/>
    <n v="64.2"/>
    <n v="2.25"/>
    <n v="56"/>
    <n v="4"/>
    <n v="0"/>
    <x v="29"/>
    <n v="71.428571428571431"/>
    <n v="16.038826571428572"/>
    <n v="7"/>
    <n v="-1.5999999999999943"/>
    <n v="13.86"/>
    <n v="-228.57142857142776"/>
    <n v="1.2488265714286122"/>
    <n v="19.063874999999999"/>
    <n v="1.3922499213095689"/>
  </r>
  <r>
    <x v="0"/>
    <x v="0"/>
    <n v="14"/>
    <n v="1.98"/>
    <s v="2008CSR-1250"/>
    <d v="2008-01-29T00:00:00"/>
    <n v="60.2"/>
    <x v="4"/>
    <d v="2008-03-25T00:00:00"/>
    <n v="65.8"/>
    <n v="2.75"/>
    <n v="56"/>
    <n v="5.5999999999999943"/>
    <n v="-0.25"/>
    <x v="29"/>
    <n v="99.999999999999901"/>
    <n v="17.582669999999993"/>
    <n v="7"/>
    <n v="-3.4000000000000057"/>
    <n v="13.86"/>
    <n v="-485.71428571428652"/>
    <n v="-11.293044285714325"/>
    <n v="15.952499999999999"/>
    <n v="-10.535221577067706"/>
  </r>
  <r>
    <x v="0"/>
    <x v="0"/>
    <n v="14"/>
    <n v="1.98"/>
    <s v="2008CSR-1251"/>
    <d v="2008-01-29T00:00:00"/>
    <n v="50.6"/>
    <x v="5"/>
    <d v="2008-03-25T00:00:00"/>
    <n v="65.2"/>
    <n v="1.75"/>
    <n v="56"/>
    <n v="14.600000000000001"/>
    <n v="0"/>
    <x v="29"/>
    <n v="260.71428571428572"/>
    <n v="24.643525285714286"/>
    <n v="7"/>
    <n v="2.6000000000000014"/>
    <n v="13.86"/>
    <n v="371.42857142857162"/>
    <n v="30.101739571428581"/>
    <n v="21.138124999999999"/>
    <n v="37.210194957795537"/>
  </r>
  <r>
    <x v="0"/>
    <x v="0"/>
    <n v="14"/>
    <n v="1.98"/>
    <s v="2008CSR-1299"/>
    <d v="2008-01-29T00:00:00"/>
    <n v="63.2"/>
    <x v="0"/>
    <d v="2008-03-25T00:00:00"/>
    <n v="68.400000000000006"/>
    <n v="2.5"/>
    <n v="56"/>
    <n v="5.2000000000000028"/>
    <n v="0"/>
    <x v="29"/>
    <n v="92.857142857142904"/>
    <n v="17.703979142857143"/>
    <n v="7"/>
    <n v="-0.79999999999999716"/>
    <n v="13.86"/>
    <n v="-114.28571428571388"/>
    <n v="7.4918362857143066"/>
    <n v="18.02675"/>
    <n v="7.8978631440643481"/>
  </r>
  <r>
    <x v="0"/>
    <x v="0"/>
    <n v="14"/>
    <n v="1.98"/>
    <s v="2008CSR-1343"/>
    <d v="2008-01-29T00:00:00"/>
    <n v="57.2"/>
    <x v="6"/>
    <d v="2008-03-25T00:00:00"/>
    <n v="61.4"/>
    <n v="2.75"/>
    <n v="56"/>
    <n v="4.1999999999999957"/>
    <n v="-0.75"/>
    <x v="29"/>
    <n v="74.999999999999929"/>
    <n v="15.724536999999994"/>
    <n v="7"/>
    <n v="-2.8000000000000043"/>
    <n v="13.86"/>
    <n v="-400.00000000000063"/>
    <n v="-7.6929630000000326"/>
    <n v="13.878249999999998"/>
    <n v="-6.2435592839035339"/>
  </r>
  <r>
    <x v="0"/>
    <x v="0"/>
    <n v="14"/>
    <n v="1.98"/>
    <s v="2008CSR-1394"/>
    <d v="2008-01-29T00:00:00"/>
    <n v="48.2"/>
    <x v="3"/>
    <d v="2008-03-25T00:00:00"/>
    <n v="56"/>
    <n v="2.25"/>
    <n v="56"/>
    <n v="7.7999999999999972"/>
    <n v="0"/>
    <x v="29"/>
    <n v="139.28571428571422"/>
    <n v="17.676374714285707"/>
    <n v="7"/>
    <n v="-1.2000000000000028"/>
    <n v="13.86"/>
    <n v="-171.42857142857184"/>
    <n v="2.3581604285714075"/>
    <n v="19.063874999999999"/>
    <n v="2.6289868795457156"/>
  </r>
  <r>
    <x v="0"/>
    <x v="0"/>
    <n v="14"/>
    <n v="1.98"/>
    <s v="2008CSR-1475"/>
    <d v="2008-01-29T00:00:00"/>
    <n v="66.400000000000006"/>
    <x v="0"/>
    <d v="2008-03-25T00:00:00"/>
    <n v="68.599999999999994"/>
    <n v="2.5"/>
    <n v="56"/>
    <n v="2.1999999999999886"/>
    <n v="0"/>
    <x v="29"/>
    <n v="39.285714285714086"/>
    <n v="15.350360714285705"/>
    <n v="7"/>
    <n v="-1.4000000000000057"/>
    <n v="13.86"/>
    <n v="-200.00000000000082"/>
    <n v="3.5535749999999595"/>
    <n v="18.02675"/>
    <n v="3.7461642182017112"/>
  </r>
  <r>
    <x v="0"/>
    <x v="0"/>
    <n v="14"/>
    <n v="1.98"/>
    <s v="2008CSR-1506"/>
    <d v="2008-01-29T00:00:00"/>
    <n v="48.4"/>
    <x v="2"/>
    <d v="2008-03-25T00:00:00"/>
    <n v="51"/>
    <n v="2"/>
    <n v="56"/>
    <n v="2.6000000000000014"/>
    <n v="0"/>
    <x v="29"/>
    <n v="46.428571428571452"/>
    <n v="12.692701571428572"/>
    <n v="7"/>
    <n v="-2.2000000000000028"/>
    <n v="13.86"/>
    <n v="-314.28571428571468"/>
    <n v="-5.0905127142857332"/>
    <n v="20.100999999999999"/>
    <n v="-5.9838828111027782"/>
  </r>
  <r>
    <x v="0"/>
    <x v="0"/>
    <n v="14"/>
    <n v="1.98"/>
    <s v="2008CSR-159"/>
    <d v="2008-01-29T00:00:00"/>
    <n v="53"/>
    <x v="2"/>
    <d v="2008-03-25T00:00:00"/>
    <n v="58.6"/>
    <n v="2"/>
    <n v="56"/>
    <n v="5.6000000000000014"/>
    <n v="0"/>
    <x v="29"/>
    <n v="100.00000000000001"/>
    <n v="16.365221999999999"/>
    <n v="7"/>
    <n v="-3.1999999999999957"/>
    <n v="13.86"/>
    <n v="-457.14285714285654"/>
    <n v="-11.101920857142826"/>
    <n v="20.100999999999999"/>
    <n v="-13.050275505814497"/>
  </r>
  <r>
    <x v="0"/>
    <x v="0"/>
    <n v="14"/>
    <n v="1.98"/>
    <s v="2008CSR-1646"/>
    <d v="2008-01-29T00:00:00"/>
    <n v="60"/>
    <x v="2"/>
    <d v="2008-03-25T00:00:00"/>
    <n v="70.400000000000006"/>
    <n v="2"/>
    <n v="56"/>
    <n v="10.400000000000006"/>
    <n v="0"/>
    <x v="29"/>
    <n v="185.71428571428581"/>
    <n v="22.180382285714288"/>
    <n v="7"/>
    <n v="3.2000000000000028"/>
    <n v="13.86"/>
    <n v="457.14285714285757"/>
    <n v="35.561810857142881"/>
    <n v="20.100999999999999"/>
    <n v="41.802804680668359"/>
  </r>
  <r>
    <x v="0"/>
    <x v="0"/>
    <n v="14"/>
    <n v="1.98"/>
    <s v="2008CSR-1675"/>
    <d v="2008-01-29T00:00:00"/>
    <n v="64.2"/>
    <x v="4"/>
    <d v="2008-03-25T00:00:00"/>
    <n v="65.599999999999994"/>
    <n v="2.5"/>
    <n v="56"/>
    <n v="1.3999999999999915"/>
    <n v="-0.5"/>
    <x v="29"/>
    <n v="24.999999999999847"/>
    <n v="14.206440999999993"/>
    <n v="7"/>
    <n v="-3.4000000000000057"/>
    <n v="13.86"/>
    <n v="-485.71428571428652"/>
    <n v="-10.971773285714324"/>
    <n v="15.952499999999999"/>
    <n v="-10.235509552067704"/>
  </r>
  <r>
    <x v="0"/>
    <x v="0"/>
    <n v="14"/>
    <n v="1.98"/>
    <s v="2008CSR-1711"/>
    <d v="2008-01-29T00:00:00"/>
    <n v="56.4"/>
    <x v="0"/>
    <d v="2008-03-25T00:00:00"/>
    <n v="61.6"/>
    <n v="2.5"/>
    <n v="56"/>
    <n v="5.2000000000000028"/>
    <n v="0"/>
    <x v="29"/>
    <n v="92.857142857142904"/>
    <n v="16.554167142857146"/>
    <n v="7"/>
    <n v="-4.3999999999999986"/>
    <n v="13.86"/>
    <n v="-628.57142857142833"/>
    <n v="-19.012261428571414"/>
    <n v="18.02675"/>
    <n v="-20.042648170029224"/>
  </r>
  <r>
    <x v="0"/>
    <x v="0"/>
    <n v="14"/>
    <n v="1.98"/>
    <s v="2008CSR-1759"/>
    <d v="2008-01-29T00:00:00"/>
    <n v="64"/>
    <x v="4"/>
    <d v="2008-03-25T00:00:00"/>
    <n v="66.2"/>
    <n v="2.75"/>
    <n v="56"/>
    <n v="2.2000000000000028"/>
    <n v="-0.25"/>
    <x v="29"/>
    <n v="39.285714285714334"/>
    <n v="14.944544714285716"/>
    <n v="7"/>
    <n v="-2.7999999999999972"/>
    <n v="13.86"/>
    <n v="-399.9999999999996"/>
    <n v="-6.7122409999999793"/>
    <n v="15.952499999999999"/>
    <n v="-6.261814301315769"/>
  </r>
  <r>
    <x v="0"/>
    <x v="0"/>
    <n v="14"/>
    <n v="1.98"/>
    <s v="2008CSR-1781"/>
    <d v="2008-01-29T00:00:00"/>
    <n v="54"/>
    <x v="0"/>
    <d v="2008-03-25T00:00:00"/>
    <n v="56"/>
    <n v="2.25"/>
    <n v="56"/>
    <n v="2"/>
    <n v="-0.25"/>
    <x v="29"/>
    <n v="35.714285714285715"/>
    <n v="13.060664285714285"/>
    <n v="7"/>
    <n v="-4.3999999999999986"/>
    <n v="13.86"/>
    <n v="-628.57142857142833"/>
    <n v="-19.688621428571416"/>
    <n v="18.02675"/>
    <n v="-20.755664113304078"/>
  </r>
  <r>
    <x v="0"/>
    <x v="0"/>
    <n v="14"/>
    <n v="1.98"/>
    <s v="2008CSR-18"/>
    <d v="2008-01-29T00:00:00"/>
    <n v="59.2"/>
    <x v="5"/>
    <d v="2008-03-25T00:00:00"/>
    <n v="67.8"/>
    <n v="1.75"/>
    <n v="56"/>
    <n v="8.5999999999999943"/>
    <n v="0"/>
    <x v="29"/>
    <n v="153.57142857142847"/>
    <n v="20.308286428571421"/>
    <n v="7"/>
    <n v="-0.60000000000000853"/>
    <n v="13.86"/>
    <n v="-85.71428571428693"/>
    <n v="8.5115007142856527"/>
    <n v="21.138124999999999"/>
    <n v="10.521471698021017"/>
  </r>
  <r>
    <x v="0"/>
    <x v="0"/>
    <n v="14"/>
    <n v="1.98"/>
    <s v="2008CSR-2130"/>
    <d v="2008-01-29T00:00:00"/>
    <n v="57.8"/>
    <x v="5"/>
    <d v="2008-03-25T00:00:00"/>
    <n v="61"/>
    <n v="1.75"/>
    <n v="56"/>
    <n v="3.2000000000000028"/>
    <n v="0"/>
    <x v="29"/>
    <n v="57.142857142857196"/>
    <n v="14.86108885714286"/>
    <n v="7"/>
    <n v="-3.2000000000000028"/>
    <n v="13.86"/>
    <n v="-457.14285714285757"/>
    <n v="-10.493196857142879"/>
    <n v="21.138124999999999"/>
    <n v="-12.971140749467443"/>
  </r>
  <r>
    <x v="0"/>
    <x v="0"/>
    <n v="14"/>
    <n v="1.98"/>
    <s v="2008CSR-2152"/>
    <d v="2008-01-29T00:00:00"/>
    <n v="56.2"/>
    <x v="7"/>
    <d v="2008-03-25T00:00:00"/>
    <n v="65.8"/>
    <n v="2.75"/>
    <n v="56"/>
    <n v="9.5999999999999943"/>
    <n v="0"/>
    <x v="29"/>
    <n v="171.42857142857133"/>
    <n v="20.765918571428564"/>
    <n v="7"/>
    <n v="-2.4000000000000057"/>
    <n v="13.86"/>
    <n v="-342.85714285714369"/>
    <n v="-4.5883671428571837"/>
    <n v="16.989624999999997"/>
    <n v="-4.5587507087406403"/>
  </r>
  <r>
    <x v="0"/>
    <x v="0"/>
    <n v="14"/>
    <n v="1.98"/>
    <s v="2008CSR-2265"/>
    <d v="2008-01-29T00:00:00"/>
    <n v="58"/>
    <x v="3"/>
    <d v="2008-03-25T00:00:00"/>
    <n v="64"/>
    <n v="2.25"/>
    <n v="56"/>
    <n v="6"/>
    <n v="0"/>
    <x v="29"/>
    <n v="107.14285714285714"/>
    <n v="17.596632857142858"/>
    <n v="7"/>
    <n v="-1"/>
    <n v="13.86"/>
    <n v="-142.85714285714286"/>
    <n v="5.2716328571428575"/>
    <n v="19.063874999999999"/>
    <n v="5.8770613938283205"/>
  </r>
  <r>
    <x v="0"/>
    <x v="0"/>
    <n v="14"/>
    <n v="1.98"/>
    <s v="2008CSR-2366"/>
    <d v="2008-01-29T00:00:00"/>
    <n v="67"/>
    <x v="3"/>
    <d v="2008-03-25T00:00:00"/>
    <n v="69.400000000000006"/>
    <n v="2.25"/>
    <n v="56"/>
    <n v="2.4000000000000057"/>
    <n v="0"/>
    <x v="29"/>
    <n v="42.857142857142961"/>
    <n v="15.644795142857149"/>
    <n v="7"/>
    <n v="-0.79999999999999716"/>
    <n v="13.86"/>
    <n v="-114.28571428571388"/>
    <n v="7.8976522857143063"/>
    <n v="19.063874999999999"/>
    <n v="8.8046699396679422"/>
  </r>
  <r>
    <x v="0"/>
    <x v="0"/>
    <n v="14"/>
    <n v="1.98"/>
    <s v="2008CSR-2395"/>
    <d v="2008-01-29T00:00:00"/>
    <n v="70.599999999999994"/>
    <x v="4"/>
    <d v="2008-03-25T00:00:00"/>
    <n v="74.599999999999994"/>
    <n v="2.5"/>
    <n v="56"/>
    <n v="4"/>
    <n v="-0.5"/>
    <x v="29"/>
    <n v="71.428571428571431"/>
    <n v="17.797362571428568"/>
    <n v="7"/>
    <n v="-3"/>
    <n v="13.86"/>
    <n v="-428.57142857142856"/>
    <n v="-6.8526374285714287"/>
    <n v="15.952499999999999"/>
    <n v="-6.3927893906015028"/>
  </r>
  <r>
    <x v="0"/>
    <x v="0"/>
    <n v="14"/>
    <n v="1.98"/>
    <s v="2008CSR-2415"/>
    <d v="2008-01-29T00:00:00"/>
    <n v="61.6"/>
    <x v="0"/>
    <d v="2008-03-25T00:00:00"/>
    <n v="69.2"/>
    <n v="2.5"/>
    <n v="56"/>
    <n v="7.6000000000000014"/>
    <n v="0"/>
    <x v="29"/>
    <n v="135.71428571428572"/>
    <n v="19.749200285714288"/>
    <n v="7"/>
    <n v="-1.5999999999999943"/>
    <n v="13.86"/>
    <n v="-228.57142857142776"/>
    <n v="1.7899145714286124"/>
    <n v="18.02675"/>
    <n v="1.8869206140643706"/>
  </r>
  <r>
    <x v="0"/>
    <x v="0"/>
    <n v="14"/>
    <n v="1.98"/>
    <s v="2008CSR-269"/>
    <d v="2008-01-29T00:00:00"/>
    <n v="60"/>
    <x v="0"/>
    <d v="2008-03-25T00:00:00"/>
    <n v="63.2"/>
    <n v="2.5"/>
    <n v="56"/>
    <n v="3.2000000000000028"/>
    <n v="0"/>
    <x v="29"/>
    <n v="57.142857142857196"/>
    <n v="15.23308685714286"/>
    <n v="7"/>
    <n v="-4.2000000000000028"/>
    <n v="13.86"/>
    <n v="-600.00000000000045"/>
    <n v="-17.16405600000002"/>
    <n v="18.02675"/>
    <n v="-18.094277572982477"/>
  </r>
  <r>
    <x v="0"/>
    <x v="0"/>
    <n v="14"/>
    <n v="1.98"/>
    <s v="2008CSR-31"/>
    <d v="2008-01-29T00:00:00"/>
    <n v="58"/>
    <x v="4"/>
    <d v="2008-03-25T00:00:00"/>
    <n v="61.6"/>
    <n v="2.25"/>
    <n v="56"/>
    <n v="3.6000000000000014"/>
    <n v="-0.75"/>
    <x v="29"/>
    <n v="64.285714285714306"/>
    <n v="15.280867714285714"/>
    <n v="7"/>
    <n v="-2"/>
    <n v="13.86"/>
    <n v="-285.71428571428572"/>
    <n v="-1.9741322857142851"/>
    <n v="15.952499999999999"/>
    <n v="-1.8416576191729315"/>
  </r>
  <r>
    <x v="0"/>
    <x v="0"/>
    <n v="14"/>
    <n v="1.98"/>
    <s v="2008CSR-336"/>
    <d v="2008-01-29T00:00:00"/>
    <n v="55.2"/>
    <x v="0"/>
    <d v="2008-03-25T00:00:00"/>
    <n v="61.2"/>
    <n v="2.5"/>
    <n v="56"/>
    <n v="6"/>
    <n v="0"/>
    <x v="29"/>
    <n v="107.14285714285714"/>
    <n v="17.123180857142856"/>
    <n v="7"/>
    <n v="8.8000000000000043"/>
    <n v="13.86"/>
    <n v="1257.1428571428578"/>
    <n v="73.818180857142892"/>
    <n v="18.02675"/>
    <n v="77.818824079912318"/>
  </r>
  <r>
    <x v="0"/>
    <x v="0"/>
    <n v="14"/>
    <n v="1.98"/>
    <s v="2008CSR-362"/>
    <d v="2008-01-29T00:00:00"/>
    <n v="60.6"/>
    <x v="2"/>
    <d v="2008-03-25T00:00:00"/>
    <n v="70.400000000000006"/>
    <n v="2"/>
    <n v="56"/>
    <n v="9.8000000000000043"/>
    <n v="0"/>
    <x v="29"/>
    <n v="175.00000000000009"/>
    <n v="21.702895000000002"/>
    <n v="7"/>
    <n v="3.2000000000000028"/>
    <n v="13.86"/>
    <n v="457.14285714285757"/>
    <n v="35.612537857142875"/>
    <n v="20.100999999999999"/>
    <n v="41.862434120843794"/>
  </r>
  <r>
    <x v="0"/>
    <x v="0"/>
    <n v="14"/>
    <n v="1.98"/>
    <s v="2008CSR-4"/>
    <d v="2008-01-29T00:00:00"/>
    <n v="64.400000000000006"/>
    <x v="5"/>
    <d v="2008-03-25T00:00:00"/>
    <n v="70.599999999999994"/>
    <n v="1.75"/>
    <n v="56"/>
    <n v="6.1999999999999886"/>
    <n v="0"/>
    <x v="29"/>
    <n v="110.71428571428551"/>
    <n v="18.871789285714275"/>
    <n v="7"/>
    <n v="0.39999999999999147"/>
    <n v="13.86"/>
    <n v="57.142857142855924"/>
    <n v="16.230717857142796"/>
    <n v="21.138124999999999"/>
    <n v="20.063563912515587"/>
  </r>
  <r>
    <x v="0"/>
    <x v="0"/>
    <n v="14"/>
    <n v="1.98"/>
    <s v="2008CSR-797"/>
    <d v="2008-01-29T00:00:00"/>
    <n v="54"/>
    <x v="5"/>
    <d v="2008-03-25T00:00:00"/>
    <n v="66.400000000000006"/>
    <n v="1.75"/>
    <n v="56"/>
    <n v="12.400000000000006"/>
    <n v="0"/>
    <x v="29"/>
    <n v="221.42857142857153"/>
    <n v="23.095646571428574"/>
    <n v="7"/>
    <n v="1"/>
    <n v="13.86"/>
    <n v="142.85714285714286"/>
    <n v="19.222075142857143"/>
    <n v="21.138124999999999"/>
    <n v="23.761323223924393"/>
  </r>
  <r>
    <x v="0"/>
    <x v="0"/>
    <n v="14"/>
    <n v="1.98"/>
    <s v="2008CSR-82"/>
    <d v="2008-01-29T00:00:00"/>
    <n v="71"/>
    <x v="2"/>
    <d v="2008-03-25T00:00:00"/>
    <n v="66.400000000000006"/>
    <n v="2"/>
    <n v="56"/>
    <n v="-4.5999999999999943"/>
    <n v="0"/>
    <x v="29"/>
    <n v="-82.142857142857039"/>
    <n v="9.5668401428571492"/>
    <n v="7"/>
    <n v="-5.5999999999999943"/>
    <n v="13.86"/>
    <n v="-799.9999999999992"/>
    <n v="-25.823516999999953"/>
    <n v="20.100999999999999"/>
    <n v="-30.35546872614029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BAE17F-B026-4C64-B668-EBB5198FC0C7}" name="PivotTable1" cacheId="1386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3:B26" firstHeaderRow="1" firstDataRow="1" firstDataCol="1" rowPageCount="1" colPageCount="1"/>
  <pivotFields count="24">
    <pivotField showAll="0">
      <items count="6">
        <item x="4"/>
        <item x="3"/>
        <item x="1"/>
        <item x="0"/>
        <item x="2"/>
        <item t="default"/>
      </items>
    </pivotField>
    <pivotField multipleItemSelectionAllowed="1" showAll="0">
      <items count="10">
        <item x="0"/>
        <item x="1"/>
        <item x="7"/>
        <item x="8"/>
        <item x="4"/>
        <item x="5"/>
        <item x="3"/>
        <item x="2"/>
        <item x="6"/>
        <item t="default"/>
      </items>
    </pivotField>
    <pivotField showAll="0"/>
    <pivotField showAll="0"/>
    <pivotField showAll="0"/>
    <pivotField numFmtId="14" showAll="0"/>
    <pivotField showAll="0"/>
    <pivotField axis="axisPage" multipleItemSelectionAllowed="1" showAll="0">
      <items count="13">
        <item h="1" x="8"/>
        <item h="1" x="5"/>
        <item h="1" x="2"/>
        <item h="1" x="3"/>
        <item h="1" x="0"/>
        <item h="1" x="7"/>
        <item h="1" x="4"/>
        <item h="1" x="1"/>
        <item x="6"/>
        <item x="9"/>
        <item x="10"/>
        <item h="1" x="11"/>
        <item t="default"/>
      </items>
    </pivotField>
    <pivotField numFmtId="14" showAll="0"/>
    <pivotField showAll="0"/>
    <pivotField showAll="0"/>
    <pivotField showAll="0"/>
    <pivotField showAll="0"/>
    <pivotField showAll="0"/>
    <pivotField axis="axisRow"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numFmtId="164" showAll="0"/>
    <pivotField dataField="1" numFmtId="1" showAll="0"/>
    <pivotField numFmtId="164" showAll="0"/>
    <pivotField showAll="0"/>
    <pivotField showAll="0"/>
  </pivotFields>
  <rowFields count="1">
    <field x="14"/>
  </rowFields>
  <rowItems count="23">
    <i>
      <x/>
    </i>
    <i>
      <x v="1"/>
    </i>
    <i>
      <x v="2"/>
    </i>
    <i>
      <x v="4"/>
    </i>
    <i>
      <x v="5"/>
    </i>
    <i>
      <x v="8"/>
    </i>
    <i>
      <x v="9"/>
    </i>
    <i>
      <x v="10"/>
    </i>
    <i>
      <x v="11"/>
    </i>
    <i>
      <x v="12"/>
    </i>
    <i>
      <x v="13"/>
    </i>
    <i>
      <x v="14"/>
    </i>
    <i>
      <x v="16"/>
    </i>
    <i>
      <x v="19"/>
    </i>
    <i>
      <x v="20"/>
    </i>
    <i>
      <x v="21"/>
    </i>
    <i>
      <x v="22"/>
    </i>
    <i>
      <x v="23"/>
    </i>
    <i>
      <x v="24"/>
    </i>
    <i>
      <x v="26"/>
    </i>
    <i>
      <x v="28"/>
    </i>
    <i>
      <x v="29"/>
    </i>
    <i t="grand">
      <x/>
    </i>
  </rowItems>
  <colItems count="1">
    <i/>
  </colItems>
  <pageFields count="1">
    <pageField fld="7" hier="-1"/>
  </pageFields>
  <dataFields count="1">
    <dataField name="Average of growth_rate_wk" fld="20" subtotal="average" baseField="14" baseItem="0"/>
  </dataFields>
  <chartFormats count="1">
    <chartFormat chart="0" format="4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10CE78D-E07F-4452-84E9-4FAFE5959970}" name="PivotTable2" cacheId="1386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174:AF185" firstHeaderRow="1" firstDataRow="2" firstDataCol="1"/>
  <pivotFields count="22">
    <pivotField showAll="0"/>
    <pivotField axis="axisRow" showAll="0">
      <items count="10">
        <item x="0"/>
        <item x="1"/>
        <item x="7"/>
        <item x="8"/>
        <item x="4"/>
        <item x="5"/>
        <item x="3"/>
        <item x="2"/>
        <item x="6"/>
        <item t="default"/>
      </items>
    </pivotField>
    <pivotField showAll="0"/>
    <pivotField showAll="0"/>
    <pivotField showAll="0"/>
    <pivotField numFmtId="14" showAll="0"/>
    <pivotField showAll="0"/>
    <pivotField showAll="0"/>
    <pivotField numFmtId="14"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axis="axisCol"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showAll="0"/>
    <pivotField showAll="0"/>
    <pivotField dataField="1" showAll="0"/>
  </pivotFields>
  <rowFields count="1">
    <field x="1"/>
  </rowFields>
  <rowItems count="10">
    <i>
      <x/>
    </i>
    <i>
      <x v="1"/>
    </i>
    <i>
      <x v="2"/>
    </i>
    <i>
      <x v="3"/>
    </i>
    <i>
      <x v="4"/>
    </i>
    <i>
      <x v="5"/>
    </i>
    <i>
      <x v="6"/>
    </i>
    <i>
      <x v="7"/>
    </i>
    <i>
      <x v="8"/>
    </i>
    <i t="grand">
      <x/>
    </i>
  </rowItems>
  <colFields count="1">
    <field x="14"/>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Average of MEI_wk" fld="21" subtotal="average" baseField="1" baseItem="0"/>
  </dataFields>
  <formats count="1">
    <format dxfId="1">
      <pivotArea collapsedLevelsAreSubtotals="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2467EB3-A723-4146-8B2B-FE7E83700B40}" name="PivotTable4" cacheId="1386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U1:BE33" firstHeaderRow="1" firstDataRow="2" firstDataCol="1"/>
  <pivotFields count="22">
    <pivotField showAll="0"/>
    <pivotField axis="axisCol" showAll="0">
      <items count="10">
        <item x="0"/>
        <item x="1"/>
        <item x="7"/>
        <item x="8"/>
        <item x="4"/>
        <item x="5"/>
        <item x="3"/>
        <item x="2"/>
        <item x="6"/>
        <item t="default"/>
      </items>
    </pivotField>
    <pivotField showAll="0"/>
    <pivotField showAll="0"/>
    <pivotField showAll="0"/>
    <pivotField numFmtId="14" showAll="0"/>
    <pivotField showAll="0"/>
    <pivotField showAll="0"/>
    <pivotField numFmtId="14" showAll="0"/>
    <pivotField showAll="0"/>
    <pivotField showAll="0"/>
    <pivotField showAll="0"/>
    <pivotField showAll="0"/>
    <pivotField showAll="0"/>
    <pivotField axis="axisRow"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numFmtId="164" showAll="0"/>
    <pivotField dataField="1" numFmtId="1" showAll="0"/>
    <pivotField numFmtId="164" showAll="0"/>
  </pivotFields>
  <rowFields count="1">
    <field x="14"/>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1"/>
  </colFields>
  <colItems count="10">
    <i>
      <x/>
    </i>
    <i>
      <x v="1"/>
    </i>
    <i>
      <x v="2"/>
    </i>
    <i>
      <x v="3"/>
    </i>
    <i>
      <x v="4"/>
    </i>
    <i>
      <x v="5"/>
    </i>
    <i>
      <x v="6"/>
    </i>
    <i>
      <x v="7"/>
    </i>
    <i>
      <x v="8"/>
    </i>
    <i t="grand">
      <x/>
    </i>
  </colItems>
  <dataFields count="1">
    <dataField name="Average of growth_rate_wk" fld="20"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AB4D198-04F6-4DAE-9D07-D0649A0424DD}" name="PivotTable3" cacheId="1386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31:N536" firstHeaderRow="1" firstDataRow="2" firstDataCol="1"/>
  <pivotFields count="22">
    <pivotField showAll="0"/>
    <pivotField showAll="0"/>
    <pivotField showAll="0"/>
    <pivotField showAll="0"/>
    <pivotField axis="axisRow" showAll="0">
      <items count="3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68"/>
        <item x="69"/>
        <item x="70"/>
        <item x="71"/>
        <item x="72"/>
        <item x="73"/>
        <item x="74"/>
        <item x="75"/>
        <item x="76"/>
        <item x="77"/>
        <item x="78"/>
        <item x="79"/>
        <item x="80"/>
        <item x="81"/>
        <item x="82"/>
        <item x="83"/>
        <item x="84"/>
        <item x="85"/>
        <item x="86"/>
        <item x="87"/>
        <item x="88"/>
        <item x="89"/>
        <item x="90"/>
        <item x="91"/>
        <item x="92"/>
        <item x="93"/>
        <item x="94"/>
        <item x="95"/>
        <item x="96"/>
        <item x="9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umFmtId="14" showAll="0"/>
    <pivotField showAll="0"/>
    <pivotField axis="axisCol" showAll="0">
      <items count="13">
        <item x="8"/>
        <item x="5"/>
        <item x="2"/>
        <item x="3"/>
        <item x="0"/>
        <item x="7"/>
        <item x="4"/>
        <item x="1"/>
        <item x="6"/>
        <item x="9"/>
        <item x="10"/>
        <item x="11"/>
        <item t="default"/>
      </items>
    </pivotField>
    <pivotField numFmtId="14" showAll="0"/>
    <pivotField showAll="0"/>
    <pivotField showAll="0"/>
    <pivotField showAll="0"/>
    <pivotField showAll="0"/>
    <pivotField showAll="0"/>
    <pivotField numFmtId="1" showAll="0"/>
    <pivotField numFmtId="1" showAll="0"/>
    <pivotField numFmtId="164" showAll="0"/>
    <pivotField showAll="0"/>
    <pivotField showAll="0"/>
    <pivotField numFmtId="164" showAll="0"/>
    <pivotField dataField="1" numFmtId="1" showAll="0"/>
    <pivotField numFmtId="164" showAll="0"/>
  </pivotFields>
  <rowFields count="1">
    <field x="4"/>
  </rowFields>
  <rowItems count="3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t="grand">
      <x/>
    </i>
  </rowItems>
  <colFields count="1">
    <field x="7"/>
  </colFields>
  <colItems count="13">
    <i>
      <x/>
    </i>
    <i>
      <x v="1"/>
    </i>
    <i>
      <x v="2"/>
    </i>
    <i>
      <x v="3"/>
    </i>
    <i>
      <x v="4"/>
    </i>
    <i>
      <x v="5"/>
    </i>
    <i>
      <x v="6"/>
    </i>
    <i>
      <x v="7"/>
    </i>
    <i>
      <x v="8"/>
    </i>
    <i>
      <x v="9"/>
    </i>
    <i>
      <x v="10"/>
    </i>
    <i>
      <x v="11"/>
    </i>
    <i t="grand">
      <x/>
    </i>
  </colItems>
  <dataFields count="1">
    <dataField name="Average of growth_rate_wk" fld="2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7BC79FE-4695-4820-8F78-B35FA2E4A7F4}" name="PivotTable1" cacheId="1386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3:B14" firstHeaderRow="1" firstDataRow="1" firstDataCol="1" rowPageCount="1" colPageCount="1"/>
  <pivotFields count="24">
    <pivotField showAll="0">
      <items count="6">
        <item x="4"/>
        <item x="3"/>
        <item x="1"/>
        <item x="0"/>
        <item x="2"/>
        <item t="default"/>
      </items>
    </pivotField>
    <pivotField multipleItemSelectionAllowed="1" showAll="0">
      <items count="10">
        <item x="0"/>
        <item x="1"/>
        <item x="7"/>
        <item x="8"/>
        <item x="4"/>
        <item x="5"/>
        <item x="3"/>
        <item x="2"/>
        <item x="6"/>
        <item t="default"/>
      </items>
    </pivotField>
    <pivotField showAll="0"/>
    <pivotField showAll="0"/>
    <pivotField showAll="0"/>
    <pivotField numFmtId="14" showAll="0"/>
    <pivotField showAll="0"/>
    <pivotField axis="axisPage" multipleItemSelectionAllowed="1" showAll="0">
      <items count="13">
        <item h="1" x="8"/>
        <item h="1" x="5"/>
        <item h="1" x="2"/>
        <item h="1" x="3"/>
        <item h="1" x="0"/>
        <item h="1" x="7"/>
        <item h="1" x="4"/>
        <item h="1" x="1"/>
        <item h="1" x="6"/>
        <item x="9"/>
        <item x="10"/>
        <item h="1" x="11"/>
        <item t="default"/>
      </items>
    </pivotField>
    <pivotField numFmtId="14" showAll="0"/>
    <pivotField showAll="0"/>
    <pivotField showAll="0"/>
    <pivotField showAll="0"/>
    <pivotField showAll="0"/>
    <pivotField showAll="0"/>
    <pivotField axis="axisRow"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numFmtId="164" showAll="0"/>
    <pivotField dataField="1" numFmtId="1" showAll="0"/>
    <pivotField numFmtId="164" showAll="0"/>
    <pivotField showAll="0"/>
    <pivotField showAll="0"/>
  </pivotFields>
  <rowFields count="1">
    <field x="14"/>
  </rowFields>
  <rowItems count="11">
    <i>
      <x v="4"/>
    </i>
    <i>
      <x v="5"/>
    </i>
    <i>
      <x v="9"/>
    </i>
    <i>
      <x v="10"/>
    </i>
    <i>
      <x v="11"/>
    </i>
    <i>
      <x v="16"/>
    </i>
    <i>
      <x v="19"/>
    </i>
    <i>
      <x v="22"/>
    </i>
    <i>
      <x v="24"/>
    </i>
    <i>
      <x v="26"/>
    </i>
    <i t="grand">
      <x/>
    </i>
  </rowItems>
  <colItems count="1">
    <i/>
  </colItems>
  <pageFields count="1">
    <pageField fld="7" hier="-1"/>
  </pageFields>
  <dataFields count="1">
    <dataField name="Average of growth_rate_wk" fld="20" subtotal="average" baseField="14" baseItem="0"/>
  </dataFields>
  <chartFormats count="2">
    <chartFormat chart="0" format="48" series="1">
      <pivotArea type="data" outline="0" fieldPosition="0">
        <references count="1">
          <reference field="4294967294" count="1" selected="0">
            <x v="0"/>
          </reference>
        </references>
      </pivotArea>
    </chartFormat>
    <chartFormat chart="1" format="4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F881CCE-5331-4B18-ABBB-BE06E529D180}" name="PivotTable3" cacheId="1386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31:N536" firstHeaderRow="1" firstDataRow="2" firstDataCol="1"/>
  <pivotFields count="22">
    <pivotField showAll="0"/>
    <pivotField showAll="0"/>
    <pivotField showAll="0"/>
    <pivotField showAll="0"/>
    <pivotField axis="axisRow" showAll="0">
      <items count="3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68"/>
        <item x="69"/>
        <item x="70"/>
        <item x="71"/>
        <item x="72"/>
        <item x="73"/>
        <item x="74"/>
        <item x="75"/>
        <item x="76"/>
        <item x="77"/>
        <item x="78"/>
        <item x="79"/>
        <item x="80"/>
        <item x="81"/>
        <item x="82"/>
        <item x="83"/>
        <item x="84"/>
        <item x="85"/>
        <item x="86"/>
        <item x="87"/>
        <item x="88"/>
        <item x="89"/>
        <item x="90"/>
        <item x="91"/>
        <item x="92"/>
        <item x="93"/>
        <item x="94"/>
        <item x="95"/>
        <item x="96"/>
        <item x="9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umFmtId="14" showAll="0"/>
    <pivotField showAll="0"/>
    <pivotField axis="axisCol" showAll="0">
      <items count="13">
        <item x="8"/>
        <item x="5"/>
        <item x="2"/>
        <item x="3"/>
        <item x="0"/>
        <item x="7"/>
        <item x="4"/>
        <item x="1"/>
        <item x="6"/>
        <item x="9"/>
        <item x="10"/>
        <item x="11"/>
        <item t="default"/>
      </items>
    </pivotField>
    <pivotField numFmtId="14" showAll="0"/>
    <pivotField showAll="0"/>
    <pivotField showAll="0"/>
    <pivotField showAll="0"/>
    <pivotField showAll="0"/>
    <pivotField showAll="0"/>
    <pivotField numFmtId="1" showAll="0"/>
    <pivotField numFmtId="1" showAll="0"/>
    <pivotField numFmtId="164" showAll="0"/>
    <pivotField showAll="0"/>
    <pivotField showAll="0"/>
    <pivotField numFmtId="164" showAll="0"/>
    <pivotField dataField="1" numFmtId="1" showAll="0"/>
    <pivotField numFmtId="164" showAll="0"/>
  </pivotFields>
  <rowFields count="1">
    <field x="4"/>
  </rowFields>
  <rowItems count="3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t="grand">
      <x/>
    </i>
  </rowItems>
  <colFields count="1">
    <field x="7"/>
  </colFields>
  <colItems count="13">
    <i>
      <x/>
    </i>
    <i>
      <x v="1"/>
    </i>
    <i>
      <x v="2"/>
    </i>
    <i>
      <x v="3"/>
    </i>
    <i>
      <x v="4"/>
    </i>
    <i>
      <x v="5"/>
    </i>
    <i>
      <x v="6"/>
    </i>
    <i>
      <x v="7"/>
    </i>
    <i>
      <x v="8"/>
    </i>
    <i>
      <x v="9"/>
    </i>
    <i>
      <x v="10"/>
    </i>
    <i>
      <x v="11"/>
    </i>
    <i t="grand">
      <x/>
    </i>
  </colItems>
  <dataFields count="1">
    <dataField name="Average of growth_rate_wk" fld="2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0CBC74F-933E-4E26-A076-A829A2974F5F}" name="PivotTable4" cacheId="1386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U1:BE33" firstHeaderRow="1" firstDataRow="2" firstDataCol="1"/>
  <pivotFields count="22">
    <pivotField showAll="0"/>
    <pivotField axis="axisCol" showAll="0">
      <items count="10">
        <item x="0"/>
        <item x="1"/>
        <item x="7"/>
        <item x="8"/>
        <item x="4"/>
        <item x="5"/>
        <item x="3"/>
        <item x="2"/>
        <item x="6"/>
        <item t="default"/>
      </items>
    </pivotField>
    <pivotField showAll="0"/>
    <pivotField showAll="0"/>
    <pivotField showAll="0"/>
    <pivotField numFmtId="14" showAll="0"/>
    <pivotField showAll="0"/>
    <pivotField showAll="0"/>
    <pivotField numFmtId="14" showAll="0"/>
    <pivotField showAll="0"/>
    <pivotField showAll="0"/>
    <pivotField showAll="0"/>
    <pivotField showAll="0"/>
    <pivotField showAll="0"/>
    <pivotField axis="axisRow"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numFmtId="164" showAll="0"/>
    <pivotField dataField="1" numFmtId="1" showAll="0"/>
    <pivotField numFmtId="164" showAll="0"/>
  </pivotFields>
  <rowFields count="1">
    <field x="14"/>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1"/>
  </colFields>
  <colItems count="10">
    <i>
      <x/>
    </i>
    <i>
      <x v="1"/>
    </i>
    <i>
      <x v="2"/>
    </i>
    <i>
      <x v="3"/>
    </i>
    <i>
      <x v="4"/>
    </i>
    <i>
      <x v="5"/>
    </i>
    <i>
      <x v="6"/>
    </i>
    <i>
      <x v="7"/>
    </i>
    <i>
      <x v="8"/>
    </i>
    <i t="grand">
      <x/>
    </i>
  </colItems>
  <dataFields count="1">
    <dataField name="Average of growth_rate_wk" fld="20"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1755D87-8BEB-42FF-8681-D764EA52D471}" name="PivotTable2" cacheId="1386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174:AF185" firstHeaderRow="1" firstDataRow="2" firstDataCol="1"/>
  <pivotFields count="22">
    <pivotField showAll="0"/>
    <pivotField axis="axisRow" showAll="0">
      <items count="10">
        <item x="0"/>
        <item x="1"/>
        <item x="7"/>
        <item x="8"/>
        <item x="4"/>
        <item x="5"/>
        <item x="3"/>
        <item x="2"/>
        <item x="6"/>
        <item t="default"/>
      </items>
    </pivotField>
    <pivotField showAll="0"/>
    <pivotField showAll="0"/>
    <pivotField showAll="0"/>
    <pivotField numFmtId="14" showAll="0"/>
    <pivotField showAll="0"/>
    <pivotField showAll="0"/>
    <pivotField numFmtId="14"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axis="axisCol"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showAll="0"/>
    <pivotField showAll="0"/>
    <pivotField dataField="1" showAll="0"/>
  </pivotFields>
  <rowFields count="1">
    <field x="1"/>
  </rowFields>
  <rowItems count="10">
    <i>
      <x/>
    </i>
    <i>
      <x v="1"/>
    </i>
    <i>
      <x v="2"/>
    </i>
    <i>
      <x v="3"/>
    </i>
    <i>
      <x v="4"/>
    </i>
    <i>
      <x v="5"/>
    </i>
    <i>
      <x v="6"/>
    </i>
    <i>
      <x v="7"/>
    </i>
    <i>
      <x v="8"/>
    </i>
    <i t="grand">
      <x/>
    </i>
  </rowItems>
  <colFields count="1">
    <field x="14"/>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Average of MEI_wk" fld="21" subtotal="average" baseField="1" baseItem="0"/>
  </dataFields>
  <formats count="1">
    <format dxfId="0">
      <pivotArea collapsedLevelsAreSubtotals="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7.xml"/><Relationship Id="rId4"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drawing" Target="../drawings/drawing8.xml"/><Relationship Id="rId4"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27956-2A3B-4859-83E8-C9F99C67AF7E}">
  <dimension ref="A1"/>
  <sheetViews>
    <sheetView tabSelected="1" zoomScale="80" zoomScaleNormal="80" workbookViewId="0">
      <selection activeCell="H1" sqref="H1"/>
    </sheetView>
  </sheetViews>
  <sheetFormatPr defaultColWidth="8.7109375" defaultRowHeight="14.85"/>
  <cols>
    <col min="1" max="1" width="165.7109375" style="137" customWidth="1"/>
    <col min="2" max="16384" width="8.7109375" style="137"/>
  </cols>
  <sheetData>
    <row r="1" s="142" customFormat="1" ht="409.35" customHeight="1"/>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3582D-7CC9-4077-895A-9E1B0F6CF6C2}">
  <sheetPr codeName="Sheet8"/>
  <dimension ref="A1:W1367"/>
  <sheetViews>
    <sheetView workbookViewId="0">
      <selection activeCell="A2" sqref="A2"/>
    </sheetView>
  </sheetViews>
  <sheetFormatPr defaultRowHeight="14.85"/>
  <cols>
    <col min="5" max="5" width="13.85546875" customWidth="1"/>
    <col min="6" max="6" width="11.7109375" customWidth="1"/>
    <col min="9" max="9" width="12.5703125" customWidth="1"/>
    <col min="18" max="20" width="9.140625" style="11"/>
    <col min="21" max="21" width="12.28515625" style="11" customWidth="1"/>
    <col min="22" max="22" width="14.28515625" style="11" customWidth="1"/>
    <col min="23" max="23" width="9.140625" style="11"/>
  </cols>
  <sheetData>
    <row r="1" spans="1:23">
      <c r="A1" s="1" t="s">
        <v>217</v>
      </c>
      <c r="B1" s="1" t="s">
        <v>218</v>
      </c>
      <c r="C1" s="1" t="s">
        <v>219</v>
      </c>
      <c r="D1" s="1" t="s">
        <v>220</v>
      </c>
      <c r="E1" s="1" t="s">
        <v>221</v>
      </c>
      <c r="F1" s="1" t="s">
        <v>222</v>
      </c>
      <c r="G1" s="1" t="s">
        <v>223</v>
      </c>
      <c r="H1" s="1" t="s">
        <v>224</v>
      </c>
      <c r="I1" s="1" t="s">
        <v>225</v>
      </c>
      <c r="J1" s="1" t="s">
        <v>226</v>
      </c>
      <c r="K1" s="1" t="s">
        <v>227</v>
      </c>
      <c r="L1" s="1" t="s">
        <v>228</v>
      </c>
      <c r="M1" s="1" t="s">
        <v>229</v>
      </c>
      <c r="N1" s="1" t="s">
        <v>230</v>
      </c>
      <c r="O1" s="1" t="s">
        <v>231</v>
      </c>
      <c r="P1" s="1" t="s">
        <v>232</v>
      </c>
      <c r="Q1" s="1" t="s">
        <v>131</v>
      </c>
      <c r="R1" s="7" t="s">
        <v>228</v>
      </c>
      <c r="S1" s="7" t="s">
        <v>229</v>
      </c>
      <c r="T1" s="7" t="s">
        <v>230</v>
      </c>
      <c r="U1" s="7" t="s">
        <v>233</v>
      </c>
      <c r="V1" s="7" t="s">
        <v>234</v>
      </c>
      <c r="W1" s="7" t="s">
        <v>131</v>
      </c>
    </row>
    <row r="2" spans="1:23">
      <c r="A2" s="2" t="s">
        <v>235</v>
      </c>
      <c r="B2" s="2" t="s">
        <v>236</v>
      </c>
      <c r="C2" s="3">
        <v>43</v>
      </c>
      <c r="D2" s="3">
        <v>2.16</v>
      </c>
      <c r="E2" s="2" t="s">
        <v>237</v>
      </c>
      <c r="F2" s="4">
        <v>42402</v>
      </c>
      <c r="G2" s="3">
        <v>65</v>
      </c>
      <c r="H2" s="3">
        <v>2.5</v>
      </c>
      <c r="I2" s="4">
        <v>42402</v>
      </c>
      <c r="J2" s="3">
        <v>65</v>
      </c>
      <c r="K2" s="3">
        <v>2.5</v>
      </c>
      <c r="L2" s="3">
        <v>0</v>
      </c>
      <c r="M2" s="5">
        <v>0</v>
      </c>
      <c r="N2" s="5">
        <v>0</v>
      </c>
      <c r="O2" s="5">
        <v>0</v>
      </c>
      <c r="P2" s="5">
        <v>0</v>
      </c>
      <c r="Q2" s="5">
        <v>12.99085</v>
      </c>
      <c r="R2" s="8">
        <f>IF(I2-F2=0,0,I2-I1)</f>
        <v>0</v>
      </c>
      <c r="S2" s="9">
        <f>IF($R2=0,J2-G2,J2-J1)</f>
        <v>0</v>
      </c>
      <c r="T2" s="9">
        <f>IF($R2=0,K2-H2,K2-K1)</f>
        <v>0</v>
      </c>
      <c r="U2" s="9">
        <f>D2*R2</f>
        <v>0</v>
      </c>
      <c r="V2" s="9">
        <f>IF(R2=0,0,(S2/R2*1000))</f>
        <v>0</v>
      </c>
      <c r="W2" s="9">
        <f>IF(R2=0,(((G2)*0.16909+(V2/1000)*49.3)+2),((((G2+J2)/2)*0.16909+(V2/1000)*49.3)+2))</f>
        <v>12.99085</v>
      </c>
    </row>
    <row r="3" spans="1:23">
      <c r="A3" s="2" t="s">
        <v>235</v>
      </c>
      <c r="B3" s="2" t="s">
        <v>236</v>
      </c>
      <c r="C3" s="3">
        <v>43</v>
      </c>
      <c r="D3" s="3">
        <v>2.16</v>
      </c>
      <c r="E3" s="2" t="s">
        <v>237</v>
      </c>
      <c r="F3" s="4">
        <v>42402</v>
      </c>
      <c r="G3" s="3">
        <v>65</v>
      </c>
      <c r="H3" s="3">
        <v>2.5</v>
      </c>
      <c r="I3" s="4">
        <v>42417</v>
      </c>
      <c r="J3" s="3">
        <v>68</v>
      </c>
      <c r="K3" s="3">
        <v>2.5</v>
      </c>
      <c r="L3" s="3">
        <v>15</v>
      </c>
      <c r="M3" s="5">
        <v>3</v>
      </c>
      <c r="N3" s="5">
        <v>0</v>
      </c>
      <c r="O3" s="5">
        <v>32.400000000000006</v>
      </c>
      <c r="P3" s="5">
        <v>200</v>
      </c>
      <c r="Q3" s="5">
        <v>23.104484999999997</v>
      </c>
      <c r="R3" s="8">
        <f t="shared" ref="R3:R66" si="0">IF(I3-F3=0,0,I3-I2)</f>
        <v>15</v>
      </c>
      <c r="S3" s="9">
        <f>IF($R3=0,J3-G3,J3-J2)</f>
        <v>3</v>
      </c>
      <c r="T3" s="9">
        <f>IF($R3=0,K3-H3,K3-K2)</f>
        <v>0</v>
      </c>
      <c r="U3" s="9">
        <f>D3*R3</f>
        <v>32.400000000000006</v>
      </c>
      <c r="V3" s="9">
        <f>IF(R3=0,0,(S3/R3*1000))</f>
        <v>200</v>
      </c>
      <c r="W3" s="9">
        <f>IF(R3=0,(((G3)*0.16909+(V3/1000)*49.3)+2),((((G3+J3)/2)*0.16909+(V3/1000)*49.3)+2))</f>
        <v>23.104484999999997</v>
      </c>
    </row>
    <row r="4" spans="1:23">
      <c r="A4" s="2" t="s">
        <v>235</v>
      </c>
      <c r="B4" s="2" t="s">
        <v>236</v>
      </c>
      <c r="C4" s="3">
        <v>43</v>
      </c>
      <c r="D4" s="3">
        <v>2.16</v>
      </c>
      <c r="E4" s="2" t="s">
        <v>237</v>
      </c>
      <c r="F4" s="4">
        <v>42402</v>
      </c>
      <c r="G4" s="3">
        <v>65</v>
      </c>
      <c r="H4" s="3">
        <v>2.5</v>
      </c>
      <c r="I4" s="4">
        <v>42430</v>
      </c>
      <c r="J4" s="3">
        <v>69</v>
      </c>
      <c r="K4" s="3">
        <v>2.75</v>
      </c>
      <c r="L4" s="3">
        <v>28</v>
      </c>
      <c r="M4" s="5">
        <v>4</v>
      </c>
      <c r="N4" s="5">
        <v>0.25</v>
      </c>
      <c r="O4" s="5">
        <v>60.480000000000004</v>
      </c>
      <c r="P4" s="5">
        <v>142.85714285714286</v>
      </c>
      <c r="Q4" s="5">
        <v>20.37188714285714</v>
      </c>
      <c r="R4" s="8">
        <f t="shared" si="0"/>
        <v>13</v>
      </c>
      <c r="S4" s="9">
        <f t="shared" ref="S4:S66" si="1">IF($R4=0,J4-G4,J4-J3)</f>
        <v>1</v>
      </c>
      <c r="T4" s="9">
        <f t="shared" ref="T4:T66" si="2">IF($R4=0,K4-H4,K4-K3)</f>
        <v>0.25</v>
      </c>
      <c r="U4" s="9">
        <f t="shared" ref="U4:U66" si="3">D4*R4</f>
        <v>28.080000000000002</v>
      </c>
      <c r="V4" s="9">
        <f t="shared" ref="V4:V66" si="4">IF(R4=0,0,(S4/R4*1000))</f>
        <v>76.923076923076934</v>
      </c>
      <c r="W4" s="9">
        <f>IF(R4=0,(((G4)*0.16909+(V4/1000)*49.3)+2),((((G4+J4)/2)*0.16909+(V4/1000)*49.3)+2))</f>
        <v>17.121337692307691</v>
      </c>
    </row>
    <row r="5" spans="1:23">
      <c r="A5" s="2" t="s">
        <v>235</v>
      </c>
      <c r="B5" s="2" t="s">
        <v>236</v>
      </c>
      <c r="C5" s="3">
        <v>43</v>
      </c>
      <c r="D5" s="3">
        <v>2.16</v>
      </c>
      <c r="E5" s="2" t="s">
        <v>238</v>
      </c>
      <c r="F5" s="4">
        <v>42402</v>
      </c>
      <c r="G5" s="3">
        <v>54.5</v>
      </c>
      <c r="H5" s="3">
        <v>2.5</v>
      </c>
      <c r="I5" s="4">
        <v>42402</v>
      </c>
      <c r="J5" s="3">
        <v>54.5</v>
      </c>
      <c r="K5" s="3">
        <v>2.5</v>
      </c>
      <c r="L5" s="3">
        <v>0</v>
      </c>
      <c r="M5" s="5">
        <v>0</v>
      </c>
      <c r="N5" s="5">
        <v>0</v>
      </c>
      <c r="O5" s="5">
        <v>0</v>
      </c>
      <c r="P5" s="5">
        <v>0</v>
      </c>
      <c r="Q5" s="5">
        <v>11.215404999999999</v>
      </c>
      <c r="R5" s="8">
        <f t="shared" si="0"/>
        <v>0</v>
      </c>
      <c r="S5" s="9">
        <f t="shared" si="1"/>
        <v>0</v>
      </c>
      <c r="T5" s="9">
        <f t="shared" si="2"/>
        <v>0</v>
      </c>
      <c r="U5" s="9">
        <f t="shared" si="3"/>
        <v>0</v>
      </c>
      <c r="V5" s="9">
        <f t="shared" si="4"/>
        <v>0</v>
      </c>
      <c r="W5" s="9">
        <f t="shared" ref="W5:W65" si="5">IF(R5=0,(((G5)*0.16909+(V5/1000)*49.3)+2),((((G5+J5)/2)*0.16909+(V5/1000)*49.3)+2))</f>
        <v>11.215404999999999</v>
      </c>
    </row>
    <row r="6" spans="1:23">
      <c r="A6" s="2" t="s">
        <v>235</v>
      </c>
      <c r="B6" s="2" t="s">
        <v>236</v>
      </c>
      <c r="C6" s="3">
        <v>43</v>
      </c>
      <c r="D6" s="3">
        <v>2.16</v>
      </c>
      <c r="E6" s="2" t="s">
        <v>238</v>
      </c>
      <c r="F6" s="4">
        <v>42402</v>
      </c>
      <c r="G6" s="3">
        <v>54.5</v>
      </c>
      <c r="H6" s="3">
        <v>2.5</v>
      </c>
      <c r="I6" s="4">
        <v>42417</v>
      </c>
      <c r="J6" s="3">
        <v>59.5</v>
      </c>
      <c r="K6" s="3">
        <v>2.5</v>
      </c>
      <c r="L6" s="3">
        <v>15</v>
      </c>
      <c r="M6" s="5">
        <v>5</v>
      </c>
      <c r="N6" s="5">
        <v>0</v>
      </c>
      <c r="O6" s="5">
        <v>32.400000000000006</v>
      </c>
      <c r="P6" s="5">
        <v>333.33333333333331</v>
      </c>
      <c r="Q6" s="5">
        <v>28.07146333333333</v>
      </c>
      <c r="R6" s="8">
        <f t="shared" si="0"/>
        <v>15</v>
      </c>
      <c r="S6" s="9">
        <f t="shared" si="1"/>
        <v>5</v>
      </c>
      <c r="T6" s="9">
        <f t="shared" si="2"/>
        <v>0</v>
      </c>
      <c r="U6" s="9">
        <f t="shared" si="3"/>
        <v>32.400000000000006</v>
      </c>
      <c r="V6" s="9">
        <f t="shared" si="4"/>
        <v>333.33333333333331</v>
      </c>
      <c r="W6" s="9">
        <f t="shared" si="5"/>
        <v>28.07146333333333</v>
      </c>
    </row>
    <row r="7" spans="1:23">
      <c r="A7" s="2" t="s">
        <v>235</v>
      </c>
      <c r="B7" s="2" t="s">
        <v>236</v>
      </c>
      <c r="C7" s="3">
        <v>43</v>
      </c>
      <c r="D7" s="3">
        <v>2.16</v>
      </c>
      <c r="E7" s="2" t="s">
        <v>238</v>
      </c>
      <c r="F7" s="4">
        <v>42402</v>
      </c>
      <c r="G7" s="3">
        <v>54.5</v>
      </c>
      <c r="H7" s="3">
        <v>2.5</v>
      </c>
      <c r="I7" s="4">
        <v>42430</v>
      </c>
      <c r="J7" s="3">
        <v>57.5</v>
      </c>
      <c r="K7" s="3">
        <v>2.75</v>
      </c>
      <c r="L7" s="3">
        <v>28</v>
      </c>
      <c r="M7" s="5">
        <v>3</v>
      </c>
      <c r="N7" s="5">
        <v>0.25</v>
      </c>
      <c r="O7" s="5">
        <v>60.480000000000004</v>
      </c>
      <c r="P7" s="5">
        <v>107.14285714285714</v>
      </c>
      <c r="Q7" s="5">
        <v>16.751182857142858</v>
      </c>
      <c r="R7" s="8">
        <f t="shared" si="0"/>
        <v>13</v>
      </c>
      <c r="S7" s="9">
        <f t="shared" si="1"/>
        <v>-2</v>
      </c>
      <c r="T7" s="9">
        <f t="shared" si="2"/>
        <v>0.25</v>
      </c>
      <c r="U7" s="9">
        <f t="shared" si="3"/>
        <v>28.080000000000002</v>
      </c>
      <c r="V7" s="9">
        <f t="shared" si="4"/>
        <v>-153.84615384615387</v>
      </c>
      <c r="W7" s="9">
        <f t="shared" si="5"/>
        <v>3.8844246153846154</v>
      </c>
    </row>
    <row r="8" spans="1:23">
      <c r="A8" s="2" t="s">
        <v>235</v>
      </c>
      <c r="B8" s="2" t="s">
        <v>236</v>
      </c>
      <c r="C8" s="3">
        <v>43</v>
      </c>
      <c r="D8" s="3">
        <v>2.16</v>
      </c>
      <c r="E8" s="2" t="s">
        <v>239</v>
      </c>
      <c r="F8" s="4">
        <v>42402</v>
      </c>
      <c r="G8" s="3">
        <v>59.5</v>
      </c>
      <c r="H8" s="3">
        <v>3</v>
      </c>
      <c r="I8" s="4">
        <v>42402</v>
      </c>
      <c r="J8" s="3">
        <v>59.5</v>
      </c>
      <c r="K8" s="3">
        <v>3</v>
      </c>
      <c r="L8" s="3">
        <v>0</v>
      </c>
      <c r="M8" s="5">
        <v>0</v>
      </c>
      <c r="N8" s="5">
        <v>0</v>
      </c>
      <c r="O8" s="5">
        <v>0</v>
      </c>
      <c r="P8" s="5">
        <v>0</v>
      </c>
      <c r="Q8" s="5">
        <v>12.060855</v>
      </c>
      <c r="R8" s="8">
        <f t="shared" si="0"/>
        <v>0</v>
      </c>
      <c r="S8" s="9">
        <f t="shared" si="1"/>
        <v>0</v>
      </c>
      <c r="T8" s="9">
        <f t="shared" si="2"/>
        <v>0</v>
      </c>
      <c r="U8" s="9">
        <f t="shared" si="3"/>
        <v>0</v>
      </c>
      <c r="V8" s="9">
        <f t="shared" si="4"/>
        <v>0</v>
      </c>
      <c r="W8" s="9">
        <f t="shared" si="5"/>
        <v>12.060855</v>
      </c>
    </row>
    <row r="9" spans="1:23">
      <c r="A9" s="2" t="s">
        <v>235</v>
      </c>
      <c r="B9" s="2" t="s">
        <v>236</v>
      </c>
      <c r="C9" s="3">
        <v>43</v>
      </c>
      <c r="D9" s="3">
        <v>2.16</v>
      </c>
      <c r="E9" s="2" t="s">
        <v>239</v>
      </c>
      <c r="F9" s="4">
        <v>42402</v>
      </c>
      <c r="G9" s="3">
        <v>59.5</v>
      </c>
      <c r="H9" s="3">
        <v>3</v>
      </c>
      <c r="I9" s="4">
        <v>42417</v>
      </c>
      <c r="J9" s="3">
        <v>60</v>
      </c>
      <c r="K9" s="3">
        <v>2.5</v>
      </c>
      <c r="L9" s="3">
        <v>15</v>
      </c>
      <c r="M9" s="5">
        <v>0.5</v>
      </c>
      <c r="N9" s="5">
        <v>-0.5</v>
      </c>
      <c r="O9" s="5">
        <v>32.400000000000006</v>
      </c>
      <c r="P9" s="5">
        <v>33.333333333333336</v>
      </c>
      <c r="Q9" s="5">
        <v>13.746460833333332</v>
      </c>
      <c r="R9" s="8">
        <f t="shared" si="0"/>
        <v>15</v>
      </c>
      <c r="S9" s="9">
        <f t="shared" si="1"/>
        <v>0.5</v>
      </c>
      <c r="T9" s="9">
        <f t="shared" si="2"/>
        <v>-0.5</v>
      </c>
      <c r="U9" s="9">
        <f t="shared" si="3"/>
        <v>32.400000000000006</v>
      </c>
      <c r="V9" s="9">
        <f t="shared" si="4"/>
        <v>33.333333333333336</v>
      </c>
      <c r="W9" s="9">
        <f t="shared" si="5"/>
        <v>13.746460833333332</v>
      </c>
    </row>
    <row r="10" spans="1:23">
      <c r="A10" s="2" t="s">
        <v>235</v>
      </c>
      <c r="B10" s="2" t="s">
        <v>236</v>
      </c>
      <c r="C10" s="3">
        <v>43</v>
      </c>
      <c r="D10" s="3">
        <v>2.16</v>
      </c>
      <c r="E10" s="2" t="s">
        <v>239</v>
      </c>
      <c r="F10" s="4">
        <v>42402</v>
      </c>
      <c r="G10" s="3">
        <v>59.5</v>
      </c>
      <c r="H10" s="3">
        <v>3</v>
      </c>
      <c r="I10" s="4">
        <v>42430</v>
      </c>
      <c r="J10" s="3">
        <v>60</v>
      </c>
      <c r="K10" s="3">
        <v>2.5</v>
      </c>
      <c r="L10" s="3">
        <v>28</v>
      </c>
      <c r="M10" s="5">
        <v>0.5</v>
      </c>
      <c r="N10" s="5">
        <v>-0.5</v>
      </c>
      <c r="O10" s="5">
        <v>60.480000000000004</v>
      </c>
      <c r="P10" s="5">
        <v>17.857142857142858</v>
      </c>
      <c r="Q10" s="5">
        <v>12.983484642857142</v>
      </c>
      <c r="R10" s="8">
        <f t="shared" si="0"/>
        <v>13</v>
      </c>
      <c r="S10" s="9">
        <f t="shared" si="1"/>
        <v>0</v>
      </c>
      <c r="T10" s="9">
        <f t="shared" si="2"/>
        <v>0</v>
      </c>
      <c r="U10" s="9">
        <f t="shared" si="3"/>
        <v>28.080000000000002</v>
      </c>
      <c r="V10" s="9">
        <f t="shared" si="4"/>
        <v>0</v>
      </c>
      <c r="W10" s="9">
        <f t="shared" si="5"/>
        <v>12.103127499999999</v>
      </c>
    </row>
    <row r="11" spans="1:23">
      <c r="A11" s="2" t="s">
        <v>235</v>
      </c>
      <c r="B11" s="2" t="s">
        <v>236</v>
      </c>
      <c r="C11" s="3">
        <v>43</v>
      </c>
      <c r="D11" s="3">
        <v>2.16</v>
      </c>
      <c r="E11" s="2" t="s">
        <v>240</v>
      </c>
      <c r="F11" s="4">
        <v>42402</v>
      </c>
      <c r="G11" s="3">
        <v>62.5</v>
      </c>
      <c r="H11" s="3">
        <v>3</v>
      </c>
      <c r="I11" s="4">
        <v>42402</v>
      </c>
      <c r="J11" s="3">
        <v>62.5</v>
      </c>
      <c r="K11" s="3">
        <v>3</v>
      </c>
      <c r="L11" s="3">
        <v>0</v>
      </c>
      <c r="M11" s="5">
        <v>0</v>
      </c>
      <c r="N11" s="5">
        <v>0</v>
      </c>
      <c r="O11" s="5">
        <v>0</v>
      </c>
      <c r="P11" s="5">
        <v>0</v>
      </c>
      <c r="Q11" s="5">
        <v>12.568125</v>
      </c>
      <c r="R11" s="8">
        <f t="shared" si="0"/>
        <v>0</v>
      </c>
      <c r="S11" s="9">
        <f t="shared" si="1"/>
        <v>0</v>
      </c>
      <c r="T11" s="9">
        <f t="shared" si="2"/>
        <v>0</v>
      </c>
      <c r="U11" s="9">
        <f t="shared" si="3"/>
        <v>0</v>
      </c>
      <c r="V11" s="9">
        <f t="shared" si="4"/>
        <v>0</v>
      </c>
      <c r="W11" s="9">
        <f t="shared" si="5"/>
        <v>12.568125</v>
      </c>
    </row>
    <row r="12" spans="1:23">
      <c r="A12" s="2" t="s">
        <v>235</v>
      </c>
      <c r="B12" s="2" t="s">
        <v>236</v>
      </c>
      <c r="C12" s="3">
        <v>43</v>
      </c>
      <c r="D12" s="3">
        <v>2.16</v>
      </c>
      <c r="E12" s="2" t="s">
        <v>240</v>
      </c>
      <c r="F12" s="4">
        <v>42402</v>
      </c>
      <c r="G12" s="3">
        <v>62.5</v>
      </c>
      <c r="H12" s="3">
        <v>3</v>
      </c>
      <c r="I12" s="4">
        <v>42417</v>
      </c>
      <c r="J12" s="3">
        <v>67</v>
      </c>
      <c r="K12" s="3">
        <v>3</v>
      </c>
      <c r="L12" s="3">
        <v>15</v>
      </c>
      <c r="M12" s="5">
        <v>4.5</v>
      </c>
      <c r="N12" s="5">
        <v>0</v>
      </c>
      <c r="O12" s="5">
        <v>32.400000000000006</v>
      </c>
      <c r="P12" s="5">
        <v>300</v>
      </c>
      <c r="Q12" s="5">
        <v>27.738577499999998</v>
      </c>
      <c r="R12" s="8">
        <f t="shared" si="0"/>
        <v>15</v>
      </c>
      <c r="S12" s="9">
        <f t="shared" si="1"/>
        <v>4.5</v>
      </c>
      <c r="T12" s="9">
        <f t="shared" si="2"/>
        <v>0</v>
      </c>
      <c r="U12" s="9">
        <f t="shared" si="3"/>
        <v>32.400000000000006</v>
      </c>
      <c r="V12" s="9">
        <f t="shared" si="4"/>
        <v>300</v>
      </c>
      <c r="W12" s="9">
        <f t="shared" si="5"/>
        <v>27.738577499999998</v>
      </c>
    </row>
    <row r="13" spans="1:23">
      <c r="A13" s="2" t="s">
        <v>235</v>
      </c>
      <c r="B13" s="2" t="s">
        <v>236</v>
      </c>
      <c r="C13" s="3">
        <v>43</v>
      </c>
      <c r="D13" s="3">
        <v>2.16</v>
      </c>
      <c r="E13" s="2" t="s">
        <v>240</v>
      </c>
      <c r="F13" s="4">
        <v>42402</v>
      </c>
      <c r="G13" s="3">
        <v>62.5</v>
      </c>
      <c r="H13" s="3">
        <v>3</v>
      </c>
      <c r="I13" s="4">
        <v>42430</v>
      </c>
      <c r="J13" s="3">
        <v>66</v>
      </c>
      <c r="K13" s="3">
        <v>3</v>
      </c>
      <c r="L13" s="3">
        <v>28</v>
      </c>
      <c r="M13" s="5">
        <v>3.5</v>
      </c>
      <c r="N13" s="5">
        <v>0</v>
      </c>
      <c r="O13" s="5">
        <v>60.480000000000004</v>
      </c>
      <c r="P13" s="5">
        <v>125</v>
      </c>
      <c r="Q13" s="5">
        <v>19.026532499999998</v>
      </c>
      <c r="R13" s="8">
        <f t="shared" si="0"/>
        <v>13</v>
      </c>
      <c r="S13" s="9">
        <f t="shared" si="1"/>
        <v>-1</v>
      </c>
      <c r="T13" s="9">
        <f t="shared" si="2"/>
        <v>0</v>
      </c>
      <c r="U13" s="9">
        <f t="shared" si="3"/>
        <v>28.080000000000002</v>
      </c>
      <c r="V13" s="9">
        <f t="shared" si="4"/>
        <v>-76.923076923076934</v>
      </c>
      <c r="W13" s="9">
        <f t="shared" si="5"/>
        <v>9.0717248076923056</v>
      </c>
    </row>
    <row r="14" spans="1:23">
      <c r="A14" s="2" t="s">
        <v>235</v>
      </c>
      <c r="B14" s="2" t="s">
        <v>236</v>
      </c>
      <c r="C14" s="3">
        <v>43</v>
      </c>
      <c r="D14" s="3">
        <v>2.16</v>
      </c>
      <c r="E14" s="2" t="s">
        <v>241</v>
      </c>
      <c r="F14" s="4">
        <v>42402</v>
      </c>
      <c r="G14" s="3">
        <v>56</v>
      </c>
      <c r="H14" s="3">
        <v>2.5</v>
      </c>
      <c r="I14" s="4">
        <v>42402</v>
      </c>
      <c r="J14" s="3">
        <v>56</v>
      </c>
      <c r="K14" s="3">
        <v>2.5</v>
      </c>
      <c r="L14" s="3">
        <v>0</v>
      </c>
      <c r="M14" s="5">
        <v>0</v>
      </c>
      <c r="N14" s="5">
        <v>0</v>
      </c>
      <c r="O14" s="5">
        <v>0</v>
      </c>
      <c r="P14" s="5">
        <v>0</v>
      </c>
      <c r="Q14" s="5">
        <v>11.46904</v>
      </c>
      <c r="R14" s="8">
        <f t="shared" si="0"/>
        <v>0</v>
      </c>
      <c r="S14" s="9">
        <f t="shared" si="1"/>
        <v>0</v>
      </c>
      <c r="T14" s="9">
        <f t="shared" si="2"/>
        <v>0</v>
      </c>
      <c r="U14" s="9">
        <f t="shared" si="3"/>
        <v>0</v>
      </c>
      <c r="V14" s="9">
        <f t="shared" si="4"/>
        <v>0</v>
      </c>
      <c r="W14" s="9">
        <f t="shared" si="5"/>
        <v>11.46904</v>
      </c>
    </row>
    <row r="15" spans="1:23">
      <c r="A15" s="2" t="s">
        <v>235</v>
      </c>
      <c r="B15" s="2" t="s">
        <v>236</v>
      </c>
      <c r="C15" s="3">
        <v>43</v>
      </c>
      <c r="D15" s="3">
        <v>2.16</v>
      </c>
      <c r="E15" s="2" t="s">
        <v>241</v>
      </c>
      <c r="F15" s="4">
        <v>42402</v>
      </c>
      <c r="G15" s="3">
        <v>56</v>
      </c>
      <c r="H15" s="3">
        <v>2.5</v>
      </c>
      <c r="I15" s="4">
        <v>42417</v>
      </c>
      <c r="J15" s="3">
        <v>57</v>
      </c>
      <c r="K15" s="3">
        <v>2.75</v>
      </c>
      <c r="L15" s="3">
        <v>15</v>
      </c>
      <c r="M15" s="5">
        <v>1</v>
      </c>
      <c r="N15" s="5">
        <v>0.25</v>
      </c>
      <c r="O15" s="5">
        <v>32.400000000000006</v>
      </c>
      <c r="P15" s="5">
        <v>66.666666666666671</v>
      </c>
      <c r="Q15" s="5">
        <v>14.840251666666667</v>
      </c>
      <c r="R15" s="8">
        <f t="shared" si="0"/>
        <v>15</v>
      </c>
      <c r="S15" s="9">
        <f t="shared" si="1"/>
        <v>1</v>
      </c>
      <c r="T15" s="9">
        <f t="shared" si="2"/>
        <v>0.25</v>
      </c>
      <c r="U15" s="9">
        <f t="shared" si="3"/>
        <v>32.400000000000006</v>
      </c>
      <c r="V15" s="9">
        <f t="shared" si="4"/>
        <v>66.666666666666671</v>
      </c>
      <c r="W15" s="9">
        <f t="shared" si="5"/>
        <v>14.840251666666667</v>
      </c>
    </row>
    <row r="16" spans="1:23">
      <c r="A16" s="2" t="s">
        <v>235</v>
      </c>
      <c r="B16" s="2" t="s">
        <v>236</v>
      </c>
      <c r="C16" s="3">
        <v>43</v>
      </c>
      <c r="D16" s="3">
        <v>2.16</v>
      </c>
      <c r="E16" s="2" t="s">
        <v>241</v>
      </c>
      <c r="F16" s="4">
        <v>42402</v>
      </c>
      <c r="G16" s="3">
        <v>56</v>
      </c>
      <c r="H16" s="3">
        <v>2.5</v>
      </c>
      <c r="I16" s="4">
        <v>42430</v>
      </c>
      <c r="J16" s="3">
        <v>60</v>
      </c>
      <c r="K16" s="3">
        <v>3</v>
      </c>
      <c r="L16" s="3">
        <v>28</v>
      </c>
      <c r="M16" s="5">
        <v>4</v>
      </c>
      <c r="N16" s="5">
        <v>0.5</v>
      </c>
      <c r="O16" s="5">
        <v>60.480000000000004</v>
      </c>
      <c r="P16" s="5">
        <v>142.85714285714286</v>
      </c>
      <c r="Q16" s="5">
        <v>18.850077142857142</v>
      </c>
      <c r="R16" s="8">
        <f t="shared" si="0"/>
        <v>13</v>
      </c>
      <c r="S16" s="9">
        <f t="shared" si="1"/>
        <v>3</v>
      </c>
      <c r="T16" s="9">
        <f t="shared" si="2"/>
        <v>0.25</v>
      </c>
      <c r="U16" s="9">
        <f t="shared" si="3"/>
        <v>28.080000000000002</v>
      </c>
      <c r="V16" s="9">
        <f t="shared" si="4"/>
        <v>230.76923076923077</v>
      </c>
      <c r="W16" s="9">
        <f t="shared" si="5"/>
        <v>23.184143076923078</v>
      </c>
    </row>
    <row r="17" spans="1:23">
      <c r="A17" s="2" t="s">
        <v>235</v>
      </c>
      <c r="B17" s="2" t="s">
        <v>236</v>
      </c>
      <c r="C17" s="3">
        <v>43</v>
      </c>
      <c r="D17" s="3">
        <v>2.16</v>
      </c>
      <c r="E17" s="2" t="s">
        <v>242</v>
      </c>
      <c r="F17" s="4">
        <v>42402</v>
      </c>
      <c r="G17" s="3">
        <v>63</v>
      </c>
      <c r="H17" s="3">
        <v>3</v>
      </c>
      <c r="I17" s="4">
        <v>42402</v>
      </c>
      <c r="J17" s="3">
        <v>63</v>
      </c>
      <c r="K17" s="3">
        <v>3</v>
      </c>
      <c r="L17" s="3">
        <v>0</v>
      </c>
      <c r="M17" s="5">
        <v>0</v>
      </c>
      <c r="N17" s="5">
        <v>0</v>
      </c>
      <c r="O17" s="5">
        <v>0</v>
      </c>
      <c r="P17" s="5">
        <v>0</v>
      </c>
      <c r="Q17" s="5">
        <v>12.652669999999999</v>
      </c>
      <c r="R17" s="8">
        <f t="shared" si="0"/>
        <v>0</v>
      </c>
      <c r="S17" s="9">
        <f t="shared" si="1"/>
        <v>0</v>
      </c>
      <c r="T17" s="9">
        <f t="shared" si="2"/>
        <v>0</v>
      </c>
      <c r="U17" s="9">
        <f t="shared" si="3"/>
        <v>0</v>
      </c>
      <c r="V17" s="9">
        <f t="shared" si="4"/>
        <v>0</v>
      </c>
      <c r="W17" s="9">
        <f t="shared" si="5"/>
        <v>12.652669999999999</v>
      </c>
    </row>
    <row r="18" spans="1:23">
      <c r="A18" s="2" t="s">
        <v>235</v>
      </c>
      <c r="B18" s="2" t="s">
        <v>236</v>
      </c>
      <c r="C18" s="3">
        <v>43</v>
      </c>
      <c r="D18" s="3">
        <v>2.16</v>
      </c>
      <c r="E18" s="2" t="s">
        <v>242</v>
      </c>
      <c r="F18" s="4">
        <v>42402</v>
      </c>
      <c r="G18" s="3">
        <v>63</v>
      </c>
      <c r="H18" s="3">
        <v>3</v>
      </c>
      <c r="I18" s="4">
        <v>42417</v>
      </c>
      <c r="J18" s="3">
        <v>64.5</v>
      </c>
      <c r="K18" s="3">
        <v>3</v>
      </c>
      <c r="L18" s="3">
        <v>15</v>
      </c>
      <c r="M18" s="5">
        <v>1.5</v>
      </c>
      <c r="N18" s="5">
        <v>0</v>
      </c>
      <c r="O18" s="5">
        <v>32.400000000000006</v>
      </c>
      <c r="P18" s="5">
        <v>100</v>
      </c>
      <c r="Q18" s="5">
        <v>17.709487500000002</v>
      </c>
      <c r="R18" s="8">
        <f t="shared" si="0"/>
        <v>15</v>
      </c>
      <c r="S18" s="9">
        <f t="shared" si="1"/>
        <v>1.5</v>
      </c>
      <c r="T18" s="9">
        <f t="shared" si="2"/>
        <v>0</v>
      </c>
      <c r="U18" s="9">
        <f t="shared" si="3"/>
        <v>32.400000000000006</v>
      </c>
      <c r="V18" s="9">
        <f t="shared" si="4"/>
        <v>100</v>
      </c>
      <c r="W18" s="9">
        <f t="shared" si="5"/>
        <v>17.709487500000002</v>
      </c>
    </row>
    <row r="19" spans="1:23">
      <c r="A19" s="2" t="s">
        <v>235</v>
      </c>
      <c r="B19" s="2" t="s">
        <v>236</v>
      </c>
      <c r="C19" s="3">
        <v>43</v>
      </c>
      <c r="D19" s="3">
        <v>2.16</v>
      </c>
      <c r="E19" s="2" t="s">
        <v>242</v>
      </c>
      <c r="F19" s="4">
        <v>42402</v>
      </c>
      <c r="G19" s="3">
        <v>63</v>
      </c>
      <c r="H19" s="3">
        <v>3</v>
      </c>
      <c r="I19" s="4">
        <v>42430</v>
      </c>
      <c r="J19" s="3">
        <v>65</v>
      </c>
      <c r="K19" s="3">
        <v>3</v>
      </c>
      <c r="L19" s="3">
        <v>28</v>
      </c>
      <c r="M19" s="5">
        <v>2</v>
      </c>
      <c r="N19" s="5">
        <v>0</v>
      </c>
      <c r="O19" s="5">
        <v>60.480000000000004</v>
      </c>
      <c r="P19" s="5">
        <v>71.428571428571431</v>
      </c>
      <c r="Q19" s="5">
        <v>16.34318857142857</v>
      </c>
      <c r="R19" s="8">
        <f t="shared" si="0"/>
        <v>13</v>
      </c>
      <c r="S19" s="9">
        <f t="shared" si="1"/>
        <v>0.5</v>
      </c>
      <c r="T19" s="9">
        <f t="shared" si="2"/>
        <v>0</v>
      </c>
      <c r="U19" s="9">
        <f t="shared" si="3"/>
        <v>28.080000000000002</v>
      </c>
      <c r="V19" s="9">
        <f t="shared" si="4"/>
        <v>38.461538461538467</v>
      </c>
      <c r="W19" s="9">
        <f t="shared" si="5"/>
        <v>14.717913846153845</v>
      </c>
    </row>
    <row r="20" spans="1:23">
      <c r="A20" s="2" t="s">
        <v>235</v>
      </c>
      <c r="B20" s="2" t="s">
        <v>236</v>
      </c>
      <c r="C20" s="3">
        <v>43</v>
      </c>
      <c r="D20" s="3">
        <v>2.16</v>
      </c>
      <c r="E20" s="2" t="s">
        <v>243</v>
      </c>
      <c r="F20" s="4">
        <v>42402</v>
      </c>
      <c r="G20" s="3">
        <v>57.5</v>
      </c>
      <c r="H20" s="3">
        <v>2.5</v>
      </c>
      <c r="I20" s="4">
        <v>42402</v>
      </c>
      <c r="J20" s="3">
        <v>57.5</v>
      </c>
      <c r="K20" s="3">
        <v>2.5</v>
      </c>
      <c r="L20" s="3">
        <v>0</v>
      </c>
      <c r="M20" s="5">
        <v>0</v>
      </c>
      <c r="N20" s="5">
        <v>0</v>
      </c>
      <c r="O20" s="5">
        <v>0</v>
      </c>
      <c r="P20" s="5">
        <v>0</v>
      </c>
      <c r="Q20" s="5">
        <v>11.722674999999999</v>
      </c>
      <c r="R20" s="8">
        <f t="shared" si="0"/>
        <v>0</v>
      </c>
      <c r="S20" s="9">
        <f t="shared" si="1"/>
        <v>0</v>
      </c>
      <c r="T20" s="9">
        <f t="shared" si="2"/>
        <v>0</v>
      </c>
      <c r="U20" s="9">
        <f t="shared" si="3"/>
        <v>0</v>
      </c>
      <c r="V20" s="9">
        <f t="shared" si="4"/>
        <v>0</v>
      </c>
      <c r="W20" s="9">
        <f t="shared" si="5"/>
        <v>11.722674999999999</v>
      </c>
    </row>
    <row r="21" spans="1:23">
      <c r="A21" s="2" t="s">
        <v>235</v>
      </c>
      <c r="B21" s="2" t="s">
        <v>236</v>
      </c>
      <c r="C21" s="3">
        <v>43</v>
      </c>
      <c r="D21" s="3">
        <v>2.16</v>
      </c>
      <c r="E21" s="2" t="s">
        <v>243</v>
      </c>
      <c r="F21" s="4">
        <v>42402</v>
      </c>
      <c r="G21" s="3">
        <v>57.5</v>
      </c>
      <c r="H21" s="3">
        <v>2.5</v>
      </c>
      <c r="I21" s="4">
        <v>42417</v>
      </c>
      <c r="J21" s="3">
        <v>58</v>
      </c>
      <c r="K21" s="3">
        <v>2.5</v>
      </c>
      <c r="L21" s="3">
        <v>15</v>
      </c>
      <c r="M21" s="5">
        <v>0.5</v>
      </c>
      <c r="N21" s="5">
        <v>0</v>
      </c>
      <c r="O21" s="5">
        <v>32.400000000000006</v>
      </c>
      <c r="P21" s="5">
        <v>33.333333333333336</v>
      </c>
      <c r="Q21" s="5">
        <v>13.408280833333333</v>
      </c>
      <c r="R21" s="8">
        <f t="shared" si="0"/>
        <v>15</v>
      </c>
      <c r="S21" s="9">
        <f t="shared" si="1"/>
        <v>0.5</v>
      </c>
      <c r="T21" s="9">
        <f t="shared" si="2"/>
        <v>0</v>
      </c>
      <c r="U21" s="9">
        <f t="shared" si="3"/>
        <v>32.400000000000006</v>
      </c>
      <c r="V21" s="9">
        <f t="shared" si="4"/>
        <v>33.333333333333336</v>
      </c>
      <c r="W21" s="9">
        <f t="shared" si="5"/>
        <v>13.408280833333333</v>
      </c>
    </row>
    <row r="22" spans="1:23">
      <c r="A22" s="2" t="s">
        <v>235</v>
      </c>
      <c r="B22" s="2" t="s">
        <v>236</v>
      </c>
      <c r="C22" s="3">
        <v>43</v>
      </c>
      <c r="D22" s="3">
        <v>2.16</v>
      </c>
      <c r="E22" s="2" t="s">
        <v>243</v>
      </c>
      <c r="F22" s="4">
        <v>42402</v>
      </c>
      <c r="G22" s="3">
        <v>57.5</v>
      </c>
      <c r="H22" s="3">
        <v>2.5</v>
      </c>
      <c r="I22" s="4">
        <v>42430</v>
      </c>
      <c r="J22" s="3">
        <v>61</v>
      </c>
      <c r="K22" s="3">
        <v>3</v>
      </c>
      <c r="L22" s="3">
        <v>28</v>
      </c>
      <c r="M22" s="5">
        <v>3.5</v>
      </c>
      <c r="N22" s="5">
        <v>0.5</v>
      </c>
      <c r="O22" s="5">
        <v>60.480000000000004</v>
      </c>
      <c r="P22" s="5">
        <v>125</v>
      </c>
      <c r="Q22" s="5">
        <v>18.181082499999999</v>
      </c>
      <c r="R22" s="8">
        <f t="shared" si="0"/>
        <v>13</v>
      </c>
      <c r="S22" s="9">
        <f t="shared" si="1"/>
        <v>3</v>
      </c>
      <c r="T22" s="9">
        <f t="shared" si="2"/>
        <v>0.5</v>
      </c>
      <c r="U22" s="9">
        <f t="shared" si="3"/>
        <v>28.080000000000002</v>
      </c>
      <c r="V22" s="9">
        <f t="shared" si="4"/>
        <v>230.76923076923077</v>
      </c>
      <c r="W22" s="9">
        <f t="shared" si="5"/>
        <v>23.395505576923078</v>
      </c>
    </row>
    <row r="23" spans="1:23">
      <c r="A23" s="2" t="s">
        <v>235</v>
      </c>
      <c r="B23" s="2" t="s">
        <v>236</v>
      </c>
      <c r="C23" s="3">
        <v>43</v>
      </c>
      <c r="D23" s="3">
        <v>2.16</v>
      </c>
      <c r="E23" s="2" t="s">
        <v>244</v>
      </c>
      <c r="F23" s="4">
        <v>42402</v>
      </c>
      <c r="G23" s="3">
        <v>60.5</v>
      </c>
      <c r="H23" s="3">
        <v>3</v>
      </c>
      <c r="I23" s="4">
        <v>42402</v>
      </c>
      <c r="J23" s="3">
        <v>60.5</v>
      </c>
      <c r="K23" s="3">
        <v>3</v>
      </c>
      <c r="L23" s="3">
        <v>0</v>
      </c>
      <c r="M23" s="5">
        <v>0</v>
      </c>
      <c r="N23" s="5">
        <v>0</v>
      </c>
      <c r="O23" s="5">
        <v>0</v>
      </c>
      <c r="P23" s="5">
        <v>0</v>
      </c>
      <c r="Q23" s="5">
        <v>12.229944999999999</v>
      </c>
      <c r="R23" s="8">
        <f t="shared" si="0"/>
        <v>0</v>
      </c>
      <c r="S23" s="9">
        <f t="shared" si="1"/>
        <v>0</v>
      </c>
      <c r="T23" s="9">
        <f t="shared" si="2"/>
        <v>0</v>
      </c>
      <c r="U23" s="9">
        <f t="shared" si="3"/>
        <v>0</v>
      </c>
      <c r="V23" s="9">
        <f t="shared" si="4"/>
        <v>0</v>
      </c>
      <c r="W23" s="9">
        <f t="shared" si="5"/>
        <v>12.229944999999999</v>
      </c>
    </row>
    <row r="24" spans="1:23">
      <c r="A24" s="2" t="s">
        <v>235</v>
      </c>
      <c r="B24" s="2" t="s">
        <v>236</v>
      </c>
      <c r="C24" s="3">
        <v>43</v>
      </c>
      <c r="D24" s="3">
        <v>2.16</v>
      </c>
      <c r="E24" s="2" t="s">
        <v>244</v>
      </c>
      <c r="F24" s="4">
        <v>42402</v>
      </c>
      <c r="G24" s="3">
        <v>60.5</v>
      </c>
      <c r="H24" s="3">
        <v>3</v>
      </c>
      <c r="I24" s="4">
        <v>42417</v>
      </c>
      <c r="J24" s="3">
        <v>63</v>
      </c>
      <c r="K24" s="3">
        <v>3</v>
      </c>
      <c r="L24" s="3">
        <v>15</v>
      </c>
      <c r="M24" s="5">
        <v>2.5</v>
      </c>
      <c r="N24" s="5">
        <v>0</v>
      </c>
      <c r="O24" s="5">
        <v>32.400000000000006</v>
      </c>
      <c r="P24" s="5">
        <v>166.66666666666666</v>
      </c>
      <c r="Q24" s="5">
        <v>20.657974166666662</v>
      </c>
      <c r="R24" s="8">
        <f t="shared" si="0"/>
        <v>15</v>
      </c>
      <c r="S24" s="9">
        <f t="shared" si="1"/>
        <v>2.5</v>
      </c>
      <c r="T24" s="9">
        <f t="shared" si="2"/>
        <v>0</v>
      </c>
      <c r="U24" s="9">
        <f t="shared" si="3"/>
        <v>32.400000000000006</v>
      </c>
      <c r="V24" s="9">
        <f t="shared" si="4"/>
        <v>166.66666666666666</v>
      </c>
      <c r="W24" s="9">
        <f t="shared" si="5"/>
        <v>20.657974166666662</v>
      </c>
    </row>
    <row r="25" spans="1:23">
      <c r="A25" s="2" t="s">
        <v>235</v>
      </c>
      <c r="B25" s="2" t="s">
        <v>236</v>
      </c>
      <c r="C25" s="3">
        <v>43</v>
      </c>
      <c r="D25" s="3">
        <v>2.16</v>
      </c>
      <c r="E25" s="2" t="s">
        <v>244</v>
      </c>
      <c r="F25" s="4">
        <v>42402</v>
      </c>
      <c r="G25" s="3">
        <v>60.5</v>
      </c>
      <c r="H25" s="3">
        <v>3</v>
      </c>
      <c r="I25" s="4">
        <v>42430</v>
      </c>
      <c r="J25" s="3">
        <v>62</v>
      </c>
      <c r="K25" s="3">
        <v>2.75</v>
      </c>
      <c r="L25" s="3">
        <v>28</v>
      </c>
      <c r="M25" s="5">
        <v>1.5</v>
      </c>
      <c r="N25" s="5">
        <v>-0.25</v>
      </c>
      <c r="O25" s="5">
        <v>60.480000000000004</v>
      </c>
      <c r="P25" s="5">
        <v>53.571428571428569</v>
      </c>
      <c r="Q25" s="5">
        <v>14.997833928571428</v>
      </c>
      <c r="R25" s="8">
        <f t="shared" si="0"/>
        <v>13</v>
      </c>
      <c r="S25" s="9">
        <f t="shared" si="1"/>
        <v>-1</v>
      </c>
      <c r="T25" s="9">
        <f t="shared" si="2"/>
        <v>-0.25</v>
      </c>
      <c r="U25" s="9">
        <f t="shared" si="3"/>
        <v>28.080000000000002</v>
      </c>
      <c r="V25" s="9">
        <f t="shared" si="4"/>
        <v>-76.923076923076934</v>
      </c>
      <c r="W25" s="9">
        <f t="shared" si="5"/>
        <v>8.5644548076923073</v>
      </c>
    </row>
    <row r="26" spans="1:23">
      <c r="A26" s="2" t="s">
        <v>235</v>
      </c>
      <c r="B26" s="2" t="s">
        <v>236</v>
      </c>
      <c r="C26" s="3">
        <v>43</v>
      </c>
      <c r="D26" s="3">
        <v>2.16</v>
      </c>
      <c r="E26" s="2" t="s">
        <v>245</v>
      </c>
      <c r="F26" s="4">
        <v>42402</v>
      </c>
      <c r="G26" s="3">
        <v>61.5</v>
      </c>
      <c r="H26" s="3">
        <v>2.5</v>
      </c>
      <c r="I26" s="4">
        <v>42402</v>
      </c>
      <c r="J26" s="3">
        <v>61.5</v>
      </c>
      <c r="K26" s="3">
        <v>2.5</v>
      </c>
      <c r="L26" s="3">
        <v>0</v>
      </c>
      <c r="M26" s="5">
        <v>0</v>
      </c>
      <c r="N26" s="5">
        <v>0</v>
      </c>
      <c r="O26" s="5">
        <v>0</v>
      </c>
      <c r="P26" s="5">
        <v>0</v>
      </c>
      <c r="Q26" s="5">
        <v>12.399035</v>
      </c>
      <c r="R26" s="8">
        <f t="shared" si="0"/>
        <v>0</v>
      </c>
      <c r="S26" s="9">
        <f t="shared" si="1"/>
        <v>0</v>
      </c>
      <c r="T26" s="9">
        <f t="shared" si="2"/>
        <v>0</v>
      </c>
      <c r="U26" s="9">
        <f t="shared" si="3"/>
        <v>0</v>
      </c>
      <c r="V26" s="9">
        <f t="shared" si="4"/>
        <v>0</v>
      </c>
      <c r="W26" s="9">
        <f t="shared" si="5"/>
        <v>12.399035</v>
      </c>
    </row>
    <row r="27" spans="1:23">
      <c r="A27" s="2" t="s">
        <v>235</v>
      </c>
      <c r="B27" s="2" t="s">
        <v>236</v>
      </c>
      <c r="C27" s="3">
        <v>43</v>
      </c>
      <c r="D27" s="3">
        <v>2.16</v>
      </c>
      <c r="E27" s="2" t="s">
        <v>245</v>
      </c>
      <c r="F27" s="4">
        <v>42402</v>
      </c>
      <c r="G27" s="3">
        <v>61.5</v>
      </c>
      <c r="H27" s="3">
        <v>2.5</v>
      </c>
      <c r="I27" s="4">
        <v>42417</v>
      </c>
      <c r="J27" s="3">
        <v>66</v>
      </c>
      <c r="K27" s="3">
        <v>3</v>
      </c>
      <c r="L27" s="3">
        <v>15</v>
      </c>
      <c r="M27" s="5">
        <v>4.5</v>
      </c>
      <c r="N27" s="5">
        <v>0.5</v>
      </c>
      <c r="O27" s="5">
        <v>32.400000000000006</v>
      </c>
      <c r="P27" s="5">
        <v>300</v>
      </c>
      <c r="Q27" s="5">
        <v>27.569487500000001</v>
      </c>
      <c r="R27" s="8">
        <f t="shared" si="0"/>
        <v>15</v>
      </c>
      <c r="S27" s="9">
        <f t="shared" si="1"/>
        <v>4.5</v>
      </c>
      <c r="T27" s="9">
        <f t="shared" si="2"/>
        <v>0.5</v>
      </c>
      <c r="U27" s="9">
        <f t="shared" si="3"/>
        <v>32.400000000000006</v>
      </c>
      <c r="V27" s="9">
        <f t="shared" si="4"/>
        <v>300</v>
      </c>
      <c r="W27" s="9">
        <f t="shared" si="5"/>
        <v>27.569487500000001</v>
      </c>
    </row>
    <row r="28" spans="1:23">
      <c r="A28" s="2" t="s">
        <v>235</v>
      </c>
      <c r="B28" s="2" t="s">
        <v>236</v>
      </c>
      <c r="C28" s="3">
        <v>43</v>
      </c>
      <c r="D28" s="3">
        <v>2.16</v>
      </c>
      <c r="E28" s="2" t="s">
        <v>245</v>
      </c>
      <c r="F28" s="4">
        <v>42402</v>
      </c>
      <c r="G28" s="3">
        <v>61.5</v>
      </c>
      <c r="H28" s="3">
        <v>2.5</v>
      </c>
      <c r="I28" s="4">
        <v>42430</v>
      </c>
      <c r="J28" s="3">
        <v>69</v>
      </c>
      <c r="K28" s="3">
        <v>3.25</v>
      </c>
      <c r="L28" s="3">
        <v>28</v>
      </c>
      <c r="M28" s="5">
        <v>7.5</v>
      </c>
      <c r="N28" s="5">
        <v>0.75</v>
      </c>
      <c r="O28" s="5">
        <v>60.480000000000004</v>
      </c>
      <c r="P28" s="5">
        <v>267.85714285714283</v>
      </c>
      <c r="Q28" s="5">
        <v>26.238479642857143</v>
      </c>
      <c r="R28" s="8">
        <f t="shared" si="0"/>
        <v>13</v>
      </c>
      <c r="S28" s="9">
        <f t="shared" si="1"/>
        <v>3</v>
      </c>
      <c r="T28" s="9">
        <f t="shared" si="2"/>
        <v>0.25</v>
      </c>
      <c r="U28" s="9">
        <f t="shared" si="3"/>
        <v>28.080000000000002</v>
      </c>
      <c r="V28" s="9">
        <f t="shared" si="4"/>
        <v>230.76923076923077</v>
      </c>
      <c r="W28" s="9">
        <f t="shared" si="5"/>
        <v>24.410045576923075</v>
      </c>
    </row>
    <row r="29" spans="1:23">
      <c r="A29" s="2" t="s">
        <v>235</v>
      </c>
      <c r="B29" s="2" t="s">
        <v>236</v>
      </c>
      <c r="C29" s="3">
        <v>43</v>
      </c>
      <c r="D29" s="3">
        <v>2.16</v>
      </c>
      <c r="E29" s="2" t="s">
        <v>246</v>
      </c>
      <c r="F29" s="4">
        <v>42402</v>
      </c>
      <c r="G29" s="3">
        <v>65</v>
      </c>
      <c r="H29" s="3">
        <v>2.5</v>
      </c>
      <c r="I29" s="4">
        <v>42402</v>
      </c>
      <c r="J29" s="3">
        <v>65</v>
      </c>
      <c r="K29" s="3">
        <v>2.5</v>
      </c>
      <c r="L29" s="3">
        <v>0</v>
      </c>
      <c r="M29" s="5">
        <v>0</v>
      </c>
      <c r="N29" s="5">
        <v>0</v>
      </c>
      <c r="O29" s="5">
        <v>0</v>
      </c>
      <c r="P29" s="5">
        <v>0</v>
      </c>
      <c r="Q29" s="5">
        <v>12.99085</v>
      </c>
      <c r="R29" s="8">
        <f t="shared" si="0"/>
        <v>0</v>
      </c>
      <c r="S29" s="9">
        <f t="shared" si="1"/>
        <v>0</v>
      </c>
      <c r="T29" s="9">
        <f t="shared" si="2"/>
        <v>0</v>
      </c>
      <c r="U29" s="9">
        <f t="shared" si="3"/>
        <v>0</v>
      </c>
      <c r="V29" s="9">
        <f t="shared" si="4"/>
        <v>0</v>
      </c>
      <c r="W29" s="9">
        <f t="shared" si="5"/>
        <v>12.99085</v>
      </c>
    </row>
    <row r="30" spans="1:23">
      <c r="A30" s="2" t="s">
        <v>235</v>
      </c>
      <c r="B30" s="2" t="s">
        <v>236</v>
      </c>
      <c r="C30" s="3">
        <v>43</v>
      </c>
      <c r="D30" s="3">
        <v>2.16</v>
      </c>
      <c r="E30" s="2" t="s">
        <v>246</v>
      </c>
      <c r="F30" s="4">
        <v>42402</v>
      </c>
      <c r="G30" s="3">
        <v>65</v>
      </c>
      <c r="H30" s="3">
        <v>2.5</v>
      </c>
      <c r="I30" s="4">
        <v>42417</v>
      </c>
      <c r="J30" s="3">
        <v>67.5</v>
      </c>
      <c r="K30" s="3">
        <v>3</v>
      </c>
      <c r="L30" s="3">
        <v>15</v>
      </c>
      <c r="M30" s="5">
        <v>2.5</v>
      </c>
      <c r="N30" s="5">
        <v>0.5</v>
      </c>
      <c r="O30" s="5">
        <v>32.400000000000006</v>
      </c>
      <c r="P30" s="5">
        <v>166.66666666666666</v>
      </c>
      <c r="Q30" s="5">
        <v>21.418879166666663</v>
      </c>
      <c r="R30" s="8">
        <f t="shared" si="0"/>
        <v>15</v>
      </c>
      <c r="S30" s="9">
        <f t="shared" si="1"/>
        <v>2.5</v>
      </c>
      <c r="T30" s="9">
        <f t="shared" si="2"/>
        <v>0.5</v>
      </c>
      <c r="U30" s="9">
        <f t="shared" si="3"/>
        <v>32.400000000000006</v>
      </c>
      <c r="V30" s="9">
        <f t="shared" si="4"/>
        <v>166.66666666666666</v>
      </c>
      <c r="W30" s="9">
        <f t="shared" si="5"/>
        <v>21.418879166666663</v>
      </c>
    </row>
    <row r="31" spans="1:23">
      <c r="A31" s="2" t="s">
        <v>235</v>
      </c>
      <c r="B31" s="2" t="s">
        <v>236</v>
      </c>
      <c r="C31" s="3">
        <v>43</v>
      </c>
      <c r="D31" s="3">
        <v>2.16</v>
      </c>
      <c r="E31" s="2" t="s">
        <v>246</v>
      </c>
      <c r="F31" s="4">
        <v>42402</v>
      </c>
      <c r="G31" s="3">
        <v>65</v>
      </c>
      <c r="H31" s="3">
        <v>2.5</v>
      </c>
      <c r="I31" s="4">
        <v>42430</v>
      </c>
      <c r="J31" s="3">
        <v>70.5</v>
      </c>
      <c r="K31" s="3">
        <v>3.25</v>
      </c>
      <c r="L31" s="3">
        <v>28</v>
      </c>
      <c r="M31" s="5">
        <v>5.5</v>
      </c>
      <c r="N31" s="5">
        <v>0.75</v>
      </c>
      <c r="O31" s="5">
        <v>60.480000000000004</v>
      </c>
      <c r="P31" s="5">
        <v>196.42857142857142</v>
      </c>
      <c r="Q31" s="5">
        <v>23.139776071428571</v>
      </c>
      <c r="R31" s="8">
        <f t="shared" si="0"/>
        <v>13</v>
      </c>
      <c r="S31" s="9">
        <f t="shared" si="1"/>
        <v>3</v>
      </c>
      <c r="T31" s="9">
        <f t="shared" si="2"/>
        <v>0.25</v>
      </c>
      <c r="U31" s="9">
        <f t="shared" si="3"/>
        <v>28.080000000000002</v>
      </c>
      <c r="V31" s="9">
        <f t="shared" si="4"/>
        <v>230.76923076923077</v>
      </c>
      <c r="W31" s="9">
        <f t="shared" si="5"/>
        <v>24.832770576923075</v>
      </c>
    </row>
    <row r="32" spans="1:23">
      <c r="A32" s="2" t="s">
        <v>235</v>
      </c>
      <c r="B32" s="2" t="s">
        <v>236</v>
      </c>
      <c r="C32" s="3">
        <v>43</v>
      </c>
      <c r="D32" s="3">
        <v>2.16</v>
      </c>
      <c r="E32" s="2" t="s">
        <v>247</v>
      </c>
      <c r="F32" s="4">
        <v>42402</v>
      </c>
      <c r="G32" s="3">
        <v>65</v>
      </c>
      <c r="H32" s="3">
        <v>3</v>
      </c>
      <c r="I32" s="4">
        <v>42402</v>
      </c>
      <c r="J32" s="3">
        <v>65</v>
      </c>
      <c r="K32" s="3">
        <v>3</v>
      </c>
      <c r="L32" s="3">
        <v>0</v>
      </c>
      <c r="M32" s="5">
        <v>0</v>
      </c>
      <c r="N32" s="5">
        <v>0</v>
      </c>
      <c r="O32" s="5">
        <v>0</v>
      </c>
      <c r="P32" s="5">
        <v>0</v>
      </c>
      <c r="Q32" s="5">
        <v>12.99085</v>
      </c>
      <c r="R32" s="8">
        <f t="shared" si="0"/>
        <v>0</v>
      </c>
      <c r="S32" s="9">
        <f t="shared" si="1"/>
        <v>0</v>
      </c>
      <c r="T32" s="9">
        <f t="shared" si="2"/>
        <v>0</v>
      </c>
      <c r="U32" s="9">
        <f t="shared" si="3"/>
        <v>0</v>
      </c>
      <c r="V32" s="9">
        <f t="shared" si="4"/>
        <v>0</v>
      </c>
      <c r="W32" s="9">
        <f t="shared" si="5"/>
        <v>12.99085</v>
      </c>
    </row>
    <row r="33" spans="1:23">
      <c r="A33" s="2" t="s">
        <v>235</v>
      </c>
      <c r="B33" s="2" t="s">
        <v>236</v>
      </c>
      <c r="C33" s="3">
        <v>43</v>
      </c>
      <c r="D33" s="3">
        <v>2.16</v>
      </c>
      <c r="E33" s="2" t="s">
        <v>247</v>
      </c>
      <c r="F33" s="4">
        <v>42402</v>
      </c>
      <c r="G33" s="3">
        <v>65</v>
      </c>
      <c r="H33" s="3">
        <v>3</v>
      </c>
      <c r="I33" s="4">
        <v>42417</v>
      </c>
      <c r="J33" s="3">
        <v>66</v>
      </c>
      <c r="K33" s="3">
        <v>3</v>
      </c>
      <c r="L33" s="3">
        <v>15</v>
      </c>
      <c r="M33" s="5">
        <v>1</v>
      </c>
      <c r="N33" s="5">
        <v>0</v>
      </c>
      <c r="O33" s="5">
        <v>32.400000000000006</v>
      </c>
      <c r="P33" s="5">
        <v>66.666666666666671</v>
      </c>
      <c r="Q33" s="5">
        <v>16.362061666666666</v>
      </c>
      <c r="R33" s="8">
        <f t="shared" si="0"/>
        <v>15</v>
      </c>
      <c r="S33" s="9">
        <f t="shared" si="1"/>
        <v>1</v>
      </c>
      <c r="T33" s="9">
        <f t="shared" si="2"/>
        <v>0</v>
      </c>
      <c r="U33" s="9">
        <f t="shared" si="3"/>
        <v>32.400000000000006</v>
      </c>
      <c r="V33" s="9">
        <f t="shared" si="4"/>
        <v>66.666666666666671</v>
      </c>
      <c r="W33" s="9">
        <f t="shared" si="5"/>
        <v>16.362061666666666</v>
      </c>
    </row>
    <row r="34" spans="1:23">
      <c r="A34" s="2" t="s">
        <v>235</v>
      </c>
      <c r="B34" s="2" t="s">
        <v>236</v>
      </c>
      <c r="C34" s="3">
        <v>43</v>
      </c>
      <c r="D34" s="3">
        <v>2.16</v>
      </c>
      <c r="E34" s="2" t="s">
        <v>247</v>
      </c>
      <c r="F34" s="4">
        <v>42402</v>
      </c>
      <c r="G34" s="3">
        <v>65</v>
      </c>
      <c r="H34" s="3">
        <v>3</v>
      </c>
      <c r="I34" s="4">
        <v>42430</v>
      </c>
      <c r="J34" s="3">
        <v>69</v>
      </c>
      <c r="K34" s="3">
        <v>3.25</v>
      </c>
      <c r="L34" s="3">
        <v>28</v>
      </c>
      <c r="M34" s="5">
        <v>4</v>
      </c>
      <c r="N34" s="5">
        <v>0.25</v>
      </c>
      <c r="O34" s="5">
        <v>60.480000000000004</v>
      </c>
      <c r="P34" s="5">
        <v>142.85714285714286</v>
      </c>
      <c r="Q34" s="5">
        <v>20.37188714285714</v>
      </c>
      <c r="R34" s="8">
        <f t="shared" si="0"/>
        <v>13</v>
      </c>
      <c r="S34" s="9">
        <f t="shared" si="1"/>
        <v>3</v>
      </c>
      <c r="T34" s="9">
        <f t="shared" si="2"/>
        <v>0.25</v>
      </c>
      <c r="U34" s="9">
        <f t="shared" si="3"/>
        <v>28.080000000000002</v>
      </c>
      <c r="V34" s="9">
        <f t="shared" si="4"/>
        <v>230.76923076923077</v>
      </c>
      <c r="W34" s="9">
        <f t="shared" si="5"/>
        <v>24.705953076923077</v>
      </c>
    </row>
    <row r="35" spans="1:23">
      <c r="A35" s="2" t="s">
        <v>235</v>
      </c>
      <c r="B35" s="2" t="s">
        <v>236</v>
      </c>
      <c r="C35" s="3">
        <v>43</v>
      </c>
      <c r="D35" s="3">
        <v>2.16</v>
      </c>
      <c r="E35" s="2" t="s">
        <v>248</v>
      </c>
      <c r="F35" s="4">
        <v>42402</v>
      </c>
      <c r="G35" s="3">
        <v>60</v>
      </c>
      <c r="H35" s="3">
        <v>3</v>
      </c>
      <c r="I35" s="4">
        <v>42402</v>
      </c>
      <c r="J35" s="3">
        <v>60</v>
      </c>
      <c r="K35" s="3">
        <v>3</v>
      </c>
      <c r="L35" s="3">
        <v>0</v>
      </c>
      <c r="M35" s="5">
        <v>0</v>
      </c>
      <c r="N35" s="5">
        <v>0</v>
      </c>
      <c r="O35" s="5">
        <v>0</v>
      </c>
      <c r="P35" s="5">
        <v>0</v>
      </c>
      <c r="Q35" s="5">
        <v>12.145399999999999</v>
      </c>
      <c r="R35" s="8">
        <f t="shared" si="0"/>
        <v>0</v>
      </c>
      <c r="S35" s="9">
        <f t="shared" si="1"/>
        <v>0</v>
      </c>
      <c r="T35" s="9">
        <f t="shared" si="2"/>
        <v>0</v>
      </c>
      <c r="U35" s="9">
        <f t="shared" si="3"/>
        <v>0</v>
      </c>
      <c r="V35" s="9">
        <f t="shared" si="4"/>
        <v>0</v>
      </c>
      <c r="W35" s="9">
        <f t="shared" si="5"/>
        <v>12.145399999999999</v>
      </c>
    </row>
    <row r="36" spans="1:23">
      <c r="A36" s="2" t="s">
        <v>235</v>
      </c>
      <c r="B36" s="2" t="s">
        <v>236</v>
      </c>
      <c r="C36" s="3">
        <v>43</v>
      </c>
      <c r="D36" s="3">
        <v>2.16</v>
      </c>
      <c r="E36" s="2" t="s">
        <v>248</v>
      </c>
      <c r="F36" s="4">
        <v>42402</v>
      </c>
      <c r="G36" s="3">
        <v>60</v>
      </c>
      <c r="H36" s="3">
        <v>3</v>
      </c>
      <c r="I36" s="4">
        <v>42417</v>
      </c>
      <c r="J36" s="3">
        <v>63</v>
      </c>
      <c r="K36" s="3">
        <v>3.25</v>
      </c>
      <c r="L36" s="3">
        <v>15</v>
      </c>
      <c r="M36" s="5">
        <v>3</v>
      </c>
      <c r="N36" s="5">
        <v>0.25</v>
      </c>
      <c r="O36" s="5">
        <v>32.400000000000006</v>
      </c>
      <c r="P36" s="5">
        <v>200</v>
      </c>
      <c r="Q36" s="5">
        <v>22.259034999999997</v>
      </c>
      <c r="R36" s="8">
        <f t="shared" si="0"/>
        <v>15</v>
      </c>
      <c r="S36" s="9">
        <f t="shared" si="1"/>
        <v>3</v>
      </c>
      <c r="T36" s="9">
        <f t="shared" si="2"/>
        <v>0.25</v>
      </c>
      <c r="U36" s="9">
        <f t="shared" si="3"/>
        <v>32.400000000000006</v>
      </c>
      <c r="V36" s="9">
        <f t="shared" si="4"/>
        <v>200</v>
      </c>
      <c r="W36" s="9">
        <f t="shared" si="5"/>
        <v>22.259034999999997</v>
      </c>
    </row>
    <row r="37" spans="1:23">
      <c r="A37" s="2" t="s">
        <v>235</v>
      </c>
      <c r="B37" s="2" t="s">
        <v>236</v>
      </c>
      <c r="C37" s="3">
        <v>43</v>
      </c>
      <c r="D37" s="3">
        <v>2.16</v>
      </c>
      <c r="E37" s="2" t="s">
        <v>248</v>
      </c>
      <c r="F37" s="4">
        <v>42402</v>
      </c>
      <c r="G37" s="3">
        <v>60</v>
      </c>
      <c r="H37" s="3">
        <v>3</v>
      </c>
      <c r="I37" s="4">
        <v>42430</v>
      </c>
      <c r="J37" s="3">
        <v>62.5</v>
      </c>
      <c r="K37" s="3">
        <v>3</v>
      </c>
      <c r="L37" s="3">
        <v>28</v>
      </c>
      <c r="M37" s="5">
        <v>2.5</v>
      </c>
      <c r="N37" s="5">
        <v>0</v>
      </c>
      <c r="O37" s="5">
        <v>60.480000000000004</v>
      </c>
      <c r="P37" s="5">
        <v>89.285714285714292</v>
      </c>
      <c r="Q37" s="5">
        <v>16.758548214285714</v>
      </c>
      <c r="R37" s="8">
        <f t="shared" si="0"/>
        <v>13</v>
      </c>
      <c r="S37" s="9">
        <f t="shared" si="1"/>
        <v>-0.5</v>
      </c>
      <c r="T37" s="9">
        <f t="shared" si="2"/>
        <v>-0.25</v>
      </c>
      <c r="U37" s="9">
        <f t="shared" si="3"/>
        <v>28.080000000000002</v>
      </c>
      <c r="V37" s="9">
        <f t="shared" si="4"/>
        <v>-38.461538461538467</v>
      </c>
      <c r="W37" s="9">
        <f t="shared" si="5"/>
        <v>10.460608653846153</v>
      </c>
    </row>
    <row r="38" spans="1:23">
      <c r="A38" s="2" t="s">
        <v>235</v>
      </c>
      <c r="B38" s="2" t="s">
        <v>236</v>
      </c>
      <c r="C38" s="3">
        <v>43</v>
      </c>
      <c r="D38" s="3">
        <v>2.16</v>
      </c>
      <c r="E38" s="2" t="s">
        <v>249</v>
      </c>
      <c r="F38" s="4">
        <v>42402</v>
      </c>
      <c r="G38" s="3">
        <v>64</v>
      </c>
      <c r="H38" s="3">
        <v>3</v>
      </c>
      <c r="I38" s="4">
        <v>42402</v>
      </c>
      <c r="J38" s="3">
        <v>64</v>
      </c>
      <c r="K38" s="3">
        <v>3</v>
      </c>
      <c r="L38" s="3">
        <v>0</v>
      </c>
      <c r="M38" s="5">
        <v>0</v>
      </c>
      <c r="N38" s="5">
        <v>0</v>
      </c>
      <c r="O38" s="5">
        <v>0</v>
      </c>
      <c r="P38" s="5">
        <v>0</v>
      </c>
      <c r="Q38" s="5">
        <v>12.821759999999999</v>
      </c>
      <c r="R38" s="8">
        <f t="shared" si="0"/>
        <v>0</v>
      </c>
      <c r="S38" s="9">
        <f t="shared" si="1"/>
        <v>0</v>
      </c>
      <c r="T38" s="9">
        <f t="shared" si="2"/>
        <v>0</v>
      </c>
      <c r="U38" s="9">
        <f t="shared" si="3"/>
        <v>0</v>
      </c>
      <c r="V38" s="9">
        <f t="shared" si="4"/>
        <v>0</v>
      </c>
      <c r="W38" s="9">
        <f t="shared" si="5"/>
        <v>12.821759999999999</v>
      </c>
    </row>
    <row r="39" spans="1:23">
      <c r="A39" s="2" t="s">
        <v>235</v>
      </c>
      <c r="B39" s="2" t="s">
        <v>236</v>
      </c>
      <c r="C39" s="3">
        <v>43</v>
      </c>
      <c r="D39" s="3">
        <v>2.16</v>
      </c>
      <c r="E39" s="2" t="s">
        <v>249</v>
      </c>
      <c r="F39" s="4">
        <v>42402</v>
      </c>
      <c r="G39" s="3">
        <v>64</v>
      </c>
      <c r="H39" s="3">
        <v>3</v>
      </c>
      <c r="I39" s="4">
        <v>42417</v>
      </c>
      <c r="J39" s="3">
        <v>66</v>
      </c>
      <c r="K39" s="3">
        <v>3</v>
      </c>
      <c r="L39" s="3">
        <v>15</v>
      </c>
      <c r="M39" s="5">
        <v>2</v>
      </c>
      <c r="N39" s="5">
        <v>0</v>
      </c>
      <c r="O39" s="5">
        <v>32.400000000000006</v>
      </c>
      <c r="P39" s="5">
        <v>133.33333333333334</v>
      </c>
      <c r="Q39" s="5">
        <v>19.564183333333332</v>
      </c>
      <c r="R39" s="8">
        <f t="shared" si="0"/>
        <v>15</v>
      </c>
      <c r="S39" s="9">
        <f t="shared" si="1"/>
        <v>2</v>
      </c>
      <c r="T39" s="9">
        <f t="shared" si="2"/>
        <v>0</v>
      </c>
      <c r="U39" s="9">
        <f t="shared" si="3"/>
        <v>32.400000000000006</v>
      </c>
      <c r="V39" s="9">
        <f t="shared" si="4"/>
        <v>133.33333333333334</v>
      </c>
      <c r="W39" s="9">
        <f t="shared" si="5"/>
        <v>19.564183333333332</v>
      </c>
    </row>
    <row r="40" spans="1:23">
      <c r="A40" s="2" t="s">
        <v>235</v>
      </c>
      <c r="B40" s="2" t="s">
        <v>236</v>
      </c>
      <c r="C40" s="3">
        <v>43</v>
      </c>
      <c r="D40" s="3">
        <v>2.16</v>
      </c>
      <c r="E40" s="2" t="s">
        <v>249</v>
      </c>
      <c r="F40" s="4">
        <v>42402</v>
      </c>
      <c r="G40" s="3">
        <v>64</v>
      </c>
      <c r="H40" s="3">
        <v>3</v>
      </c>
      <c r="I40" s="4">
        <v>42430</v>
      </c>
      <c r="J40" s="3">
        <v>68</v>
      </c>
      <c r="K40" s="3">
        <v>3.25</v>
      </c>
      <c r="L40" s="3">
        <v>28</v>
      </c>
      <c r="M40" s="5">
        <v>4</v>
      </c>
      <c r="N40" s="5">
        <v>0.25</v>
      </c>
      <c r="O40" s="5">
        <v>60.480000000000004</v>
      </c>
      <c r="P40" s="5">
        <v>142.85714285714286</v>
      </c>
      <c r="Q40" s="5">
        <v>20.20279714285714</v>
      </c>
      <c r="R40" s="8">
        <f t="shared" si="0"/>
        <v>13</v>
      </c>
      <c r="S40" s="9">
        <f t="shared" si="1"/>
        <v>2</v>
      </c>
      <c r="T40" s="9">
        <f t="shared" si="2"/>
        <v>0.25</v>
      </c>
      <c r="U40" s="9">
        <f t="shared" si="3"/>
        <v>28.080000000000002</v>
      </c>
      <c r="V40" s="9">
        <f t="shared" si="4"/>
        <v>153.84615384615387</v>
      </c>
      <c r="W40" s="9">
        <f t="shared" si="5"/>
        <v>20.744555384615381</v>
      </c>
    </row>
    <row r="41" spans="1:23">
      <c r="A41" s="2" t="s">
        <v>235</v>
      </c>
      <c r="B41" s="2" t="s">
        <v>236</v>
      </c>
      <c r="C41" s="3">
        <v>43</v>
      </c>
      <c r="D41" s="3">
        <v>2.16</v>
      </c>
      <c r="E41" s="2" t="s">
        <v>250</v>
      </c>
      <c r="F41" s="4">
        <v>42402</v>
      </c>
      <c r="G41" s="3">
        <v>61.5</v>
      </c>
      <c r="H41" s="3">
        <v>2.5</v>
      </c>
      <c r="I41" s="4">
        <v>42402</v>
      </c>
      <c r="J41" s="3">
        <v>61.5</v>
      </c>
      <c r="K41" s="3">
        <v>2.5</v>
      </c>
      <c r="L41" s="3">
        <v>0</v>
      </c>
      <c r="M41" s="5">
        <v>0</v>
      </c>
      <c r="N41" s="5">
        <v>0</v>
      </c>
      <c r="O41" s="5">
        <v>0</v>
      </c>
      <c r="P41" s="5">
        <v>0</v>
      </c>
      <c r="Q41" s="5">
        <v>12.399035</v>
      </c>
      <c r="R41" s="8">
        <f t="shared" si="0"/>
        <v>0</v>
      </c>
      <c r="S41" s="9">
        <f t="shared" si="1"/>
        <v>0</v>
      </c>
      <c r="T41" s="9">
        <f t="shared" si="2"/>
        <v>0</v>
      </c>
      <c r="U41" s="9">
        <f t="shared" si="3"/>
        <v>0</v>
      </c>
      <c r="V41" s="9">
        <f t="shared" si="4"/>
        <v>0</v>
      </c>
      <c r="W41" s="9">
        <f t="shared" si="5"/>
        <v>12.399035</v>
      </c>
    </row>
    <row r="42" spans="1:23">
      <c r="A42" s="2" t="s">
        <v>235</v>
      </c>
      <c r="B42" s="2" t="s">
        <v>236</v>
      </c>
      <c r="C42" s="3">
        <v>43</v>
      </c>
      <c r="D42" s="3">
        <v>2.16</v>
      </c>
      <c r="E42" s="2" t="s">
        <v>250</v>
      </c>
      <c r="F42" s="4">
        <v>42402</v>
      </c>
      <c r="G42" s="3">
        <v>61.5</v>
      </c>
      <c r="H42" s="3">
        <v>2.5</v>
      </c>
      <c r="I42" s="4">
        <v>42417</v>
      </c>
      <c r="J42" s="3">
        <v>62</v>
      </c>
      <c r="K42" s="3">
        <v>2.5</v>
      </c>
      <c r="L42" s="3">
        <v>15</v>
      </c>
      <c r="M42" s="5">
        <v>0.5</v>
      </c>
      <c r="N42" s="5">
        <v>0</v>
      </c>
      <c r="O42" s="5">
        <v>32.400000000000006</v>
      </c>
      <c r="P42" s="5">
        <v>33.333333333333336</v>
      </c>
      <c r="Q42" s="5">
        <v>14.084640833333331</v>
      </c>
      <c r="R42" s="8">
        <f t="shared" si="0"/>
        <v>15</v>
      </c>
      <c r="S42" s="9">
        <f t="shared" si="1"/>
        <v>0.5</v>
      </c>
      <c r="T42" s="9">
        <f t="shared" si="2"/>
        <v>0</v>
      </c>
      <c r="U42" s="9">
        <f t="shared" si="3"/>
        <v>32.400000000000006</v>
      </c>
      <c r="V42" s="9">
        <f t="shared" si="4"/>
        <v>33.333333333333336</v>
      </c>
      <c r="W42" s="9">
        <f t="shared" si="5"/>
        <v>14.084640833333331</v>
      </c>
    </row>
    <row r="43" spans="1:23">
      <c r="A43" s="2" t="s">
        <v>235</v>
      </c>
      <c r="B43" s="2" t="s">
        <v>236</v>
      </c>
      <c r="C43" s="3">
        <v>43</v>
      </c>
      <c r="D43" s="3">
        <v>2.16</v>
      </c>
      <c r="E43" s="2" t="s">
        <v>250</v>
      </c>
      <c r="F43" s="4">
        <v>42402</v>
      </c>
      <c r="G43" s="3">
        <v>61.5</v>
      </c>
      <c r="H43" s="3">
        <v>2.5</v>
      </c>
      <c r="I43" s="4">
        <v>42430</v>
      </c>
      <c r="J43" s="3">
        <v>67</v>
      </c>
      <c r="K43" s="3">
        <v>3</v>
      </c>
      <c r="L43" s="3">
        <v>28</v>
      </c>
      <c r="M43" s="5">
        <v>5.5</v>
      </c>
      <c r="N43" s="5">
        <v>0.5</v>
      </c>
      <c r="O43" s="5">
        <v>60.480000000000004</v>
      </c>
      <c r="P43" s="5">
        <v>196.42857142857142</v>
      </c>
      <c r="Q43" s="5">
        <v>22.547961071428567</v>
      </c>
      <c r="R43" s="8">
        <f t="shared" si="0"/>
        <v>13</v>
      </c>
      <c r="S43" s="9">
        <f t="shared" si="1"/>
        <v>5</v>
      </c>
      <c r="T43" s="9">
        <f t="shared" si="2"/>
        <v>0.5</v>
      </c>
      <c r="U43" s="9">
        <f t="shared" si="3"/>
        <v>28.080000000000002</v>
      </c>
      <c r="V43" s="9">
        <f t="shared" si="4"/>
        <v>384.61538461538464</v>
      </c>
      <c r="W43" s="9">
        <f t="shared" si="5"/>
        <v>31.82557096153846</v>
      </c>
    </row>
    <row r="44" spans="1:23">
      <c r="A44" s="2" t="s">
        <v>235</v>
      </c>
      <c r="B44" s="2" t="s">
        <v>236</v>
      </c>
      <c r="C44" s="3">
        <v>43</v>
      </c>
      <c r="D44" s="3">
        <v>2.16</v>
      </c>
      <c r="E44" s="2" t="s">
        <v>251</v>
      </c>
      <c r="F44" s="4">
        <v>42402</v>
      </c>
      <c r="G44" s="3">
        <v>63</v>
      </c>
      <c r="H44" s="3">
        <v>3</v>
      </c>
      <c r="I44" s="4">
        <v>42402</v>
      </c>
      <c r="J44" s="3">
        <v>63</v>
      </c>
      <c r="K44" s="3">
        <v>3</v>
      </c>
      <c r="L44" s="3">
        <v>0</v>
      </c>
      <c r="M44" s="5">
        <v>0</v>
      </c>
      <c r="N44" s="5">
        <v>0</v>
      </c>
      <c r="O44" s="5">
        <v>0</v>
      </c>
      <c r="P44" s="5">
        <v>0</v>
      </c>
      <c r="Q44" s="5">
        <v>12.652669999999999</v>
      </c>
      <c r="R44" s="8">
        <f t="shared" si="0"/>
        <v>0</v>
      </c>
      <c r="S44" s="9">
        <f t="shared" si="1"/>
        <v>0</v>
      </c>
      <c r="T44" s="9">
        <f t="shared" si="2"/>
        <v>0</v>
      </c>
      <c r="U44" s="9">
        <f t="shared" si="3"/>
        <v>0</v>
      </c>
      <c r="V44" s="9">
        <f t="shared" si="4"/>
        <v>0</v>
      </c>
      <c r="W44" s="9">
        <f t="shared" si="5"/>
        <v>12.652669999999999</v>
      </c>
    </row>
    <row r="45" spans="1:23">
      <c r="A45" s="2" t="s">
        <v>235</v>
      </c>
      <c r="B45" s="2" t="s">
        <v>236</v>
      </c>
      <c r="C45" s="3">
        <v>43</v>
      </c>
      <c r="D45" s="3">
        <v>2.16</v>
      </c>
      <c r="E45" s="2" t="s">
        <v>251</v>
      </c>
      <c r="F45" s="4">
        <v>42402</v>
      </c>
      <c r="G45" s="3">
        <v>63</v>
      </c>
      <c r="H45" s="3">
        <v>3</v>
      </c>
      <c r="I45" s="4">
        <v>42417</v>
      </c>
      <c r="J45" s="3">
        <v>64.5</v>
      </c>
      <c r="K45" s="3">
        <v>3</v>
      </c>
      <c r="L45" s="3">
        <v>15</v>
      </c>
      <c r="M45" s="5">
        <v>1.5</v>
      </c>
      <c r="N45" s="5">
        <v>0</v>
      </c>
      <c r="O45" s="5">
        <v>32.400000000000006</v>
      </c>
      <c r="P45" s="5">
        <v>100</v>
      </c>
      <c r="Q45" s="5">
        <v>17.709487500000002</v>
      </c>
      <c r="R45" s="8">
        <f t="shared" si="0"/>
        <v>15</v>
      </c>
      <c r="S45" s="9">
        <f t="shared" si="1"/>
        <v>1.5</v>
      </c>
      <c r="T45" s="9">
        <f t="shared" si="2"/>
        <v>0</v>
      </c>
      <c r="U45" s="9">
        <f t="shared" si="3"/>
        <v>32.400000000000006</v>
      </c>
      <c r="V45" s="9">
        <f t="shared" si="4"/>
        <v>100</v>
      </c>
      <c r="W45" s="9">
        <f t="shared" si="5"/>
        <v>17.709487500000002</v>
      </c>
    </row>
    <row r="46" spans="1:23">
      <c r="A46" s="2" t="s">
        <v>235</v>
      </c>
      <c r="B46" s="2" t="s">
        <v>236</v>
      </c>
      <c r="C46" s="3">
        <v>43</v>
      </c>
      <c r="D46" s="3">
        <v>2.16</v>
      </c>
      <c r="E46" s="2" t="s">
        <v>251</v>
      </c>
      <c r="F46" s="4">
        <v>42402</v>
      </c>
      <c r="G46" s="3">
        <v>63</v>
      </c>
      <c r="H46" s="3">
        <v>3</v>
      </c>
      <c r="I46" s="4">
        <v>42430</v>
      </c>
      <c r="J46" s="3">
        <v>66</v>
      </c>
      <c r="K46" s="3">
        <v>3.25</v>
      </c>
      <c r="L46" s="3">
        <v>28</v>
      </c>
      <c r="M46" s="5">
        <v>3</v>
      </c>
      <c r="N46" s="5">
        <v>0.25</v>
      </c>
      <c r="O46" s="5">
        <v>60.480000000000004</v>
      </c>
      <c r="P46" s="5">
        <v>107.14285714285714</v>
      </c>
      <c r="Q46" s="5">
        <v>18.188447857142855</v>
      </c>
      <c r="R46" s="8">
        <f t="shared" si="0"/>
        <v>13</v>
      </c>
      <c r="S46" s="9">
        <f t="shared" si="1"/>
        <v>1.5</v>
      </c>
      <c r="T46" s="9">
        <f t="shared" si="2"/>
        <v>0.25</v>
      </c>
      <c r="U46" s="9">
        <f t="shared" si="3"/>
        <v>28.080000000000002</v>
      </c>
      <c r="V46" s="9">
        <f t="shared" si="4"/>
        <v>115.38461538461539</v>
      </c>
      <c r="W46" s="9">
        <f t="shared" si="5"/>
        <v>18.594766538461538</v>
      </c>
    </row>
    <row r="47" spans="1:23">
      <c r="A47" s="2" t="s">
        <v>235</v>
      </c>
      <c r="B47" s="2" t="s">
        <v>236</v>
      </c>
      <c r="C47" s="3">
        <v>43</v>
      </c>
      <c r="D47" s="3">
        <v>2.16</v>
      </c>
      <c r="E47" s="2" t="s">
        <v>252</v>
      </c>
      <c r="F47" s="4">
        <v>42402</v>
      </c>
      <c r="G47" s="3">
        <v>63</v>
      </c>
      <c r="H47" s="3">
        <v>3</v>
      </c>
      <c r="I47" s="4">
        <v>42402</v>
      </c>
      <c r="J47" s="3">
        <v>63</v>
      </c>
      <c r="K47" s="3">
        <v>3</v>
      </c>
      <c r="L47" s="3">
        <v>0</v>
      </c>
      <c r="M47" s="5">
        <v>0</v>
      </c>
      <c r="N47" s="5">
        <v>0</v>
      </c>
      <c r="O47" s="5">
        <v>0</v>
      </c>
      <c r="P47" s="5">
        <v>0</v>
      </c>
      <c r="Q47" s="5">
        <v>12.652669999999999</v>
      </c>
      <c r="R47" s="8">
        <f t="shared" si="0"/>
        <v>0</v>
      </c>
      <c r="S47" s="9">
        <f t="shared" si="1"/>
        <v>0</v>
      </c>
      <c r="T47" s="9">
        <f t="shared" si="2"/>
        <v>0</v>
      </c>
      <c r="U47" s="9">
        <f t="shared" si="3"/>
        <v>0</v>
      </c>
      <c r="V47" s="9">
        <f t="shared" si="4"/>
        <v>0</v>
      </c>
      <c r="W47" s="9">
        <f t="shared" si="5"/>
        <v>12.652669999999999</v>
      </c>
    </row>
    <row r="48" spans="1:23">
      <c r="A48" s="2" t="s">
        <v>235</v>
      </c>
      <c r="B48" s="2" t="s">
        <v>236</v>
      </c>
      <c r="C48" s="3">
        <v>43</v>
      </c>
      <c r="D48" s="3">
        <v>2.16</v>
      </c>
      <c r="E48" s="2" t="s">
        <v>252</v>
      </c>
      <c r="F48" s="4">
        <v>42402</v>
      </c>
      <c r="G48" s="3">
        <v>63</v>
      </c>
      <c r="H48" s="3">
        <v>3</v>
      </c>
      <c r="I48" s="4">
        <v>42417</v>
      </c>
      <c r="J48" s="3">
        <v>65.5</v>
      </c>
      <c r="K48" s="3">
        <v>2.5</v>
      </c>
      <c r="L48" s="3">
        <v>15</v>
      </c>
      <c r="M48" s="5">
        <v>2.5</v>
      </c>
      <c r="N48" s="5">
        <v>-0.5</v>
      </c>
      <c r="O48" s="5">
        <v>32.400000000000006</v>
      </c>
      <c r="P48" s="5">
        <v>166.66666666666666</v>
      </c>
      <c r="Q48" s="5">
        <v>21.080699166666662</v>
      </c>
      <c r="R48" s="8">
        <f t="shared" si="0"/>
        <v>15</v>
      </c>
      <c r="S48" s="9">
        <f t="shared" si="1"/>
        <v>2.5</v>
      </c>
      <c r="T48" s="9">
        <f t="shared" si="2"/>
        <v>-0.5</v>
      </c>
      <c r="U48" s="9">
        <f t="shared" si="3"/>
        <v>32.400000000000006</v>
      </c>
      <c r="V48" s="9">
        <f t="shared" si="4"/>
        <v>166.66666666666666</v>
      </c>
      <c r="W48" s="9">
        <f t="shared" si="5"/>
        <v>21.080699166666662</v>
      </c>
    </row>
    <row r="49" spans="1:23">
      <c r="A49" s="2" t="s">
        <v>235</v>
      </c>
      <c r="B49" s="2" t="s">
        <v>236</v>
      </c>
      <c r="C49" s="3">
        <v>43</v>
      </c>
      <c r="D49" s="3">
        <v>2.16</v>
      </c>
      <c r="E49" s="2" t="s">
        <v>252</v>
      </c>
      <c r="F49" s="4">
        <v>42402</v>
      </c>
      <c r="G49" s="3">
        <v>63</v>
      </c>
      <c r="H49" s="3">
        <v>3</v>
      </c>
      <c r="I49" s="4">
        <v>42430</v>
      </c>
      <c r="J49" s="3">
        <v>68</v>
      </c>
      <c r="K49" s="3">
        <v>2.75</v>
      </c>
      <c r="L49" s="3">
        <v>28</v>
      </c>
      <c r="M49" s="5">
        <v>5</v>
      </c>
      <c r="N49" s="5">
        <v>-0.25</v>
      </c>
      <c r="O49" s="5">
        <v>60.480000000000004</v>
      </c>
      <c r="P49" s="5">
        <v>178.57142857142858</v>
      </c>
      <c r="Q49" s="5">
        <v>21.878966428571427</v>
      </c>
      <c r="R49" s="8">
        <f t="shared" si="0"/>
        <v>13</v>
      </c>
      <c r="S49" s="9">
        <f t="shared" si="1"/>
        <v>2.5</v>
      </c>
      <c r="T49" s="9">
        <f t="shared" si="2"/>
        <v>0.25</v>
      </c>
      <c r="U49" s="9">
        <f t="shared" si="3"/>
        <v>28.080000000000002</v>
      </c>
      <c r="V49" s="9">
        <f t="shared" si="4"/>
        <v>192.30769230769232</v>
      </c>
      <c r="W49" s="9">
        <f t="shared" si="5"/>
        <v>22.556164230769227</v>
      </c>
    </row>
    <row r="50" spans="1:23">
      <c r="A50" s="2" t="s">
        <v>235</v>
      </c>
      <c r="B50" s="2" t="s">
        <v>236</v>
      </c>
      <c r="C50" s="3">
        <v>43</v>
      </c>
      <c r="D50" s="3">
        <v>2.16</v>
      </c>
      <c r="E50" s="2" t="s">
        <v>253</v>
      </c>
      <c r="F50" s="4">
        <v>42402</v>
      </c>
      <c r="G50" s="3">
        <v>60</v>
      </c>
      <c r="H50" s="3">
        <v>2.5</v>
      </c>
      <c r="I50" s="4">
        <v>42402</v>
      </c>
      <c r="J50" s="3">
        <v>60</v>
      </c>
      <c r="K50" s="3">
        <v>2.5</v>
      </c>
      <c r="L50" s="3">
        <v>0</v>
      </c>
      <c r="M50" s="5">
        <v>0</v>
      </c>
      <c r="N50" s="5">
        <v>0</v>
      </c>
      <c r="O50" s="5">
        <v>0</v>
      </c>
      <c r="P50" s="5">
        <v>0</v>
      </c>
      <c r="Q50" s="5">
        <v>12.145399999999999</v>
      </c>
      <c r="R50" s="8">
        <f t="shared" si="0"/>
        <v>0</v>
      </c>
      <c r="S50" s="9">
        <f t="shared" si="1"/>
        <v>0</v>
      </c>
      <c r="T50" s="9">
        <f t="shared" si="2"/>
        <v>0</v>
      </c>
      <c r="U50" s="9">
        <f t="shared" si="3"/>
        <v>0</v>
      </c>
      <c r="V50" s="9">
        <f t="shared" si="4"/>
        <v>0</v>
      </c>
      <c r="W50" s="9">
        <f t="shared" si="5"/>
        <v>12.145399999999999</v>
      </c>
    </row>
    <row r="51" spans="1:23">
      <c r="A51" s="2" t="s">
        <v>235</v>
      </c>
      <c r="B51" s="2" t="s">
        <v>236</v>
      </c>
      <c r="C51" s="3">
        <v>43</v>
      </c>
      <c r="D51" s="3">
        <v>2.16</v>
      </c>
      <c r="E51" s="2" t="s">
        <v>253</v>
      </c>
      <c r="F51" s="4">
        <v>42402</v>
      </c>
      <c r="G51" s="3">
        <v>60</v>
      </c>
      <c r="H51" s="3">
        <v>2.5</v>
      </c>
      <c r="I51" s="4">
        <v>42417</v>
      </c>
      <c r="J51" s="3">
        <v>65.5</v>
      </c>
      <c r="K51" s="3">
        <v>2.75</v>
      </c>
      <c r="L51" s="3">
        <v>15</v>
      </c>
      <c r="M51" s="5">
        <v>5.5</v>
      </c>
      <c r="N51" s="5">
        <v>0.25</v>
      </c>
      <c r="O51" s="5">
        <v>32.400000000000006</v>
      </c>
      <c r="P51" s="5">
        <v>366.66666666666663</v>
      </c>
      <c r="Q51" s="5">
        <v>30.687064166666666</v>
      </c>
      <c r="R51" s="8">
        <f t="shared" si="0"/>
        <v>15</v>
      </c>
      <c r="S51" s="9">
        <f t="shared" si="1"/>
        <v>5.5</v>
      </c>
      <c r="T51" s="9">
        <f t="shared" si="2"/>
        <v>0.25</v>
      </c>
      <c r="U51" s="9">
        <f t="shared" si="3"/>
        <v>32.400000000000006</v>
      </c>
      <c r="V51" s="9">
        <f t="shared" si="4"/>
        <v>366.66666666666663</v>
      </c>
      <c r="W51" s="9">
        <f t="shared" si="5"/>
        <v>30.687064166666666</v>
      </c>
    </row>
    <row r="52" spans="1:23">
      <c r="A52" s="2" t="s">
        <v>235</v>
      </c>
      <c r="B52" s="2" t="s">
        <v>236</v>
      </c>
      <c r="C52" s="3">
        <v>43</v>
      </c>
      <c r="D52" s="3">
        <v>2.16</v>
      </c>
      <c r="E52" s="2" t="s">
        <v>253</v>
      </c>
      <c r="F52" s="4">
        <v>42402</v>
      </c>
      <c r="G52" s="3">
        <v>60</v>
      </c>
      <c r="H52" s="3">
        <v>2.5</v>
      </c>
      <c r="I52" s="4">
        <v>42430</v>
      </c>
      <c r="J52" s="3">
        <v>65</v>
      </c>
      <c r="K52" s="3">
        <v>2.75</v>
      </c>
      <c r="L52" s="3">
        <v>28</v>
      </c>
      <c r="M52" s="5">
        <v>5</v>
      </c>
      <c r="N52" s="5">
        <v>0.25</v>
      </c>
      <c r="O52" s="5">
        <v>60.480000000000004</v>
      </c>
      <c r="P52" s="5">
        <v>178.57142857142858</v>
      </c>
      <c r="Q52" s="5">
        <v>21.371696428571429</v>
      </c>
      <c r="R52" s="8">
        <f t="shared" si="0"/>
        <v>13</v>
      </c>
      <c r="S52" s="9">
        <f t="shared" si="1"/>
        <v>-0.5</v>
      </c>
      <c r="T52" s="9">
        <f t="shared" si="2"/>
        <v>0</v>
      </c>
      <c r="U52" s="9">
        <f t="shared" si="3"/>
        <v>28.080000000000002</v>
      </c>
      <c r="V52" s="9">
        <f t="shared" si="4"/>
        <v>-38.461538461538467</v>
      </c>
      <c r="W52" s="9">
        <f t="shared" si="5"/>
        <v>10.671971153846155</v>
      </c>
    </row>
    <row r="53" spans="1:23">
      <c r="A53" s="2" t="s">
        <v>235</v>
      </c>
      <c r="B53" s="2" t="s">
        <v>236</v>
      </c>
      <c r="C53" s="3">
        <v>43</v>
      </c>
      <c r="D53" s="3">
        <v>2.16</v>
      </c>
      <c r="E53" s="2" t="s">
        <v>254</v>
      </c>
      <c r="F53" s="4">
        <v>42402</v>
      </c>
      <c r="G53" s="3">
        <v>58.5</v>
      </c>
      <c r="H53" s="3">
        <v>2.5</v>
      </c>
      <c r="I53" s="4">
        <v>42402</v>
      </c>
      <c r="J53" s="3">
        <v>58.5</v>
      </c>
      <c r="K53" s="3">
        <v>2.5</v>
      </c>
      <c r="L53" s="3">
        <v>0</v>
      </c>
      <c r="M53" s="5">
        <v>0</v>
      </c>
      <c r="N53" s="5">
        <v>0</v>
      </c>
      <c r="O53" s="5">
        <v>0</v>
      </c>
      <c r="P53" s="5">
        <v>0</v>
      </c>
      <c r="Q53" s="5">
        <v>11.891764999999999</v>
      </c>
      <c r="R53" s="8">
        <f t="shared" si="0"/>
        <v>0</v>
      </c>
      <c r="S53" s="9">
        <f t="shared" si="1"/>
        <v>0</v>
      </c>
      <c r="T53" s="9">
        <f t="shared" si="2"/>
        <v>0</v>
      </c>
      <c r="U53" s="9">
        <f t="shared" si="3"/>
        <v>0</v>
      </c>
      <c r="V53" s="9">
        <f t="shared" si="4"/>
        <v>0</v>
      </c>
      <c r="W53" s="9">
        <f t="shared" si="5"/>
        <v>11.891764999999999</v>
      </c>
    </row>
    <row r="54" spans="1:23">
      <c r="A54" s="2" t="s">
        <v>235</v>
      </c>
      <c r="B54" s="2" t="s">
        <v>236</v>
      </c>
      <c r="C54" s="3">
        <v>43</v>
      </c>
      <c r="D54" s="3">
        <v>2.16</v>
      </c>
      <c r="E54" s="2" t="s">
        <v>254</v>
      </c>
      <c r="F54" s="4">
        <v>42402</v>
      </c>
      <c r="G54" s="3">
        <v>58.5</v>
      </c>
      <c r="H54" s="3">
        <v>2.5</v>
      </c>
      <c r="I54" s="4">
        <v>42417</v>
      </c>
      <c r="J54" s="3">
        <v>59</v>
      </c>
      <c r="K54" s="3">
        <v>2.5</v>
      </c>
      <c r="L54" s="3">
        <v>15</v>
      </c>
      <c r="M54" s="5">
        <v>0.5</v>
      </c>
      <c r="N54" s="5">
        <v>0</v>
      </c>
      <c r="O54" s="5">
        <v>32.400000000000006</v>
      </c>
      <c r="P54" s="5">
        <v>33.333333333333336</v>
      </c>
      <c r="Q54" s="5">
        <v>13.577370833333331</v>
      </c>
      <c r="R54" s="8">
        <f t="shared" si="0"/>
        <v>15</v>
      </c>
      <c r="S54" s="9">
        <f t="shared" si="1"/>
        <v>0.5</v>
      </c>
      <c r="T54" s="9">
        <f t="shared" si="2"/>
        <v>0</v>
      </c>
      <c r="U54" s="9">
        <f t="shared" si="3"/>
        <v>32.400000000000006</v>
      </c>
      <c r="V54" s="9">
        <f t="shared" si="4"/>
        <v>33.333333333333336</v>
      </c>
      <c r="W54" s="9">
        <f t="shared" si="5"/>
        <v>13.577370833333331</v>
      </c>
    </row>
    <row r="55" spans="1:23">
      <c r="A55" s="2" t="s">
        <v>235</v>
      </c>
      <c r="B55" s="2" t="s">
        <v>236</v>
      </c>
      <c r="C55" s="3">
        <v>43</v>
      </c>
      <c r="D55" s="3">
        <v>2.16</v>
      </c>
      <c r="E55" s="2" t="s">
        <v>254</v>
      </c>
      <c r="F55" s="4">
        <v>42402</v>
      </c>
      <c r="G55" s="3">
        <v>58.5</v>
      </c>
      <c r="H55" s="3">
        <v>2.5</v>
      </c>
      <c r="I55" s="4">
        <v>42430</v>
      </c>
      <c r="J55" s="3">
        <v>61</v>
      </c>
      <c r="K55" s="3">
        <v>2.5</v>
      </c>
      <c r="L55" s="3">
        <v>28</v>
      </c>
      <c r="M55" s="5">
        <v>2.5</v>
      </c>
      <c r="N55" s="5">
        <v>0</v>
      </c>
      <c r="O55" s="5">
        <v>60.480000000000004</v>
      </c>
      <c r="P55" s="5">
        <v>89.285714285714292</v>
      </c>
      <c r="Q55" s="5">
        <v>16.504913214285715</v>
      </c>
      <c r="R55" s="8">
        <f t="shared" si="0"/>
        <v>13</v>
      </c>
      <c r="S55" s="9">
        <f t="shared" si="1"/>
        <v>2</v>
      </c>
      <c r="T55" s="9">
        <f t="shared" si="2"/>
        <v>0</v>
      </c>
      <c r="U55" s="9">
        <f t="shared" si="3"/>
        <v>28.080000000000002</v>
      </c>
      <c r="V55" s="9">
        <f t="shared" si="4"/>
        <v>153.84615384615387</v>
      </c>
      <c r="W55" s="9">
        <f t="shared" si="5"/>
        <v>19.687742884615382</v>
      </c>
    </row>
    <row r="56" spans="1:23">
      <c r="A56" s="2" t="s">
        <v>235</v>
      </c>
      <c r="B56" s="2" t="s">
        <v>236</v>
      </c>
      <c r="C56" s="3">
        <v>43</v>
      </c>
      <c r="D56" s="3">
        <v>2.16</v>
      </c>
      <c r="E56" s="2" t="s">
        <v>255</v>
      </c>
      <c r="F56" s="4">
        <v>42402</v>
      </c>
      <c r="G56" s="3">
        <v>65</v>
      </c>
      <c r="H56" s="3">
        <v>2.5</v>
      </c>
      <c r="I56" s="4">
        <v>42402</v>
      </c>
      <c r="J56" s="3">
        <v>65</v>
      </c>
      <c r="K56" s="3">
        <v>2.5</v>
      </c>
      <c r="L56" s="3">
        <v>0</v>
      </c>
      <c r="M56" s="5">
        <v>0</v>
      </c>
      <c r="N56" s="5">
        <v>0</v>
      </c>
      <c r="O56" s="5">
        <v>0</v>
      </c>
      <c r="P56" s="5">
        <v>0</v>
      </c>
      <c r="Q56" s="5">
        <v>12.99085</v>
      </c>
      <c r="R56" s="8">
        <f t="shared" si="0"/>
        <v>0</v>
      </c>
      <c r="S56" s="9">
        <f t="shared" si="1"/>
        <v>0</v>
      </c>
      <c r="T56" s="9">
        <f t="shared" si="2"/>
        <v>0</v>
      </c>
      <c r="U56" s="9">
        <f t="shared" si="3"/>
        <v>0</v>
      </c>
      <c r="V56" s="9">
        <f t="shared" si="4"/>
        <v>0</v>
      </c>
      <c r="W56" s="9">
        <f t="shared" si="5"/>
        <v>12.99085</v>
      </c>
    </row>
    <row r="57" spans="1:23">
      <c r="A57" s="2" t="s">
        <v>235</v>
      </c>
      <c r="B57" s="2" t="s">
        <v>236</v>
      </c>
      <c r="C57" s="3">
        <v>43</v>
      </c>
      <c r="D57" s="3">
        <v>2.16</v>
      </c>
      <c r="E57" s="2" t="s">
        <v>255</v>
      </c>
      <c r="F57" s="4">
        <v>42402</v>
      </c>
      <c r="G57" s="3">
        <v>65</v>
      </c>
      <c r="H57" s="3">
        <v>2.5</v>
      </c>
      <c r="I57" s="4">
        <v>42417</v>
      </c>
      <c r="J57" s="3">
        <v>69</v>
      </c>
      <c r="K57" s="3">
        <v>3</v>
      </c>
      <c r="L57" s="3">
        <v>15</v>
      </c>
      <c r="M57" s="5">
        <v>4</v>
      </c>
      <c r="N57" s="5">
        <v>0.5</v>
      </c>
      <c r="O57" s="5">
        <v>32.400000000000006</v>
      </c>
      <c r="P57" s="5">
        <v>266.66666666666669</v>
      </c>
      <c r="Q57" s="5">
        <v>26.475696666666664</v>
      </c>
      <c r="R57" s="8">
        <f t="shared" si="0"/>
        <v>15</v>
      </c>
      <c r="S57" s="9">
        <f t="shared" si="1"/>
        <v>4</v>
      </c>
      <c r="T57" s="9">
        <f t="shared" si="2"/>
        <v>0.5</v>
      </c>
      <c r="U57" s="9">
        <f t="shared" si="3"/>
        <v>32.400000000000006</v>
      </c>
      <c r="V57" s="9">
        <f t="shared" si="4"/>
        <v>266.66666666666669</v>
      </c>
      <c r="W57" s="9">
        <f t="shared" si="5"/>
        <v>26.475696666666664</v>
      </c>
    </row>
    <row r="58" spans="1:23">
      <c r="A58" s="2" t="s">
        <v>235</v>
      </c>
      <c r="B58" s="2" t="s">
        <v>236</v>
      </c>
      <c r="C58" s="3">
        <v>43</v>
      </c>
      <c r="D58" s="3">
        <v>2.16</v>
      </c>
      <c r="E58" s="2" t="s">
        <v>255</v>
      </c>
      <c r="F58" s="4">
        <v>42402</v>
      </c>
      <c r="G58" s="3">
        <v>65</v>
      </c>
      <c r="H58" s="3">
        <v>2.5</v>
      </c>
      <c r="I58" s="4">
        <v>42430</v>
      </c>
      <c r="J58" s="3">
        <v>69.5</v>
      </c>
      <c r="K58" s="3">
        <v>3</v>
      </c>
      <c r="L58" s="3">
        <v>28</v>
      </c>
      <c r="M58" s="5">
        <v>4.5</v>
      </c>
      <c r="N58" s="5">
        <v>0.5</v>
      </c>
      <c r="O58" s="5">
        <v>60.480000000000004</v>
      </c>
      <c r="P58" s="5">
        <v>160.71428571428572</v>
      </c>
      <c r="Q58" s="5">
        <v>21.294516785714286</v>
      </c>
      <c r="R58" s="8">
        <f t="shared" si="0"/>
        <v>13</v>
      </c>
      <c r="S58" s="9">
        <f t="shared" si="1"/>
        <v>0.5</v>
      </c>
      <c r="T58" s="9">
        <f t="shared" si="2"/>
        <v>0</v>
      </c>
      <c r="U58" s="9">
        <f t="shared" si="3"/>
        <v>28.080000000000002</v>
      </c>
      <c r="V58" s="9">
        <f t="shared" si="4"/>
        <v>38.461538461538467</v>
      </c>
      <c r="W58" s="9">
        <f t="shared" si="5"/>
        <v>15.267456346153844</v>
      </c>
    </row>
    <row r="59" spans="1:23">
      <c r="A59" s="2" t="s">
        <v>235</v>
      </c>
      <c r="B59" s="2" t="s">
        <v>236</v>
      </c>
      <c r="C59" s="3">
        <v>43</v>
      </c>
      <c r="D59" s="3">
        <v>2.16</v>
      </c>
      <c r="E59" s="2" t="s">
        <v>256</v>
      </c>
      <c r="F59" s="4">
        <v>42402</v>
      </c>
      <c r="G59" s="3">
        <v>63</v>
      </c>
      <c r="H59" s="3">
        <v>2.5</v>
      </c>
      <c r="I59" s="4">
        <v>42402</v>
      </c>
      <c r="J59" s="3">
        <v>63</v>
      </c>
      <c r="K59" s="3">
        <v>2.5</v>
      </c>
      <c r="L59" s="3">
        <v>0</v>
      </c>
      <c r="M59" s="5">
        <v>0</v>
      </c>
      <c r="N59" s="5">
        <v>0</v>
      </c>
      <c r="O59" s="5">
        <v>0</v>
      </c>
      <c r="P59" s="5">
        <v>0</v>
      </c>
      <c r="Q59" s="5">
        <v>12.652669999999999</v>
      </c>
      <c r="R59" s="8">
        <f t="shared" si="0"/>
        <v>0</v>
      </c>
      <c r="S59" s="9">
        <f t="shared" si="1"/>
        <v>0</v>
      </c>
      <c r="T59" s="9">
        <f t="shared" si="2"/>
        <v>0</v>
      </c>
      <c r="U59" s="9">
        <f t="shared" si="3"/>
        <v>0</v>
      </c>
      <c r="V59" s="9">
        <f t="shared" si="4"/>
        <v>0</v>
      </c>
      <c r="W59" s="9">
        <f t="shared" si="5"/>
        <v>12.652669999999999</v>
      </c>
    </row>
    <row r="60" spans="1:23">
      <c r="A60" s="2" t="s">
        <v>235</v>
      </c>
      <c r="B60" s="2" t="s">
        <v>236</v>
      </c>
      <c r="C60" s="3">
        <v>43</v>
      </c>
      <c r="D60" s="3">
        <v>2.16</v>
      </c>
      <c r="E60" s="2" t="s">
        <v>256</v>
      </c>
      <c r="F60" s="4">
        <v>42402</v>
      </c>
      <c r="G60" s="3">
        <v>63</v>
      </c>
      <c r="H60" s="3">
        <v>2.5</v>
      </c>
      <c r="I60" s="4">
        <v>42417</v>
      </c>
      <c r="J60" s="3">
        <v>66.5</v>
      </c>
      <c r="K60" s="3">
        <v>3</v>
      </c>
      <c r="L60" s="3">
        <v>15</v>
      </c>
      <c r="M60" s="5">
        <v>3.5</v>
      </c>
      <c r="N60" s="5">
        <v>0.5</v>
      </c>
      <c r="O60" s="5">
        <v>32.400000000000006</v>
      </c>
      <c r="P60" s="5">
        <v>233.33333333333334</v>
      </c>
      <c r="Q60" s="5">
        <v>24.451910833333329</v>
      </c>
      <c r="R60" s="8">
        <f t="shared" si="0"/>
        <v>15</v>
      </c>
      <c r="S60" s="9">
        <f t="shared" si="1"/>
        <v>3.5</v>
      </c>
      <c r="T60" s="9">
        <f t="shared" si="2"/>
        <v>0.5</v>
      </c>
      <c r="U60" s="9">
        <f t="shared" si="3"/>
        <v>32.400000000000006</v>
      </c>
      <c r="V60" s="9">
        <f t="shared" si="4"/>
        <v>233.33333333333334</v>
      </c>
      <c r="W60" s="9">
        <f t="shared" si="5"/>
        <v>24.451910833333329</v>
      </c>
    </row>
    <row r="61" spans="1:23">
      <c r="A61" s="2" t="s">
        <v>235</v>
      </c>
      <c r="B61" s="2" t="s">
        <v>236</v>
      </c>
      <c r="C61" s="3">
        <v>43</v>
      </c>
      <c r="D61" s="3">
        <v>2.16</v>
      </c>
      <c r="E61" s="2" t="s">
        <v>256</v>
      </c>
      <c r="F61" s="4">
        <v>42402</v>
      </c>
      <c r="G61" s="3">
        <v>63</v>
      </c>
      <c r="H61" s="3">
        <v>2.5</v>
      </c>
      <c r="I61" s="4">
        <v>42430</v>
      </c>
      <c r="J61" s="3">
        <v>68</v>
      </c>
      <c r="K61" s="3">
        <v>3</v>
      </c>
      <c r="L61" s="3">
        <v>28</v>
      </c>
      <c r="M61" s="5">
        <v>5</v>
      </c>
      <c r="N61" s="5">
        <v>0.5</v>
      </c>
      <c r="O61" s="5">
        <v>60.480000000000004</v>
      </c>
      <c r="P61" s="5">
        <v>178.57142857142858</v>
      </c>
      <c r="Q61" s="5">
        <v>21.878966428571427</v>
      </c>
      <c r="R61" s="8">
        <f t="shared" si="0"/>
        <v>13</v>
      </c>
      <c r="S61" s="9">
        <f t="shared" si="1"/>
        <v>1.5</v>
      </c>
      <c r="T61" s="9">
        <f t="shared" si="2"/>
        <v>0</v>
      </c>
      <c r="U61" s="9">
        <f t="shared" si="3"/>
        <v>28.080000000000002</v>
      </c>
      <c r="V61" s="9">
        <f t="shared" si="4"/>
        <v>115.38461538461539</v>
      </c>
      <c r="W61" s="9">
        <f t="shared" si="5"/>
        <v>18.763856538461539</v>
      </c>
    </row>
    <row r="62" spans="1:23">
      <c r="A62" s="2" t="s">
        <v>235</v>
      </c>
      <c r="B62" s="2" t="s">
        <v>236</v>
      </c>
      <c r="C62" s="3">
        <v>43</v>
      </c>
      <c r="D62" s="3">
        <v>2.16</v>
      </c>
      <c r="E62" s="2" t="s">
        <v>257</v>
      </c>
      <c r="F62" s="4">
        <v>42402</v>
      </c>
      <c r="G62" s="3">
        <v>57</v>
      </c>
      <c r="H62" s="3">
        <v>2.5</v>
      </c>
      <c r="I62" s="4">
        <v>42402</v>
      </c>
      <c r="J62" s="3">
        <v>57</v>
      </c>
      <c r="K62" s="3">
        <v>2.5</v>
      </c>
      <c r="L62" s="3">
        <v>0</v>
      </c>
      <c r="M62" s="5">
        <v>0</v>
      </c>
      <c r="N62" s="5">
        <v>0</v>
      </c>
      <c r="O62" s="5">
        <v>0</v>
      </c>
      <c r="P62" s="5">
        <v>0</v>
      </c>
      <c r="Q62" s="5">
        <v>11.63813</v>
      </c>
      <c r="R62" s="8">
        <f t="shared" si="0"/>
        <v>0</v>
      </c>
      <c r="S62" s="9">
        <f t="shared" si="1"/>
        <v>0</v>
      </c>
      <c r="T62" s="9">
        <f t="shared" si="2"/>
        <v>0</v>
      </c>
      <c r="U62" s="9">
        <f t="shared" si="3"/>
        <v>0</v>
      </c>
      <c r="V62" s="9">
        <f t="shared" si="4"/>
        <v>0</v>
      </c>
      <c r="W62" s="9">
        <f t="shared" si="5"/>
        <v>11.63813</v>
      </c>
    </row>
    <row r="63" spans="1:23">
      <c r="A63" s="2" t="s">
        <v>235</v>
      </c>
      <c r="B63" s="2" t="s">
        <v>236</v>
      </c>
      <c r="C63" s="3">
        <v>43</v>
      </c>
      <c r="D63" s="3">
        <v>2.16</v>
      </c>
      <c r="E63" s="2" t="s">
        <v>257</v>
      </c>
      <c r="F63" s="4">
        <v>42402</v>
      </c>
      <c r="G63" s="3">
        <v>57</v>
      </c>
      <c r="H63" s="3">
        <v>2.5</v>
      </c>
      <c r="I63" s="4">
        <v>42417</v>
      </c>
      <c r="J63" s="3">
        <v>60</v>
      </c>
      <c r="K63" s="3">
        <v>2.75</v>
      </c>
      <c r="L63" s="3">
        <v>15</v>
      </c>
      <c r="M63" s="5">
        <v>3</v>
      </c>
      <c r="N63" s="5">
        <v>0.25</v>
      </c>
      <c r="O63" s="5">
        <v>32.400000000000006</v>
      </c>
      <c r="P63" s="5">
        <v>200</v>
      </c>
      <c r="Q63" s="5">
        <v>21.751764999999999</v>
      </c>
      <c r="R63" s="8">
        <f t="shared" si="0"/>
        <v>15</v>
      </c>
      <c r="S63" s="9">
        <f t="shared" si="1"/>
        <v>3</v>
      </c>
      <c r="T63" s="9">
        <f t="shared" si="2"/>
        <v>0.25</v>
      </c>
      <c r="U63" s="9">
        <f t="shared" si="3"/>
        <v>32.400000000000006</v>
      </c>
      <c r="V63" s="9">
        <f t="shared" si="4"/>
        <v>200</v>
      </c>
      <c r="W63" s="9">
        <f t="shared" si="5"/>
        <v>21.751764999999999</v>
      </c>
    </row>
    <row r="64" spans="1:23">
      <c r="A64" s="2" t="s">
        <v>235</v>
      </c>
      <c r="B64" s="2" t="s">
        <v>236</v>
      </c>
      <c r="C64" s="3">
        <v>43</v>
      </c>
      <c r="D64" s="3">
        <v>2.16</v>
      </c>
      <c r="E64" s="2" t="s">
        <v>257</v>
      </c>
      <c r="F64" s="4">
        <v>42402</v>
      </c>
      <c r="G64" s="3">
        <v>57</v>
      </c>
      <c r="H64" s="3">
        <v>2.5</v>
      </c>
      <c r="I64" s="4">
        <v>42430</v>
      </c>
      <c r="J64" s="3">
        <v>61</v>
      </c>
      <c r="K64" s="3">
        <v>2.75</v>
      </c>
      <c r="L64" s="3">
        <v>28</v>
      </c>
      <c r="M64" s="5">
        <v>4</v>
      </c>
      <c r="N64" s="5">
        <v>0.25</v>
      </c>
      <c r="O64" s="5">
        <v>60.480000000000004</v>
      </c>
      <c r="P64" s="5">
        <v>142.85714285714286</v>
      </c>
      <c r="Q64" s="5">
        <v>19.019167142857142</v>
      </c>
      <c r="R64" s="8">
        <f t="shared" si="0"/>
        <v>13</v>
      </c>
      <c r="S64" s="9">
        <f t="shared" si="1"/>
        <v>1</v>
      </c>
      <c r="T64" s="9">
        <f t="shared" si="2"/>
        <v>0</v>
      </c>
      <c r="U64" s="9">
        <f t="shared" si="3"/>
        <v>28.080000000000002</v>
      </c>
      <c r="V64" s="9">
        <f t="shared" si="4"/>
        <v>76.923076923076934</v>
      </c>
      <c r="W64" s="9">
        <f t="shared" si="5"/>
        <v>15.768617692307693</v>
      </c>
    </row>
    <row r="65" spans="1:23">
      <c r="A65" s="2" t="s">
        <v>235</v>
      </c>
      <c r="B65" s="2" t="s">
        <v>236</v>
      </c>
      <c r="C65" s="3">
        <v>43</v>
      </c>
      <c r="D65" s="3">
        <v>2.16</v>
      </c>
      <c r="E65" s="2" t="s">
        <v>258</v>
      </c>
      <c r="F65" s="4">
        <v>42402</v>
      </c>
      <c r="G65" s="3">
        <v>60</v>
      </c>
      <c r="H65" s="3">
        <v>2.5</v>
      </c>
      <c r="I65" s="4">
        <v>42402</v>
      </c>
      <c r="J65" s="3">
        <v>60</v>
      </c>
      <c r="K65" s="3">
        <v>2.5</v>
      </c>
      <c r="L65" s="3">
        <v>0</v>
      </c>
      <c r="M65" s="5">
        <v>0</v>
      </c>
      <c r="N65" s="5">
        <v>0</v>
      </c>
      <c r="O65" s="5">
        <v>0</v>
      </c>
      <c r="P65" s="5">
        <v>0</v>
      </c>
      <c r="Q65" s="5">
        <v>12.145399999999999</v>
      </c>
      <c r="R65" s="8">
        <f t="shared" si="0"/>
        <v>0</v>
      </c>
      <c r="S65" s="9">
        <f t="shared" si="1"/>
        <v>0</v>
      </c>
      <c r="T65" s="9">
        <f t="shared" si="2"/>
        <v>0</v>
      </c>
      <c r="U65" s="9">
        <f t="shared" si="3"/>
        <v>0</v>
      </c>
      <c r="V65" s="9">
        <f t="shared" si="4"/>
        <v>0</v>
      </c>
      <c r="W65" s="9">
        <f t="shared" si="5"/>
        <v>12.145399999999999</v>
      </c>
    </row>
    <row r="66" spans="1:23">
      <c r="A66" s="2" t="s">
        <v>235</v>
      </c>
      <c r="B66" s="2" t="s">
        <v>236</v>
      </c>
      <c r="C66" s="3">
        <v>43</v>
      </c>
      <c r="D66" s="3">
        <v>2.16</v>
      </c>
      <c r="E66" s="2" t="s">
        <v>258</v>
      </c>
      <c r="F66" s="4">
        <v>42402</v>
      </c>
      <c r="G66" s="3">
        <v>60</v>
      </c>
      <c r="H66" s="3">
        <v>2.5</v>
      </c>
      <c r="I66" s="4">
        <v>42417</v>
      </c>
      <c r="J66" s="3">
        <v>60</v>
      </c>
      <c r="K66" s="3">
        <v>2.5</v>
      </c>
      <c r="L66" s="3">
        <v>15</v>
      </c>
      <c r="M66" s="5">
        <v>0</v>
      </c>
      <c r="N66" s="5">
        <v>0</v>
      </c>
      <c r="O66" s="5">
        <v>32.400000000000006</v>
      </c>
      <c r="P66" s="5">
        <v>0</v>
      </c>
      <c r="Q66" s="5">
        <v>12.145399999999999</v>
      </c>
      <c r="R66" s="8">
        <f t="shared" si="0"/>
        <v>15</v>
      </c>
      <c r="S66" s="9">
        <f t="shared" si="1"/>
        <v>0</v>
      </c>
      <c r="T66" s="9">
        <f t="shared" si="2"/>
        <v>0</v>
      </c>
      <c r="U66" s="9">
        <f t="shared" si="3"/>
        <v>32.400000000000006</v>
      </c>
      <c r="V66" s="9">
        <f t="shared" si="4"/>
        <v>0</v>
      </c>
      <c r="W66" s="9">
        <f t="shared" ref="W66:W129" si="6">IF(R66=0,(((G66)*0.16909+(V66/1000)*49.3)+2),((((G66+J66)/2)*0.16909+(V66/1000)*49.3)+2))</f>
        <v>12.145399999999999</v>
      </c>
    </row>
    <row r="67" spans="1:23">
      <c r="A67" s="2" t="s">
        <v>235</v>
      </c>
      <c r="B67" s="2" t="s">
        <v>236</v>
      </c>
      <c r="C67" s="3">
        <v>43</v>
      </c>
      <c r="D67" s="3">
        <v>2.16</v>
      </c>
      <c r="E67" s="2" t="s">
        <v>258</v>
      </c>
      <c r="F67" s="4">
        <v>42402</v>
      </c>
      <c r="G67" s="3">
        <v>60</v>
      </c>
      <c r="H67" s="3">
        <v>2.5</v>
      </c>
      <c r="I67" s="4">
        <v>42430</v>
      </c>
      <c r="J67" s="3">
        <v>61</v>
      </c>
      <c r="K67" s="3">
        <v>2.5</v>
      </c>
      <c r="L67" s="3">
        <v>28</v>
      </c>
      <c r="M67" s="5">
        <v>1</v>
      </c>
      <c r="N67" s="5">
        <v>0</v>
      </c>
      <c r="O67" s="5">
        <v>60.480000000000004</v>
      </c>
      <c r="P67" s="5">
        <v>35.714285714285715</v>
      </c>
      <c r="Q67" s="5">
        <v>13.990659285714285</v>
      </c>
      <c r="R67" s="8">
        <f t="shared" ref="R67:R130" si="7">IF(I67-F67=0,0,I67-I66)</f>
        <v>13</v>
      </c>
      <c r="S67" s="9">
        <f t="shared" ref="S67:S130" si="8">IF($R67=0,J67-G67,J67-J66)</f>
        <v>1</v>
      </c>
      <c r="T67" s="9">
        <f t="shared" ref="T67:T130" si="9">IF($R67=0,K67-H67,K67-K66)</f>
        <v>0</v>
      </c>
      <c r="U67" s="9">
        <f t="shared" ref="U67:U130" si="10">D67*R67</f>
        <v>28.080000000000002</v>
      </c>
      <c r="V67" s="9">
        <f t="shared" ref="V67:V130" si="11">IF(R67=0,0,(S67/R67*1000))</f>
        <v>76.923076923076934</v>
      </c>
      <c r="W67" s="9">
        <f t="shared" si="6"/>
        <v>16.022252692307692</v>
      </c>
    </row>
    <row r="68" spans="1:23">
      <c r="A68" s="2" t="s">
        <v>235</v>
      </c>
      <c r="B68" s="2" t="s">
        <v>236</v>
      </c>
      <c r="C68" s="3">
        <v>43</v>
      </c>
      <c r="D68" s="3">
        <v>2.16</v>
      </c>
      <c r="E68" s="2" t="s">
        <v>259</v>
      </c>
      <c r="F68" s="4">
        <v>42402</v>
      </c>
      <c r="G68" s="3">
        <v>64</v>
      </c>
      <c r="H68" s="3">
        <v>3</v>
      </c>
      <c r="I68" s="4">
        <v>42402</v>
      </c>
      <c r="J68" s="3">
        <v>64</v>
      </c>
      <c r="K68" s="3">
        <v>3</v>
      </c>
      <c r="L68" s="3">
        <v>0</v>
      </c>
      <c r="M68" s="5">
        <v>0</v>
      </c>
      <c r="N68" s="5">
        <v>0</v>
      </c>
      <c r="O68" s="5">
        <v>0</v>
      </c>
      <c r="P68" s="5">
        <v>0</v>
      </c>
      <c r="Q68" s="5">
        <v>12.821759999999999</v>
      </c>
      <c r="R68" s="8">
        <f t="shared" si="7"/>
        <v>0</v>
      </c>
      <c r="S68" s="9">
        <f t="shared" si="8"/>
        <v>0</v>
      </c>
      <c r="T68" s="9">
        <f t="shared" si="9"/>
        <v>0</v>
      </c>
      <c r="U68" s="9">
        <f t="shared" si="10"/>
        <v>0</v>
      </c>
      <c r="V68" s="9">
        <f t="shared" si="11"/>
        <v>0</v>
      </c>
      <c r="W68" s="9">
        <f t="shared" si="6"/>
        <v>12.821759999999999</v>
      </c>
    </row>
    <row r="69" spans="1:23">
      <c r="A69" s="2" t="s">
        <v>235</v>
      </c>
      <c r="B69" s="2" t="s">
        <v>236</v>
      </c>
      <c r="C69" s="3">
        <v>43</v>
      </c>
      <c r="D69" s="3">
        <v>2.16</v>
      </c>
      <c r="E69" s="2" t="s">
        <v>259</v>
      </c>
      <c r="F69" s="4">
        <v>42402</v>
      </c>
      <c r="G69" s="3">
        <v>64</v>
      </c>
      <c r="H69" s="3">
        <v>3</v>
      </c>
      <c r="I69" s="4">
        <v>42417</v>
      </c>
      <c r="J69" s="3">
        <v>66.5</v>
      </c>
      <c r="K69" s="3">
        <v>3</v>
      </c>
      <c r="L69" s="3">
        <v>15</v>
      </c>
      <c r="M69" s="5">
        <v>2.5</v>
      </c>
      <c r="N69" s="5">
        <v>0</v>
      </c>
      <c r="O69" s="5">
        <v>32.400000000000006</v>
      </c>
      <c r="P69" s="5">
        <v>166.66666666666666</v>
      </c>
      <c r="Q69" s="5">
        <v>21.249789166666666</v>
      </c>
      <c r="R69" s="8">
        <f t="shared" si="7"/>
        <v>15</v>
      </c>
      <c r="S69" s="9">
        <f t="shared" si="8"/>
        <v>2.5</v>
      </c>
      <c r="T69" s="9">
        <f t="shared" si="9"/>
        <v>0</v>
      </c>
      <c r="U69" s="9">
        <f t="shared" si="10"/>
        <v>32.400000000000006</v>
      </c>
      <c r="V69" s="9">
        <f t="shared" si="11"/>
        <v>166.66666666666666</v>
      </c>
      <c r="W69" s="9">
        <f t="shared" si="6"/>
        <v>21.249789166666666</v>
      </c>
    </row>
    <row r="70" spans="1:23">
      <c r="A70" s="2" t="s">
        <v>235</v>
      </c>
      <c r="B70" s="2" t="s">
        <v>236</v>
      </c>
      <c r="C70" s="3">
        <v>43</v>
      </c>
      <c r="D70" s="3">
        <v>2.16</v>
      </c>
      <c r="E70" s="2" t="s">
        <v>259</v>
      </c>
      <c r="F70" s="4">
        <v>42402</v>
      </c>
      <c r="G70" s="3">
        <v>64</v>
      </c>
      <c r="H70" s="3">
        <v>3</v>
      </c>
      <c r="I70" s="4">
        <v>42430</v>
      </c>
      <c r="J70" s="3">
        <v>66.5</v>
      </c>
      <c r="K70" s="3">
        <v>3</v>
      </c>
      <c r="L70" s="3">
        <v>28</v>
      </c>
      <c r="M70" s="5">
        <v>2.5</v>
      </c>
      <c r="N70" s="5">
        <v>0</v>
      </c>
      <c r="O70" s="5">
        <v>60.480000000000004</v>
      </c>
      <c r="P70" s="5">
        <v>89.285714285714292</v>
      </c>
      <c r="Q70" s="5">
        <v>17.434908214285713</v>
      </c>
      <c r="R70" s="8">
        <f t="shared" si="7"/>
        <v>13</v>
      </c>
      <c r="S70" s="9">
        <f t="shared" si="8"/>
        <v>0</v>
      </c>
      <c r="T70" s="9">
        <f t="shared" si="9"/>
        <v>0</v>
      </c>
      <c r="U70" s="9">
        <f t="shared" si="10"/>
        <v>28.080000000000002</v>
      </c>
      <c r="V70" s="9">
        <f t="shared" si="11"/>
        <v>0</v>
      </c>
      <c r="W70" s="9">
        <f t="shared" si="6"/>
        <v>13.033122499999999</v>
      </c>
    </row>
    <row r="71" spans="1:23">
      <c r="A71" s="2" t="s">
        <v>235</v>
      </c>
      <c r="B71" s="2" t="s">
        <v>236</v>
      </c>
      <c r="C71" s="3">
        <v>43</v>
      </c>
      <c r="D71" s="3">
        <v>2.16</v>
      </c>
      <c r="E71" s="2" t="s">
        <v>260</v>
      </c>
      <c r="F71" s="4">
        <v>42402</v>
      </c>
      <c r="G71" s="3">
        <v>62</v>
      </c>
      <c r="H71" s="3">
        <v>2.5</v>
      </c>
      <c r="I71" s="4">
        <v>42402</v>
      </c>
      <c r="J71" s="3">
        <v>62</v>
      </c>
      <c r="K71" s="3">
        <v>2.5</v>
      </c>
      <c r="L71" s="3">
        <v>0</v>
      </c>
      <c r="M71" s="5">
        <v>0</v>
      </c>
      <c r="N71" s="5">
        <v>0</v>
      </c>
      <c r="O71" s="5">
        <v>0</v>
      </c>
      <c r="P71" s="5">
        <v>0</v>
      </c>
      <c r="Q71" s="5">
        <v>12.48358</v>
      </c>
      <c r="R71" s="8">
        <f t="shared" si="7"/>
        <v>0</v>
      </c>
      <c r="S71" s="9">
        <f t="shared" si="8"/>
        <v>0</v>
      </c>
      <c r="T71" s="9">
        <f t="shared" si="9"/>
        <v>0</v>
      </c>
      <c r="U71" s="9">
        <f t="shared" si="10"/>
        <v>0</v>
      </c>
      <c r="V71" s="9">
        <f t="shared" si="11"/>
        <v>0</v>
      </c>
      <c r="W71" s="9">
        <f t="shared" si="6"/>
        <v>12.48358</v>
      </c>
    </row>
    <row r="72" spans="1:23">
      <c r="A72" s="2" t="s">
        <v>235</v>
      </c>
      <c r="B72" s="2" t="s">
        <v>236</v>
      </c>
      <c r="C72" s="3">
        <v>43</v>
      </c>
      <c r="D72" s="3">
        <v>2.16</v>
      </c>
      <c r="E72" s="2" t="s">
        <v>260</v>
      </c>
      <c r="F72" s="4">
        <v>42402</v>
      </c>
      <c r="G72" s="3">
        <v>62</v>
      </c>
      <c r="H72" s="3">
        <v>2.5</v>
      </c>
      <c r="I72" s="4">
        <v>42417</v>
      </c>
      <c r="J72" s="3">
        <v>65.5</v>
      </c>
      <c r="K72" s="3">
        <v>3</v>
      </c>
      <c r="L72" s="3">
        <v>15</v>
      </c>
      <c r="M72" s="5">
        <v>3.5</v>
      </c>
      <c r="N72" s="5">
        <v>0.5</v>
      </c>
      <c r="O72" s="5">
        <v>32.400000000000006</v>
      </c>
      <c r="P72" s="5">
        <v>233.33333333333334</v>
      </c>
      <c r="Q72" s="5">
        <v>24.282820833333332</v>
      </c>
      <c r="R72" s="8">
        <f t="shared" si="7"/>
        <v>15</v>
      </c>
      <c r="S72" s="9">
        <f t="shared" si="8"/>
        <v>3.5</v>
      </c>
      <c r="T72" s="9">
        <f t="shared" si="9"/>
        <v>0.5</v>
      </c>
      <c r="U72" s="9">
        <f t="shared" si="10"/>
        <v>32.400000000000006</v>
      </c>
      <c r="V72" s="9">
        <f t="shared" si="11"/>
        <v>233.33333333333334</v>
      </c>
      <c r="W72" s="9">
        <f t="shared" si="6"/>
        <v>24.282820833333332</v>
      </c>
    </row>
    <row r="73" spans="1:23">
      <c r="A73" s="2" t="s">
        <v>235</v>
      </c>
      <c r="B73" s="2" t="s">
        <v>236</v>
      </c>
      <c r="C73" s="3">
        <v>43</v>
      </c>
      <c r="D73" s="3">
        <v>2.16</v>
      </c>
      <c r="E73" s="2" t="s">
        <v>260</v>
      </c>
      <c r="F73" s="4">
        <v>42402</v>
      </c>
      <c r="G73" s="3">
        <v>62</v>
      </c>
      <c r="H73" s="3">
        <v>2.5</v>
      </c>
      <c r="I73" s="4">
        <v>42430</v>
      </c>
      <c r="J73" s="3">
        <v>66</v>
      </c>
      <c r="K73" s="3">
        <v>3</v>
      </c>
      <c r="L73" s="3">
        <v>28</v>
      </c>
      <c r="M73" s="5">
        <v>4</v>
      </c>
      <c r="N73" s="5">
        <v>0.5</v>
      </c>
      <c r="O73" s="5">
        <v>60.480000000000004</v>
      </c>
      <c r="P73" s="5">
        <v>142.85714285714286</v>
      </c>
      <c r="Q73" s="5">
        <v>19.864617142857142</v>
      </c>
      <c r="R73" s="8">
        <f t="shared" si="7"/>
        <v>13</v>
      </c>
      <c r="S73" s="9">
        <f t="shared" si="8"/>
        <v>0.5</v>
      </c>
      <c r="T73" s="9">
        <f t="shared" si="9"/>
        <v>0</v>
      </c>
      <c r="U73" s="9">
        <f t="shared" si="10"/>
        <v>28.080000000000002</v>
      </c>
      <c r="V73" s="9">
        <f t="shared" si="11"/>
        <v>38.461538461538467</v>
      </c>
      <c r="W73" s="9">
        <f t="shared" si="6"/>
        <v>14.717913846153845</v>
      </c>
    </row>
    <row r="74" spans="1:23">
      <c r="A74" s="2" t="s">
        <v>235</v>
      </c>
      <c r="B74" s="2" t="s">
        <v>236</v>
      </c>
      <c r="C74" s="3">
        <v>43</v>
      </c>
      <c r="D74" s="3">
        <v>2.16</v>
      </c>
      <c r="E74" s="2" t="s">
        <v>261</v>
      </c>
      <c r="F74" s="4">
        <v>42402</v>
      </c>
      <c r="G74" s="3">
        <v>55</v>
      </c>
      <c r="H74" s="3">
        <v>2.5</v>
      </c>
      <c r="I74" s="4">
        <v>42402</v>
      </c>
      <c r="J74" s="3">
        <v>55</v>
      </c>
      <c r="K74" s="3">
        <v>2.5</v>
      </c>
      <c r="L74" s="3">
        <v>0</v>
      </c>
      <c r="M74" s="5">
        <v>0</v>
      </c>
      <c r="N74" s="5">
        <v>0</v>
      </c>
      <c r="O74" s="5">
        <v>0</v>
      </c>
      <c r="P74" s="5">
        <v>0</v>
      </c>
      <c r="Q74" s="5">
        <v>11.299949999999999</v>
      </c>
      <c r="R74" s="8">
        <f t="shared" si="7"/>
        <v>0</v>
      </c>
      <c r="S74" s="9">
        <f t="shared" si="8"/>
        <v>0</v>
      </c>
      <c r="T74" s="9">
        <f t="shared" si="9"/>
        <v>0</v>
      </c>
      <c r="U74" s="9">
        <f t="shared" si="10"/>
        <v>0</v>
      </c>
      <c r="V74" s="9">
        <f t="shared" si="11"/>
        <v>0</v>
      </c>
      <c r="W74" s="9">
        <f t="shared" si="6"/>
        <v>11.299949999999999</v>
      </c>
    </row>
    <row r="75" spans="1:23">
      <c r="A75" s="2" t="s">
        <v>235</v>
      </c>
      <c r="B75" s="2" t="s">
        <v>236</v>
      </c>
      <c r="C75" s="3">
        <v>43</v>
      </c>
      <c r="D75" s="3">
        <v>2.16</v>
      </c>
      <c r="E75" s="2" t="s">
        <v>261</v>
      </c>
      <c r="F75" s="4">
        <v>42402</v>
      </c>
      <c r="G75" s="3">
        <v>55</v>
      </c>
      <c r="H75" s="3">
        <v>2.5</v>
      </c>
      <c r="I75" s="4">
        <v>42417</v>
      </c>
      <c r="J75" s="3">
        <v>58.5</v>
      </c>
      <c r="K75" s="3">
        <v>2.5</v>
      </c>
      <c r="L75" s="3">
        <v>15</v>
      </c>
      <c r="M75" s="5">
        <v>3.5</v>
      </c>
      <c r="N75" s="5">
        <v>0</v>
      </c>
      <c r="O75" s="5">
        <v>32.400000000000006</v>
      </c>
      <c r="P75" s="5">
        <v>233.33333333333334</v>
      </c>
      <c r="Q75" s="5">
        <v>23.099190833333331</v>
      </c>
      <c r="R75" s="8">
        <f t="shared" si="7"/>
        <v>15</v>
      </c>
      <c r="S75" s="9">
        <f t="shared" si="8"/>
        <v>3.5</v>
      </c>
      <c r="T75" s="9">
        <f t="shared" si="9"/>
        <v>0</v>
      </c>
      <c r="U75" s="9">
        <f t="shared" si="10"/>
        <v>32.400000000000006</v>
      </c>
      <c r="V75" s="9">
        <f t="shared" si="11"/>
        <v>233.33333333333334</v>
      </c>
      <c r="W75" s="9">
        <f t="shared" si="6"/>
        <v>23.099190833333331</v>
      </c>
    </row>
    <row r="76" spans="1:23">
      <c r="A76" s="2" t="s">
        <v>235</v>
      </c>
      <c r="B76" s="2" t="s">
        <v>236</v>
      </c>
      <c r="C76" s="3">
        <v>43</v>
      </c>
      <c r="D76" s="3">
        <v>2.16</v>
      </c>
      <c r="E76" s="2" t="s">
        <v>261</v>
      </c>
      <c r="F76" s="4">
        <v>42402</v>
      </c>
      <c r="G76" s="3">
        <v>55</v>
      </c>
      <c r="H76" s="3">
        <v>2.5</v>
      </c>
      <c r="I76" s="4">
        <v>42430</v>
      </c>
      <c r="J76" s="3">
        <v>57</v>
      </c>
      <c r="K76" s="3">
        <v>2.75</v>
      </c>
      <c r="L76" s="3">
        <v>28</v>
      </c>
      <c r="M76" s="5">
        <v>2</v>
      </c>
      <c r="N76" s="5">
        <v>0.25</v>
      </c>
      <c r="O76" s="5">
        <v>60.480000000000004</v>
      </c>
      <c r="P76" s="5">
        <v>71.428571428571431</v>
      </c>
      <c r="Q76" s="5">
        <v>14.99046857142857</v>
      </c>
      <c r="R76" s="8">
        <f t="shared" si="7"/>
        <v>13</v>
      </c>
      <c r="S76" s="9">
        <f t="shared" si="8"/>
        <v>-1.5</v>
      </c>
      <c r="T76" s="9">
        <f t="shared" si="9"/>
        <v>0.25</v>
      </c>
      <c r="U76" s="9">
        <f t="shared" si="10"/>
        <v>28.080000000000002</v>
      </c>
      <c r="V76" s="9">
        <f t="shared" si="11"/>
        <v>-115.38461538461539</v>
      </c>
      <c r="W76" s="9">
        <f t="shared" si="6"/>
        <v>5.780578461538461</v>
      </c>
    </row>
    <row r="77" spans="1:23">
      <c r="A77" s="2" t="s">
        <v>235</v>
      </c>
      <c r="B77" s="2" t="s">
        <v>236</v>
      </c>
      <c r="C77" s="3">
        <v>43</v>
      </c>
      <c r="D77" s="3">
        <v>2.16</v>
      </c>
      <c r="E77" s="2" t="s">
        <v>262</v>
      </c>
      <c r="F77" s="4">
        <v>42402</v>
      </c>
      <c r="G77" s="3">
        <v>64</v>
      </c>
      <c r="H77" s="3">
        <v>3</v>
      </c>
      <c r="I77" s="4">
        <v>42402</v>
      </c>
      <c r="J77" s="3">
        <v>64</v>
      </c>
      <c r="K77" s="3">
        <v>3</v>
      </c>
      <c r="L77" s="3">
        <v>0</v>
      </c>
      <c r="M77" s="5">
        <v>0</v>
      </c>
      <c r="N77" s="5">
        <v>0</v>
      </c>
      <c r="O77" s="5">
        <v>0</v>
      </c>
      <c r="P77" s="5">
        <v>0</v>
      </c>
      <c r="Q77" s="5">
        <v>12.821759999999999</v>
      </c>
      <c r="R77" s="8">
        <f t="shared" si="7"/>
        <v>0</v>
      </c>
      <c r="S77" s="9">
        <f t="shared" si="8"/>
        <v>0</v>
      </c>
      <c r="T77" s="9">
        <f t="shared" si="9"/>
        <v>0</v>
      </c>
      <c r="U77" s="9">
        <f t="shared" si="10"/>
        <v>0</v>
      </c>
      <c r="V77" s="9">
        <f t="shared" si="11"/>
        <v>0</v>
      </c>
      <c r="W77" s="9">
        <f t="shared" si="6"/>
        <v>12.821759999999999</v>
      </c>
    </row>
    <row r="78" spans="1:23">
      <c r="A78" s="2" t="s">
        <v>235</v>
      </c>
      <c r="B78" s="2" t="s">
        <v>236</v>
      </c>
      <c r="C78" s="3">
        <v>43</v>
      </c>
      <c r="D78" s="3">
        <v>2.16</v>
      </c>
      <c r="E78" s="2" t="s">
        <v>262</v>
      </c>
      <c r="F78" s="4">
        <v>42402</v>
      </c>
      <c r="G78" s="3">
        <v>64</v>
      </c>
      <c r="H78" s="3">
        <v>3</v>
      </c>
      <c r="I78" s="4">
        <v>42417</v>
      </c>
      <c r="J78" s="3">
        <v>65.5</v>
      </c>
      <c r="K78" s="3">
        <v>3</v>
      </c>
      <c r="L78" s="3">
        <v>15</v>
      </c>
      <c r="M78" s="5">
        <v>1.5</v>
      </c>
      <c r="N78" s="5">
        <v>0</v>
      </c>
      <c r="O78" s="5">
        <v>32.400000000000006</v>
      </c>
      <c r="P78" s="5">
        <v>100</v>
      </c>
      <c r="Q78" s="5">
        <v>17.878577499999999</v>
      </c>
      <c r="R78" s="8">
        <f t="shared" si="7"/>
        <v>15</v>
      </c>
      <c r="S78" s="9">
        <f t="shared" si="8"/>
        <v>1.5</v>
      </c>
      <c r="T78" s="9">
        <f t="shared" si="9"/>
        <v>0</v>
      </c>
      <c r="U78" s="9">
        <f t="shared" si="10"/>
        <v>32.400000000000006</v>
      </c>
      <c r="V78" s="9">
        <f t="shared" si="11"/>
        <v>100</v>
      </c>
      <c r="W78" s="9">
        <f t="shared" si="6"/>
        <v>17.878577499999999</v>
      </c>
    </row>
    <row r="79" spans="1:23">
      <c r="A79" s="2" t="s">
        <v>235</v>
      </c>
      <c r="B79" s="2" t="s">
        <v>236</v>
      </c>
      <c r="C79" s="3">
        <v>43</v>
      </c>
      <c r="D79" s="3">
        <v>2.16</v>
      </c>
      <c r="E79" s="2" t="s">
        <v>262</v>
      </c>
      <c r="F79" s="4">
        <v>42402</v>
      </c>
      <c r="G79" s="3">
        <v>64</v>
      </c>
      <c r="H79" s="3">
        <v>3</v>
      </c>
      <c r="I79" s="4">
        <v>42430</v>
      </c>
      <c r="J79" s="3">
        <v>67.5</v>
      </c>
      <c r="K79" s="3">
        <v>3.25</v>
      </c>
      <c r="L79" s="3">
        <v>28</v>
      </c>
      <c r="M79" s="5">
        <v>3.5</v>
      </c>
      <c r="N79" s="5">
        <v>0.25</v>
      </c>
      <c r="O79" s="5">
        <v>60.480000000000004</v>
      </c>
      <c r="P79" s="5">
        <v>125</v>
      </c>
      <c r="Q79" s="5">
        <v>19.280167499999997</v>
      </c>
      <c r="R79" s="8">
        <f t="shared" si="7"/>
        <v>13</v>
      </c>
      <c r="S79" s="9">
        <f t="shared" si="8"/>
        <v>2</v>
      </c>
      <c r="T79" s="9">
        <f t="shared" si="9"/>
        <v>0.25</v>
      </c>
      <c r="U79" s="9">
        <f t="shared" si="10"/>
        <v>28.080000000000002</v>
      </c>
      <c r="V79" s="9">
        <f t="shared" si="11"/>
        <v>153.84615384615387</v>
      </c>
      <c r="W79" s="9">
        <f t="shared" si="6"/>
        <v>20.702282884615386</v>
      </c>
    </row>
    <row r="80" spans="1:23">
      <c r="A80" s="2" t="s">
        <v>235</v>
      </c>
      <c r="B80" s="2" t="s">
        <v>236</v>
      </c>
      <c r="C80" s="3">
        <v>43</v>
      </c>
      <c r="D80" s="3">
        <v>2.16</v>
      </c>
      <c r="E80" s="2" t="s">
        <v>263</v>
      </c>
      <c r="F80" s="4">
        <v>42402</v>
      </c>
      <c r="G80" s="3">
        <v>59</v>
      </c>
      <c r="H80" s="3">
        <v>2.5</v>
      </c>
      <c r="I80" s="4">
        <v>42402</v>
      </c>
      <c r="J80" s="3">
        <v>59</v>
      </c>
      <c r="K80" s="3">
        <v>2.5</v>
      </c>
      <c r="L80" s="3">
        <v>0</v>
      </c>
      <c r="M80" s="5">
        <v>0</v>
      </c>
      <c r="N80" s="5">
        <v>0</v>
      </c>
      <c r="O80" s="5">
        <v>0</v>
      </c>
      <c r="P80" s="5">
        <v>0</v>
      </c>
      <c r="Q80" s="5">
        <v>11.97631</v>
      </c>
      <c r="R80" s="8">
        <f t="shared" si="7"/>
        <v>0</v>
      </c>
      <c r="S80" s="9">
        <f t="shared" si="8"/>
        <v>0</v>
      </c>
      <c r="T80" s="9">
        <f t="shared" si="9"/>
        <v>0</v>
      </c>
      <c r="U80" s="9">
        <f t="shared" si="10"/>
        <v>0</v>
      </c>
      <c r="V80" s="9">
        <f t="shared" si="11"/>
        <v>0</v>
      </c>
      <c r="W80" s="9">
        <f t="shared" si="6"/>
        <v>11.97631</v>
      </c>
    </row>
    <row r="81" spans="1:23">
      <c r="A81" s="2" t="s">
        <v>235</v>
      </c>
      <c r="B81" s="2" t="s">
        <v>236</v>
      </c>
      <c r="C81" s="3">
        <v>43</v>
      </c>
      <c r="D81" s="3">
        <v>2.16</v>
      </c>
      <c r="E81" s="2" t="s">
        <v>263</v>
      </c>
      <c r="F81" s="4">
        <v>42402</v>
      </c>
      <c r="G81" s="3">
        <v>59</v>
      </c>
      <c r="H81" s="3">
        <v>2.5</v>
      </c>
      <c r="I81" s="4">
        <v>42417</v>
      </c>
      <c r="J81" s="3">
        <v>63</v>
      </c>
      <c r="K81" s="3">
        <v>3</v>
      </c>
      <c r="L81" s="3">
        <v>15</v>
      </c>
      <c r="M81" s="5">
        <v>4</v>
      </c>
      <c r="N81" s="5">
        <v>0.5</v>
      </c>
      <c r="O81" s="5">
        <v>32.400000000000006</v>
      </c>
      <c r="P81" s="5">
        <v>266.66666666666669</v>
      </c>
      <c r="Q81" s="5">
        <v>25.461156666666668</v>
      </c>
      <c r="R81" s="8">
        <f t="shared" si="7"/>
        <v>15</v>
      </c>
      <c r="S81" s="9">
        <f t="shared" si="8"/>
        <v>4</v>
      </c>
      <c r="T81" s="9">
        <f t="shared" si="9"/>
        <v>0.5</v>
      </c>
      <c r="U81" s="9">
        <f t="shared" si="10"/>
        <v>32.400000000000006</v>
      </c>
      <c r="V81" s="9">
        <f t="shared" si="11"/>
        <v>266.66666666666669</v>
      </c>
      <c r="W81" s="9">
        <f t="shared" si="6"/>
        <v>25.461156666666668</v>
      </c>
    </row>
    <row r="82" spans="1:23">
      <c r="A82" s="2" t="s">
        <v>235</v>
      </c>
      <c r="B82" s="2" t="s">
        <v>236</v>
      </c>
      <c r="C82" s="3">
        <v>43</v>
      </c>
      <c r="D82" s="3">
        <v>2.16</v>
      </c>
      <c r="E82" s="2" t="s">
        <v>263</v>
      </c>
      <c r="F82" s="4">
        <v>42402</v>
      </c>
      <c r="G82" s="3">
        <v>59</v>
      </c>
      <c r="H82" s="3">
        <v>2.5</v>
      </c>
      <c r="I82" s="4">
        <v>42430</v>
      </c>
      <c r="J82" s="3">
        <v>62.5</v>
      </c>
      <c r="K82" s="3">
        <v>3</v>
      </c>
      <c r="L82" s="3">
        <v>28</v>
      </c>
      <c r="M82" s="5">
        <v>3.5</v>
      </c>
      <c r="N82" s="5">
        <v>0.5</v>
      </c>
      <c r="O82" s="5">
        <v>60.480000000000004</v>
      </c>
      <c r="P82" s="5">
        <v>125</v>
      </c>
      <c r="Q82" s="5">
        <v>18.434717499999998</v>
      </c>
      <c r="R82" s="8">
        <f t="shared" si="7"/>
        <v>13</v>
      </c>
      <c r="S82" s="9">
        <f t="shared" si="8"/>
        <v>-0.5</v>
      </c>
      <c r="T82" s="9">
        <f t="shared" si="9"/>
        <v>0</v>
      </c>
      <c r="U82" s="9">
        <f t="shared" si="10"/>
        <v>28.080000000000002</v>
      </c>
      <c r="V82" s="9">
        <f t="shared" si="11"/>
        <v>-38.461538461538467</v>
      </c>
      <c r="W82" s="9">
        <f t="shared" si="6"/>
        <v>10.376063653846154</v>
      </c>
    </row>
    <row r="83" spans="1:23">
      <c r="A83" s="2" t="s">
        <v>235</v>
      </c>
      <c r="B83" s="2" t="s">
        <v>236</v>
      </c>
      <c r="C83" s="3">
        <v>43</v>
      </c>
      <c r="D83" s="3">
        <v>2.16</v>
      </c>
      <c r="E83" s="2" t="s">
        <v>264</v>
      </c>
      <c r="F83" s="4">
        <v>42402</v>
      </c>
      <c r="G83" s="3">
        <v>64.5</v>
      </c>
      <c r="H83" s="3">
        <v>2.5</v>
      </c>
      <c r="I83" s="4">
        <v>42402</v>
      </c>
      <c r="J83" s="3">
        <v>64.5</v>
      </c>
      <c r="K83" s="3">
        <v>2.5</v>
      </c>
      <c r="L83" s="3">
        <v>0</v>
      </c>
      <c r="M83" s="5">
        <v>0</v>
      </c>
      <c r="N83" s="5">
        <v>0</v>
      </c>
      <c r="O83" s="5">
        <v>0</v>
      </c>
      <c r="P83" s="5">
        <v>0</v>
      </c>
      <c r="Q83" s="5">
        <v>12.906305</v>
      </c>
      <c r="R83" s="8">
        <f t="shared" si="7"/>
        <v>0</v>
      </c>
      <c r="S83" s="9">
        <f t="shared" si="8"/>
        <v>0</v>
      </c>
      <c r="T83" s="9">
        <f t="shared" si="9"/>
        <v>0</v>
      </c>
      <c r="U83" s="9">
        <f t="shared" si="10"/>
        <v>0</v>
      </c>
      <c r="V83" s="9">
        <f t="shared" si="11"/>
        <v>0</v>
      </c>
      <c r="W83" s="9">
        <f t="shared" si="6"/>
        <v>12.906305</v>
      </c>
    </row>
    <row r="84" spans="1:23">
      <c r="A84" s="2" t="s">
        <v>235</v>
      </c>
      <c r="B84" s="2" t="s">
        <v>236</v>
      </c>
      <c r="C84" s="3">
        <v>43</v>
      </c>
      <c r="D84" s="3">
        <v>2.16</v>
      </c>
      <c r="E84" s="2" t="s">
        <v>264</v>
      </c>
      <c r="F84" s="4">
        <v>42402</v>
      </c>
      <c r="G84" s="3">
        <v>64.5</v>
      </c>
      <c r="H84" s="3">
        <v>2.5</v>
      </c>
      <c r="I84" s="4">
        <v>42417</v>
      </c>
      <c r="J84" s="3">
        <v>67</v>
      </c>
      <c r="K84" s="3">
        <v>3</v>
      </c>
      <c r="L84" s="3">
        <v>15</v>
      </c>
      <c r="M84" s="5">
        <v>2.5</v>
      </c>
      <c r="N84" s="5">
        <v>0.5</v>
      </c>
      <c r="O84" s="5">
        <v>32.400000000000006</v>
      </c>
      <c r="P84" s="5">
        <v>166.66666666666666</v>
      </c>
      <c r="Q84" s="5">
        <v>21.334334166666665</v>
      </c>
      <c r="R84" s="8">
        <f t="shared" si="7"/>
        <v>15</v>
      </c>
      <c r="S84" s="9">
        <f t="shared" si="8"/>
        <v>2.5</v>
      </c>
      <c r="T84" s="9">
        <f t="shared" si="9"/>
        <v>0.5</v>
      </c>
      <c r="U84" s="9">
        <f t="shared" si="10"/>
        <v>32.400000000000006</v>
      </c>
      <c r="V84" s="9">
        <f t="shared" si="11"/>
        <v>166.66666666666666</v>
      </c>
      <c r="W84" s="9">
        <f t="shared" si="6"/>
        <v>21.334334166666665</v>
      </c>
    </row>
    <row r="85" spans="1:23">
      <c r="A85" s="2" t="s">
        <v>235</v>
      </c>
      <c r="B85" s="2" t="s">
        <v>236</v>
      </c>
      <c r="C85" s="3">
        <v>43</v>
      </c>
      <c r="D85" s="3">
        <v>2.16</v>
      </c>
      <c r="E85" s="2" t="s">
        <v>264</v>
      </c>
      <c r="F85" s="4">
        <v>42402</v>
      </c>
      <c r="G85" s="3">
        <v>64.5</v>
      </c>
      <c r="H85" s="3">
        <v>2.5</v>
      </c>
      <c r="I85" s="4">
        <v>42430</v>
      </c>
      <c r="J85" s="3">
        <v>66.5</v>
      </c>
      <c r="K85" s="3">
        <v>3</v>
      </c>
      <c r="L85" s="3">
        <v>28</v>
      </c>
      <c r="M85" s="5">
        <v>2</v>
      </c>
      <c r="N85" s="5">
        <v>0.5</v>
      </c>
      <c r="O85" s="5">
        <v>60.480000000000004</v>
      </c>
      <c r="P85" s="5">
        <v>71.428571428571431</v>
      </c>
      <c r="Q85" s="5">
        <v>16.596823571428569</v>
      </c>
      <c r="R85" s="8">
        <f t="shared" si="7"/>
        <v>13</v>
      </c>
      <c r="S85" s="9">
        <f t="shared" si="8"/>
        <v>-0.5</v>
      </c>
      <c r="T85" s="9">
        <f t="shared" si="9"/>
        <v>0</v>
      </c>
      <c r="U85" s="9">
        <f t="shared" si="10"/>
        <v>28.080000000000002</v>
      </c>
      <c r="V85" s="9">
        <f t="shared" si="11"/>
        <v>-38.461538461538467</v>
      </c>
      <c r="W85" s="9">
        <f t="shared" si="6"/>
        <v>11.179241153846153</v>
      </c>
    </row>
    <row r="86" spans="1:23">
      <c r="A86" s="2" t="s">
        <v>235</v>
      </c>
      <c r="B86" s="2" t="s">
        <v>236</v>
      </c>
      <c r="C86" s="3">
        <v>43</v>
      </c>
      <c r="D86" s="3">
        <v>2.16</v>
      </c>
      <c r="E86" s="2" t="s">
        <v>265</v>
      </c>
      <c r="F86" s="4">
        <v>42402</v>
      </c>
      <c r="G86" s="3">
        <v>56</v>
      </c>
      <c r="H86" s="3">
        <v>2.5</v>
      </c>
      <c r="I86" s="4">
        <v>42402</v>
      </c>
      <c r="J86" s="3">
        <v>56</v>
      </c>
      <c r="K86" s="3">
        <v>2.5</v>
      </c>
      <c r="L86" s="3">
        <v>0</v>
      </c>
      <c r="M86" s="5">
        <v>0</v>
      </c>
      <c r="N86" s="5">
        <v>0</v>
      </c>
      <c r="O86" s="5">
        <v>0</v>
      </c>
      <c r="P86" s="5">
        <v>0</v>
      </c>
      <c r="Q86" s="5">
        <v>11.46904</v>
      </c>
      <c r="R86" s="8">
        <f t="shared" si="7"/>
        <v>0</v>
      </c>
      <c r="S86" s="9">
        <f t="shared" si="8"/>
        <v>0</v>
      </c>
      <c r="T86" s="9">
        <f t="shared" si="9"/>
        <v>0</v>
      </c>
      <c r="U86" s="9">
        <f t="shared" si="10"/>
        <v>0</v>
      </c>
      <c r="V86" s="9">
        <f t="shared" si="11"/>
        <v>0</v>
      </c>
      <c r="W86" s="9">
        <f t="shared" si="6"/>
        <v>11.46904</v>
      </c>
    </row>
    <row r="87" spans="1:23">
      <c r="A87" s="2" t="s">
        <v>235</v>
      </c>
      <c r="B87" s="2" t="s">
        <v>236</v>
      </c>
      <c r="C87" s="3">
        <v>43</v>
      </c>
      <c r="D87" s="3">
        <v>2.16</v>
      </c>
      <c r="E87" s="2" t="s">
        <v>265</v>
      </c>
      <c r="F87" s="4">
        <v>42402</v>
      </c>
      <c r="G87" s="3">
        <v>56</v>
      </c>
      <c r="H87" s="3">
        <v>2.5</v>
      </c>
      <c r="I87" s="4">
        <v>42417</v>
      </c>
      <c r="J87" s="3">
        <v>60.5</v>
      </c>
      <c r="K87" s="3">
        <v>3</v>
      </c>
      <c r="L87" s="3">
        <v>15</v>
      </c>
      <c r="M87" s="5">
        <v>4.5</v>
      </c>
      <c r="N87" s="5">
        <v>0.5</v>
      </c>
      <c r="O87" s="5">
        <v>32.400000000000006</v>
      </c>
      <c r="P87" s="5">
        <v>300</v>
      </c>
      <c r="Q87" s="5">
        <v>26.639492499999999</v>
      </c>
      <c r="R87" s="8">
        <f t="shared" si="7"/>
        <v>15</v>
      </c>
      <c r="S87" s="9">
        <f t="shared" si="8"/>
        <v>4.5</v>
      </c>
      <c r="T87" s="9">
        <f t="shared" si="9"/>
        <v>0.5</v>
      </c>
      <c r="U87" s="9">
        <f t="shared" si="10"/>
        <v>32.400000000000006</v>
      </c>
      <c r="V87" s="9">
        <f t="shared" si="11"/>
        <v>300</v>
      </c>
      <c r="W87" s="9">
        <f t="shared" si="6"/>
        <v>26.639492499999999</v>
      </c>
    </row>
    <row r="88" spans="1:23">
      <c r="A88" s="2" t="s">
        <v>235</v>
      </c>
      <c r="B88" s="2" t="s">
        <v>236</v>
      </c>
      <c r="C88" s="3">
        <v>43</v>
      </c>
      <c r="D88" s="3">
        <v>2.16</v>
      </c>
      <c r="E88" s="2" t="s">
        <v>265</v>
      </c>
      <c r="F88" s="4">
        <v>42402</v>
      </c>
      <c r="G88" s="3">
        <v>56</v>
      </c>
      <c r="H88" s="3">
        <v>2.5</v>
      </c>
      <c r="I88" s="4">
        <v>42430</v>
      </c>
      <c r="J88" s="3">
        <v>61</v>
      </c>
      <c r="K88" s="3">
        <v>3</v>
      </c>
      <c r="L88" s="3">
        <v>28</v>
      </c>
      <c r="M88" s="5">
        <v>5</v>
      </c>
      <c r="N88" s="5">
        <v>0.5</v>
      </c>
      <c r="O88" s="5">
        <v>60.480000000000004</v>
      </c>
      <c r="P88" s="5">
        <v>178.57142857142858</v>
      </c>
      <c r="Q88" s="5">
        <v>20.69533642857143</v>
      </c>
      <c r="R88" s="8">
        <f t="shared" si="7"/>
        <v>13</v>
      </c>
      <c r="S88" s="9">
        <f t="shared" si="8"/>
        <v>0.5</v>
      </c>
      <c r="T88" s="9">
        <f t="shared" si="9"/>
        <v>0</v>
      </c>
      <c r="U88" s="9">
        <f t="shared" si="10"/>
        <v>28.080000000000002</v>
      </c>
      <c r="V88" s="9">
        <f t="shared" si="11"/>
        <v>38.461538461538467</v>
      </c>
      <c r="W88" s="9">
        <f t="shared" si="6"/>
        <v>13.787918846153845</v>
      </c>
    </row>
    <row r="89" spans="1:23">
      <c r="A89" s="2" t="s">
        <v>235</v>
      </c>
      <c r="B89" s="2" t="s">
        <v>236</v>
      </c>
      <c r="C89" s="3">
        <v>43</v>
      </c>
      <c r="D89" s="3">
        <v>2.16</v>
      </c>
      <c r="E89" s="2" t="s">
        <v>266</v>
      </c>
      <c r="F89" s="4">
        <v>42402</v>
      </c>
      <c r="G89" s="3">
        <v>65</v>
      </c>
      <c r="H89" s="3">
        <v>3</v>
      </c>
      <c r="I89" s="4">
        <v>42402</v>
      </c>
      <c r="J89" s="3">
        <v>65</v>
      </c>
      <c r="K89" s="3">
        <v>3</v>
      </c>
      <c r="L89" s="3">
        <v>0</v>
      </c>
      <c r="M89" s="5">
        <v>0</v>
      </c>
      <c r="N89" s="5">
        <v>0</v>
      </c>
      <c r="O89" s="5">
        <v>0</v>
      </c>
      <c r="P89" s="5">
        <v>0</v>
      </c>
      <c r="Q89" s="5">
        <v>12.99085</v>
      </c>
      <c r="R89" s="8">
        <f t="shared" si="7"/>
        <v>0</v>
      </c>
      <c r="S89" s="9">
        <f t="shared" si="8"/>
        <v>0</v>
      </c>
      <c r="T89" s="9">
        <f t="shared" si="9"/>
        <v>0</v>
      </c>
      <c r="U89" s="9">
        <f t="shared" si="10"/>
        <v>0</v>
      </c>
      <c r="V89" s="9">
        <f t="shared" si="11"/>
        <v>0</v>
      </c>
      <c r="W89" s="9">
        <f t="shared" si="6"/>
        <v>12.99085</v>
      </c>
    </row>
    <row r="90" spans="1:23">
      <c r="A90" s="2" t="s">
        <v>235</v>
      </c>
      <c r="B90" s="2" t="s">
        <v>236</v>
      </c>
      <c r="C90" s="3">
        <v>43</v>
      </c>
      <c r="D90" s="3">
        <v>2.16</v>
      </c>
      <c r="E90" s="2" t="s">
        <v>266</v>
      </c>
      <c r="F90" s="4">
        <v>42402</v>
      </c>
      <c r="G90" s="3">
        <v>65</v>
      </c>
      <c r="H90" s="3">
        <v>3</v>
      </c>
      <c r="I90" s="4">
        <v>42417</v>
      </c>
      <c r="J90" s="3">
        <v>68</v>
      </c>
      <c r="K90" s="3">
        <v>3.25</v>
      </c>
      <c r="L90" s="3">
        <v>15</v>
      </c>
      <c r="M90" s="5">
        <v>3</v>
      </c>
      <c r="N90" s="5">
        <v>0.25</v>
      </c>
      <c r="O90" s="5">
        <v>32.400000000000006</v>
      </c>
      <c r="P90" s="5">
        <v>200</v>
      </c>
      <c r="Q90" s="5">
        <v>23.104484999999997</v>
      </c>
      <c r="R90" s="8">
        <f t="shared" si="7"/>
        <v>15</v>
      </c>
      <c r="S90" s="9">
        <f t="shared" si="8"/>
        <v>3</v>
      </c>
      <c r="T90" s="9">
        <f t="shared" si="9"/>
        <v>0.25</v>
      </c>
      <c r="U90" s="9">
        <f t="shared" si="10"/>
        <v>32.400000000000006</v>
      </c>
      <c r="V90" s="9">
        <f t="shared" si="11"/>
        <v>200</v>
      </c>
      <c r="W90" s="9">
        <f t="shared" si="6"/>
        <v>23.104484999999997</v>
      </c>
    </row>
    <row r="91" spans="1:23">
      <c r="A91" s="2" t="s">
        <v>235</v>
      </c>
      <c r="B91" s="2" t="s">
        <v>236</v>
      </c>
      <c r="C91" s="3">
        <v>43</v>
      </c>
      <c r="D91" s="3">
        <v>2.16</v>
      </c>
      <c r="E91" s="2" t="s">
        <v>266</v>
      </c>
      <c r="F91" s="4">
        <v>42402</v>
      </c>
      <c r="G91" s="3">
        <v>65</v>
      </c>
      <c r="H91" s="3">
        <v>3</v>
      </c>
      <c r="I91" s="4">
        <v>42430</v>
      </c>
      <c r="J91" s="3">
        <v>67.5</v>
      </c>
      <c r="K91" s="3">
        <v>3</v>
      </c>
      <c r="L91" s="3">
        <v>28</v>
      </c>
      <c r="M91" s="5">
        <v>2.5</v>
      </c>
      <c r="N91" s="5">
        <v>0</v>
      </c>
      <c r="O91" s="5">
        <v>60.480000000000004</v>
      </c>
      <c r="P91" s="5">
        <v>89.285714285714292</v>
      </c>
      <c r="Q91" s="5">
        <v>17.603998214285713</v>
      </c>
      <c r="R91" s="8">
        <f t="shared" si="7"/>
        <v>13</v>
      </c>
      <c r="S91" s="9">
        <f t="shared" si="8"/>
        <v>-0.5</v>
      </c>
      <c r="T91" s="9">
        <f t="shared" si="9"/>
        <v>-0.25</v>
      </c>
      <c r="U91" s="9">
        <f t="shared" si="10"/>
        <v>28.080000000000002</v>
      </c>
      <c r="V91" s="9">
        <f t="shared" si="11"/>
        <v>-38.461538461538467</v>
      </c>
      <c r="W91" s="9">
        <f t="shared" si="6"/>
        <v>11.306058653846154</v>
      </c>
    </row>
    <row r="92" spans="1:23">
      <c r="A92" s="2" t="s">
        <v>267</v>
      </c>
      <c r="B92" s="2" t="s">
        <v>268</v>
      </c>
      <c r="C92" s="3">
        <v>46</v>
      </c>
      <c r="D92" s="3">
        <v>3.16</v>
      </c>
      <c r="E92" s="2" t="s">
        <v>269</v>
      </c>
      <c r="F92" s="4">
        <v>42374</v>
      </c>
      <c r="G92" s="3">
        <v>74</v>
      </c>
      <c r="H92" s="3">
        <v>4</v>
      </c>
      <c r="I92" s="4">
        <v>42374</v>
      </c>
      <c r="J92" s="3">
        <v>74</v>
      </c>
      <c r="K92" s="3">
        <v>4</v>
      </c>
      <c r="L92" s="3">
        <v>0</v>
      </c>
      <c r="M92" s="5">
        <v>0</v>
      </c>
      <c r="N92" s="5">
        <v>0</v>
      </c>
      <c r="O92" s="5">
        <v>0</v>
      </c>
      <c r="P92" s="5">
        <v>0</v>
      </c>
      <c r="Q92" s="5">
        <v>14.512659999999999</v>
      </c>
      <c r="R92" s="8">
        <f t="shared" si="7"/>
        <v>0</v>
      </c>
      <c r="S92" s="9">
        <f t="shared" si="8"/>
        <v>0</v>
      </c>
      <c r="T92" s="9">
        <f t="shared" si="9"/>
        <v>0</v>
      </c>
      <c r="U92" s="9">
        <f t="shared" si="10"/>
        <v>0</v>
      </c>
      <c r="V92" s="9">
        <f t="shared" si="11"/>
        <v>0</v>
      </c>
      <c r="W92" s="9">
        <f t="shared" si="6"/>
        <v>14.512659999999999</v>
      </c>
    </row>
    <row r="93" spans="1:23">
      <c r="A93" s="2" t="s">
        <v>267</v>
      </c>
      <c r="B93" s="2" t="s">
        <v>268</v>
      </c>
      <c r="C93" s="3">
        <v>46</v>
      </c>
      <c r="D93" s="3">
        <v>3.16</v>
      </c>
      <c r="E93" s="2" t="s">
        <v>269</v>
      </c>
      <c r="F93" s="4">
        <v>42374</v>
      </c>
      <c r="G93" s="3">
        <v>74</v>
      </c>
      <c r="H93" s="3">
        <v>4</v>
      </c>
      <c r="I93" s="4">
        <v>42388</v>
      </c>
      <c r="J93" s="3">
        <v>78</v>
      </c>
      <c r="K93" s="3">
        <v>5</v>
      </c>
      <c r="L93" s="3">
        <v>14</v>
      </c>
      <c r="M93" s="5">
        <v>4</v>
      </c>
      <c r="N93" s="5">
        <v>1</v>
      </c>
      <c r="O93" s="5">
        <v>44.24</v>
      </c>
      <c r="P93" s="5">
        <v>285.71428571428572</v>
      </c>
      <c r="Q93" s="5">
        <v>28.936554285714283</v>
      </c>
      <c r="R93" s="8">
        <f t="shared" si="7"/>
        <v>14</v>
      </c>
      <c r="S93" s="9">
        <f t="shared" si="8"/>
        <v>4</v>
      </c>
      <c r="T93" s="9">
        <f t="shared" si="9"/>
        <v>1</v>
      </c>
      <c r="U93" s="9">
        <f t="shared" si="10"/>
        <v>44.24</v>
      </c>
      <c r="V93" s="9">
        <f t="shared" si="11"/>
        <v>285.71428571428572</v>
      </c>
      <c r="W93" s="9">
        <f t="shared" si="6"/>
        <v>28.936554285714283</v>
      </c>
    </row>
    <row r="94" spans="1:23">
      <c r="A94" s="2" t="s">
        <v>267</v>
      </c>
      <c r="B94" s="2" t="s">
        <v>268</v>
      </c>
      <c r="C94" s="3">
        <v>46</v>
      </c>
      <c r="D94" s="3">
        <v>3.16</v>
      </c>
      <c r="E94" s="2" t="s">
        <v>269</v>
      </c>
      <c r="F94" s="4">
        <v>42374</v>
      </c>
      <c r="G94" s="3">
        <v>74</v>
      </c>
      <c r="H94" s="3">
        <v>4</v>
      </c>
      <c r="I94" s="4">
        <v>42402</v>
      </c>
      <c r="J94" s="3">
        <v>74</v>
      </c>
      <c r="K94" s="3">
        <v>3</v>
      </c>
      <c r="L94" s="3">
        <v>28</v>
      </c>
      <c r="M94" s="5">
        <v>0</v>
      </c>
      <c r="N94" s="5">
        <v>-1</v>
      </c>
      <c r="O94" s="5">
        <v>88.48</v>
      </c>
      <c r="P94" s="5">
        <v>0</v>
      </c>
      <c r="Q94" s="5">
        <v>14.512659999999999</v>
      </c>
      <c r="R94" s="8">
        <f t="shared" si="7"/>
        <v>14</v>
      </c>
      <c r="S94" s="9">
        <f t="shared" si="8"/>
        <v>-4</v>
      </c>
      <c r="T94" s="9">
        <f t="shared" si="9"/>
        <v>-2</v>
      </c>
      <c r="U94" s="9">
        <f t="shared" si="10"/>
        <v>44.24</v>
      </c>
      <c r="V94" s="9">
        <f t="shared" si="11"/>
        <v>-285.71428571428572</v>
      </c>
      <c r="W94" s="9">
        <f t="shared" si="6"/>
        <v>0.42694571428571493</v>
      </c>
    </row>
    <row r="95" spans="1:23">
      <c r="A95" s="2" t="s">
        <v>267</v>
      </c>
      <c r="B95" s="2" t="s">
        <v>268</v>
      </c>
      <c r="C95" s="3">
        <v>46</v>
      </c>
      <c r="D95" s="3">
        <v>3.16</v>
      </c>
      <c r="E95" s="2" t="s">
        <v>270</v>
      </c>
      <c r="F95" s="4">
        <v>42374</v>
      </c>
      <c r="G95" s="3">
        <v>78</v>
      </c>
      <c r="H95" s="3">
        <v>5</v>
      </c>
      <c r="I95" s="4">
        <v>42374</v>
      </c>
      <c r="J95" s="3">
        <v>78</v>
      </c>
      <c r="K95" s="3">
        <v>5</v>
      </c>
      <c r="L95" s="3">
        <v>0</v>
      </c>
      <c r="M95" s="5">
        <v>0</v>
      </c>
      <c r="N95" s="5">
        <v>0</v>
      </c>
      <c r="O95" s="5">
        <v>0</v>
      </c>
      <c r="P95" s="5">
        <v>0</v>
      </c>
      <c r="Q95" s="5">
        <v>15.189019999999999</v>
      </c>
      <c r="R95" s="8">
        <f t="shared" si="7"/>
        <v>0</v>
      </c>
      <c r="S95" s="9">
        <f t="shared" si="8"/>
        <v>0</v>
      </c>
      <c r="T95" s="9">
        <f t="shared" si="9"/>
        <v>0</v>
      </c>
      <c r="U95" s="9">
        <f t="shared" si="10"/>
        <v>0</v>
      </c>
      <c r="V95" s="9">
        <f t="shared" si="11"/>
        <v>0</v>
      </c>
      <c r="W95" s="9">
        <f t="shared" si="6"/>
        <v>15.189019999999999</v>
      </c>
    </row>
    <row r="96" spans="1:23">
      <c r="A96" s="2" t="s">
        <v>267</v>
      </c>
      <c r="B96" s="2" t="s">
        <v>268</v>
      </c>
      <c r="C96" s="3">
        <v>46</v>
      </c>
      <c r="D96" s="3">
        <v>3.16</v>
      </c>
      <c r="E96" s="2" t="s">
        <v>270</v>
      </c>
      <c r="F96" s="4">
        <v>42374</v>
      </c>
      <c r="G96" s="3">
        <v>78</v>
      </c>
      <c r="H96" s="3">
        <v>5</v>
      </c>
      <c r="I96" s="4">
        <v>42388</v>
      </c>
      <c r="J96" s="3">
        <v>77</v>
      </c>
      <c r="K96" s="3">
        <v>5</v>
      </c>
      <c r="L96" s="3">
        <v>14</v>
      </c>
      <c r="M96" s="5">
        <v>-1</v>
      </c>
      <c r="N96" s="5">
        <v>0</v>
      </c>
      <c r="O96" s="5">
        <v>44.24</v>
      </c>
      <c r="P96" s="5">
        <v>-71.428571428571431</v>
      </c>
      <c r="Q96" s="5">
        <v>11.583046428571429</v>
      </c>
      <c r="R96" s="8">
        <f t="shared" si="7"/>
        <v>14</v>
      </c>
      <c r="S96" s="9">
        <f t="shared" si="8"/>
        <v>-1</v>
      </c>
      <c r="T96" s="9">
        <f t="shared" si="9"/>
        <v>0</v>
      </c>
      <c r="U96" s="9">
        <f t="shared" si="10"/>
        <v>44.24</v>
      </c>
      <c r="V96" s="9">
        <f t="shared" si="11"/>
        <v>-71.428571428571431</v>
      </c>
      <c r="W96" s="9">
        <f t="shared" si="6"/>
        <v>11.583046428571429</v>
      </c>
    </row>
    <row r="97" spans="1:23">
      <c r="A97" s="2" t="s">
        <v>267</v>
      </c>
      <c r="B97" s="2" t="s">
        <v>268</v>
      </c>
      <c r="C97" s="3">
        <v>46</v>
      </c>
      <c r="D97" s="3">
        <v>3.16</v>
      </c>
      <c r="E97" s="2" t="s">
        <v>270</v>
      </c>
      <c r="F97" s="4">
        <v>42374</v>
      </c>
      <c r="G97" s="3">
        <v>78</v>
      </c>
      <c r="H97" s="3">
        <v>5</v>
      </c>
      <c r="I97" s="4">
        <v>42402</v>
      </c>
      <c r="J97" s="3">
        <v>74</v>
      </c>
      <c r="K97" s="3">
        <v>4</v>
      </c>
      <c r="L97" s="3">
        <v>28</v>
      </c>
      <c r="M97" s="5">
        <v>-4</v>
      </c>
      <c r="N97" s="5">
        <v>-1</v>
      </c>
      <c r="O97" s="5">
        <v>88.48</v>
      </c>
      <c r="P97" s="5">
        <v>-142.85714285714286</v>
      </c>
      <c r="Q97" s="5">
        <v>7.807982857142858</v>
      </c>
      <c r="R97" s="8">
        <f t="shared" si="7"/>
        <v>14</v>
      </c>
      <c r="S97" s="9">
        <f t="shared" si="8"/>
        <v>-3</v>
      </c>
      <c r="T97" s="9">
        <f t="shared" si="9"/>
        <v>-1</v>
      </c>
      <c r="U97" s="9">
        <f t="shared" si="10"/>
        <v>44.24</v>
      </c>
      <c r="V97" s="9">
        <f t="shared" si="11"/>
        <v>-214.28571428571428</v>
      </c>
      <c r="W97" s="9">
        <f t="shared" si="6"/>
        <v>4.2865542857142866</v>
      </c>
    </row>
    <row r="98" spans="1:23">
      <c r="A98" s="2" t="s">
        <v>267</v>
      </c>
      <c r="B98" s="2" t="s">
        <v>268</v>
      </c>
      <c r="C98" s="3">
        <v>46</v>
      </c>
      <c r="D98" s="3">
        <v>3.16</v>
      </c>
      <c r="E98" s="2" t="s">
        <v>271</v>
      </c>
      <c r="F98" s="4">
        <v>42374</v>
      </c>
      <c r="G98" s="3">
        <v>74.5</v>
      </c>
      <c r="H98" s="3">
        <v>5</v>
      </c>
      <c r="I98" s="4">
        <v>42374</v>
      </c>
      <c r="J98" s="3">
        <v>74.5</v>
      </c>
      <c r="K98" s="3">
        <v>5</v>
      </c>
      <c r="L98" s="3">
        <v>0</v>
      </c>
      <c r="M98" s="5">
        <v>0</v>
      </c>
      <c r="N98" s="5">
        <v>0</v>
      </c>
      <c r="O98" s="5">
        <v>0</v>
      </c>
      <c r="P98" s="5">
        <v>0</v>
      </c>
      <c r="Q98" s="5">
        <v>14.597204999999999</v>
      </c>
      <c r="R98" s="8">
        <f t="shared" si="7"/>
        <v>0</v>
      </c>
      <c r="S98" s="9">
        <f t="shared" si="8"/>
        <v>0</v>
      </c>
      <c r="T98" s="9">
        <f t="shared" si="9"/>
        <v>0</v>
      </c>
      <c r="U98" s="9">
        <f t="shared" si="10"/>
        <v>0</v>
      </c>
      <c r="V98" s="9">
        <f t="shared" si="11"/>
        <v>0</v>
      </c>
      <c r="W98" s="9">
        <f t="shared" si="6"/>
        <v>14.597204999999999</v>
      </c>
    </row>
    <row r="99" spans="1:23">
      <c r="A99" s="2" t="s">
        <v>267</v>
      </c>
      <c r="B99" s="2" t="s">
        <v>268</v>
      </c>
      <c r="C99" s="3">
        <v>46</v>
      </c>
      <c r="D99" s="3">
        <v>3.16</v>
      </c>
      <c r="E99" s="2" t="s">
        <v>271</v>
      </c>
      <c r="F99" s="4">
        <v>42374</v>
      </c>
      <c r="G99" s="3">
        <v>74.5</v>
      </c>
      <c r="H99" s="3">
        <v>5</v>
      </c>
      <c r="I99" s="4">
        <v>42388</v>
      </c>
      <c r="J99" s="3">
        <v>74</v>
      </c>
      <c r="K99" s="3">
        <v>4</v>
      </c>
      <c r="L99" s="3">
        <v>14</v>
      </c>
      <c r="M99" s="5">
        <v>-0.5</v>
      </c>
      <c r="N99" s="5">
        <v>-1</v>
      </c>
      <c r="O99" s="5">
        <v>44.24</v>
      </c>
      <c r="P99" s="5">
        <v>-35.714285714285715</v>
      </c>
      <c r="Q99" s="5">
        <v>12.794218214285713</v>
      </c>
      <c r="R99" s="8">
        <f t="shared" si="7"/>
        <v>14</v>
      </c>
      <c r="S99" s="9">
        <f t="shared" si="8"/>
        <v>-0.5</v>
      </c>
      <c r="T99" s="9">
        <f t="shared" si="9"/>
        <v>-1</v>
      </c>
      <c r="U99" s="9">
        <f t="shared" si="10"/>
        <v>44.24</v>
      </c>
      <c r="V99" s="9">
        <f t="shared" si="11"/>
        <v>-35.714285714285715</v>
      </c>
      <c r="W99" s="9">
        <f t="shared" si="6"/>
        <v>12.794218214285713</v>
      </c>
    </row>
    <row r="100" spans="1:23">
      <c r="A100" s="2" t="s">
        <v>267</v>
      </c>
      <c r="B100" s="2" t="s">
        <v>268</v>
      </c>
      <c r="C100" s="3">
        <v>46</v>
      </c>
      <c r="D100" s="3">
        <v>3.16</v>
      </c>
      <c r="E100" s="2" t="s">
        <v>271</v>
      </c>
      <c r="F100" s="4">
        <v>42374</v>
      </c>
      <c r="G100" s="3">
        <v>74.5</v>
      </c>
      <c r="H100" s="3">
        <v>5</v>
      </c>
      <c r="I100" s="4">
        <v>42402</v>
      </c>
      <c r="J100" s="3">
        <v>69.5</v>
      </c>
      <c r="K100" s="3">
        <v>3</v>
      </c>
      <c r="L100" s="3">
        <v>28</v>
      </c>
      <c r="M100" s="5">
        <v>-5</v>
      </c>
      <c r="N100" s="5">
        <v>-2</v>
      </c>
      <c r="O100" s="5">
        <v>88.48</v>
      </c>
      <c r="P100" s="5">
        <v>-178.57142857142858</v>
      </c>
      <c r="Q100" s="5">
        <v>5.3709085714285703</v>
      </c>
      <c r="R100" s="8">
        <f t="shared" si="7"/>
        <v>14</v>
      </c>
      <c r="S100" s="9">
        <f t="shared" si="8"/>
        <v>-4.5</v>
      </c>
      <c r="T100" s="9">
        <f t="shared" si="9"/>
        <v>-1</v>
      </c>
      <c r="U100" s="9">
        <f t="shared" si="10"/>
        <v>44.24</v>
      </c>
      <c r="V100" s="9">
        <f t="shared" si="11"/>
        <v>-321.42857142857144</v>
      </c>
      <c r="W100" s="9">
        <f t="shared" si="6"/>
        <v>-1.6719485714285724</v>
      </c>
    </row>
    <row r="101" spans="1:23">
      <c r="A101" s="2" t="s">
        <v>267</v>
      </c>
      <c r="B101" s="2" t="s">
        <v>268</v>
      </c>
      <c r="C101" s="3">
        <v>46</v>
      </c>
      <c r="D101" s="3">
        <v>3.16</v>
      </c>
      <c r="E101" s="2" t="s">
        <v>272</v>
      </c>
      <c r="F101" s="4">
        <v>42374</v>
      </c>
      <c r="G101" s="3">
        <v>76.5</v>
      </c>
      <c r="H101" s="3">
        <v>4</v>
      </c>
      <c r="I101" s="4">
        <v>42374</v>
      </c>
      <c r="J101" s="3">
        <v>76.5</v>
      </c>
      <c r="K101" s="3">
        <v>4</v>
      </c>
      <c r="L101" s="3">
        <v>0</v>
      </c>
      <c r="M101" s="5">
        <v>0</v>
      </c>
      <c r="N101" s="5">
        <v>0</v>
      </c>
      <c r="O101" s="5">
        <v>0</v>
      </c>
      <c r="P101" s="5">
        <v>0</v>
      </c>
      <c r="Q101" s="5">
        <v>14.935385</v>
      </c>
      <c r="R101" s="8">
        <f t="shared" si="7"/>
        <v>0</v>
      </c>
      <c r="S101" s="9">
        <f t="shared" si="8"/>
        <v>0</v>
      </c>
      <c r="T101" s="9">
        <f t="shared" si="9"/>
        <v>0</v>
      </c>
      <c r="U101" s="9">
        <f t="shared" si="10"/>
        <v>0</v>
      </c>
      <c r="V101" s="9">
        <f t="shared" si="11"/>
        <v>0</v>
      </c>
      <c r="W101" s="9">
        <f t="shared" si="6"/>
        <v>14.935385</v>
      </c>
    </row>
    <row r="102" spans="1:23">
      <c r="A102" s="2" t="s">
        <v>267</v>
      </c>
      <c r="B102" s="2" t="s">
        <v>268</v>
      </c>
      <c r="C102" s="3">
        <v>46</v>
      </c>
      <c r="D102" s="3">
        <v>3.16</v>
      </c>
      <c r="E102" s="2" t="s">
        <v>272</v>
      </c>
      <c r="F102" s="4">
        <v>42374</v>
      </c>
      <c r="G102" s="3">
        <v>76.5</v>
      </c>
      <c r="H102" s="3">
        <v>4</v>
      </c>
      <c r="I102" s="4">
        <v>42388</v>
      </c>
      <c r="J102" s="3">
        <v>78</v>
      </c>
      <c r="K102" s="3">
        <v>4</v>
      </c>
      <c r="L102" s="3">
        <v>14</v>
      </c>
      <c r="M102" s="5">
        <v>1.5</v>
      </c>
      <c r="N102" s="5">
        <v>0</v>
      </c>
      <c r="O102" s="5">
        <v>44.24</v>
      </c>
      <c r="P102" s="5">
        <v>107.14285714285714</v>
      </c>
      <c r="Q102" s="5">
        <v>20.344345357142856</v>
      </c>
      <c r="R102" s="8">
        <f t="shared" si="7"/>
        <v>14</v>
      </c>
      <c r="S102" s="9">
        <f t="shared" si="8"/>
        <v>1.5</v>
      </c>
      <c r="T102" s="9">
        <f t="shared" si="9"/>
        <v>0</v>
      </c>
      <c r="U102" s="9">
        <f t="shared" si="10"/>
        <v>44.24</v>
      </c>
      <c r="V102" s="9">
        <f t="shared" si="11"/>
        <v>107.14285714285714</v>
      </c>
      <c r="W102" s="9">
        <f t="shared" si="6"/>
        <v>20.344345357142856</v>
      </c>
    </row>
    <row r="103" spans="1:23">
      <c r="A103" s="2" t="s">
        <v>267</v>
      </c>
      <c r="B103" s="2" t="s">
        <v>268</v>
      </c>
      <c r="C103" s="3">
        <v>46</v>
      </c>
      <c r="D103" s="3">
        <v>3.16</v>
      </c>
      <c r="E103" s="2" t="s">
        <v>272</v>
      </c>
      <c r="F103" s="4">
        <v>42374</v>
      </c>
      <c r="G103" s="3">
        <v>76.5</v>
      </c>
      <c r="H103" s="3">
        <v>4</v>
      </c>
      <c r="I103" s="4">
        <v>42402</v>
      </c>
      <c r="J103" s="3">
        <v>74.5</v>
      </c>
      <c r="K103" s="3">
        <v>4</v>
      </c>
      <c r="L103" s="3">
        <v>28</v>
      </c>
      <c r="M103" s="5">
        <v>-2</v>
      </c>
      <c r="N103" s="5">
        <v>0</v>
      </c>
      <c r="O103" s="5">
        <v>88.48</v>
      </c>
      <c r="P103" s="5">
        <v>-71.428571428571431</v>
      </c>
      <c r="Q103" s="5">
        <v>11.244866428571429</v>
      </c>
      <c r="R103" s="8">
        <f t="shared" si="7"/>
        <v>14</v>
      </c>
      <c r="S103" s="9">
        <f t="shared" si="8"/>
        <v>-3.5</v>
      </c>
      <c r="T103" s="9">
        <f t="shared" si="9"/>
        <v>0</v>
      </c>
      <c r="U103" s="9">
        <f t="shared" si="10"/>
        <v>44.24</v>
      </c>
      <c r="V103" s="9">
        <f t="shared" si="11"/>
        <v>-250</v>
      </c>
      <c r="W103" s="9">
        <f t="shared" si="6"/>
        <v>2.4412950000000002</v>
      </c>
    </row>
    <row r="104" spans="1:23">
      <c r="A104" s="2" t="s">
        <v>267</v>
      </c>
      <c r="B104" s="2" t="s">
        <v>268</v>
      </c>
      <c r="C104" s="3">
        <v>46</v>
      </c>
      <c r="D104" s="3">
        <v>3.16</v>
      </c>
      <c r="E104" s="2" t="s">
        <v>273</v>
      </c>
      <c r="F104" s="4">
        <v>42374</v>
      </c>
      <c r="G104" s="3">
        <v>75.5</v>
      </c>
      <c r="H104" s="3">
        <v>3</v>
      </c>
      <c r="I104" s="4">
        <v>42374</v>
      </c>
      <c r="J104" s="3">
        <v>75.5</v>
      </c>
      <c r="K104" s="3">
        <v>3</v>
      </c>
      <c r="L104" s="3">
        <v>0</v>
      </c>
      <c r="M104" s="5">
        <v>0</v>
      </c>
      <c r="N104" s="5">
        <v>0</v>
      </c>
      <c r="O104" s="5">
        <v>0</v>
      </c>
      <c r="P104" s="5">
        <v>0</v>
      </c>
      <c r="Q104" s="5">
        <v>14.766295</v>
      </c>
      <c r="R104" s="8">
        <f t="shared" si="7"/>
        <v>0</v>
      </c>
      <c r="S104" s="9">
        <f t="shared" si="8"/>
        <v>0</v>
      </c>
      <c r="T104" s="9">
        <f t="shared" si="9"/>
        <v>0</v>
      </c>
      <c r="U104" s="9">
        <f t="shared" si="10"/>
        <v>0</v>
      </c>
      <c r="V104" s="9">
        <f t="shared" si="11"/>
        <v>0</v>
      </c>
      <c r="W104" s="9">
        <f t="shared" si="6"/>
        <v>14.766295</v>
      </c>
    </row>
    <row r="105" spans="1:23">
      <c r="A105" s="2" t="s">
        <v>267</v>
      </c>
      <c r="B105" s="2" t="s">
        <v>268</v>
      </c>
      <c r="C105" s="3">
        <v>46</v>
      </c>
      <c r="D105" s="3">
        <v>3.16</v>
      </c>
      <c r="E105" s="2" t="s">
        <v>273</v>
      </c>
      <c r="F105" s="4">
        <v>42374</v>
      </c>
      <c r="G105" s="3">
        <v>75.5</v>
      </c>
      <c r="H105" s="3">
        <v>3</v>
      </c>
      <c r="I105" s="4">
        <v>42388</v>
      </c>
      <c r="J105" s="3">
        <v>75</v>
      </c>
      <c r="K105" s="3">
        <v>3</v>
      </c>
      <c r="L105" s="3">
        <v>14</v>
      </c>
      <c r="M105" s="5">
        <v>-0.5</v>
      </c>
      <c r="N105" s="5">
        <v>0</v>
      </c>
      <c r="O105" s="5">
        <v>44.24</v>
      </c>
      <c r="P105" s="5">
        <v>-35.714285714285715</v>
      </c>
      <c r="Q105" s="5">
        <v>12.963308214285712</v>
      </c>
      <c r="R105" s="8">
        <f t="shared" si="7"/>
        <v>14</v>
      </c>
      <c r="S105" s="9">
        <f t="shared" si="8"/>
        <v>-0.5</v>
      </c>
      <c r="T105" s="9">
        <f t="shared" si="9"/>
        <v>0</v>
      </c>
      <c r="U105" s="9">
        <f t="shared" si="10"/>
        <v>44.24</v>
      </c>
      <c r="V105" s="9">
        <f t="shared" si="11"/>
        <v>-35.714285714285715</v>
      </c>
      <c r="W105" s="9">
        <f t="shared" si="6"/>
        <v>12.963308214285712</v>
      </c>
    </row>
    <row r="106" spans="1:23">
      <c r="A106" s="2" t="s">
        <v>267</v>
      </c>
      <c r="B106" s="2" t="s">
        <v>268</v>
      </c>
      <c r="C106" s="3">
        <v>46</v>
      </c>
      <c r="D106" s="3">
        <v>3.16</v>
      </c>
      <c r="E106" s="2" t="s">
        <v>273</v>
      </c>
      <c r="F106" s="4">
        <v>42374</v>
      </c>
      <c r="G106" s="3">
        <v>75.5</v>
      </c>
      <c r="H106" s="3">
        <v>3</v>
      </c>
      <c r="I106" s="4">
        <v>42402</v>
      </c>
      <c r="J106" s="3">
        <v>71.5</v>
      </c>
      <c r="K106" s="3">
        <v>3</v>
      </c>
      <c r="L106" s="3">
        <v>28</v>
      </c>
      <c r="M106" s="5">
        <v>-4</v>
      </c>
      <c r="N106" s="5">
        <v>0</v>
      </c>
      <c r="O106" s="5">
        <v>88.48</v>
      </c>
      <c r="P106" s="5">
        <v>-142.85714285714286</v>
      </c>
      <c r="Q106" s="5">
        <v>7.3852578571428582</v>
      </c>
      <c r="R106" s="8">
        <f t="shared" si="7"/>
        <v>14</v>
      </c>
      <c r="S106" s="9">
        <f t="shared" si="8"/>
        <v>-3.5</v>
      </c>
      <c r="T106" s="9">
        <f t="shared" si="9"/>
        <v>0</v>
      </c>
      <c r="U106" s="9">
        <f t="shared" si="10"/>
        <v>44.24</v>
      </c>
      <c r="V106" s="9">
        <f t="shared" si="11"/>
        <v>-250</v>
      </c>
      <c r="W106" s="9">
        <f t="shared" si="6"/>
        <v>2.1031150000000007</v>
      </c>
    </row>
    <row r="107" spans="1:23">
      <c r="A107" s="2" t="s">
        <v>267</v>
      </c>
      <c r="B107" s="2" t="s">
        <v>268</v>
      </c>
      <c r="C107" s="3">
        <v>46</v>
      </c>
      <c r="D107" s="3">
        <v>3.16</v>
      </c>
      <c r="E107" s="2" t="s">
        <v>274</v>
      </c>
      <c r="F107" s="4">
        <v>42374</v>
      </c>
      <c r="G107" s="3">
        <v>78</v>
      </c>
      <c r="H107" s="3">
        <v>3</v>
      </c>
      <c r="I107" s="4">
        <v>42374</v>
      </c>
      <c r="J107" s="3">
        <v>78</v>
      </c>
      <c r="K107" s="3">
        <v>3</v>
      </c>
      <c r="L107" s="3">
        <v>0</v>
      </c>
      <c r="M107" s="5">
        <v>0</v>
      </c>
      <c r="N107" s="5">
        <v>0</v>
      </c>
      <c r="O107" s="5">
        <v>0</v>
      </c>
      <c r="P107" s="5">
        <v>0</v>
      </c>
      <c r="Q107" s="5">
        <v>15.189019999999999</v>
      </c>
      <c r="R107" s="8">
        <f t="shared" si="7"/>
        <v>0</v>
      </c>
      <c r="S107" s="9">
        <f t="shared" si="8"/>
        <v>0</v>
      </c>
      <c r="T107" s="9">
        <f t="shared" si="9"/>
        <v>0</v>
      </c>
      <c r="U107" s="9">
        <f t="shared" si="10"/>
        <v>0</v>
      </c>
      <c r="V107" s="9">
        <f t="shared" si="11"/>
        <v>0</v>
      </c>
      <c r="W107" s="9">
        <f t="shared" si="6"/>
        <v>15.189019999999999</v>
      </c>
    </row>
    <row r="108" spans="1:23">
      <c r="A108" s="2" t="s">
        <v>267</v>
      </c>
      <c r="B108" s="2" t="s">
        <v>268</v>
      </c>
      <c r="C108" s="3">
        <v>46</v>
      </c>
      <c r="D108" s="3">
        <v>3.16</v>
      </c>
      <c r="E108" s="2" t="s">
        <v>274</v>
      </c>
      <c r="F108" s="4">
        <v>42374</v>
      </c>
      <c r="G108" s="3">
        <v>78</v>
      </c>
      <c r="H108" s="3">
        <v>3</v>
      </c>
      <c r="I108" s="4">
        <v>42388</v>
      </c>
      <c r="J108" s="3">
        <v>81</v>
      </c>
      <c r="K108" s="3">
        <v>3</v>
      </c>
      <c r="L108" s="3">
        <v>14</v>
      </c>
      <c r="M108" s="5">
        <v>3</v>
      </c>
      <c r="N108" s="5">
        <v>0</v>
      </c>
      <c r="O108" s="5">
        <v>44.24</v>
      </c>
      <c r="P108" s="5">
        <v>214.28571428571428</v>
      </c>
      <c r="Q108" s="5">
        <v>26.006940714285712</v>
      </c>
      <c r="R108" s="8">
        <f t="shared" si="7"/>
        <v>14</v>
      </c>
      <c r="S108" s="9">
        <f t="shared" si="8"/>
        <v>3</v>
      </c>
      <c r="T108" s="9">
        <f t="shared" si="9"/>
        <v>0</v>
      </c>
      <c r="U108" s="9">
        <f t="shared" si="10"/>
        <v>44.24</v>
      </c>
      <c r="V108" s="9">
        <f t="shared" si="11"/>
        <v>214.28571428571428</v>
      </c>
      <c r="W108" s="9">
        <f t="shared" si="6"/>
        <v>26.006940714285712</v>
      </c>
    </row>
    <row r="109" spans="1:23">
      <c r="A109" s="2" t="s">
        <v>267</v>
      </c>
      <c r="B109" s="2" t="s">
        <v>268</v>
      </c>
      <c r="C109" s="3">
        <v>46</v>
      </c>
      <c r="D109" s="3">
        <v>3.16</v>
      </c>
      <c r="E109" s="2" t="s">
        <v>274</v>
      </c>
      <c r="F109" s="4">
        <v>42374</v>
      </c>
      <c r="G109" s="3">
        <v>78</v>
      </c>
      <c r="H109" s="3">
        <v>3</v>
      </c>
      <c r="I109" s="4">
        <v>42402</v>
      </c>
      <c r="J109" s="3">
        <v>78</v>
      </c>
      <c r="K109" s="3">
        <v>3</v>
      </c>
      <c r="L109" s="3">
        <v>28</v>
      </c>
      <c r="M109" s="5">
        <v>0</v>
      </c>
      <c r="N109" s="5">
        <v>0</v>
      </c>
      <c r="O109" s="5">
        <v>88.48</v>
      </c>
      <c r="P109" s="5">
        <v>0</v>
      </c>
      <c r="Q109" s="5">
        <v>15.189019999999999</v>
      </c>
      <c r="R109" s="8">
        <f t="shared" si="7"/>
        <v>14</v>
      </c>
      <c r="S109" s="9">
        <f t="shared" si="8"/>
        <v>-3</v>
      </c>
      <c r="T109" s="9">
        <f t="shared" si="9"/>
        <v>0</v>
      </c>
      <c r="U109" s="9">
        <f t="shared" si="10"/>
        <v>44.24</v>
      </c>
      <c r="V109" s="9">
        <f t="shared" si="11"/>
        <v>-214.28571428571428</v>
      </c>
      <c r="W109" s="9">
        <f t="shared" si="6"/>
        <v>4.6247342857142861</v>
      </c>
    </row>
    <row r="110" spans="1:23">
      <c r="A110" s="2" t="s">
        <v>267</v>
      </c>
      <c r="B110" s="2" t="s">
        <v>268</v>
      </c>
      <c r="C110" s="3">
        <v>46</v>
      </c>
      <c r="D110" s="3">
        <v>3.16</v>
      </c>
      <c r="E110" s="2" t="s">
        <v>275</v>
      </c>
      <c r="F110" s="4">
        <v>42374</v>
      </c>
      <c r="G110" s="3">
        <v>77.5</v>
      </c>
      <c r="H110" s="3">
        <v>3</v>
      </c>
      <c r="I110" s="4">
        <v>42374</v>
      </c>
      <c r="J110" s="3">
        <v>77.5</v>
      </c>
      <c r="K110" s="3">
        <v>3</v>
      </c>
      <c r="L110" s="3">
        <v>0</v>
      </c>
      <c r="M110" s="5">
        <v>0</v>
      </c>
      <c r="N110" s="5">
        <v>0</v>
      </c>
      <c r="O110" s="5">
        <v>0</v>
      </c>
      <c r="P110" s="5">
        <v>0</v>
      </c>
      <c r="Q110" s="5">
        <v>15.104474999999999</v>
      </c>
      <c r="R110" s="8">
        <f t="shared" si="7"/>
        <v>0</v>
      </c>
      <c r="S110" s="9">
        <f t="shared" si="8"/>
        <v>0</v>
      </c>
      <c r="T110" s="9">
        <f t="shared" si="9"/>
        <v>0</v>
      </c>
      <c r="U110" s="9">
        <f t="shared" si="10"/>
        <v>0</v>
      </c>
      <c r="V110" s="9">
        <f t="shared" si="11"/>
        <v>0</v>
      </c>
      <c r="W110" s="9">
        <f t="shared" si="6"/>
        <v>15.104474999999999</v>
      </c>
    </row>
    <row r="111" spans="1:23">
      <c r="A111" s="2" t="s">
        <v>267</v>
      </c>
      <c r="B111" s="2" t="s">
        <v>268</v>
      </c>
      <c r="C111" s="3">
        <v>46</v>
      </c>
      <c r="D111" s="3">
        <v>3.16</v>
      </c>
      <c r="E111" s="2" t="s">
        <v>275</v>
      </c>
      <c r="F111" s="4">
        <v>42374</v>
      </c>
      <c r="G111" s="3">
        <v>77.5</v>
      </c>
      <c r="H111" s="3">
        <v>3</v>
      </c>
      <c r="I111" s="4">
        <v>42388</v>
      </c>
      <c r="J111" s="3">
        <v>77.5</v>
      </c>
      <c r="K111" s="3">
        <v>4</v>
      </c>
      <c r="L111" s="3">
        <v>14</v>
      </c>
      <c r="M111" s="5">
        <v>0</v>
      </c>
      <c r="N111" s="5">
        <v>1</v>
      </c>
      <c r="O111" s="5">
        <v>44.24</v>
      </c>
      <c r="P111" s="5">
        <v>0</v>
      </c>
      <c r="Q111" s="5">
        <v>15.104474999999999</v>
      </c>
      <c r="R111" s="8">
        <f t="shared" si="7"/>
        <v>14</v>
      </c>
      <c r="S111" s="9">
        <f t="shared" si="8"/>
        <v>0</v>
      </c>
      <c r="T111" s="9">
        <f t="shared" si="9"/>
        <v>1</v>
      </c>
      <c r="U111" s="9">
        <f t="shared" si="10"/>
        <v>44.24</v>
      </c>
      <c r="V111" s="9">
        <f t="shared" si="11"/>
        <v>0</v>
      </c>
      <c r="W111" s="9">
        <f t="shared" si="6"/>
        <v>15.104474999999999</v>
      </c>
    </row>
    <row r="112" spans="1:23">
      <c r="A112" s="2" t="s">
        <v>267</v>
      </c>
      <c r="B112" s="2" t="s">
        <v>268</v>
      </c>
      <c r="C112" s="3">
        <v>46</v>
      </c>
      <c r="D112" s="3">
        <v>3.16</v>
      </c>
      <c r="E112" s="2" t="s">
        <v>275</v>
      </c>
      <c r="F112" s="4">
        <v>42374</v>
      </c>
      <c r="G112" s="3">
        <v>77.5</v>
      </c>
      <c r="H112" s="3">
        <v>3</v>
      </c>
      <c r="I112" s="4">
        <v>42402</v>
      </c>
      <c r="J112" s="3">
        <v>73.5</v>
      </c>
      <c r="K112" s="3">
        <v>4</v>
      </c>
      <c r="L112" s="3">
        <v>28</v>
      </c>
      <c r="M112" s="5">
        <v>-4</v>
      </c>
      <c r="N112" s="5">
        <v>1</v>
      </c>
      <c r="O112" s="5">
        <v>88.48</v>
      </c>
      <c r="P112" s="5">
        <v>-142.85714285714286</v>
      </c>
      <c r="Q112" s="5">
        <v>7.7234378571428577</v>
      </c>
      <c r="R112" s="8">
        <f t="shared" si="7"/>
        <v>14</v>
      </c>
      <c r="S112" s="9">
        <f t="shared" si="8"/>
        <v>-4</v>
      </c>
      <c r="T112" s="9">
        <f t="shared" si="9"/>
        <v>0</v>
      </c>
      <c r="U112" s="9">
        <f t="shared" si="10"/>
        <v>44.24</v>
      </c>
      <c r="V112" s="9">
        <f t="shared" si="11"/>
        <v>-285.71428571428572</v>
      </c>
      <c r="W112" s="9">
        <f t="shared" si="6"/>
        <v>0.68058071428571587</v>
      </c>
    </row>
    <row r="113" spans="1:23">
      <c r="A113" s="2" t="s">
        <v>267</v>
      </c>
      <c r="B113" s="2" t="s">
        <v>268</v>
      </c>
      <c r="C113" s="3">
        <v>46</v>
      </c>
      <c r="D113" s="3">
        <v>3.16</v>
      </c>
      <c r="E113" s="2" t="s">
        <v>276</v>
      </c>
      <c r="F113" s="4">
        <v>42374</v>
      </c>
      <c r="G113" s="3">
        <v>72.5</v>
      </c>
      <c r="H113" s="3">
        <v>4</v>
      </c>
      <c r="I113" s="4">
        <v>42374</v>
      </c>
      <c r="J113" s="3">
        <v>72.5</v>
      </c>
      <c r="K113" s="3">
        <v>4</v>
      </c>
      <c r="L113" s="3">
        <v>0</v>
      </c>
      <c r="M113" s="5">
        <v>0</v>
      </c>
      <c r="N113" s="5">
        <v>0</v>
      </c>
      <c r="O113" s="5">
        <v>0</v>
      </c>
      <c r="P113" s="5">
        <v>0</v>
      </c>
      <c r="Q113" s="5">
        <v>14.259024999999999</v>
      </c>
      <c r="R113" s="8">
        <f t="shared" si="7"/>
        <v>0</v>
      </c>
      <c r="S113" s="9">
        <f t="shared" si="8"/>
        <v>0</v>
      </c>
      <c r="T113" s="9">
        <f t="shared" si="9"/>
        <v>0</v>
      </c>
      <c r="U113" s="9">
        <f t="shared" si="10"/>
        <v>0</v>
      </c>
      <c r="V113" s="9">
        <f t="shared" si="11"/>
        <v>0</v>
      </c>
      <c r="W113" s="9">
        <f t="shared" si="6"/>
        <v>14.259024999999999</v>
      </c>
    </row>
    <row r="114" spans="1:23">
      <c r="A114" s="2" t="s">
        <v>267</v>
      </c>
      <c r="B114" s="2" t="s">
        <v>268</v>
      </c>
      <c r="C114" s="3">
        <v>46</v>
      </c>
      <c r="D114" s="3">
        <v>3.16</v>
      </c>
      <c r="E114" s="2" t="s">
        <v>276</v>
      </c>
      <c r="F114" s="4">
        <v>42374</v>
      </c>
      <c r="G114" s="3">
        <v>72.5</v>
      </c>
      <c r="H114" s="3">
        <v>4</v>
      </c>
      <c r="I114" s="4">
        <v>42388</v>
      </c>
      <c r="J114" s="3">
        <v>73</v>
      </c>
      <c r="K114" s="3">
        <v>3.5</v>
      </c>
      <c r="L114" s="3">
        <v>14</v>
      </c>
      <c r="M114" s="5">
        <v>0.5</v>
      </c>
      <c r="N114" s="5">
        <v>-0.5</v>
      </c>
      <c r="O114" s="5">
        <v>44.24</v>
      </c>
      <c r="P114" s="5">
        <v>35.714285714285715</v>
      </c>
      <c r="Q114" s="5">
        <v>16.062011785714283</v>
      </c>
      <c r="R114" s="8">
        <f t="shared" si="7"/>
        <v>14</v>
      </c>
      <c r="S114" s="9">
        <f t="shared" si="8"/>
        <v>0.5</v>
      </c>
      <c r="T114" s="9">
        <f t="shared" si="9"/>
        <v>-0.5</v>
      </c>
      <c r="U114" s="9">
        <f t="shared" si="10"/>
        <v>44.24</v>
      </c>
      <c r="V114" s="9">
        <f t="shared" si="11"/>
        <v>35.714285714285715</v>
      </c>
      <c r="W114" s="9">
        <f t="shared" si="6"/>
        <v>16.062011785714283</v>
      </c>
    </row>
    <row r="115" spans="1:23">
      <c r="A115" s="2" t="s">
        <v>267</v>
      </c>
      <c r="B115" s="2" t="s">
        <v>268</v>
      </c>
      <c r="C115" s="3">
        <v>46</v>
      </c>
      <c r="D115" s="3">
        <v>3.16</v>
      </c>
      <c r="E115" s="2" t="s">
        <v>276</v>
      </c>
      <c r="F115" s="4">
        <v>42374</v>
      </c>
      <c r="G115" s="3">
        <v>72.5</v>
      </c>
      <c r="H115" s="3">
        <v>4</v>
      </c>
      <c r="I115" s="4">
        <v>42402</v>
      </c>
      <c r="J115" s="3">
        <v>70</v>
      </c>
      <c r="K115" s="3">
        <v>4</v>
      </c>
      <c r="L115" s="3">
        <v>28</v>
      </c>
      <c r="M115" s="5">
        <v>-2.5</v>
      </c>
      <c r="N115" s="5">
        <v>0</v>
      </c>
      <c r="O115" s="5">
        <v>88.48</v>
      </c>
      <c r="P115" s="5">
        <v>-89.285714285714292</v>
      </c>
      <c r="Q115" s="5">
        <v>9.645876785714286</v>
      </c>
      <c r="R115" s="8">
        <f t="shared" si="7"/>
        <v>14</v>
      </c>
      <c r="S115" s="9">
        <f t="shared" si="8"/>
        <v>-3</v>
      </c>
      <c r="T115" s="9">
        <f t="shared" si="9"/>
        <v>0.5</v>
      </c>
      <c r="U115" s="9">
        <f t="shared" si="10"/>
        <v>44.24</v>
      </c>
      <c r="V115" s="9">
        <f t="shared" si="11"/>
        <v>-214.28571428571428</v>
      </c>
      <c r="W115" s="9">
        <f t="shared" si="6"/>
        <v>3.4833767857142863</v>
      </c>
    </row>
    <row r="116" spans="1:23">
      <c r="A116" s="2" t="s">
        <v>267</v>
      </c>
      <c r="B116" s="2" t="s">
        <v>268</v>
      </c>
      <c r="C116" s="3">
        <v>46</v>
      </c>
      <c r="D116" s="3">
        <v>3.16</v>
      </c>
      <c r="E116" s="2" t="s">
        <v>277</v>
      </c>
      <c r="F116" s="4">
        <v>42374</v>
      </c>
      <c r="G116" s="3">
        <v>77.5</v>
      </c>
      <c r="H116" s="3">
        <v>4</v>
      </c>
      <c r="I116" s="4">
        <v>42374</v>
      </c>
      <c r="J116" s="3">
        <v>77.5</v>
      </c>
      <c r="K116" s="3">
        <v>4</v>
      </c>
      <c r="L116" s="3">
        <v>0</v>
      </c>
      <c r="M116" s="5">
        <v>0</v>
      </c>
      <c r="N116" s="5">
        <v>0</v>
      </c>
      <c r="O116" s="5">
        <v>0</v>
      </c>
      <c r="P116" s="5">
        <v>0</v>
      </c>
      <c r="Q116" s="5">
        <v>15.104474999999999</v>
      </c>
      <c r="R116" s="8">
        <f t="shared" si="7"/>
        <v>0</v>
      </c>
      <c r="S116" s="9">
        <f t="shared" si="8"/>
        <v>0</v>
      </c>
      <c r="T116" s="9">
        <f t="shared" si="9"/>
        <v>0</v>
      </c>
      <c r="U116" s="9">
        <f t="shared" si="10"/>
        <v>0</v>
      </c>
      <c r="V116" s="9">
        <f t="shared" si="11"/>
        <v>0</v>
      </c>
      <c r="W116" s="9">
        <f t="shared" si="6"/>
        <v>15.104474999999999</v>
      </c>
    </row>
    <row r="117" spans="1:23">
      <c r="A117" s="2" t="s">
        <v>267</v>
      </c>
      <c r="B117" s="2" t="s">
        <v>268</v>
      </c>
      <c r="C117" s="3">
        <v>46</v>
      </c>
      <c r="D117" s="3">
        <v>3.16</v>
      </c>
      <c r="E117" s="2" t="s">
        <v>277</v>
      </c>
      <c r="F117" s="4">
        <v>42374</v>
      </c>
      <c r="G117" s="3">
        <v>77.5</v>
      </c>
      <c r="H117" s="3">
        <v>4</v>
      </c>
      <c r="I117" s="4">
        <v>42388</v>
      </c>
      <c r="J117" s="3">
        <v>77</v>
      </c>
      <c r="K117" s="3">
        <v>4</v>
      </c>
      <c r="L117" s="3">
        <v>14</v>
      </c>
      <c r="M117" s="5">
        <v>-0.5</v>
      </c>
      <c r="N117" s="5">
        <v>0</v>
      </c>
      <c r="O117" s="5">
        <v>44.24</v>
      </c>
      <c r="P117" s="5">
        <v>-35.714285714285715</v>
      </c>
      <c r="Q117" s="5">
        <v>13.301488214285714</v>
      </c>
      <c r="R117" s="8">
        <f t="shared" si="7"/>
        <v>14</v>
      </c>
      <c r="S117" s="9">
        <f t="shared" si="8"/>
        <v>-0.5</v>
      </c>
      <c r="T117" s="9">
        <f t="shared" si="9"/>
        <v>0</v>
      </c>
      <c r="U117" s="9">
        <f t="shared" si="10"/>
        <v>44.24</v>
      </c>
      <c r="V117" s="9">
        <f t="shared" si="11"/>
        <v>-35.714285714285715</v>
      </c>
      <c r="W117" s="9">
        <f t="shared" si="6"/>
        <v>13.301488214285714</v>
      </c>
    </row>
    <row r="118" spans="1:23">
      <c r="A118" s="2" t="s">
        <v>267</v>
      </c>
      <c r="B118" s="2" t="s">
        <v>268</v>
      </c>
      <c r="C118" s="3">
        <v>46</v>
      </c>
      <c r="D118" s="3">
        <v>3.16</v>
      </c>
      <c r="E118" s="2" t="s">
        <v>277</v>
      </c>
      <c r="F118" s="4">
        <v>42374</v>
      </c>
      <c r="G118" s="3">
        <v>77.5</v>
      </c>
      <c r="H118" s="3">
        <v>4</v>
      </c>
      <c r="I118" s="4">
        <v>42402</v>
      </c>
      <c r="J118" s="3">
        <v>73.5</v>
      </c>
      <c r="K118" s="3">
        <v>4</v>
      </c>
      <c r="L118" s="3">
        <v>28</v>
      </c>
      <c r="M118" s="5">
        <v>-4</v>
      </c>
      <c r="N118" s="5">
        <v>0</v>
      </c>
      <c r="O118" s="5">
        <v>88.48</v>
      </c>
      <c r="P118" s="5">
        <v>-142.85714285714286</v>
      </c>
      <c r="Q118" s="5">
        <v>7.7234378571428577</v>
      </c>
      <c r="R118" s="8">
        <f t="shared" si="7"/>
        <v>14</v>
      </c>
      <c r="S118" s="9">
        <f t="shared" si="8"/>
        <v>-3.5</v>
      </c>
      <c r="T118" s="9">
        <f t="shared" si="9"/>
        <v>0</v>
      </c>
      <c r="U118" s="9">
        <f t="shared" si="10"/>
        <v>44.24</v>
      </c>
      <c r="V118" s="9">
        <f t="shared" si="11"/>
        <v>-250</v>
      </c>
      <c r="W118" s="9">
        <f t="shared" si="6"/>
        <v>2.4412950000000002</v>
      </c>
    </row>
    <row r="119" spans="1:23">
      <c r="A119" s="2" t="s">
        <v>267</v>
      </c>
      <c r="B119" s="2" t="s">
        <v>268</v>
      </c>
      <c r="C119" s="3">
        <v>46</v>
      </c>
      <c r="D119" s="3">
        <v>3.16</v>
      </c>
      <c r="E119" s="2" t="s">
        <v>278</v>
      </c>
      <c r="F119" s="4">
        <v>42374</v>
      </c>
      <c r="G119" s="3">
        <v>76</v>
      </c>
      <c r="H119" s="3">
        <v>3</v>
      </c>
      <c r="I119" s="4">
        <v>42374</v>
      </c>
      <c r="J119" s="3">
        <v>76</v>
      </c>
      <c r="K119" s="3">
        <v>3</v>
      </c>
      <c r="L119" s="3">
        <v>0</v>
      </c>
      <c r="M119" s="5">
        <v>0</v>
      </c>
      <c r="N119" s="5">
        <v>0</v>
      </c>
      <c r="O119" s="5">
        <v>0</v>
      </c>
      <c r="P119" s="5">
        <v>0</v>
      </c>
      <c r="Q119" s="5">
        <v>14.85084</v>
      </c>
      <c r="R119" s="8">
        <f t="shared" si="7"/>
        <v>0</v>
      </c>
      <c r="S119" s="9">
        <f t="shared" si="8"/>
        <v>0</v>
      </c>
      <c r="T119" s="9">
        <f t="shared" si="9"/>
        <v>0</v>
      </c>
      <c r="U119" s="9">
        <f t="shared" si="10"/>
        <v>0</v>
      </c>
      <c r="V119" s="9">
        <f t="shared" si="11"/>
        <v>0</v>
      </c>
      <c r="W119" s="9">
        <f t="shared" si="6"/>
        <v>14.85084</v>
      </c>
    </row>
    <row r="120" spans="1:23">
      <c r="A120" s="2" t="s">
        <v>267</v>
      </c>
      <c r="B120" s="2" t="s">
        <v>268</v>
      </c>
      <c r="C120" s="3">
        <v>46</v>
      </c>
      <c r="D120" s="3">
        <v>3.16</v>
      </c>
      <c r="E120" s="2" t="s">
        <v>278</v>
      </c>
      <c r="F120" s="4">
        <v>42374</v>
      </c>
      <c r="G120" s="3">
        <v>76</v>
      </c>
      <c r="H120" s="3">
        <v>3</v>
      </c>
      <c r="I120" s="4">
        <v>42388</v>
      </c>
      <c r="J120" s="3">
        <v>73</v>
      </c>
      <c r="K120" s="3">
        <v>3</v>
      </c>
      <c r="L120" s="3">
        <v>14</v>
      </c>
      <c r="M120" s="5">
        <v>-3</v>
      </c>
      <c r="N120" s="5">
        <v>0</v>
      </c>
      <c r="O120" s="5">
        <v>44.24</v>
      </c>
      <c r="P120" s="5">
        <v>-214.28571428571428</v>
      </c>
      <c r="Q120" s="5">
        <v>4.0329192857142857</v>
      </c>
      <c r="R120" s="8">
        <f t="shared" si="7"/>
        <v>14</v>
      </c>
      <c r="S120" s="9">
        <f t="shared" si="8"/>
        <v>-3</v>
      </c>
      <c r="T120" s="9">
        <f t="shared" si="9"/>
        <v>0</v>
      </c>
      <c r="U120" s="9">
        <f t="shared" si="10"/>
        <v>44.24</v>
      </c>
      <c r="V120" s="9">
        <f t="shared" si="11"/>
        <v>-214.28571428571428</v>
      </c>
      <c r="W120" s="9">
        <f t="shared" si="6"/>
        <v>4.0329192857142857</v>
      </c>
    </row>
    <row r="121" spans="1:23">
      <c r="A121" s="2" t="s">
        <v>267</v>
      </c>
      <c r="B121" s="2" t="s">
        <v>268</v>
      </c>
      <c r="C121" s="3">
        <v>46</v>
      </c>
      <c r="D121" s="3">
        <v>3.16</v>
      </c>
      <c r="E121" s="2" t="s">
        <v>278</v>
      </c>
      <c r="F121" s="4">
        <v>42374</v>
      </c>
      <c r="G121" s="3">
        <v>76</v>
      </c>
      <c r="H121" s="3">
        <v>3</v>
      </c>
      <c r="I121" s="4">
        <v>42402</v>
      </c>
      <c r="J121" s="3">
        <v>70.5</v>
      </c>
      <c r="K121" s="3">
        <v>3</v>
      </c>
      <c r="L121" s="3">
        <v>28</v>
      </c>
      <c r="M121" s="5">
        <v>-5.5</v>
      </c>
      <c r="N121" s="5">
        <v>0</v>
      </c>
      <c r="O121" s="5">
        <v>88.48</v>
      </c>
      <c r="P121" s="5">
        <v>-196.42857142857142</v>
      </c>
      <c r="Q121" s="5">
        <v>4.7019139285714289</v>
      </c>
      <c r="R121" s="8">
        <f t="shared" si="7"/>
        <v>14</v>
      </c>
      <c r="S121" s="9">
        <f t="shared" si="8"/>
        <v>-2.5</v>
      </c>
      <c r="T121" s="9">
        <f t="shared" si="9"/>
        <v>0</v>
      </c>
      <c r="U121" s="9">
        <f t="shared" si="10"/>
        <v>44.24</v>
      </c>
      <c r="V121" s="9">
        <f t="shared" si="11"/>
        <v>-178.57142857142858</v>
      </c>
      <c r="W121" s="9">
        <f t="shared" si="6"/>
        <v>5.5822710714285702</v>
      </c>
    </row>
    <row r="122" spans="1:23">
      <c r="A122" s="2" t="s">
        <v>267</v>
      </c>
      <c r="B122" s="2" t="s">
        <v>268</v>
      </c>
      <c r="C122" s="3">
        <v>46</v>
      </c>
      <c r="D122" s="3">
        <v>3.16</v>
      </c>
      <c r="E122" s="2" t="s">
        <v>279</v>
      </c>
      <c r="F122" s="4">
        <v>42374</v>
      </c>
      <c r="G122" s="3">
        <v>73</v>
      </c>
      <c r="H122" s="3">
        <v>3</v>
      </c>
      <c r="I122" s="4">
        <v>42374</v>
      </c>
      <c r="J122" s="3">
        <v>73</v>
      </c>
      <c r="K122" s="3">
        <v>3</v>
      </c>
      <c r="L122" s="3">
        <v>0</v>
      </c>
      <c r="M122" s="5">
        <v>0</v>
      </c>
      <c r="N122" s="5">
        <v>0</v>
      </c>
      <c r="O122" s="5">
        <v>0</v>
      </c>
      <c r="P122" s="5">
        <v>0</v>
      </c>
      <c r="Q122" s="5">
        <v>14.34357</v>
      </c>
      <c r="R122" s="8">
        <f t="shared" si="7"/>
        <v>0</v>
      </c>
      <c r="S122" s="9">
        <f t="shared" si="8"/>
        <v>0</v>
      </c>
      <c r="T122" s="9">
        <f t="shared" si="9"/>
        <v>0</v>
      </c>
      <c r="U122" s="9">
        <f t="shared" si="10"/>
        <v>0</v>
      </c>
      <c r="V122" s="9">
        <f t="shared" si="11"/>
        <v>0</v>
      </c>
      <c r="W122" s="9">
        <f t="shared" si="6"/>
        <v>14.34357</v>
      </c>
    </row>
    <row r="123" spans="1:23">
      <c r="A123" s="2" t="s">
        <v>267</v>
      </c>
      <c r="B123" s="2" t="s">
        <v>268</v>
      </c>
      <c r="C123" s="3">
        <v>46</v>
      </c>
      <c r="D123" s="3">
        <v>3.16</v>
      </c>
      <c r="E123" s="2" t="s">
        <v>279</v>
      </c>
      <c r="F123" s="4">
        <v>42374</v>
      </c>
      <c r="G123" s="3">
        <v>73</v>
      </c>
      <c r="H123" s="3">
        <v>3</v>
      </c>
      <c r="I123" s="4">
        <v>42388</v>
      </c>
      <c r="J123" s="3">
        <v>72.5</v>
      </c>
      <c r="K123" s="3">
        <v>3</v>
      </c>
      <c r="L123" s="3">
        <v>14</v>
      </c>
      <c r="M123" s="5">
        <v>-0.5</v>
      </c>
      <c r="N123" s="5">
        <v>0</v>
      </c>
      <c r="O123" s="5">
        <v>44.24</v>
      </c>
      <c r="P123" s="5">
        <v>-35.714285714285715</v>
      </c>
      <c r="Q123" s="5">
        <v>12.540583214285713</v>
      </c>
      <c r="R123" s="8">
        <f t="shared" si="7"/>
        <v>14</v>
      </c>
      <c r="S123" s="9">
        <f t="shared" si="8"/>
        <v>-0.5</v>
      </c>
      <c r="T123" s="9">
        <f t="shared" si="9"/>
        <v>0</v>
      </c>
      <c r="U123" s="9">
        <f t="shared" si="10"/>
        <v>44.24</v>
      </c>
      <c r="V123" s="9">
        <f t="shared" si="11"/>
        <v>-35.714285714285715</v>
      </c>
      <c r="W123" s="9">
        <f t="shared" si="6"/>
        <v>12.540583214285713</v>
      </c>
    </row>
    <row r="124" spans="1:23">
      <c r="A124" s="2" t="s">
        <v>267</v>
      </c>
      <c r="B124" s="2" t="s">
        <v>268</v>
      </c>
      <c r="C124" s="3">
        <v>46</v>
      </c>
      <c r="D124" s="3">
        <v>3.16</v>
      </c>
      <c r="E124" s="2" t="s">
        <v>279</v>
      </c>
      <c r="F124" s="4">
        <v>42374</v>
      </c>
      <c r="G124" s="3">
        <v>73</v>
      </c>
      <c r="H124" s="3">
        <v>3</v>
      </c>
      <c r="I124" s="4">
        <v>42402</v>
      </c>
      <c r="J124" s="3">
        <v>69.5</v>
      </c>
      <c r="K124" s="3">
        <v>3</v>
      </c>
      <c r="L124" s="3">
        <v>28</v>
      </c>
      <c r="M124" s="5">
        <v>-3.5</v>
      </c>
      <c r="N124" s="5">
        <v>0</v>
      </c>
      <c r="O124" s="5">
        <v>88.48</v>
      </c>
      <c r="P124" s="5">
        <v>-125</v>
      </c>
      <c r="Q124" s="5">
        <v>7.8851624999999999</v>
      </c>
      <c r="R124" s="8">
        <f t="shared" si="7"/>
        <v>14</v>
      </c>
      <c r="S124" s="9">
        <f t="shared" si="8"/>
        <v>-3</v>
      </c>
      <c r="T124" s="9">
        <f t="shared" si="9"/>
        <v>0</v>
      </c>
      <c r="U124" s="9">
        <f t="shared" si="10"/>
        <v>44.24</v>
      </c>
      <c r="V124" s="9">
        <f t="shared" si="11"/>
        <v>-214.28571428571428</v>
      </c>
      <c r="W124" s="9">
        <f t="shared" si="6"/>
        <v>3.4833767857142863</v>
      </c>
    </row>
    <row r="125" spans="1:23">
      <c r="A125" s="2" t="s">
        <v>267</v>
      </c>
      <c r="B125" s="2" t="s">
        <v>268</v>
      </c>
      <c r="C125" s="3">
        <v>46</v>
      </c>
      <c r="D125" s="3">
        <v>3.16</v>
      </c>
      <c r="E125" s="2" t="s">
        <v>280</v>
      </c>
      <c r="F125" s="4">
        <v>42374</v>
      </c>
      <c r="G125" s="3">
        <v>77</v>
      </c>
      <c r="H125" s="3">
        <v>4</v>
      </c>
      <c r="I125" s="4">
        <v>42374</v>
      </c>
      <c r="J125" s="3">
        <v>77</v>
      </c>
      <c r="K125" s="3">
        <v>4</v>
      </c>
      <c r="L125" s="3">
        <v>0</v>
      </c>
      <c r="M125" s="5">
        <v>0</v>
      </c>
      <c r="N125" s="5">
        <v>0</v>
      </c>
      <c r="O125" s="5">
        <v>0</v>
      </c>
      <c r="P125" s="5">
        <v>0</v>
      </c>
      <c r="Q125" s="5">
        <v>15.019929999999999</v>
      </c>
      <c r="R125" s="8">
        <f t="shared" si="7"/>
        <v>0</v>
      </c>
      <c r="S125" s="9">
        <f t="shared" si="8"/>
        <v>0</v>
      </c>
      <c r="T125" s="9">
        <f t="shared" si="9"/>
        <v>0</v>
      </c>
      <c r="U125" s="9">
        <f t="shared" si="10"/>
        <v>0</v>
      </c>
      <c r="V125" s="9">
        <f t="shared" si="11"/>
        <v>0</v>
      </c>
      <c r="W125" s="9">
        <f t="shared" si="6"/>
        <v>15.019929999999999</v>
      </c>
    </row>
    <row r="126" spans="1:23">
      <c r="A126" s="2" t="s">
        <v>267</v>
      </c>
      <c r="B126" s="2" t="s">
        <v>268</v>
      </c>
      <c r="C126" s="3">
        <v>46</v>
      </c>
      <c r="D126" s="3">
        <v>3.16</v>
      </c>
      <c r="E126" s="2" t="s">
        <v>280</v>
      </c>
      <c r="F126" s="4">
        <v>42374</v>
      </c>
      <c r="G126" s="3">
        <v>77</v>
      </c>
      <c r="H126" s="3">
        <v>4</v>
      </c>
      <c r="I126" s="4">
        <v>42388</v>
      </c>
      <c r="J126" s="3">
        <v>75</v>
      </c>
      <c r="K126" s="3">
        <v>4</v>
      </c>
      <c r="L126" s="3">
        <v>14</v>
      </c>
      <c r="M126" s="5">
        <v>-2</v>
      </c>
      <c r="N126" s="5">
        <v>0</v>
      </c>
      <c r="O126" s="5">
        <v>44.24</v>
      </c>
      <c r="P126" s="5">
        <v>-142.85714285714286</v>
      </c>
      <c r="Q126" s="5">
        <v>7.807982857142858</v>
      </c>
      <c r="R126" s="8">
        <f t="shared" si="7"/>
        <v>14</v>
      </c>
      <c r="S126" s="9">
        <f t="shared" si="8"/>
        <v>-2</v>
      </c>
      <c r="T126" s="9">
        <f t="shared" si="9"/>
        <v>0</v>
      </c>
      <c r="U126" s="9">
        <f t="shared" si="10"/>
        <v>44.24</v>
      </c>
      <c r="V126" s="9">
        <f t="shared" si="11"/>
        <v>-142.85714285714286</v>
      </c>
      <c r="W126" s="9">
        <f t="shared" si="6"/>
        <v>7.807982857142858</v>
      </c>
    </row>
    <row r="127" spans="1:23">
      <c r="A127" s="2" t="s">
        <v>267</v>
      </c>
      <c r="B127" s="2" t="s">
        <v>268</v>
      </c>
      <c r="C127" s="3">
        <v>46</v>
      </c>
      <c r="D127" s="3">
        <v>3.16</v>
      </c>
      <c r="E127" s="2" t="s">
        <v>280</v>
      </c>
      <c r="F127" s="4">
        <v>42374</v>
      </c>
      <c r="G127" s="3">
        <v>77</v>
      </c>
      <c r="H127" s="3">
        <v>4</v>
      </c>
      <c r="I127" s="4">
        <v>42402</v>
      </c>
      <c r="J127" s="3">
        <v>72.5</v>
      </c>
      <c r="K127" s="3">
        <v>4</v>
      </c>
      <c r="L127" s="3">
        <v>28</v>
      </c>
      <c r="M127" s="5">
        <v>-4.5</v>
      </c>
      <c r="N127" s="5">
        <v>0</v>
      </c>
      <c r="O127" s="5">
        <v>88.48</v>
      </c>
      <c r="P127" s="5">
        <v>-160.71428571428572</v>
      </c>
      <c r="Q127" s="5">
        <v>6.7162632142857142</v>
      </c>
      <c r="R127" s="8">
        <f t="shared" si="7"/>
        <v>14</v>
      </c>
      <c r="S127" s="9">
        <f t="shared" si="8"/>
        <v>-2.5</v>
      </c>
      <c r="T127" s="9">
        <f t="shared" si="9"/>
        <v>0</v>
      </c>
      <c r="U127" s="9">
        <f t="shared" si="10"/>
        <v>44.24</v>
      </c>
      <c r="V127" s="9">
        <f t="shared" si="11"/>
        <v>-178.57142857142858</v>
      </c>
      <c r="W127" s="9">
        <f t="shared" si="6"/>
        <v>5.8359060714285711</v>
      </c>
    </row>
    <row r="128" spans="1:23">
      <c r="A128" s="2" t="s">
        <v>267</v>
      </c>
      <c r="B128" s="2" t="s">
        <v>268</v>
      </c>
      <c r="C128" s="3">
        <v>46</v>
      </c>
      <c r="D128" s="3">
        <v>3.16</v>
      </c>
      <c r="E128" s="2" t="s">
        <v>281</v>
      </c>
      <c r="F128" s="4">
        <v>42374</v>
      </c>
      <c r="G128" s="3">
        <v>72.5</v>
      </c>
      <c r="H128" s="3">
        <v>3</v>
      </c>
      <c r="I128" s="4">
        <v>42374</v>
      </c>
      <c r="J128" s="3">
        <v>72.5</v>
      </c>
      <c r="K128" s="3">
        <v>3</v>
      </c>
      <c r="L128" s="3">
        <v>0</v>
      </c>
      <c r="M128" s="5">
        <v>0</v>
      </c>
      <c r="N128" s="5">
        <v>0</v>
      </c>
      <c r="O128" s="5">
        <v>0</v>
      </c>
      <c r="P128" s="5">
        <v>0</v>
      </c>
      <c r="Q128" s="5">
        <v>14.259024999999999</v>
      </c>
      <c r="R128" s="8">
        <f t="shared" si="7"/>
        <v>0</v>
      </c>
      <c r="S128" s="9">
        <f t="shared" si="8"/>
        <v>0</v>
      </c>
      <c r="T128" s="9">
        <f t="shared" si="9"/>
        <v>0</v>
      </c>
      <c r="U128" s="9">
        <f t="shared" si="10"/>
        <v>0</v>
      </c>
      <c r="V128" s="9">
        <f t="shared" si="11"/>
        <v>0</v>
      </c>
      <c r="W128" s="9">
        <f t="shared" si="6"/>
        <v>14.259024999999999</v>
      </c>
    </row>
    <row r="129" spans="1:23">
      <c r="A129" s="2" t="s">
        <v>267</v>
      </c>
      <c r="B129" s="2" t="s">
        <v>268</v>
      </c>
      <c r="C129" s="3">
        <v>46</v>
      </c>
      <c r="D129" s="3">
        <v>3.16</v>
      </c>
      <c r="E129" s="2" t="s">
        <v>281</v>
      </c>
      <c r="F129" s="4">
        <v>42374</v>
      </c>
      <c r="G129" s="3">
        <v>72.5</v>
      </c>
      <c r="H129" s="3">
        <v>3</v>
      </c>
      <c r="I129" s="4">
        <v>42388</v>
      </c>
      <c r="J129" s="3">
        <v>71.5</v>
      </c>
      <c r="K129" s="3">
        <v>3</v>
      </c>
      <c r="L129" s="3">
        <v>14</v>
      </c>
      <c r="M129" s="5">
        <v>-1</v>
      </c>
      <c r="N129" s="5">
        <v>0</v>
      </c>
      <c r="O129" s="5">
        <v>44.24</v>
      </c>
      <c r="P129" s="5">
        <v>-71.428571428571431</v>
      </c>
      <c r="Q129" s="5">
        <v>10.653051428571429</v>
      </c>
      <c r="R129" s="8">
        <f t="shared" si="7"/>
        <v>14</v>
      </c>
      <c r="S129" s="9">
        <f t="shared" si="8"/>
        <v>-1</v>
      </c>
      <c r="T129" s="9">
        <f t="shared" si="9"/>
        <v>0</v>
      </c>
      <c r="U129" s="9">
        <f t="shared" si="10"/>
        <v>44.24</v>
      </c>
      <c r="V129" s="9">
        <f t="shared" si="11"/>
        <v>-71.428571428571431</v>
      </c>
      <c r="W129" s="9">
        <f t="shared" si="6"/>
        <v>10.653051428571429</v>
      </c>
    </row>
    <row r="130" spans="1:23">
      <c r="A130" s="2" t="s">
        <v>267</v>
      </c>
      <c r="B130" s="2" t="s">
        <v>268</v>
      </c>
      <c r="C130" s="3">
        <v>46</v>
      </c>
      <c r="D130" s="3">
        <v>3.16</v>
      </c>
      <c r="E130" s="2" t="s">
        <v>281</v>
      </c>
      <c r="F130" s="4">
        <v>42374</v>
      </c>
      <c r="G130" s="3">
        <v>72.5</v>
      </c>
      <c r="H130" s="3">
        <v>3</v>
      </c>
      <c r="I130" s="4">
        <v>42402</v>
      </c>
      <c r="J130" s="3">
        <v>68.5</v>
      </c>
      <c r="K130" s="3">
        <v>3</v>
      </c>
      <c r="L130" s="3">
        <v>28</v>
      </c>
      <c r="M130" s="5">
        <v>-4</v>
      </c>
      <c r="N130" s="5">
        <v>0</v>
      </c>
      <c r="O130" s="5">
        <v>88.48</v>
      </c>
      <c r="P130" s="5">
        <v>-142.85714285714286</v>
      </c>
      <c r="Q130" s="5">
        <v>6.8779878571428581</v>
      </c>
      <c r="R130" s="8">
        <f t="shared" si="7"/>
        <v>14</v>
      </c>
      <c r="S130" s="9">
        <f t="shared" si="8"/>
        <v>-3</v>
      </c>
      <c r="T130" s="9">
        <f t="shared" si="9"/>
        <v>0</v>
      </c>
      <c r="U130" s="9">
        <f t="shared" si="10"/>
        <v>44.24</v>
      </c>
      <c r="V130" s="9">
        <f t="shared" si="11"/>
        <v>-214.28571428571428</v>
      </c>
      <c r="W130" s="9">
        <f t="shared" ref="W130:W193" si="12">IF(R130=0,(((G130)*0.16909+(V130/1000)*49.3)+2),((((G130+J130)/2)*0.16909+(V130/1000)*49.3)+2))</f>
        <v>3.3565592857142867</v>
      </c>
    </row>
    <row r="131" spans="1:23">
      <c r="A131" s="2" t="s">
        <v>267</v>
      </c>
      <c r="B131" s="2" t="s">
        <v>268</v>
      </c>
      <c r="C131" s="3">
        <v>46</v>
      </c>
      <c r="D131" s="3">
        <v>3.16</v>
      </c>
      <c r="E131" s="2" t="s">
        <v>282</v>
      </c>
      <c r="F131" s="4">
        <v>42374</v>
      </c>
      <c r="G131" s="3">
        <v>73.5</v>
      </c>
      <c r="H131" s="3">
        <v>5</v>
      </c>
      <c r="I131" s="4">
        <v>42374</v>
      </c>
      <c r="J131" s="3">
        <v>73.5</v>
      </c>
      <c r="K131" s="3">
        <v>5</v>
      </c>
      <c r="L131" s="3">
        <v>0</v>
      </c>
      <c r="M131" s="5">
        <v>0</v>
      </c>
      <c r="N131" s="5">
        <v>0</v>
      </c>
      <c r="O131" s="5">
        <v>0</v>
      </c>
      <c r="P131" s="5">
        <v>0</v>
      </c>
      <c r="Q131" s="5">
        <v>14.428115</v>
      </c>
      <c r="R131" s="8">
        <f t="shared" ref="R131:R182" si="13">IF(I131-F131=0,0,I131-I130)</f>
        <v>0</v>
      </c>
      <c r="S131" s="9">
        <f t="shared" ref="S131:S182" si="14">IF($R131=0,J131-G131,J131-J130)</f>
        <v>0</v>
      </c>
      <c r="T131" s="9">
        <f t="shared" ref="T131:T182" si="15">IF($R131=0,K131-H131,K131-K130)</f>
        <v>0</v>
      </c>
      <c r="U131" s="9">
        <f t="shared" ref="U131:U182" si="16">D131*R131</f>
        <v>0</v>
      </c>
      <c r="V131" s="9">
        <f t="shared" ref="V131:V182" si="17">IF(R131=0,0,(S131/R131*1000))</f>
        <v>0</v>
      </c>
      <c r="W131" s="9">
        <f t="shared" si="12"/>
        <v>14.428115</v>
      </c>
    </row>
    <row r="132" spans="1:23">
      <c r="A132" s="2" t="s">
        <v>267</v>
      </c>
      <c r="B132" s="2" t="s">
        <v>268</v>
      </c>
      <c r="C132" s="3">
        <v>46</v>
      </c>
      <c r="D132" s="3">
        <v>3.16</v>
      </c>
      <c r="E132" s="2" t="s">
        <v>282</v>
      </c>
      <c r="F132" s="4">
        <v>42374</v>
      </c>
      <c r="G132" s="3">
        <v>73.5</v>
      </c>
      <c r="H132" s="3">
        <v>5</v>
      </c>
      <c r="I132" s="4">
        <v>42388</v>
      </c>
      <c r="J132" s="3">
        <v>71.5</v>
      </c>
      <c r="K132" s="3">
        <v>4</v>
      </c>
      <c r="L132" s="3">
        <v>14</v>
      </c>
      <c r="M132" s="5">
        <v>-2</v>
      </c>
      <c r="N132" s="5">
        <v>-1</v>
      </c>
      <c r="O132" s="5">
        <v>44.24</v>
      </c>
      <c r="P132" s="5">
        <v>-142.85714285714286</v>
      </c>
      <c r="Q132" s="5">
        <v>7.2161678571428576</v>
      </c>
      <c r="R132" s="8">
        <f t="shared" si="13"/>
        <v>14</v>
      </c>
      <c r="S132" s="9">
        <f t="shared" si="14"/>
        <v>-2</v>
      </c>
      <c r="T132" s="9">
        <f t="shared" si="15"/>
        <v>-1</v>
      </c>
      <c r="U132" s="9">
        <f t="shared" si="16"/>
        <v>44.24</v>
      </c>
      <c r="V132" s="9">
        <f t="shared" si="17"/>
        <v>-142.85714285714286</v>
      </c>
      <c r="W132" s="9">
        <f t="shared" si="12"/>
        <v>7.2161678571428576</v>
      </c>
    </row>
    <row r="133" spans="1:23">
      <c r="A133" s="2" t="s">
        <v>267</v>
      </c>
      <c r="B133" s="2" t="s">
        <v>268</v>
      </c>
      <c r="C133" s="3">
        <v>46</v>
      </c>
      <c r="D133" s="3">
        <v>3.16</v>
      </c>
      <c r="E133" s="2" t="s">
        <v>282</v>
      </c>
      <c r="F133" s="4">
        <v>42374</v>
      </c>
      <c r="G133" s="3">
        <v>73.5</v>
      </c>
      <c r="H133" s="3">
        <v>5</v>
      </c>
      <c r="I133" s="4">
        <v>42402</v>
      </c>
      <c r="J133" s="3">
        <v>67.5</v>
      </c>
      <c r="K133" s="3">
        <v>3</v>
      </c>
      <c r="L133" s="3">
        <v>28</v>
      </c>
      <c r="M133" s="5">
        <v>-6</v>
      </c>
      <c r="N133" s="5">
        <v>-2</v>
      </c>
      <c r="O133" s="5">
        <v>88.48</v>
      </c>
      <c r="P133" s="5">
        <v>-214.28571428571428</v>
      </c>
      <c r="Q133" s="5">
        <v>3.3565592857142867</v>
      </c>
      <c r="R133" s="8">
        <f t="shared" si="13"/>
        <v>14</v>
      </c>
      <c r="S133" s="9">
        <f t="shared" si="14"/>
        <v>-4</v>
      </c>
      <c r="T133" s="9">
        <f t="shared" si="15"/>
        <v>-1</v>
      </c>
      <c r="U133" s="9">
        <f t="shared" si="16"/>
        <v>44.24</v>
      </c>
      <c r="V133" s="9">
        <f t="shared" si="17"/>
        <v>-285.71428571428572</v>
      </c>
      <c r="W133" s="9">
        <f t="shared" si="12"/>
        <v>-0.16486928571428372</v>
      </c>
    </row>
    <row r="134" spans="1:23">
      <c r="A134" s="2" t="s">
        <v>267</v>
      </c>
      <c r="B134" s="2" t="s">
        <v>268</v>
      </c>
      <c r="C134" s="3">
        <v>46</v>
      </c>
      <c r="D134" s="3">
        <v>3.16</v>
      </c>
      <c r="E134" s="2" t="s">
        <v>283</v>
      </c>
      <c r="F134" s="4">
        <v>42374</v>
      </c>
      <c r="G134" s="3">
        <v>74</v>
      </c>
      <c r="H134" s="3">
        <v>5</v>
      </c>
      <c r="I134" s="4">
        <v>42374</v>
      </c>
      <c r="J134" s="3">
        <v>74</v>
      </c>
      <c r="K134" s="3">
        <v>5</v>
      </c>
      <c r="L134" s="3">
        <v>0</v>
      </c>
      <c r="M134" s="5">
        <v>0</v>
      </c>
      <c r="N134" s="5">
        <v>0</v>
      </c>
      <c r="O134" s="5">
        <v>0</v>
      </c>
      <c r="P134" s="5">
        <v>0</v>
      </c>
      <c r="Q134" s="5">
        <v>14.512659999999999</v>
      </c>
      <c r="R134" s="8">
        <f t="shared" si="13"/>
        <v>0</v>
      </c>
      <c r="S134" s="9">
        <f t="shared" si="14"/>
        <v>0</v>
      </c>
      <c r="T134" s="9">
        <f t="shared" si="15"/>
        <v>0</v>
      </c>
      <c r="U134" s="9">
        <f t="shared" si="16"/>
        <v>0</v>
      </c>
      <c r="V134" s="9">
        <f t="shared" si="17"/>
        <v>0</v>
      </c>
      <c r="W134" s="9">
        <f t="shared" si="12"/>
        <v>14.512659999999999</v>
      </c>
    </row>
    <row r="135" spans="1:23">
      <c r="A135" s="2" t="s">
        <v>267</v>
      </c>
      <c r="B135" s="2" t="s">
        <v>268</v>
      </c>
      <c r="C135" s="3">
        <v>46</v>
      </c>
      <c r="D135" s="3">
        <v>3.16</v>
      </c>
      <c r="E135" s="2" t="s">
        <v>283</v>
      </c>
      <c r="F135" s="4">
        <v>42374</v>
      </c>
      <c r="G135" s="3">
        <v>74</v>
      </c>
      <c r="H135" s="3">
        <v>5</v>
      </c>
      <c r="I135" s="4">
        <v>42388</v>
      </c>
      <c r="J135" s="3">
        <v>72</v>
      </c>
      <c r="K135" s="3">
        <v>5</v>
      </c>
      <c r="L135" s="3">
        <v>14</v>
      </c>
      <c r="M135" s="5">
        <v>-2</v>
      </c>
      <c r="N135" s="5">
        <v>0</v>
      </c>
      <c r="O135" s="5">
        <v>44.24</v>
      </c>
      <c r="P135" s="5">
        <v>-142.85714285714286</v>
      </c>
      <c r="Q135" s="5">
        <v>7.3007128571428579</v>
      </c>
      <c r="R135" s="8">
        <f t="shared" si="13"/>
        <v>14</v>
      </c>
      <c r="S135" s="9">
        <f t="shared" si="14"/>
        <v>-2</v>
      </c>
      <c r="T135" s="9">
        <f t="shared" si="15"/>
        <v>0</v>
      </c>
      <c r="U135" s="9">
        <f t="shared" si="16"/>
        <v>44.24</v>
      </c>
      <c r="V135" s="9">
        <f t="shared" si="17"/>
        <v>-142.85714285714286</v>
      </c>
      <c r="W135" s="9">
        <f t="shared" si="12"/>
        <v>7.3007128571428579</v>
      </c>
    </row>
    <row r="136" spans="1:23">
      <c r="A136" s="2" t="s">
        <v>267</v>
      </c>
      <c r="B136" s="2" t="s">
        <v>268</v>
      </c>
      <c r="C136" s="3">
        <v>46</v>
      </c>
      <c r="D136" s="3">
        <v>3.16</v>
      </c>
      <c r="E136" s="2" t="s">
        <v>283</v>
      </c>
      <c r="F136" s="4">
        <v>42374</v>
      </c>
      <c r="G136" s="3">
        <v>74</v>
      </c>
      <c r="H136" s="3">
        <v>5</v>
      </c>
      <c r="I136" s="4">
        <v>42402</v>
      </c>
      <c r="J136" s="3">
        <v>70</v>
      </c>
      <c r="K136" s="3">
        <v>5</v>
      </c>
      <c r="L136" s="3">
        <v>28</v>
      </c>
      <c r="M136" s="5">
        <v>-4</v>
      </c>
      <c r="N136" s="5">
        <v>0</v>
      </c>
      <c r="O136" s="5">
        <v>88.48</v>
      </c>
      <c r="P136" s="5">
        <v>-142.85714285714286</v>
      </c>
      <c r="Q136" s="5">
        <v>7.1316228571428573</v>
      </c>
      <c r="R136" s="8">
        <f t="shared" si="13"/>
        <v>14</v>
      </c>
      <c r="S136" s="9">
        <f t="shared" si="14"/>
        <v>-2</v>
      </c>
      <c r="T136" s="9">
        <f t="shared" si="15"/>
        <v>0</v>
      </c>
      <c r="U136" s="9">
        <f t="shared" si="16"/>
        <v>44.24</v>
      </c>
      <c r="V136" s="9">
        <f t="shared" si="17"/>
        <v>-142.85714285714286</v>
      </c>
      <c r="W136" s="9">
        <f t="shared" si="12"/>
        <v>7.1316228571428573</v>
      </c>
    </row>
    <row r="137" spans="1:23">
      <c r="A137" s="2" t="s">
        <v>267</v>
      </c>
      <c r="B137" s="2" t="s">
        <v>268</v>
      </c>
      <c r="C137" s="3">
        <v>46</v>
      </c>
      <c r="D137" s="3">
        <v>3.16</v>
      </c>
      <c r="E137" s="2" t="s">
        <v>284</v>
      </c>
      <c r="F137" s="4">
        <v>42374</v>
      </c>
      <c r="G137" s="3">
        <v>75</v>
      </c>
      <c r="H137" s="3">
        <v>4</v>
      </c>
      <c r="I137" s="4">
        <v>42374</v>
      </c>
      <c r="J137" s="3">
        <v>75</v>
      </c>
      <c r="K137" s="3">
        <v>4</v>
      </c>
      <c r="L137" s="3">
        <v>0</v>
      </c>
      <c r="M137" s="5">
        <v>0</v>
      </c>
      <c r="N137" s="5">
        <v>0</v>
      </c>
      <c r="O137" s="5">
        <v>0</v>
      </c>
      <c r="P137" s="5">
        <v>0</v>
      </c>
      <c r="Q137" s="5">
        <v>14.681749999999999</v>
      </c>
      <c r="R137" s="8">
        <f t="shared" si="13"/>
        <v>0</v>
      </c>
      <c r="S137" s="9">
        <f t="shared" si="14"/>
        <v>0</v>
      </c>
      <c r="T137" s="9">
        <f t="shared" si="15"/>
        <v>0</v>
      </c>
      <c r="U137" s="9">
        <f t="shared" si="16"/>
        <v>0</v>
      </c>
      <c r="V137" s="9">
        <f t="shared" si="17"/>
        <v>0</v>
      </c>
      <c r="W137" s="9">
        <f t="shared" si="12"/>
        <v>14.681749999999999</v>
      </c>
    </row>
    <row r="138" spans="1:23">
      <c r="A138" s="2" t="s">
        <v>267</v>
      </c>
      <c r="B138" s="2" t="s">
        <v>268</v>
      </c>
      <c r="C138" s="3">
        <v>46</v>
      </c>
      <c r="D138" s="3">
        <v>3.16</v>
      </c>
      <c r="E138" s="2" t="s">
        <v>284</v>
      </c>
      <c r="F138" s="4">
        <v>42374</v>
      </c>
      <c r="G138" s="3">
        <v>75</v>
      </c>
      <c r="H138" s="3">
        <v>4</v>
      </c>
      <c r="I138" s="4">
        <v>42388</v>
      </c>
      <c r="J138" s="3">
        <v>72</v>
      </c>
      <c r="K138" s="3">
        <v>4</v>
      </c>
      <c r="L138" s="3">
        <v>14</v>
      </c>
      <c r="M138" s="5">
        <v>-3</v>
      </c>
      <c r="N138" s="5">
        <v>0</v>
      </c>
      <c r="O138" s="5">
        <v>44.24</v>
      </c>
      <c r="P138" s="5">
        <v>-214.28571428571428</v>
      </c>
      <c r="Q138" s="5">
        <v>3.8638292857142869</v>
      </c>
      <c r="R138" s="8">
        <f t="shared" si="13"/>
        <v>14</v>
      </c>
      <c r="S138" s="9">
        <f t="shared" si="14"/>
        <v>-3</v>
      </c>
      <c r="T138" s="9">
        <f t="shared" si="15"/>
        <v>0</v>
      </c>
      <c r="U138" s="9">
        <f t="shared" si="16"/>
        <v>44.24</v>
      </c>
      <c r="V138" s="9">
        <f t="shared" si="17"/>
        <v>-214.28571428571428</v>
      </c>
      <c r="W138" s="9">
        <f t="shared" si="12"/>
        <v>3.8638292857142869</v>
      </c>
    </row>
    <row r="139" spans="1:23">
      <c r="A139" s="2" t="s">
        <v>267</v>
      </c>
      <c r="B139" s="2" t="s">
        <v>268</v>
      </c>
      <c r="C139" s="3">
        <v>46</v>
      </c>
      <c r="D139" s="3">
        <v>3.16</v>
      </c>
      <c r="E139" s="2" t="s">
        <v>284</v>
      </c>
      <c r="F139" s="4">
        <v>42374</v>
      </c>
      <c r="G139" s="3">
        <v>75</v>
      </c>
      <c r="H139" s="3">
        <v>4</v>
      </c>
      <c r="I139" s="4">
        <v>42402</v>
      </c>
      <c r="J139" s="3">
        <v>69.5</v>
      </c>
      <c r="K139" s="3">
        <v>3</v>
      </c>
      <c r="L139" s="3">
        <v>28</v>
      </c>
      <c r="M139" s="5">
        <v>-5.5</v>
      </c>
      <c r="N139" s="5">
        <v>-1</v>
      </c>
      <c r="O139" s="5">
        <v>88.48</v>
      </c>
      <c r="P139" s="5">
        <v>-196.42857142857142</v>
      </c>
      <c r="Q139" s="5">
        <v>4.53282392857143</v>
      </c>
      <c r="R139" s="8">
        <f t="shared" si="13"/>
        <v>14</v>
      </c>
      <c r="S139" s="9">
        <f t="shared" si="14"/>
        <v>-2.5</v>
      </c>
      <c r="T139" s="9">
        <f t="shared" si="15"/>
        <v>-1</v>
      </c>
      <c r="U139" s="9">
        <f t="shared" si="16"/>
        <v>44.24</v>
      </c>
      <c r="V139" s="9">
        <f t="shared" si="17"/>
        <v>-178.57142857142858</v>
      </c>
      <c r="W139" s="9">
        <f t="shared" si="12"/>
        <v>5.4131810714285713</v>
      </c>
    </row>
    <row r="140" spans="1:23">
      <c r="A140" s="2" t="s">
        <v>267</v>
      </c>
      <c r="B140" s="2" t="s">
        <v>268</v>
      </c>
      <c r="C140" s="3">
        <v>46</v>
      </c>
      <c r="D140" s="3">
        <v>3.16</v>
      </c>
      <c r="E140" s="2" t="s">
        <v>285</v>
      </c>
      <c r="F140" s="4">
        <v>42374</v>
      </c>
      <c r="G140" s="3">
        <v>75</v>
      </c>
      <c r="H140" s="3">
        <v>3</v>
      </c>
      <c r="I140" s="4">
        <v>42374</v>
      </c>
      <c r="J140" s="3">
        <v>75</v>
      </c>
      <c r="K140" s="3">
        <v>3</v>
      </c>
      <c r="L140" s="3">
        <v>0</v>
      </c>
      <c r="M140" s="5">
        <v>0</v>
      </c>
      <c r="N140" s="5">
        <v>0</v>
      </c>
      <c r="O140" s="5">
        <v>0</v>
      </c>
      <c r="P140" s="5">
        <v>0</v>
      </c>
      <c r="Q140" s="5">
        <v>14.681749999999999</v>
      </c>
      <c r="R140" s="8">
        <f t="shared" si="13"/>
        <v>0</v>
      </c>
      <c r="S140" s="9">
        <f t="shared" si="14"/>
        <v>0</v>
      </c>
      <c r="T140" s="9">
        <f t="shared" si="15"/>
        <v>0</v>
      </c>
      <c r="U140" s="9">
        <f t="shared" si="16"/>
        <v>0</v>
      </c>
      <c r="V140" s="9">
        <f t="shared" si="17"/>
        <v>0</v>
      </c>
      <c r="W140" s="9">
        <f t="shared" si="12"/>
        <v>14.681749999999999</v>
      </c>
    </row>
    <row r="141" spans="1:23">
      <c r="A141" s="2" t="s">
        <v>267</v>
      </c>
      <c r="B141" s="2" t="s">
        <v>268</v>
      </c>
      <c r="C141" s="3">
        <v>46</v>
      </c>
      <c r="D141" s="3">
        <v>3.16</v>
      </c>
      <c r="E141" s="2" t="s">
        <v>285</v>
      </c>
      <c r="F141" s="4">
        <v>42374</v>
      </c>
      <c r="G141" s="3">
        <v>75</v>
      </c>
      <c r="H141" s="3">
        <v>3</v>
      </c>
      <c r="I141" s="4">
        <v>42388</v>
      </c>
      <c r="J141" s="3">
        <v>73</v>
      </c>
      <c r="K141" s="3">
        <v>3</v>
      </c>
      <c r="L141" s="3">
        <v>14</v>
      </c>
      <c r="M141" s="5">
        <v>-2</v>
      </c>
      <c r="N141" s="5">
        <v>0</v>
      </c>
      <c r="O141" s="5">
        <v>44.24</v>
      </c>
      <c r="P141" s="5">
        <v>-142.85714285714286</v>
      </c>
      <c r="Q141" s="5">
        <v>7.4698028571428567</v>
      </c>
      <c r="R141" s="8">
        <f t="shared" si="13"/>
        <v>14</v>
      </c>
      <c r="S141" s="9">
        <f t="shared" si="14"/>
        <v>-2</v>
      </c>
      <c r="T141" s="9">
        <f t="shared" si="15"/>
        <v>0</v>
      </c>
      <c r="U141" s="9">
        <f t="shared" si="16"/>
        <v>44.24</v>
      </c>
      <c r="V141" s="9">
        <f t="shared" si="17"/>
        <v>-142.85714285714286</v>
      </c>
      <c r="W141" s="9">
        <f t="shared" si="12"/>
        <v>7.4698028571428567</v>
      </c>
    </row>
    <row r="142" spans="1:23">
      <c r="A142" s="2" t="s">
        <v>267</v>
      </c>
      <c r="B142" s="2" t="s">
        <v>268</v>
      </c>
      <c r="C142" s="3">
        <v>46</v>
      </c>
      <c r="D142" s="3">
        <v>3.16</v>
      </c>
      <c r="E142" s="2" t="s">
        <v>285</v>
      </c>
      <c r="F142" s="4">
        <v>42374</v>
      </c>
      <c r="G142" s="3">
        <v>75</v>
      </c>
      <c r="H142" s="3">
        <v>3</v>
      </c>
      <c r="I142" s="4">
        <v>42402</v>
      </c>
      <c r="J142" s="3">
        <v>69.5</v>
      </c>
      <c r="K142" s="3">
        <v>3</v>
      </c>
      <c r="L142" s="3">
        <v>28</v>
      </c>
      <c r="M142" s="5">
        <v>-5.5</v>
      </c>
      <c r="N142" s="5">
        <v>0</v>
      </c>
      <c r="O142" s="5">
        <v>88.48</v>
      </c>
      <c r="P142" s="5">
        <v>-196.42857142857142</v>
      </c>
      <c r="Q142" s="5">
        <v>4.53282392857143</v>
      </c>
      <c r="R142" s="8">
        <f t="shared" si="13"/>
        <v>14</v>
      </c>
      <c r="S142" s="9">
        <f t="shared" si="14"/>
        <v>-3.5</v>
      </c>
      <c r="T142" s="9">
        <f t="shared" si="15"/>
        <v>0</v>
      </c>
      <c r="U142" s="9">
        <f t="shared" si="16"/>
        <v>44.24</v>
      </c>
      <c r="V142" s="9">
        <f t="shared" si="17"/>
        <v>-250</v>
      </c>
      <c r="W142" s="9">
        <f t="shared" si="12"/>
        <v>1.8917525000000008</v>
      </c>
    </row>
    <row r="143" spans="1:23">
      <c r="A143" s="2" t="s">
        <v>267</v>
      </c>
      <c r="B143" s="2" t="s">
        <v>268</v>
      </c>
      <c r="C143" s="3">
        <v>46</v>
      </c>
      <c r="D143" s="3">
        <v>3.16</v>
      </c>
      <c r="E143" s="2" t="s">
        <v>286</v>
      </c>
      <c r="F143" s="4">
        <v>42374</v>
      </c>
      <c r="G143" s="3">
        <v>74.5</v>
      </c>
      <c r="H143" s="3">
        <v>4</v>
      </c>
      <c r="I143" s="4">
        <v>42374</v>
      </c>
      <c r="J143" s="3">
        <v>74.5</v>
      </c>
      <c r="K143" s="3">
        <v>4</v>
      </c>
      <c r="L143" s="3">
        <v>0</v>
      </c>
      <c r="M143" s="5">
        <v>0</v>
      </c>
      <c r="N143" s="5">
        <v>0</v>
      </c>
      <c r="O143" s="5">
        <v>0</v>
      </c>
      <c r="P143" s="5">
        <v>0</v>
      </c>
      <c r="Q143" s="5">
        <v>14.597204999999999</v>
      </c>
      <c r="R143" s="8">
        <f t="shared" si="13"/>
        <v>0</v>
      </c>
      <c r="S143" s="9">
        <f t="shared" si="14"/>
        <v>0</v>
      </c>
      <c r="T143" s="9">
        <f t="shared" si="15"/>
        <v>0</v>
      </c>
      <c r="U143" s="9">
        <f t="shared" si="16"/>
        <v>0</v>
      </c>
      <c r="V143" s="9">
        <f t="shared" si="17"/>
        <v>0</v>
      </c>
      <c r="W143" s="9">
        <f t="shared" si="12"/>
        <v>14.597204999999999</v>
      </c>
    </row>
    <row r="144" spans="1:23">
      <c r="A144" s="2" t="s">
        <v>267</v>
      </c>
      <c r="B144" s="2" t="s">
        <v>268</v>
      </c>
      <c r="C144" s="3">
        <v>46</v>
      </c>
      <c r="D144" s="3">
        <v>3.16</v>
      </c>
      <c r="E144" s="2" t="s">
        <v>286</v>
      </c>
      <c r="F144" s="4">
        <v>42374</v>
      </c>
      <c r="G144" s="3">
        <v>74.5</v>
      </c>
      <c r="H144" s="3">
        <v>4</v>
      </c>
      <c r="I144" s="4">
        <v>42388</v>
      </c>
      <c r="J144" s="3">
        <v>74</v>
      </c>
      <c r="K144" s="3">
        <v>4</v>
      </c>
      <c r="L144" s="3">
        <v>14</v>
      </c>
      <c r="M144" s="5">
        <v>-0.5</v>
      </c>
      <c r="N144" s="5">
        <v>0</v>
      </c>
      <c r="O144" s="5">
        <v>44.24</v>
      </c>
      <c r="P144" s="5">
        <v>-35.714285714285715</v>
      </c>
      <c r="Q144" s="5">
        <v>12.794218214285713</v>
      </c>
      <c r="R144" s="8">
        <f t="shared" si="13"/>
        <v>14</v>
      </c>
      <c r="S144" s="9">
        <f t="shared" si="14"/>
        <v>-0.5</v>
      </c>
      <c r="T144" s="9">
        <f t="shared" si="15"/>
        <v>0</v>
      </c>
      <c r="U144" s="9">
        <f t="shared" si="16"/>
        <v>44.24</v>
      </c>
      <c r="V144" s="9">
        <f t="shared" si="17"/>
        <v>-35.714285714285715</v>
      </c>
      <c r="W144" s="9">
        <f t="shared" si="12"/>
        <v>12.794218214285713</v>
      </c>
    </row>
    <row r="145" spans="1:23">
      <c r="A145" s="2" t="s">
        <v>267</v>
      </c>
      <c r="B145" s="2" t="s">
        <v>268</v>
      </c>
      <c r="C145" s="3">
        <v>46</v>
      </c>
      <c r="D145" s="3">
        <v>3.16</v>
      </c>
      <c r="E145" s="2" t="s">
        <v>286</v>
      </c>
      <c r="F145" s="4">
        <v>42374</v>
      </c>
      <c r="G145" s="3">
        <v>74.5</v>
      </c>
      <c r="H145" s="3">
        <v>4</v>
      </c>
      <c r="I145" s="4">
        <v>42402</v>
      </c>
      <c r="J145" s="3">
        <v>72.5</v>
      </c>
      <c r="K145" s="3">
        <v>4</v>
      </c>
      <c r="L145" s="3">
        <v>28</v>
      </c>
      <c r="M145" s="5">
        <v>-2</v>
      </c>
      <c r="N145" s="5">
        <v>0</v>
      </c>
      <c r="O145" s="5">
        <v>88.48</v>
      </c>
      <c r="P145" s="5">
        <v>-71.428571428571431</v>
      </c>
      <c r="Q145" s="5">
        <v>10.90668642857143</v>
      </c>
      <c r="R145" s="8">
        <f t="shared" si="13"/>
        <v>14</v>
      </c>
      <c r="S145" s="9">
        <f t="shared" si="14"/>
        <v>-1.5</v>
      </c>
      <c r="T145" s="9">
        <f t="shared" si="15"/>
        <v>0</v>
      </c>
      <c r="U145" s="9">
        <f t="shared" si="16"/>
        <v>44.24</v>
      </c>
      <c r="V145" s="9">
        <f t="shared" si="17"/>
        <v>-107.14285714285714</v>
      </c>
      <c r="W145" s="9">
        <f t="shared" si="12"/>
        <v>9.1459721428571434</v>
      </c>
    </row>
    <row r="146" spans="1:23">
      <c r="A146" s="2" t="s">
        <v>267</v>
      </c>
      <c r="B146" s="2" t="s">
        <v>268</v>
      </c>
      <c r="C146" s="3">
        <v>46</v>
      </c>
      <c r="D146" s="3">
        <v>3.16</v>
      </c>
      <c r="E146" s="2" t="s">
        <v>287</v>
      </c>
      <c r="F146" s="4">
        <v>42374</v>
      </c>
      <c r="G146" s="3">
        <v>78</v>
      </c>
      <c r="H146" s="3">
        <v>4</v>
      </c>
      <c r="I146" s="4">
        <v>42374</v>
      </c>
      <c r="J146" s="3">
        <v>78</v>
      </c>
      <c r="K146" s="3">
        <v>4</v>
      </c>
      <c r="L146" s="3">
        <v>0</v>
      </c>
      <c r="M146" s="5">
        <v>0</v>
      </c>
      <c r="N146" s="5">
        <v>0</v>
      </c>
      <c r="O146" s="5">
        <v>0</v>
      </c>
      <c r="P146" s="5">
        <v>0</v>
      </c>
      <c r="Q146" s="5">
        <v>15.189019999999999</v>
      </c>
      <c r="R146" s="8">
        <f t="shared" si="13"/>
        <v>0</v>
      </c>
      <c r="S146" s="9">
        <f t="shared" si="14"/>
        <v>0</v>
      </c>
      <c r="T146" s="9">
        <f t="shared" si="15"/>
        <v>0</v>
      </c>
      <c r="U146" s="9">
        <f t="shared" si="16"/>
        <v>0</v>
      </c>
      <c r="V146" s="9">
        <f t="shared" si="17"/>
        <v>0</v>
      </c>
      <c r="W146" s="9">
        <f t="shared" si="12"/>
        <v>15.189019999999999</v>
      </c>
    </row>
    <row r="147" spans="1:23">
      <c r="A147" s="2" t="s">
        <v>267</v>
      </c>
      <c r="B147" s="2" t="s">
        <v>268</v>
      </c>
      <c r="C147" s="3">
        <v>46</v>
      </c>
      <c r="D147" s="3">
        <v>3.16</v>
      </c>
      <c r="E147" s="2" t="s">
        <v>287</v>
      </c>
      <c r="F147" s="4">
        <v>42374</v>
      </c>
      <c r="G147" s="3">
        <v>78</v>
      </c>
      <c r="H147" s="3">
        <v>4</v>
      </c>
      <c r="I147" s="4">
        <v>42388</v>
      </c>
      <c r="J147" s="3">
        <v>76</v>
      </c>
      <c r="K147" s="3">
        <v>5</v>
      </c>
      <c r="L147" s="3">
        <v>14</v>
      </c>
      <c r="M147" s="5">
        <v>-2</v>
      </c>
      <c r="N147" s="5">
        <v>1</v>
      </c>
      <c r="O147" s="5">
        <v>44.24</v>
      </c>
      <c r="P147" s="5">
        <v>-142.85714285714286</v>
      </c>
      <c r="Q147" s="5">
        <v>7.9770728571428569</v>
      </c>
      <c r="R147" s="8">
        <f t="shared" si="13"/>
        <v>14</v>
      </c>
      <c r="S147" s="9">
        <f t="shared" si="14"/>
        <v>-2</v>
      </c>
      <c r="T147" s="9">
        <f t="shared" si="15"/>
        <v>1</v>
      </c>
      <c r="U147" s="9">
        <f t="shared" si="16"/>
        <v>44.24</v>
      </c>
      <c r="V147" s="9">
        <f t="shared" si="17"/>
        <v>-142.85714285714286</v>
      </c>
      <c r="W147" s="9">
        <f t="shared" si="12"/>
        <v>7.9770728571428569</v>
      </c>
    </row>
    <row r="148" spans="1:23">
      <c r="A148" s="2" t="s">
        <v>267</v>
      </c>
      <c r="B148" s="2" t="s">
        <v>268</v>
      </c>
      <c r="C148" s="3">
        <v>46</v>
      </c>
      <c r="D148" s="3">
        <v>3.16</v>
      </c>
      <c r="E148" s="2" t="s">
        <v>287</v>
      </c>
      <c r="F148" s="4">
        <v>42374</v>
      </c>
      <c r="G148" s="3">
        <v>78</v>
      </c>
      <c r="H148" s="3">
        <v>4</v>
      </c>
      <c r="I148" s="4">
        <v>42402</v>
      </c>
      <c r="J148" s="3">
        <v>75</v>
      </c>
      <c r="K148" s="3">
        <v>3.5</v>
      </c>
      <c r="L148" s="3">
        <v>28</v>
      </c>
      <c r="M148" s="5">
        <v>-3</v>
      </c>
      <c r="N148" s="5">
        <v>-0.5</v>
      </c>
      <c r="O148" s="5">
        <v>88.48</v>
      </c>
      <c r="P148" s="5">
        <v>-107.14285714285714</v>
      </c>
      <c r="Q148" s="5">
        <v>9.6532421428571435</v>
      </c>
      <c r="R148" s="8">
        <f t="shared" si="13"/>
        <v>14</v>
      </c>
      <c r="S148" s="9">
        <f t="shared" si="14"/>
        <v>-1</v>
      </c>
      <c r="T148" s="9">
        <f t="shared" si="15"/>
        <v>-1.5</v>
      </c>
      <c r="U148" s="9">
        <f t="shared" si="16"/>
        <v>44.24</v>
      </c>
      <c r="V148" s="9">
        <f t="shared" si="17"/>
        <v>-71.428571428571431</v>
      </c>
      <c r="W148" s="9">
        <f t="shared" si="12"/>
        <v>11.41395642857143</v>
      </c>
    </row>
    <row r="149" spans="1:23">
      <c r="A149" s="2" t="s">
        <v>267</v>
      </c>
      <c r="B149" s="2" t="s">
        <v>268</v>
      </c>
      <c r="C149" s="3">
        <v>46</v>
      </c>
      <c r="D149" s="3">
        <v>3.16</v>
      </c>
      <c r="E149" s="2" t="s">
        <v>288</v>
      </c>
      <c r="F149" s="4">
        <v>42374</v>
      </c>
      <c r="G149" s="3">
        <v>74</v>
      </c>
      <c r="H149" s="3">
        <v>3</v>
      </c>
      <c r="I149" s="4">
        <v>42374</v>
      </c>
      <c r="J149" s="3">
        <v>74</v>
      </c>
      <c r="K149" s="3">
        <v>3</v>
      </c>
      <c r="L149" s="3">
        <v>0</v>
      </c>
      <c r="M149" s="5">
        <v>0</v>
      </c>
      <c r="N149" s="5">
        <v>0</v>
      </c>
      <c r="O149" s="5">
        <v>0</v>
      </c>
      <c r="P149" s="5">
        <v>0</v>
      </c>
      <c r="Q149" s="5">
        <v>14.512659999999999</v>
      </c>
      <c r="R149" s="8">
        <f t="shared" si="13"/>
        <v>0</v>
      </c>
      <c r="S149" s="9">
        <f t="shared" si="14"/>
        <v>0</v>
      </c>
      <c r="T149" s="9">
        <f t="shared" si="15"/>
        <v>0</v>
      </c>
      <c r="U149" s="9">
        <f t="shared" si="16"/>
        <v>0</v>
      </c>
      <c r="V149" s="9">
        <f t="shared" si="17"/>
        <v>0</v>
      </c>
      <c r="W149" s="9">
        <f t="shared" si="12"/>
        <v>14.512659999999999</v>
      </c>
    </row>
    <row r="150" spans="1:23">
      <c r="A150" s="2" t="s">
        <v>267</v>
      </c>
      <c r="B150" s="2" t="s">
        <v>268</v>
      </c>
      <c r="C150" s="3">
        <v>46</v>
      </c>
      <c r="D150" s="3">
        <v>3.16</v>
      </c>
      <c r="E150" s="2" t="s">
        <v>288</v>
      </c>
      <c r="F150" s="4">
        <v>42374</v>
      </c>
      <c r="G150" s="3">
        <v>74</v>
      </c>
      <c r="H150" s="3">
        <v>3</v>
      </c>
      <c r="I150" s="4">
        <v>42388</v>
      </c>
      <c r="J150" s="3">
        <v>74.5</v>
      </c>
      <c r="K150" s="3">
        <v>3</v>
      </c>
      <c r="L150" s="3">
        <v>14</v>
      </c>
      <c r="M150" s="5">
        <v>0.5</v>
      </c>
      <c r="N150" s="5">
        <v>0</v>
      </c>
      <c r="O150" s="5">
        <v>44.24</v>
      </c>
      <c r="P150" s="5">
        <v>35.714285714285715</v>
      </c>
      <c r="Q150" s="5">
        <v>16.315646785714286</v>
      </c>
      <c r="R150" s="8">
        <f t="shared" si="13"/>
        <v>14</v>
      </c>
      <c r="S150" s="9">
        <f t="shared" si="14"/>
        <v>0.5</v>
      </c>
      <c r="T150" s="9">
        <f t="shared" si="15"/>
        <v>0</v>
      </c>
      <c r="U150" s="9">
        <f t="shared" si="16"/>
        <v>44.24</v>
      </c>
      <c r="V150" s="9">
        <f t="shared" si="17"/>
        <v>35.714285714285715</v>
      </c>
      <c r="W150" s="9">
        <f t="shared" si="12"/>
        <v>16.315646785714286</v>
      </c>
    </row>
    <row r="151" spans="1:23">
      <c r="A151" s="2" t="s">
        <v>267</v>
      </c>
      <c r="B151" s="2" t="s">
        <v>268</v>
      </c>
      <c r="C151" s="3">
        <v>46</v>
      </c>
      <c r="D151" s="3">
        <v>3.16</v>
      </c>
      <c r="E151" s="2" t="s">
        <v>288</v>
      </c>
      <c r="F151" s="4">
        <v>42374</v>
      </c>
      <c r="G151" s="3">
        <v>74</v>
      </c>
      <c r="H151" s="3">
        <v>3</v>
      </c>
      <c r="I151" s="4">
        <v>42402</v>
      </c>
      <c r="J151" s="3">
        <v>72.5</v>
      </c>
      <c r="K151" s="3">
        <v>3.5</v>
      </c>
      <c r="L151" s="3">
        <v>28</v>
      </c>
      <c r="M151" s="5">
        <v>-1.5</v>
      </c>
      <c r="N151" s="5">
        <v>0.5</v>
      </c>
      <c r="O151" s="5">
        <v>88.48</v>
      </c>
      <c r="P151" s="5">
        <v>-53.571428571428569</v>
      </c>
      <c r="Q151" s="5">
        <v>11.74477107142857</v>
      </c>
      <c r="R151" s="8">
        <f t="shared" si="13"/>
        <v>14</v>
      </c>
      <c r="S151" s="9">
        <f t="shared" si="14"/>
        <v>-2</v>
      </c>
      <c r="T151" s="9">
        <f t="shared" si="15"/>
        <v>0.5</v>
      </c>
      <c r="U151" s="9">
        <f t="shared" si="16"/>
        <v>44.24</v>
      </c>
      <c r="V151" s="9">
        <f t="shared" si="17"/>
        <v>-142.85714285714286</v>
      </c>
      <c r="W151" s="9">
        <f t="shared" si="12"/>
        <v>7.3429853571428572</v>
      </c>
    </row>
    <row r="152" spans="1:23">
      <c r="A152" s="2" t="s">
        <v>267</v>
      </c>
      <c r="B152" s="2" t="s">
        <v>268</v>
      </c>
      <c r="C152" s="3">
        <v>46</v>
      </c>
      <c r="D152" s="3">
        <v>3.16</v>
      </c>
      <c r="E152" s="2" t="s">
        <v>289</v>
      </c>
      <c r="F152" s="4">
        <v>42374</v>
      </c>
      <c r="G152" s="3">
        <v>73.5</v>
      </c>
      <c r="H152" s="3">
        <v>5</v>
      </c>
      <c r="I152" s="4">
        <v>42374</v>
      </c>
      <c r="J152" s="3">
        <v>73.5</v>
      </c>
      <c r="K152" s="3">
        <v>5</v>
      </c>
      <c r="L152" s="3">
        <v>0</v>
      </c>
      <c r="M152" s="5">
        <v>0</v>
      </c>
      <c r="N152" s="5">
        <v>0</v>
      </c>
      <c r="O152" s="5">
        <v>0</v>
      </c>
      <c r="P152" s="5">
        <v>0</v>
      </c>
      <c r="Q152" s="5">
        <v>14.428115</v>
      </c>
      <c r="R152" s="8">
        <f t="shared" si="13"/>
        <v>0</v>
      </c>
      <c r="S152" s="9">
        <f t="shared" si="14"/>
        <v>0</v>
      </c>
      <c r="T152" s="9">
        <f t="shared" si="15"/>
        <v>0</v>
      </c>
      <c r="U152" s="9">
        <f t="shared" si="16"/>
        <v>0</v>
      </c>
      <c r="V152" s="9">
        <f t="shared" si="17"/>
        <v>0</v>
      </c>
      <c r="W152" s="9">
        <f t="shared" si="12"/>
        <v>14.428115</v>
      </c>
    </row>
    <row r="153" spans="1:23">
      <c r="A153" s="2" t="s">
        <v>267</v>
      </c>
      <c r="B153" s="2" t="s">
        <v>268</v>
      </c>
      <c r="C153" s="3">
        <v>46</v>
      </c>
      <c r="D153" s="3">
        <v>3.16</v>
      </c>
      <c r="E153" s="2" t="s">
        <v>289</v>
      </c>
      <c r="F153" s="4">
        <v>42374</v>
      </c>
      <c r="G153" s="3">
        <v>73.5</v>
      </c>
      <c r="H153" s="3">
        <v>5</v>
      </c>
      <c r="I153" s="4">
        <v>42388</v>
      </c>
      <c r="J153" s="3">
        <v>70.5</v>
      </c>
      <c r="K153" s="3">
        <v>3</v>
      </c>
      <c r="L153" s="3">
        <v>14</v>
      </c>
      <c r="M153" s="5">
        <v>-3</v>
      </c>
      <c r="N153" s="5">
        <v>-2</v>
      </c>
      <c r="O153" s="5">
        <v>44.24</v>
      </c>
      <c r="P153" s="5">
        <v>-214.28571428571428</v>
      </c>
      <c r="Q153" s="5">
        <v>3.6101942857142859</v>
      </c>
      <c r="R153" s="8">
        <f t="shared" si="13"/>
        <v>14</v>
      </c>
      <c r="S153" s="9">
        <f t="shared" si="14"/>
        <v>-3</v>
      </c>
      <c r="T153" s="9">
        <f t="shared" si="15"/>
        <v>-2</v>
      </c>
      <c r="U153" s="9">
        <f t="shared" si="16"/>
        <v>44.24</v>
      </c>
      <c r="V153" s="9">
        <f t="shared" si="17"/>
        <v>-214.28571428571428</v>
      </c>
      <c r="W153" s="9">
        <f t="shared" si="12"/>
        <v>3.6101942857142859</v>
      </c>
    </row>
    <row r="154" spans="1:23">
      <c r="A154" s="2" t="s">
        <v>267</v>
      </c>
      <c r="B154" s="2" t="s">
        <v>268</v>
      </c>
      <c r="C154" s="3">
        <v>46</v>
      </c>
      <c r="D154" s="3">
        <v>3.16</v>
      </c>
      <c r="E154" s="2" t="s">
        <v>289</v>
      </c>
      <c r="F154" s="4">
        <v>42374</v>
      </c>
      <c r="G154" s="3">
        <v>73.5</v>
      </c>
      <c r="H154" s="3">
        <v>5</v>
      </c>
      <c r="I154" s="4">
        <v>42402</v>
      </c>
      <c r="J154" s="3">
        <v>67.5</v>
      </c>
      <c r="K154" s="3">
        <v>3</v>
      </c>
      <c r="L154" s="3">
        <v>28</v>
      </c>
      <c r="M154" s="5">
        <v>-6</v>
      </c>
      <c r="N154" s="5">
        <v>-2</v>
      </c>
      <c r="O154" s="5">
        <v>88.48</v>
      </c>
      <c r="P154" s="5">
        <v>-214.28571428571428</v>
      </c>
      <c r="Q154" s="5">
        <v>3.3565592857142867</v>
      </c>
      <c r="R154" s="8">
        <f t="shared" si="13"/>
        <v>14</v>
      </c>
      <c r="S154" s="9">
        <f t="shared" si="14"/>
        <v>-3</v>
      </c>
      <c r="T154" s="9">
        <f t="shared" si="15"/>
        <v>0</v>
      </c>
      <c r="U154" s="9">
        <f t="shared" si="16"/>
        <v>44.24</v>
      </c>
      <c r="V154" s="9">
        <f t="shared" si="17"/>
        <v>-214.28571428571428</v>
      </c>
      <c r="W154" s="9">
        <f t="shared" si="12"/>
        <v>3.3565592857142867</v>
      </c>
    </row>
    <row r="155" spans="1:23">
      <c r="A155" s="2" t="s">
        <v>267</v>
      </c>
      <c r="B155" s="2" t="s">
        <v>268</v>
      </c>
      <c r="C155" s="3">
        <v>46</v>
      </c>
      <c r="D155" s="3">
        <v>3.16</v>
      </c>
      <c r="E155" s="2" t="s">
        <v>290</v>
      </c>
      <c r="F155" s="4">
        <v>42374</v>
      </c>
      <c r="G155" s="3">
        <v>77.5</v>
      </c>
      <c r="H155" s="3">
        <v>5</v>
      </c>
      <c r="I155" s="4">
        <v>42374</v>
      </c>
      <c r="J155" s="3">
        <v>77.5</v>
      </c>
      <c r="K155" s="3">
        <v>5</v>
      </c>
      <c r="L155" s="3">
        <v>0</v>
      </c>
      <c r="M155" s="5">
        <v>0</v>
      </c>
      <c r="N155" s="5">
        <v>0</v>
      </c>
      <c r="O155" s="5">
        <v>0</v>
      </c>
      <c r="P155" s="5">
        <v>0</v>
      </c>
      <c r="Q155" s="5">
        <v>15.104474999999999</v>
      </c>
      <c r="R155" s="8">
        <f t="shared" si="13"/>
        <v>0</v>
      </c>
      <c r="S155" s="9">
        <f t="shared" si="14"/>
        <v>0</v>
      </c>
      <c r="T155" s="9">
        <f t="shared" si="15"/>
        <v>0</v>
      </c>
      <c r="U155" s="9">
        <f t="shared" si="16"/>
        <v>0</v>
      </c>
      <c r="V155" s="9">
        <f t="shared" si="17"/>
        <v>0</v>
      </c>
      <c r="W155" s="9">
        <f t="shared" si="12"/>
        <v>15.104474999999999</v>
      </c>
    </row>
    <row r="156" spans="1:23">
      <c r="A156" s="2" t="s">
        <v>267</v>
      </c>
      <c r="B156" s="2" t="s">
        <v>268</v>
      </c>
      <c r="C156" s="3">
        <v>46</v>
      </c>
      <c r="D156" s="3">
        <v>3.16</v>
      </c>
      <c r="E156" s="2" t="s">
        <v>290</v>
      </c>
      <c r="F156" s="4">
        <v>42374</v>
      </c>
      <c r="G156" s="3">
        <v>77.5</v>
      </c>
      <c r="H156" s="3">
        <v>5</v>
      </c>
      <c r="I156" s="4">
        <v>42388</v>
      </c>
      <c r="J156" s="3">
        <v>78.5</v>
      </c>
      <c r="K156" s="3">
        <v>4</v>
      </c>
      <c r="L156" s="3">
        <v>14</v>
      </c>
      <c r="M156" s="5">
        <v>1</v>
      </c>
      <c r="N156" s="5">
        <v>-1</v>
      </c>
      <c r="O156" s="5">
        <v>44.24</v>
      </c>
      <c r="P156" s="5">
        <v>71.428571428571431</v>
      </c>
      <c r="Q156" s="5">
        <v>18.710448571428572</v>
      </c>
      <c r="R156" s="8">
        <f t="shared" si="13"/>
        <v>14</v>
      </c>
      <c r="S156" s="9">
        <f t="shared" si="14"/>
        <v>1</v>
      </c>
      <c r="T156" s="9">
        <f t="shared" si="15"/>
        <v>-1</v>
      </c>
      <c r="U156" s="9">
        <f t="shared" si="16"/>
        <v>44.24</v>
      </c>
      <c r="V156" s="9">
        <f t="shared" si="17"/>
        <v>71.428571428571431</v>
      </c>
      <c r="W156" s="9">
        <f t="shared" si="12"/>
        <v>18.710448571428572</v>
      </c>
    </row>
    <row r="157" spans="1:23">
      <c r="A157" s="2" t="s">
        <v>267</v>
      </c>
      <c r="B157" s="2" t="s">
        <v>268</v>
      </c>
      <c r="C157" s="3">
        <v>46</v>
      </c>
      <c r="D157" s="3">
        <v>3.16</v>
      </c>
      <c r="E157" s="2" t="s">
        <v>290</v>
      </c>
      <c r="F157" s="4">
        <v>42374</v>
      </c>
      <c r="G157" s="3">
        <v>77.5</v>
      </c>
      <c r="H157" s="3">
        <v>5</v>
      </c>
      <c r="I157" s="4">
        <v>42402</v>
      </c>
      <c r="J157" s="3">
        <v>75.5</v>
      </c>
      <c r="K157" s="3">
        <v>5</v>
      </c>
      <c r="L157" s="3">
        <v>28</v>
      </c>
      <c r="M157" s="5">
        <v>-2</v>
      </c>
      <c r="N157" s="5">
        <v>0</v>
      </c>
      <c r="O157" s="5">
        <v>88.48</v>
      </c>
      <c r="P157" s="5">
        <v>-71.428571428571431</v>
      </c>
      <c r="Q157" s="5">
        <v>11.41395642857143</v>
      </c>
      <c r="R157" s="8">
        <f t="shared" si="13"/>
        <v>14</v>
      </c>
      <c r="S157" s="9">
        <f t="shared" si="14"/>
        <v>-3</v>
      </c>
      <c r="T157" s="9">
        <f t="shared" si="15"/>
        <v>1</v>
      </c>
      <c r="U157" s="9">
        <f t="shared" si="16"/>
        <v>44.24</v>
      </c>
      <c r="V157" s="9">
        <f t="shared" si="17"/>
        <v>-214.28571428571428</v>
      </c>
      <c r="W157" s="9">
        <f t="shared" si="12"/>
        <v>4.371099285714287</v>
      </c>
    </row>
    <row r="158" spans="1:23">
      <c r="A158" s="2" t="s">
        <v>267</v>
      </c>
      <c r="B158" s="2" t="s">
        <v>268</v>
      </c>
      <c r="C158" s="3">
        <v>46</v>
      </c>
      <c r="D158" s="3">
        <v>3.16</v>
      </c>
      <c r="E158" s="2" t="s">
        <v>291</v>
      </c>
      <c r="F158" s="4">
        <v>42374</v>
      </c>
      <c r="G158" s="3">
        <v>75</v>
      </c>
      <c r="H158" s="3">
        <v>3</v>
      </c>
      <c r="I158" s="4">
        <v>42374</v>
      </c>
      <c r="J158" s="3">
        <v>75</v>
      </c>
      <c r="K158" s="3">
        <v>3</v>
      </c>
      <c r="L158" s="3">
        <v>0</v>
      </c>
      <c r="M158" s="5">
        <v>0</v>
      </c>
      <c r="N158" s="5">
        <v>0</v>
      </c>
      <c r="O158" s="5">
        <v>0</v>
      </c>
      <c r="P158" s="5">
        <v>0</v>
      </c>
      <c r="Q158" s="5">
        <v>14.681749999999999</v>
      </c>
      <c r="R158" s="8">
        <f t="shared" si="13"/>
        <v>0</v>
      </c>
      <c r="S158" s="9">
        <f t="shared" si="14"/>
        <v>0</v>
      </c>
      <c r="T158" s="9">
        <f t="shared" si="15"/>
        <v>0</v>
      </c>
      <c r="U158" s="9">
        <f t="shared" si="16"/>
        <v>0</v>
      </c>
      <c r="V158" s="9">
        <f t="shared" si="17"/>
        <v>0</v>
      </c>
      <c r="W158" s="9">
        <f t="shared" si="12"/>
        <v>14.681749999999999</v>
      </c>
    </row>
    <row r="159" spans="1:23">
      <c r="A159" s="2" t="s">
        <v>267</v>
      </c>
      <c r="B159" s="2" t="s">
        <v>268</v>
      </c>
      <c r="C159" s="3">
        <v>46</v>
      </c>
      <c r="D159" s="3">
        <v>3.16</v>
      </c>
      <c r="E159" s="2" t="s">
        <v>291</v>
      </c>
      <c r="F159" s="4">
        <v>42374</v>
      </c>
      <c r="G159" s="3">
        <v>75</v>
      </c>
      <c r="H159" s="3">
        <v>3</v>
      </c>
      <c r="I159" s="4">
        <v>42388</v>
      </c>
      <c r="J159" s="3">
        <v>74</v>
      </c>
      <c r="K159" s="3">
        <v>3</v>
      </c>
      <c r="L159" s="3">
        <v>14</v>
      </c>
      <c r="M159" s="5">
        <v>-1</v>
      </c>
      <c r="N159" s="5">
        <v>0</v>
      </c>
      <c r="O159" s="5">
        <v>44.24</v>
      </c>
      <c r="P159" s="5">
        <v>-71.428571428571431</v>
      </c>
      <c r="Q159" s="5">
        <v>11.075776428571428</v>
      </c>
      <c r="R159" s="8">
        <f t="shared" si="13"/>
        <v>14</v>
      </c>
      <c r="S159" s="9">
        <f t="shared" si="14"/>
        <v>-1</v>
      </c>
      <c r="T159" s="9">
        <f t="shared" si="15"/>
        <v>0</v>
      </c>
      <c r="U159" s="9">
        <f t="shared" si="16"/>
        <v>44.24</v>
      </c>
      <c r="V159" s="9">
        <f t="shared" si="17"/>
        <v>-71.428571428571431</v>
      </c>
      <c r="W159" s="9">
        <f t="shared" si="12"/>
        <v>11.075776428571428</v>
      </c>
    </row>
    <row r="160" spans="1:23">
      <c r="A160" s="2" t="s">
        <v>267</v>
      </c>
      <c r="B160" s="2" t="s">
        <v>268</v>
      </c>
      <c r="C160" s="3">
        <v>46</v>
      </c>
      <c r="D160" s="3">
        <v>3.16</v>
      </c>
      <c r="E160" s="2" t="s">
        <v>291</v>
      </c>
      <c r="F160" s="4">
        <v>42374</v>
      </c>
      <c r="G160" s="3">
        <v>75</v>
      </c>
      <c r="H160" s="3">
        <v>3</v>
      </c>
      <c r="I160" s="4">
        <v>42402</v>
      </c>
      <c r="J160" s="3">
        <v>73</v>
      </c>
      <c r="K160" s="3">
        <v>3</v>
      </c>
      <c r="L160" s="3">
        <v>28</v>
      </c>
      <c r="M160" s="5">
        <v>-2</v>
      </c>
      <c r="N160" s="5">
        <v>0</v>
      </c>
      <c r="O160" s="5">
        <v>88.48</v>
      </c>
      <c r="P160" s="5">
        <v>-71.428571428571431</v>
      </c>
      <c r="Q160" s="5">
        <v>10.991231428571428</v>
      </c>
      <c r="R160" s="8">
        <f t="shared" si="13"/>
        <v>14</v>
      </c>
      <c r="S160" s="9">
        <f t="shared" si="14"/>
        <v>-1</v>
      </c>
      <c r="T160" s="9">
        <f t="shared" si="15"/>
        <v>0</v>
      </c>
      <c r="U160" s="9">
        <f t="shared" si="16"/>
        <v>44.24</v>
      </c>
      <c r="V160" s="9">
        <f t="shared" si="17"/>
        <v>-71.428571428571431</v>
      </c>
      <c r="W160" s="9">
        <f t="shared" si="12"/>
        <v>10.991231428571428</v>
      </c>
    </row>
    <row r="161" spans="1:23">
      <c r="A161" s="2" t="s">
        <v>267</v>
      </c>
      <c r="B161" s="2" t="s">
        <v>268</v>
      </c>
      <c r="C161" s="3">
        <v>46</v>
      </c>
      <c r="D161" s="3">
        <v>3.16</v>
      </c>
      <c r="E161" s="2" t="s">
        <v>292</v>
      </c>
      <c r="F161" s="4">
        <v>42374</v>
      </c>
      <c r="G161" s="3">
        <v>78</v>
      </c>
      <c r="H161" s="3">
        <v>5</v>
      </c>
      <c r="I161" s="4">
        <v>42374</v>
      </c>
      <c r="J161" s="3">
        <v>78</v>
      </c>
      <c r="K161" s="3">
        <v>5</v>
      </c>
      <c r="L161" s="3">
        <v>0</v>
      </c>
      <c r="M161" s="5">
        <v>0</v>
      </c>
      <c r="N161" s="5">
        <v>0</v>
      </c>
      <c r="O161" s="5">
        <v>0</v>
      </c>
      <c r="P161" s="5">
        <v>0</v>
      </c>
      <c r="Q161" s="5">
        <v>15.189019999999999</v>
      </c>
      <c r="R161" s="8">
        <f t="shared" si="13"/>
        <v>0</v>
      </c>
      <c r="S161" s="9">
        <f t="shared" si="14"/>
        <v>0</v>
      </c>
      <c r="T161" s="9">
        <f t="shared" si="15"/>
        <v>0</v>
      </c>
      <c r="U161" s="9">
        <f t="shared" si="16"/>
        <v>0</v>
      </c>
      <c r="V161" s="9">
        <f t="shared" si="17"/>
        <v>0</v>
      </c>
      <c r="W161" s="9">
        <f t="shared" si="12"/>
        <v>15.189019999999999</v>
      </c>
    </row>
    <row r="162" spans="1:23">
      <c r="A162" s="2" t="s">
        <v>267</v>
      </c>
      <c r="B162" s="2" t="s">
        <v>268</v>
      </c>
      <c r="C162" s="3">
        <v>46</v>
      </c>
      <c r="D162" s="3">
        <v>3.16</v>
      </c>
      <c r="E162" s="2" t="s">
        <v>292</v>
      </c>
      <c r="F162" s="4">
        <v>42374</v>
      </c>
      <c r="G162" s="3">
        <v>78</v>
      </c>
      <c r="H162" s="3">
        <v>5</v>
      </c>
      <c r="I162" s="4">
        <v>42388</v>
      </c>
      <c r="J162" s="3">
        <v>76.5</v>
      </c>
      <c r="K162" s="3">
        <v>4</v>
      </c>
      <c r="L162" s="3">
        <v>14</v>
      </c>
      <c r="M162" s="5">
        <v>-1.5</v>
      </c>
      <c r="N162" s="5">
        <v>-1</v>
      </c>
      <c r="O162" s="5">
        <v>44.24</v>
      </c>
      <c r="P162" s="5">
        <v>-107.14285714285714</v>
      </c>
      <c r="Q162" s="5">
        <v>9.7800596428571431</v>
      </c>
      <c r="R162" s="8">
        <f t="shared" si="13"/>
        <v>14</v>
      </c>
      <c r="S162" s="9">
        <f t="shared" si="14"/>
        <v>-1.5</v>
      </c>
      <c r="T162" s="9">
        <f t="shared" si="15"/>
        <v>-1</v>
      </c>
      <c r="U162" s="9">
        <f t="shared" si="16"/>
        <v>44.24</v>
      </c>
      <c r="V162" s="9">
        <f t="shared" si="17"/>
        <v>-107.14285714285714</v>
      </c>
      <c r="W162" s="9">
        <f t="shared" si="12"/>
        <v>9.7800596428571431</v>
      </c>
    </row>
    <row r="163" spans="1:23">
      <c r="A163" s="2" t="s">
        <v>267</v>
      </c>
      <c r="B163" s="2" t="s">
        <v>268</v>
      </c>
      <c r="C163" s="3">
        <v>46</v>
      </c>
      <c r="D163" s="3">
        <v>3.16</v>
      </c>
      <c r="E163" s="2" t="s">
        <v>292</v>
      </c>
      <c r="F163" s="4">
        <v>42374</v>
      </c>
      <c r="G163" s="3">
        <v>78</v>
      </c>
      <c r="H163" s="3">
        <v>5</v>
      </c>
      <c r="I163" s="4">
        <v>42402</v>
      </c>
      <c r="J163" s="3">
        <v>73</v>
      </c>
      <c r="K163" s="3">
        <v>3.5</v>
      </c>
      <c r="L163" s="3">
        <v>28</v>
      </c>
      <c r="M163" s="5">
        <v>-5</v>
      </c>
      <c r="N163" s="5">
        <v>-1.5</v>
      </c>
      <c r="O163" s="5">
        <v>88.48</v>
      </c>
      <c r="P163" s="5">
        <v>-178.57142857142858</v>
      </c>
      <c r="Q163" s="5">
        <v>5.9627235714285707</v>
      </c>
      <c r="R163" s="8">
        <f t="shared" si="13"/>
        <v>14</v>
      </c>
      <c r="S163" s="9">
        <f t="shared" si="14"/>
        <v>-3.5</v>
      </c>
      <c r="T163" s="9">
        <f t="shared" si="15"/>
        <v>-0.5</v>
      </c>
      <c r="U163" s="9">
        <f t="shared" si="16"/>
        <v>44.24</v>
      </c>
      <c r="V163" s="9">
        <f t="shared" si="17"/>
        <v>-250</v>
      </c>
      <c r="W163" s="9">
        <f t="shared" si="12"/>
        <v>2.4412950000000002</v>
      </c>
    </row>
    <row r="164" spans="1:23">
      <c r="A164" s="2" t="s">
        <v>267</v>
      </c>
      <c r="B164" s="2" t="s">
        <v>268</v>
      </c>
      <c r="C164" s="3">
        <v>46</v>
      </c>
      <c r="D164" s="3">
        <v>3.16</v>
      </c>
      <c r="E164" s="2" t="s">
        <v>293</v>
      </c>
      <c r="F164" s="4">
        <v>42374</v>
      </c>
      <c r="G164" s="3">
        <v>72</v>
      </c>
      <c r="H164" s="3">
        <v>5</v>
      </c>
      <c r="I164" s="4">
        <v>42374</v>
      </c>
      <c r="J164" s="3">
        <v>72</v>
      </c>
      <c r="K164" s="3">
        <v>5</v>
      </c>
      <c r="L164" s="3">
        <v>0</v>
      </c>
      <c r="M164" s="5">
        <v>0</v>
      </c>
      <c r="N164" s="5">
        <v>0</v>
      </c>
      <c r="O164" s="5">
        <v>0</v>
      </c>
      <c r="P164" s="5">
        <v>0</v>
      </c>
      <c r="Q164" s="5">
        <v>14.174479999999999</v>
      </c>
      <c r="R164" s="8">
        <f t="shared" si="13"/>
        <v>0</v>
      </c>
      <c r="S164" s="9">
        <f t="shared" si="14"/>
        <v>0</v>
      </c>
      <c r="T164" s="9">
        <f t="shared" si="15"/>
        <v>0</v>
      </c>
      <c r="U164" s="9">
        <f t="shared" si="16"/>
        <v>0</v>
      </c>
      <c r="V164" s="9">
        <f t="shared" si="17"/>
        <v>0</v>
      </c>
      <c r="W164" s="9">
        <f t="shared" si="12"/>
        <v>14.174479999999999</v>
      </c>
    </row>
    <row r="165" spans="1:23">
      <c r="A165" s="2" t="s">
        <v>267</v>
      </c>
      <c r="B165" s="2" t="s">
        <v>268</v>
      </c>
      <c r="C165" s="3">
        <v>46</v>
      </c>
      <c r="D165" s="3">
        <v>3.16</v>
      </c>
      <c r="E165" s="2" t="s">
        <v>293</v>
      </c>
      <c r="F165" s="4">
        <v>42374</v>
      </c>
      <c r="G165" s="3">
        <v>72</v>
      </c>
      <c r="H165" s="3">
        <v>5</v>
      </c>
      <c r="I165" s="4">
        <v>42388</v>
      </c>
      <c r="J165" s="3">
        <v>71.5</v>
      </c>
      <c r="K165" s="3">
        <v>5</v>
      </c>
      <c r="L165" s="3">
        <v>14</v>
      </c>
      <c r="M165" s="5">
        <v>-0.5</v>
      </c>
      <c r="N165" s="5">
        <v>0</v>
      </c>
      <c r="O165" s="5">
        <v>44.24</v>
      </c>
      <c r="P165" s="5">
        <v>-35.714285714285715</v>
      </c>
      <c r="Q165" s="5">
        <v>12.371493214285714</v>
      </c>
      <c r="R165" s="8">
        <f t="shared" si="13"/>
        <v>14</v>
      </c>
      <c r="S165" s="9">
        <f t="shared" si="14"/>
        <v>-0.5</v>
      </c>
      <c r="T165" s="9">
        <f t="shared" si="15"/>
        <v>0</v>
      </c>
      <c r="U165" s="9">
        <f t="shared" si="16"/>
        <v>44.24</v>
      </c>
      <c r="V165" s="9">
        <f t="shared" si="17"/>
        <v>-35.714285714285715</v>
      </c>
      <c r="W165" s="9">
        <f t="shared" si="12"/>
        <v>12.371493214285714</v>
      </c>
    </row>
    <row r="166" spans="1:23">
      <c r="A166" s="2" t="s">
        <v>267</v>
      </c>
      <c r="B166" s="2" t="s">
        <v>268</v>
      </c>
      <c r="C166" s="3">
        <v>46</v>
      </c>
      <c r="D166" s="3">
        <v>3.16</v>
      </c>
      <c r="E166" s="2" t="s">
        <v>293</v>
      </c>
      <c r="F166" s="4">
        <v>42374</v>
      </c>
      <c r="G166" s="3">
        <v>72</v>
      </c>
      <c r="H166" s="3">
        <v>5</v>
      </c>
      <c r="I166" s="4">
        <v>42402</v>
      </c>
      <c r="J166" s="3">
        <v>69</v>
      </c>
      <c r="K166" s="3">
        <v>4</v>
      </c>
      <c r="L166" s="3">
        <v>28</v>
      </c>
      <c r="M166" s="5">
        <v>-3</v>
      </c>
      <c r="N166" s="5">
        <v>-1</v>
      </c>
      <c r="O166" s="5">
        <v>88.48</v>
      </c>
      <c r="P166" s="5">
        <v>-107.14285714285714</v>
      </c>
      <c r="Q166" s="5">
        <v>8.6387021428571433</v>
      </c>
      <c r="R166" s="8">
        <f t="shared" si="13"/>
        <v>14</v>
      </c>
      <c r="S166" s="9">
        <f t="shared" si="14"/>
        <v>-2.5</v>
      </c>
      <c r="T166" s="9">
        <f t="shared" si="15"/>
        <v>-1</v>
      </c>
      <c r="U166" s="9">
        <f t="shared" si="16"/>
        <v>44.24</v>
      </c>
      <c r="V166" s="9">
        <f t="shared" si="17"/>
        <v>-178.57142857142858</v>
      </c>
      <c r="W166" s="9">
        <f t="shared" si="12"/>
        <v>5.1172735714285711</v>
      </c>
    </row>
    <row r="167" spans="1:23">
      <c r="A167" s="2" t="s">
        <v>267</v>
      </c>
      <c r="B167" s="2" t="s">
        <v>268</v>
      </c>
      <c r="C167" s="3">
        <v>46</v>
      </c>
      <c r="D167" s="3">
        <v>3.16</v>
      </c>
      <c r="E167" s="2" t="s">
        <v>294</v>
      </c>
      <c r="F167" s="4">
        <v>42374</v>
      </c>
      <c r="G167" s="3">
        <v>78</v>
      </c>
      <c r="H167" s="3">
        <v>3</v>
      </c>
      <c r="I167" s="4">
        <v>42374</v>
      </c>
      <c r="J167" s="3">
        <v>78</v>
      </c>
      <c r="K167" s="3">
        <v>3</v>
      </c>
      <c r="L167" s="3">
        <v>0</v>
      </c>
      <c r="M167" s="5">
        <v>0</v>
      </c>
      <c r="N167" s="5">
        <v>0</v>
      </c>
      <c r="O167" s="5">
        <v>0</v>
      </c>
      <c r="P167" s="5">
        <v>0</v>
      </c>
      <c r="Q167" s="5">
        <v>15.189019999999999</v>
      </c>
      <c r="R167" s="8">
        <f t="shared" si="13"/>
        <v>0</v>
      </c>
      <c r="S167" s="9">
        <f t="shared" si="14"/>
        <v>0</v>
      </c>
      <c r="T167" s="9">
        <f t="shared" si="15"/>
        <v>0</v>
      </c>
      <c r="U167" s="9">
        <f t="shared" si="16"/>
        <v>0</v>
      </c>
      <c r="V167" s="9">
        <f t="shared" si="17"/>
        <v>0</v>
      </c>
      <c r="W167" s="9">
        <f t="shared" si="12"/>
        <v>15.189019999999999</v>
      </c>
    </row>
    <row r="168" spans="1:23">
      <c r="A168" s="2" t="s">
        <v>267</v>
      </c>
      <c r="B168" s="2" t="s">
        <v>268</v>
      </c>
      <c r="C168" s="3">
        <v>46</v>
      </c>
      <c r="D168" s="3">
        <v>3.16</v>
      </c>
      <c r="E168" s="2" t="s">
        <v>294</v>
      </c>
      <c r="F168" s="4">
        <v>42374</v>
      </c>
      <c r="G168" s="3">
        <v>78</v>
      </c>
      <c r="H168" s="3">
        <v>3</v>
      </c>
      <c r="I168" s="4">
        <v>42388</v>
      </c>
      <c r="J168" s="3">
        <v>77</v>
      </c>
      <c r="K168" s="3">
        <v>4</v>
      </c>
      <c r="L168" s="3">
        <v>14</v>
      </c>
      <c r="M168" s="5">
        <v>-1</v>
      </c>
      <c r="N168" s="5">
        <v>1</v>
      </c>
      <c r="O168" s="5">
        <v>44.24</v>
      </c>
      <c r="P168" s="5">
        <v>-71.428571428571431</v>
      </c>
      <c r="Q168" s="5">
        <v>11.583046428571429</v>
      </c>
      <c r="R168" s="8">
        <f t="shared" si="13"/>
        <v>14</v>
      </c>
      <c r="S168" s="9">
        <f t="shared" si="14"/>
        <v>-1</v>
      </c>
      <c r="T168" s="9">
        <f t="shared" si="15"/>
        <v>1</v>
      </c>
      <c r="U168" s="9">
        <f t="shared" si="16"/>
        <v>44.24</v>
      </c>
      <c r="V168" s="9">
        <f t="shared" si="17"/>
        <v>-71.428571428571431</v>
      </c>
      <c r="W168" s="9">
        <f t="shared" si="12"/>
        <v>11.583046428571429</v>
      </c>
    </row>
    <row r="169" spans="1:23">
      <c r="A169" s="2" t="s">
        <v>267</v>
      </c>
      <c r="B169" s="2" t="s">
        <v>268</v>
      </c>
      <c r="C169" s="3">
        <v>46</v>
      </c>
      <c r="D169" s="3">
        <v>3.16</v>
      </c>
      <c r="E169" s="2" t="s">
        <v>294</v>
      </c>
      <c r="F169" s="4">
        <v>42374</v>
      </c>
      <c r="G169" s="3">
        <v>78</v>
      </c>
      <c r="H169" s="3">
        <v>3</v>
      </c>
      <c r="I169" s="4">
        <v>42402</v>
      </c>
      <c r="J169" s="3">
        <v>73.5</v>
      </c>
      <c r="K169" s="3">
        <v>3</v>
      </c>
      <c r="L169" s="3">
        <v>28</v>
      </c>
      <c r="M169" s="5">
        <v>-4.5</v>
      </c>
      <c r="N169" s="5">
        <v>0</v>
      </c>
      <c r="O169" s="5">
        <v>88.48</v>
      </c>
      <c r="P169" s="5">
        <v>-160.71428571428572</v>
      </c>
      <c r="Q169" s="5">
        <v>6.885353214285713</v>
      </c>
      <c r="R169" s="8">
        <f t="shared" si="13"/>
        <v>14</v>
      </c>
      <c r="S169" s="9">
        <f t="shared" si="14"/>
        <v>-3.5</v>
      </c>
      <c r="T169" s="9">
        <f t="shared" si="15"/>
        <v>-1</v>
      </c>
      <c r="U169" s="9">
        <f t="shared" si="16"/>
        <v>44.24</v>
      </c>
      <c r="V169" s="9">
        <f t="shared" si="17"/>
        <v>-250</v>
      </c>
      <c r="W169" s="9">
        <f t="shared" si="12"/>
        <v>2.4835674999999995</v>
      </c>
    </row>
    <row r="170" spans="1:23">
      <c r="A170" s="2" t="s">
        <v>267</v>
      </c>
      <c r="B170" s="2" t="s">
        <v>268</v>
      </c>
      <c r="C170" s="3">
        <v>46</v>
      </c>
      <c r="D170" s="3">
        <v>3.16</v>
      </c>
      <c r="E170" s="2" t="s">
        <v>295</v>
      </c>
      <c r="F170" s="4">
        <v>42374</v>
      </c>
      <c r="G170" s="3">
        <v>75</v>
      </c>
      <c r="H170" s="3">
        <v>5</v>
      </c>
      <c r="I170" s="4">
        <v>42374</v>
      </c>
      <c r="J170" s="3">
        <v>75</v>
      </c>
      <c r="K170" s="3">
        <v>5</v>
      </c>
      <c r="L170" s="3">
        <v>0</v>
      </c>
      <c r="M170" s="5">
        <v>0</v>
      </c>
      <c r="N170" s="5">
        <v>0</v>
      </c>
      <c r="O170" s="5">
        <v>0</v>
      </c>
      <c r="P170" s="5">
        <v>0</v>
      </c>
      <c r="Q170" s="5">
        <v>14.681749999999999</v>
      </c>
      <c r="R170" s="8">
        <f t="shared" si="13"/>
        <v>0</v>
      </c>
      <c r="S170" s="9">
        <f t="shared" si="14"/>
        <v>0</v>
      </c>
      <c r="T170" s="9">
        <f t="shared" si="15"/>
        <v>0</v>
      </c>
      <c r="U170" s="9">
        <f t="shared" si="16"/>
        <v>0</v>
      </c>
      <c r="V170" s="9">
        <f t="shared" si="17"/>
        <v>0</v>
      </c>
      <c r="W170" s="9">
        <f t="shared" si="12"/>
        <v>14.681749999999999</v>
      </c>
    </row>
    <row r="171" spans="1:23">
      <c r="A171" s="2" t="s">
        <v>267</v>
      </c>
      <c r="B171" s="2" t="s">
        <v>268</v>
      </c>
      <c r="C171" s="3">
        <v>46</v>
      </c>
      <c r="D171" s="3">
        <v>3.16</v>
      </c>
      <c r="E171" s="2" t="s">
        <v>295</v>
      </c>
      <c r="F171" s="4">
        <v>42374</v>
      </c>
      <c r="G171" s="3">
        <v>75</v>
      </c>
      <c r="H171" s="3">
        <v>5</v>
      </c>
      <c r="I171" s="4">
        <v>42388</v>
      </c>
      <c r="J171" s="3">
        <v>76</v>
      </c>
      <c r="K171" s="3">
        <v>4</v>
      </c>
      <c r="L171" s="3">
        <v>14</v>
      </c>
      <c r="M171" s="5">
        <v>1</v>
      </c>
      <c r="N171" s="5">
        <v>-1</v>
      </c>
      <c r="O171" s="5">
        <v>44.24</v>
      </c>
      <c r="P171" s="5">
        <v>71.428571428571431</v>
      </c>
      <c r="Q171" s="5">
        <v>18.287723571428572</v>
      </c>
      <c r="R171" s="8">
        <f t="shared" si="13"/>
        <v>14</v>
      </c>
      <c r="S171" s="9">
        <f t="shared" si="14"/>
        <v>1</v>
      </c>
      <c r="T171" s="9">
        <f t="shared" si="15"/>
        <v>-1</v>
      </c>
      <c r="U171" s="9">
        <f t="shared" si="16"/>
        <v>44.24</v>
      </c>
      <c r="V171" s="9">
        <f t="shared" si="17"/>
        <v>71.428571428571431</v>
      </c>
      <c r="W171" s="9">
        <f t="shared" si="12"/>
        <v>18.287723571428572</v>
      </c>
    </row>
    <row r="172" spans="1:23">
      <c r="A172" s="2" t="s">
        <v>267</v>
      </c>
      <c r="B172" s="2" t="s">
        <v>268</v>
      </c>
      <c r="C172" s="3">
        <v>46</v>
      </c>
      <c r="D172" s="3">
        <v>3.16</v>
      </c>
      <c r="E172" s="2" t="s">
        <v>295</v>
      </c>
      <c r="F172" s="4">
        <v>42374</v>
      </c>
      <c r="G172" s="3">
        <v>75</v>
      </c>
      <c r="H172" s="3">
        <v>5</v>
      </c>
      <c r="I172" s="4">
        <v>42402</v>
      </c>
      <c r="J172" s="3">
        <v>73</v>
      </c>
      <c r="K172" s="3">
        <v>4</v>
      </c>
      <c r="L172" s="3">
        <v>28</v>
      </c>
      <c r="M172" s="5">
        <v>-2</v>
      </c>
      <c r="N172" s="5">
        <v>-1</v>
      </c>
      <c r="O172" s="5">
        <v>88.48</v>
      </c>
      <c r="P172" s="5">
        <v>-71.428571428571431</v>
      </c>
      <c r="Q172" s="5">
        <v>10.991231428571428</v>
      </c>
      <c r="R172" s="8">
        <f t="shared" si="13"/>
        <v>14</v>
      </c>
      <c r="S172" s="9">
        <f t="shared" si="14"/>
        <v>-3</v>
      </c>
      <c r="T172" s="9">
        <f t="shared" si="15"/>
        <v>0</v>
      </c>
      <c r="U172" s="9">
        <f t="shared" si="16"/>
        <v>44.24</v>
      </c>
      <c r="V172" s="9">
        <f t="shared" si="17"/>
        <v>-214.28571428571428</v>
      </c>
      <c r="W172" s="9">
        <f t="shared" si="12"/>
        <v>3.9483742857142854</v>
      </c>
    </row>
    <row r="173" spans="1:23">
      <c r="A173" s="2" t="s">
        <v>267</v>
      </c>
      <c r="B173" s="2" t="s">
        <v>268</v>
      </c>
      <c r="C173" s="3">
        <v>46</v>
      </c>
      <c r="D173" s="3">
        <v>3.16</v>
      </c>
      <c r="E173" s="2" t="s">
        <v>296</v>
      </c>
      <c r="F173" s="4">
        <v>42374</v>
      </c>
      <c r="G173" s="3">
        <v>73</v>
      </c>
      <c r="H173" s="3">
        <v>3</v>
      </c>
      <c r="I173" s="4">
        <v>42374</v>
      </c>
      <c r="J173" s="3">
        <v>73</v>
      </c>
      <c r="K173" s="3">
        <v>3</v>
      </c>
      <c r="L173" s="3">
        <v>0</v>
      </c>
      <c r="M173" s="5">
        <v>0</v>
      </c>
      <c r="N173" s="5">
        <v>0</v>
      </c>
      <c r="O173" s="5">
        <v>0</v>
      </c>
      <c r="P173" s="5">
        <v>0</v>
      </c>
      <c r="Q173" s="5">
        <v>14.34357</v>
      </c>
      <c r="R173" s="8">
        <f t="shared" si="13"/>
        <v>0</v>
      </c>
      <c r="S173" s="9">
        <f t="shared" si="14"/>
        <v>0</v>
      </c>
      <c r="T173" s="9">
        <f t="shared" si="15"/>
        <v>0</v>
      </c>
      <c r="U173" s="9">
        <f t="shared" si="16"/>
        <v>0</v>
      </c>
      <c r="V173" s="9">
        <f t="shared" si="17"/>
        <v>0</v>
      </c>
      <c r="W173" s="9">
        <f t="shared" si="12"/>
        <v>14.34357</v>
      </c>
    </row>
    <row r="174" spans="1:23">
      <c r="A174" s="2" t="s">
        <v>267</v>
      </c>
      <c r="B174" s="2" t="s">
        <v>268</v>
      </c>
      <c r="C174" s="3">
        <v>46</v>
      </c>
      <c r="D174" s="3">
        <v>3.16</v>
      </c>
      <c r="E174" s="2" t="s">
        <v>296</v>
      </c>
      <c r="F174" s="4">
        <v>42374</v>
      </c>
      <c r="G174" s="3">
        <v>73</v>
      </c>
      <c r="H174" s="3">
        <v>3</v>
      </c>
      <c r="I174" s="4">
        <v>42388</v>
      </c>
      <c r="J174" s="3">
        <v>75</v>
      </c>
      <c r="K174" s="3">
        <v>3</v>
      </c>
      <c r="L174" s="3">
        <v>14</v>
      </c>
      <c r="M174" s="5">
        <v>2</v>
      </c>
      <c r="N174" s="5">
        <v>0</v>
      </c>
      <c r="O174" s="5">
        <v>44.24</v>
      </c>
      <c r="P174" s="5">
        <v>142.85714285714286</v>
      </c>
      <c r="Q174" s="5">
        <v>21.555517142857141</v>
      </c>
      <c r="R174" s="8">
        <f t="shared" si="13"/>
        <v>14</v>
      </c>
      <c r="S174" s="9">
        <f t="shared" si="14"/>
        <v>2</v>
      </c>
      <c r="T174" s="9">
        <f t="shared" si="15"/>
        <v>0</v>
      </c>
      <c r="U174" s="9">
        <f t="shared" si="16"/>
        <v>44.24</v>
      </c>
      <c r="V174" s="9">
        <f t="shared" si="17"/>
        <v>142.85714285714286</v>
      </c>
      <c r="W174" s="9">
        <f t="shared" si="12"/>
        <v>21.555517142857141</v>
      </c>
    </row>
    <row r="175" spans="1:23">
      <c r="A175" s="2" t="s">
        <v>267</v>
      </c>
      <c r="B175" s="2" t="s">
        <v>268</v>
      </c>
      <c r="C175" s="3">
        <v>46</v>
      </c>
      <c r="D175" s="3">
        <v>3.16</v>
      </c>
      <c r="E175" s="2" t="s">
        <v>296</v>
      </c>
      <c r="F175" s="4">
        <v>42374</v>
      </c>
      <c r="G175" s="3">
        <v>73</v>
      </c>
      <c r="H175" s="3">
        <v>3</v>
      </c>
      <c r="I175" s="4">
        <v>42402</v>
      </c>
      <c r="J175" s="3">
        <v>71</v>
      </c>
      <c r="K175" s="3">
        <v>3.5</v>
      </c>
      <c r="L175" s="3">
        <v>28</v>
      </c>
      <c r="M175" s="5">
        <v>-2</v>
      </c>
      <c r="N175" s="5">
        <v>0.5</v>
      </c>
      <c r="O175" s="5">
        <v>88.48</v>
      </c>
      <c r="P175" s="5">
        <v>-71.428571428571431</v>
      </c>
      <c r="Q175" s="5">
        <v>10.653051428571429</v>
      </c>
      <c r="R175" s="8">
        <f t="shared" si="13"/>
        <v>14</v>
      </c>
      <c r="S175" s="9">
        <f t="shared" si="14"/>
        <v>-4</v>
      </c>
      <c r="T175" s="9">
        <f t="shared" si="15"/>
        <v>0.5</v>
      </c>
      <c r="U175" s="9">
        <f t="shared" si="16"/>
        <v>44.24</v>
      </c>
      <c r="V175" s="9">
        <f t="shared" si="17"/>
        <v>-285.71428571428572</v>
      </c>
      <c r="W175" s="9">
        <f t="shared" si="12"/>
        <v>8.8765714285715447E-2</v>
      </c>
    </row>
    <row r="176" spans="1:23">
      <c r="A176" s="2" t="s">
        <v>267</v>
      </c>
      <c r="B176" s="2" t="s">
        <v>268</v>
      </c>
      <c r="C176" s="3">
        <v>46</v>
      </c>
      <c r="D176" s="3">
        <v>3.16</v>
      </c>
      <c r="E176" s="2" t="s">
        <v>297</v>
      </c>
      <c r="F176" s="4">
        <v>42374</v>
      </c>
      <c r="G176" s="3">
        <v>77.5</v>
      </c>
      <c r="H176" s="3">
        <v>5</v>
      </c>
      <c r="I176" s="4">
        <v>42374</v>
      </c>
      <c r="J176" s="3">
        <v>77.5</v>
      </c>
      <c r="K176" s="3">
        <v>5</v>
      </c>
      <c r="L176" s="3">
        <v>0</v>
      </c>
      <c r="M176" s="5">
        <v>0</v>
      </c>
      <c r="N176" s="5">
        <v>0</v>
      </c>
      <c r="O176" s="5">
        <v>0</v>
      </c>
      <c r="P176" s="5">
        <v>0</v>
      </c>
      <c r="Q176" s="5">
        <v>15.104474999999999</v>
      </c>
      <c r="R176" s="8">
        <f t="shared" si="13"/>
        <v>0</v>
      </c>
      <c r="S176" s="9">
        <f t="shared" si="14"/>
        <v>0</v>
      </c>
      <c r="T176" s="9">
        <f t="shared" si="15"/>
        <v>0</v>
      </c>
      <c r="U176" s="9">
        <f t="shared" si="16"/>
        <v>0</v>
      </c>
      <c r="V176" s="9">
        <f t="shared" si="17"/>
        <v>0</v>
      </c>
      <c r="W176" s="9">
        <f t="shared" si="12"/>
        <v>15.104474999999999</v>
      </c>
    </row>
    <row r="177" spans="1:23">
      <c r="A177" s="2" t="s">
        <v>267</v>
      </c>
      <c r="B177" s="2" t="s">
        <v>268</v>
      </c>
      <c r="C177" s="3">
        <v>46</v>
      </c>
      <c r="D177" s="3">
        <v>3.16</v>
      </c>
      <c r="E177" s="2" t="s">
        <v>297</v>
      </c>
      <c r="F177" s="4">
        <v>42374</v>
      </c>
      <c r="G177" s="3">
        <v>77.5</v>
      </c>
      <c r="H177" s="3">
        <v>5</v>
      </c>
      <c r="I177" s="4">
        <v>42388</v>
      </c>
      <c r="J177" s="3">
        <v>76</v>
      </c>
      <c r="K177" s="3">
        <v>3</v>
      </c>
      <c r="L177" s="3">
        <v>14</v>
      </c>
      <c r="M177" s="5">
        <v>-1.5</v>
      </c>
      <c r="N177" s="5">
        <v>-2</v>
      </c>
      <c r="O177" s="5">
        <v>44.24</v>
      </c>
      <c r="P177" s="5">
        <v>-107.14285714285714</v>
      </c>
      <c r="Q177" s="5">
        <v>9.6955146428571428</v>
      </c>
      <c r="R177" s="8">
        <f t="shared" si="13"/>
        <v>14</v>
      </c>
      <c r="S177" s="9">
        <f t="shared" si="14"/>
        <v>-1.5</v>
      </c>
      <c r="T177" s="9">
        <f t="shared" si="15"/>
        <v>-2</v>
      </c>
      <c r="U177" s="9">
        <f t="shared" si="16"/>
        <v>44.24</v>
      </c>
      <c r="V177" s="9">
        <f t="shared" si="17"/>
        <v>-107.14285714285714</v>
      </c>
      <c r="W177" s="9">
        <f t="shared" si="12"/>
        <v>9.6955146428571428</v>
      </c>
    </row>
    <row r="178" spans="1:23">
      <c r="A178" s="2" t="s">
        <v>267</v>
      </c>
      <c r="B178" s="2" t="s">
        <v>268</v>
      </c>
      <c r="C178" s="3">
        <v>46</v>
      </c>
      <c r="D178" s="3">
        <v>3.16</v>
      </c>
      <c r="E178" s="2" t="s">
        <v>297</v>
      </c>
      <c r="F178" s="4">
        <v>42374</v>
      </c>
      <c r="G178" s="3">
        <v>77.5</v>
      </c>
      <c r="H178" s="3">
        <v>5</v>
      </c>
      <c r="I178" s="4">
        <v>42402</v>
      </c>
      <c r="J178" s="3">
        <v>73.5</v>
      </c>
      <c r="K178" s="3">
        <v>3</v>
      </c>
      <c r="L178" s="3">
        <v>28</v>
      </c>
      <c r="M178" s="5">
        <v>-4</v>
      </c>
      <c r="N178" s="5">
        <v>-2</v>
      </c>
      <c r="O178" s="5">
        <v>88.48</v>
      </c>
      <c r="P178" s="5">
        <v>-142.85714285714286</v>
      </c>
      <c r="Q178" s="5">
        <v>7.7234378571428577</v>
      </c>
      <c r="R178" s="8">
        <f t="shared" si="13"/>
        <v>14</v>
      </c>
      <c r="S178" s="9">
        <f t="shared" si="14"/>
        <v>-2.5</v>
      </c>
      <c r="T178" s="9">
        <f t="shared" si="15"/>
        <v>0</v>
      </c>
      <c r="U178" s="9">
        <f t="shared" si="16"/>
        <v>44.24</v>
      </c>
      <c r="V178" s="9">
        <f t="shared" si="17"/>
        <v>-178.57142857142858</v>
      </c>
      <c r="W178" s="9">
        <f t="shared" si="12"/>
        <v>5.9627235714285707</v>
      </c>
    </row>
    <row r="179" spans="1:23">
      <c r="A179" s="2" t="s">
        <v>267</v>
      </c>
      <c r="B179" s="2" t="s">
        <v>268</v>
      </c>
      <c r="C179" s="3">
        <v>46</v>
      </c>
      <c r="D179" s="3">
        <v>3.16</v>
      </c>
      <c r="E179" s="2" t="s">
        <v>298</v>
      </c>
      <c r="F179" s="4">
        <v>42374</v>
      </c>
      <c r="G179" s="3">
        <v>75.5</v>
      </c>
      <c r="H179" s="3">
        <v>5</v>
      </c>
      <c r="I179" s="4">
        <v>42374</v>
      </c>
      <c r="J179" s="3">
        <v>75.5</v>
      </c>
      <c r="K179" s="3">
        <v>5</v>
      </c>
      <c r="L179" s="3">
        <v>0</v>
      </c>
      <c r="M179" s="5">
        <v>0</v>
      </c>
      <c r="N179" s="5">
        <v>0</v>
      </c>
      <c r="O179" s="5">
        <v>0</v>
      </c>
      <c r="P179" s="5">
        <v>0</v>
      </c>
      <c r="Q179" s="5">
        <v>14.766295</v>
      </c>
      <c r="R179" s="8">
        <f t="shared" si="13"/>
        <v>0</v>
      </c>
      <c r="S179" s="9">
        <f t="shared" si="14"/>
        <v>0</v>
      </c>
      <c r="T179" s="9">
        <f t="shared" si="15"/>
        <v>0</v>
      </c>
      <c r="U179" s="9">
        <f t="shared" si="16"/>
        <v>0</v>
      </c>
      <c r="V179" s="9">
        <f t="shared" si="17"/>
        <v>0</v>
      </c>
      <c r="W179" s="9">
        <f t="shared" si="12"/>
        <v>14.766295</v>
      </c>
    </row>
    <row r="180" spans="1:23">
      <c r="A180" s="2" t="s">
        <v>267</v>
      </c>
      <c r="B180" s="2" t="s">
        <v>268</v>
      </c>
      <c r="C180" s="3">
        <v>46</v>
      </c>
      <c r="D180" s="3">
        <v>3.16</v>
      </c>
      <c r="E180" s="2" t="s">
        <v>298</v>
      </c>
      <c r="F180" s="4">
        <v>42374</v>
      </c>
      <c r="G180" s="3">
        <v>75.5</v>
      </c>
      <c r="H180" s="3">
        <v>5</v>
      </c>
      <c r="I180" s="4">
        <v>42388</v>
      </c>
      <c r="J180" s="3">
        <v>78.5</v>
      </c>
      <c r="K180" s="3">
        <v>5</v>
      </c>
      <c r="L180" s="3">
        <v>14</v>
      </c>
      <c r="M180" s="5">
        <v>3</v>
      </c>
      <c r="N180" s="5">
        <v>0</v>
      </c>
      <c r="O180" s="5">
        <v>44.24</v>
      </c>
      <c r="P180" s="5">
        <v>214.28571428571428</v>
      </c>
      <c r="Q180" s="5">
        <v>25.584215714285712</v>
      </c>
      <c r="R180" s="8">
        <f t="shared" si="13"/>
        <v>14</v>
      </c>
      <c r="S180" s="9">
        <f t="shared" si="14"/>
        <v>3</v>
      </c>
      <c r="T180" s="9">
        <f t="shared" si="15"/>
        <v>0</v>
      </c>
      <c r="U180" s="9">
        <f t="shared" si="16"/>
        <v>44.24</v>
      </c>
      <c r="V180" s="9">
        <f t="shared" si="17"/>
        <v>214.28571428571428</v>
      </c>
      <c r="W180" s="9">
        <f t="shared" si="12"/>
        <v>25.584215714285712</v>
      </c>
    </row>
    <row r="181" spans="1:23">
      <c r="A181" s="2" t="s">
        <v>267</v>
      </c>
      <c r="B181" s="2" t="s">
        <v>268</v>
      </c>
      <c r="C181" s="3">
        <v>46</v>
      </c>
      <c r="D181" s="3">
        <v>3.16</v>
      </c>
      <c r="E181" s="2" t="s">
        <v>298</v>
      </c>
      <c r="F181" s="4">
        <v>42374</v>
      </c>
      <c r="G181" s="3">
        <v>75.5</v>
      </c>
      <c r="H181" s="3">
        <v>5</v>
      </c>
      <c r="I181" s="4">
        <v>42402</v>
      </c>
      <c r="J181" s="3">
        <v>74.5</v>
      </c>
      <c r="K181" s="3">
        <v>4.5</v>
      </c>
      <c r="L181" s="3">
        <v>28</v>
      </c>
      <c r="M181" s="5">
        <v>-1</v>
      </c>
      <c r="N181" s="5">
        <v>-0.5</v>
      </c>
      <c r="O181" s="5">
        <v>88.48</v>
      </c>
      <c r="P181" s="5">
        <v>-35.714285714285715</v>
      </c>
      <c r="Q181" s="5">
        <v>12.921035714285713</v>
      </c>
      <c r="R181" s="8">
        <f t="shared" si="13"/>
        <v>14</v>
      </c>
      <c r="S181" s="9">
        <f t="shared" si="14"/>
        <v>-4</v>
      </c>
      <c r="T181" s="9">
        <f t="shared" si="15"/>
        <v>-0.5</v>
      </c>
      <c r="U181" s="9">
        <f t="shared" si="16"/>
        <v>44.24</v>
      </c>
      <c r="V181" s="9">
        <f t="shared" si="17"/>
        <v>-285.71428571428572</v>
      </c>
      <c r="W181" s="9">
        <f t="shared" si="12"/>
        <v>0.59603571428571556</v>
      </c>
    </row>
    <row r="182" spans="1:23">
      <c r="A182" s="2" t="s">
        <v>299</v>
      </c>
      <c r="B182" s="2" t="s">
        <v>300</v>
      </c>
      <c r="C182" s="3">
        <v>14</v>
      </c>
      <c r="D182" s="3">
        <v>1.98</v>
      </c>
      <c r="E182" s="2" t="s">
        <v>301</v>
      </c>
      <c r="F182" s="4">
        <v>39476</v>
      </c>
      <c r="G182" s="3">
        <v>54</v>
      </c>
      <c r="H182" s="3">
        <v>2.5</v>
      </c>
      <c r="I182" s="4">
        <v>39476</v>
      </c>
      <c r="J182" s="3">
        <v>54</v>
      </c>
      <c r="K182" s="3">
        <v>2.5</v>
      </c>
      <c r="L182" s="3">
        <v>0</v>
      </c>
      <c r="M182" s="5">
        <v>0</v>
      </c>
      <c r="N182" s="5">
        <v>0</v>
      </c>
      <c r="O182" s="5">
        <v>0</v>
      </c>
      <c r="P182" s="5">
        <v>0</v>
      </c>
      <c r="Q182" s="5">
        <v>11.13086</v>
      </c>
      <c r="R182" s="8">
        <f t="shared" si="13"/>
        <v>0</v>
      </c>
      <c r="S182" s="9">
        <f t="shared" si="14"/>
        <v>0</v>
      </c>
      <c r="T182" s="9">
        <f t="shared" si="15"/>
        <v>0</v>
      </c>
      <c r="U182" s="9">
        <f t="shared" si="16"/>
        <v>0</v>
      </c>
      <c r="V182" s="9">
        <f t="shared" si="17"/>
        <v>0</v>
      </c>
      <c r="W182" s="9">
        <f t="shared" si="12"/>
        <v>11.13086</v>
      </c>
    </row>
    <row r="183" spans="1:23">
      <c r="A183" s="2" t="s">
        <v>299</v>
      </c>
      <c r="B183" s="2" t="s">
        <v>300</v>
      </c>
      <c r="C183" s="3">
        <v>14</v>
      </c>
      <c r="D183" s="3">
        <v>1.98</v>
      </c>
      <c r="E183" s="2" t="s">
        <v>301</v>
      </c>
      <c r="F183" s="4">
        <v>39476</v>
      </c>
      <c r="G183" s="3">
        <v>54</v>
      </c>
      <c r="H183" s="3">
        <v>2.5</v>
      </c>
      <c r="I183" s="4">
        <v>39483</v>
      </c>
      <c r="J183" s="3">
        <v>58.2</v>
      </c>
      <c r="K183" s="6"/>
      <c r="L183" s="3">
        <v>7</v>
      </c>
      <c r="M183" s="5">
        <v>4.2000000000000028</v>
      </c>
      <c r="N183" s="6"/>
      <c r="O183" s="5">
        <v>13.86</v>
      </c>
      <c r="P183" s="5">
        <v>600.00000000000045</v>
      </c>
      <c r="Q183" s="5">
        <v>41.065949000000018</v>
      </c>
      <c r="R183" s="8">
        <f t="shared" ref="R183:R196" si="18">IF(I183-F183=0,0,I183-I182)</f>
        <v>7</v>
      </c>
      <c r="S183" s="9">
        <f t="shared" ref="S183:S199" si="19">IF(R183=0,J183-G183,J183-J182)</f>
        <v>4.2000000000000028</v>
      </c>
      <c r="T183" s="10"/>
      <c r="U183" s="9">
        <f t="shared" ref="U183:U194" si="20">D183*R183</f>
        <v>13.86</v>
      </c>
      <c r="V183" s="9">
        <f t="shared" ref="V183:V194" si="21">IF(R183=0,0,(S183/R183*1000))</f>
        <v>600.00000000000045</v>
      </c>
      <c r="W183" s="9">
        <f t="shared" si="12"/>
        <v>41.065949000000018</v>
      </c>
    </row>
    <row r="184" spans="1:23">
      <c r="A184" s="2" t="s">
        <v>299</v>
      </c>
      <c r="B184" s="2" t="s">
        <v>300</v>
      </c>
      <c r="C184" s="3">
        <v>14</v>
      </c>
      <c r="D184" s="3">
        <v>1.98</v>
      </c>
      <c r="E184" s="2" t="s">
        <v>301</v>
      </c>
      <c r="F184" s="4">
        <v>39476</v>
      </c>
      <c r="G184" s="3">
        <v>54</v>
      </c>
      <c r="H184" s="3">
        <v>2.5</v>
      </c>
      <c r="I184" s="4">
        <v>39490</v>
      </c>
      <c r="J184" s="3">
        <v>56.2</v>
      </c>
      <c r="K184" s="3">
        <v>2.5</v>
      </c>
      <c r="L184" s="3">
        <v>14</v>
      </c>
      <c r="M184" s="5">
        <v>2.2000000000000028</v>
      </c>
      <c r="N184" s="5">
        <v>0</v>
      </c>
      <c r="O184" s="5">
        <v>27.72</v>
      </c>
      <c r="P184" s="5">
        <v>157.14285714285734</v>
      </c>
      <c r="Q184" s="5">
        <v>19.064001857142866</v>
      </c>
      <c r="R184" s="8">
        <f t="shared" si="18"/>
        <v>7</v>
      </c>
      <c r="S184" s="9">
        <f t="shared" si="19"/>
        <v>-2</v>
      </c>
      <c r="T184" s="9">
        <v>0</v>
      </c>
      <c r="U184" s="9">
        <f t="shared" si="20"/>
        <v>13.86</v>
      </c>
      <c r="V184" s="9">
        <f t="shared" si="21"/>
        <v>-285.71428571428572</v>
      </c>
      <c r="W184" s="9">
        <f t="shared" si="12"/>
        <v>-2.7688552857142845</v>
      </c>
    </row>
    <row r="185" spans="1:23">
      <c r="A185" s="2" t="s">
        <v>299</v>
      </c>
      <c r="B185" s="2" t="s">
        <v>300</v>
      </c>
      <c r="C185" s="3">
        <v>14</v>
      </c>
      <c r="D185" s="3">
        <v>1.98</v>
      </c>
      <c r="E185" s="2" t="s">
        <v>301</v>
      </c>
      <c r="F185" s="4">
        <v>39476</v>
      </c>
      <c r="G185" s="3">
        <v>54</v>
      </c>
      <c r="H185" s="3">
        <v>2.5</v>
      </c>
      <c r="I185" s="4">
        <v>39497</v>
      </c>
      <c r="J185" s="3">
        <v>58.2</v>
      </c>
      <c r="K185" s="3">
        <v>2.5</v>
      </c>
      <c r="L185" s="3">
        <v>21</v>
      </c>
      <c r="M185" s="5">
        <v>4.2000000000000028</v>
      </c>
      <c r="N185" s="5">
        <v>0</v>
      </c>
      <c r="O185" s="5">
        <v>41.58</v>
      </c>
      <c r="P185" s="5">
        <v>200.00000000000011</v>
      </c>
      <c r="Q185" s="5">
        <v>21.345949000000005</v>
      </c>
      <c r="R185" s="8">
        <f t="shared" si="18"/>
        <v>7</v>
      </c>
      <c r="S185" s="9">
        <f t="shared" si="19"/>
        <v>2</v>
      </c>
      <c r="T185" s="9">
        <v>0</v>
      </c>
      <c r="U185" s="9">
        <f t="shared" si="20"/>
        <v>13.86</v>
      </c>
      <c r="V185" s="9">
        <f t="shared" si="21"/>
        <v>285.71428571428572</v>
      </c>
      <c r="W185" s="9">
        <f t="shared" si="12"/>
        <v>25.571663285714283</v>
      </c>
    </row>
    <row r="186" spans="1:23">
      <c r="A186" s="2" t="s">
        <v>299</v>
      </c>
      <c r="B186" s="2" t="s">
        <v>300</v>
      </c>
      <c r="C186" s="3">
        <v>14</v>
      </c>
      <c r="D186" s="3">
        <v>1.98</v>
      </c>
      <c r="E186" s="2" t="s">
        <v>301</v>
      </c>
      <c r="F186" s="4">
        <v>39476</v>
      </c>
      <c r="G186" s="3">
        <v>54</v>
      </c>
      <c r="H186" s="3">
        <v>2.5</v>
      </c>
      <c r="I186" s="4">
        <v>39503</v>
      </c>
      <c r="J186" s="3">
        <v>60.6</v>
      </c>
      <c r="K186" s="3">
        <v>2.5</v>
      </c>
      <c r="L186" s="3">
        <v>27</v>
      </c>
      <c r="M186" s="5">
        <v>6.6000000000000014</v>
      </c>
      <c r="N186" s="5">
        <v>0</v>
      </c>
      <c r="O186" s="5">
        <v>53.46</v>
      </c>
      <c r="P186" s="5">
        <v>244.44444444444449</v>
      </c>
      <c r="Q186" s="5">
        <v>23.739968111111111</v>
      </c>
      <c r="R186" s="8">
        <f t="shared" si="18"/>
        <v>6</v>
      </c>
      <c r="S186" s="9">
        <f t="shared" si="19"/>
        <v>2.3999999999999986</v>
      </c>
      <c r="T186" s="9">
        <v>0</v>
      </c>
      <c r="U186" s="9">
        <f t="shared" si="20"/>
        <v>11.879999999999999</v>
      </c>
      <c r="V186" s="9">
        <f t="shared" si="21"/>
        <v>399.99999999999977</v>
      </c>
      <c r="W186" s="9">
        <f t="shared" si="12"/>
        <v>31.408856999999987</v>
      </c>
    </row>
    <row r="187" spans="1:23">
      <c r="A187" s="2" t="s">
        <v>299</v>
      </c>
      <c r="B187" s="2" t="s">
        <v>300</v>
      </c>
      <c r="C187" s="3">
        <v>14</v>
      </c>
      <c r="D187" s="3">
        <v>1.98</v>
      </c>
      <c r="E187" s="2" t="s">
        <v>301</v>
      </c>
      <c r="F187" s="4">
        <v>39476</v>
      </c>
      <c r="G187" s="3">
        <v>54</v>
      </c>
      <c r="H187" s="3">
        <v>2.5</v>
      </c>
      <c r="I187" s="4">
        <v>39511</v>
      </c>
      <c r="J187" s="3">
        <v>62.6</v>
      </c>
      <c r="K187" s="6"/>
      <c r="L187" s="3">
        <v>35</v>
      </c>
      <c r="M187" s="5">
        <v>8.6000000000000014</v>
      </c>
      <c r="N187" s="6"/>
      <c r="O187" s="5">
        <v>69.3</v>
      </c>
      <c r="P187" s="5">
        <v>245.71428571428575</v>
      </c>
      <c r="Q187" s="5">
        <v>23.971661285714283</v>
      </c>
      <c r="R187" s="8">
        <f t="shared" si="18"/>
        <v>8</v>
      </c>
      <c r="S187" s="9">
        <f t="shared" si="19"/>
        <v>2</v>
      </c>
      <c r="T187" s="10"/>
      <c r="U187" s="9">
        <f t="shared" si="20"/>
        <v>15.84</v>
      </c>
      <c r="V187" s="9">
        <f t="shared" si="21"/>
        <v>250</v>
      </c>
      <c r="W187" s="9">
        <f t="shared" si="12"/>
        <v>24.182946999999999</v>
      </c>
    </row>
    <row r="188" spans="1:23">
      <c r="A188" s="2" t="s">
        <v>299</v>
      </c>
      <c r="B188" s="2" t="s">
        <v>300</v>
      </c>
      <c r="C188" s="3">
        <v>14</v>
      </c>
      <c r="D188" s="3">
        <v>1.98</v>
      </c>
      <c r="E188" s="2" t="s">
        <v>301</v>
      </c>
      <c r="F188" s="4">
        <v>39476</v>
      </c>
      <c r="G188" s="3">
        <v>54</v>
      </c>
      <c r="H188" s="3">
        <v>2.5</v>
      </c>
      <c r="I188" s="4">
        <v>39518</v>
      </c>
      <c r="J188" s="3">
        <v>62</v>
      </c>
      <c r="K188" s="3">
        <v>2.5</v>
      </c>
      <c r="L188" s="3">
        <v>42</v>
      </c>
      <c r="M188" s="5">
        <v>8</v>
      </c>
      <c r="N188" s="5">
        <v>0</v>
      </c>
      <c r="O188" s="5">
        <v>83.16</v>
      </c>
      <c r="P188" s="5">
        <v>190.47619047619045</v>
      </c>
      <c r="Q188" s="5">
        <v>21.197696190476186</v>
      </c>
      <c r="R188" s="8">
        <f t="shared" si="18"/>
        <v>7</v>
      </c>
      <c r="S188" s="9">
        <f t="shared" si="19"/>
        <v>-0.60000000000000142</v>
      </c>
      <c r="T188" s="9">
        <v>0</v>
      </c>
      <c r="U188" s="9">
        <f t="shared" si="20"/>
        <v>13.86</v>
      </c>
      <c r="V188" s="9">
        <f t="shared" si="21"/>
        <v>-85.714285714285921</v>
      </c>
      <c r="W188" s="9">
        <f t="shared" si="12"/>
        <v>7.5815057142857034</v>
      </c>
    </row>
    <row r="189" spans="1:23">
      <c r="A189" s="2" t="s">
        <v>299</v>
      </c>
      <c r="B189" s="2" t="s">
        <v>300</v>
      </c>
      <c r="C189" s="3">
        <v>14</v>
      </c>
      <c r="D189" s="3">
        <v>1.98</v>
      </c>
      <c r="E189" s="2" t="s">
        <v>301</v>
      </c>
      <c r="F189" s="4">
        <v>39476</v>
      </c>
      <c r="G189" s="3">
        <v>54</v>
      </c>
      <c r="H189" s="3">
        <v>2.5</v>
      </c>
      <c r="I189" s="4">
        <v>39525</v>
      </c>
      <c r="J189" s="3">
        <v>62.2</v>
      </c>
      <c r="K189" s="3">
        <v>2.75</v>
      </c>
      <c r="L189" s="3">
        <v>49</v>
      </c>
      <c r="M189" s="5">
        <v>8.2000000000000028</v>
      </c>
      <c r="N189" s="5">
        <v>0.25</v>
      </c>
      <c r="O189" s="5">
        <v>97.02</v>
      </c>
      <c r="P189" s="5">
        <v>167.34693877551027</v>
      </c>
      <c r="Q189" s="5">
        <v>20.074333081632656</v>
      </c>
      <c r="R189" s="8">
        <f t="shared" si="18"/>
        <v>7</v>
      </c>
      <c r="S189" s="9">
        <f t="shared" si="19"/>
        <v>0.20000000000000284</v>
      </c>
      <c r="T189" s="9">
        <v>0.25</v>
      </c>
      <c r="U189" s="9">
        <f t="shared" si="20"/>
        <v>13.86</v>
      </c>
      <c r="V189" s="9">
        <f t="shared" si="21"/>
        <v>28.571428571428978</v>
      </c>
      <c r="W189" s="9">
        <f t="shared" si="12"/>
        <v>13.232700428571448</v>
      </c>
    </row>
    <row r="190" spans="1:23">
      <c r="A190" s="2" t="s">
        <v>299</v>
      </c>
      <c r="B190" s="2" t="s">
        <v>300</v>
      </c>
      <c r="C190" s="3">
        <v>14</v>
      </c>
      <c r="D190" s="3">
        <v>1.98</v>
      </c>
      <c r="E190" s="2" t="s">
        <v>301</v>
      </c>
      <c r="F190" s="4">
        <v>39476</v>
      </c>
      <c r="G190" s="3">
        <v>54</v>
      </c>
      <c r="H190" s="3">
        <v>2.5</v>
      </c>
      <c r="I190" s="4">
        <v>39532</v>
      </c>
      <c r="J190" s="3">
        <v>58.2</v>
      </c>
      <c r="K190" s="3">
        <v>2</v>
      </c>
      <c r="L190" s="3">
        <v>56</v>
      </c>
      <c r="M190" s="5">
        <v>4.2000000000000028</v>
      </c>
      <c r="N190" s="5">
        <v>-0.5</v>
      </c>
      <c r="O190" s="5">
        <v>110.88</v>
      </c>
      <c r="P190" s="5">
        <v>75.000000000000057</v>
      </c>
      <c r="Q190" s="5">
        <v>15.183449000000003</v>
      </c>
      <c r="R190" s="8">
        <f t="shared" si="18"/>
        <v>7</v>
      </c>
      <c r="S190" s="9">
        <f t="shared" si="19"/>
        <v>-4</v>
      </c>
      <c r="T190" s="9">
        <v>-0.5</v>
      </c>
      <c r="U190" s="9">
        <f t="shared" si="20"/>
        <v>13.86</v>
      </c>
      <c r="V190" s="9">
        <f t="shared" si="21"/>
        <v>-571.42857142857144</v>
      </c>
      <c r="W190" s="9">
        <f t="shared" si="12"/>
        <v>-16.685479571428566</v>
      </c>
    </row>
    <row r="191" spans="1:23">
      <c r="A191" s="2" t="s">
        <v>299</v>
      </c>
      <c r="B191" s="2" t="s">
        <v>300</v>
      </c>
      <c r="C191" s="3">
        <v>14</v>
      </c>
      <c r="D191" s="3">
        <v>1.98</v>
      </c>
      <c r="E191" s="2" t="s">
        <v>302</v>
      </c>
      <c r="F191" s="4">
        <v>39476</v>
      </c>
      <c r="G191" s="3">
        <v>56.6</v>
      </c>
      <c r="H191" s="3">
        <v>2.5</v>
      </c>
      <c r="I191" s="4">
        <v>39476</v>
      </c>
      <c r="J191" s="3">
        <v>56.6</v>
      </c>
      <c r="K191" s="3">
        <v>2.5</v>
      </c>
      <c r="L191" s="3">
        <v>0</v>
      </c>
      <c r="M191" s="5">
        <v>0</v>
      </c>
      <c r="N191" s="5">
        <v>0</v>
      </c>
      <c r="O191" s="5">
        <v>0</v>
      </c>
      <c r="P191" s="5">
        <v>0</v>
      </c>
      <c r="Q191" s="5">
        <v>11.570494</v>
      </c>
      <c r="R191" s="8">
        <f t="shared" si="18"/>
        <v>0</v>
      </c>
      <c r="S191" s="9">
        <f t="shared" si="19"/>
        <v>0</v>
      </c>
      <c r="T191" s="9">
        <v>0</v>
      </c>
      <c r="U191" s="9">
        <f t="shared" si="20"/>
        <v>0</v>
      </c>
      <c r="V191" s="9">
        <f t="shared" si="21"/>
        <v>0</v>
      </c>
      <c r="W191" s="9">
        <f t="shared" si="12"/>
        <v>11.570494</v>
      </c>
    </row>
    <row r="192" spans="1:23">
      <c r="A192" s="2" t="s">
        <v>299</v>
      </c>
      <c r="B192" s="2" t="s">
        <v>300</v>
      </c>
      <c r="C192" s="3">
        <v>14</v>
      </c>
      <c r="D192" s="3">
        <v>1.98</v>
      </c>
      <c r="E192" s="2" t="s">
        <v>302</v>
      </c>
      <c r="F192" s="4">
        <v>39476</v>
      </c>
      <c r="G192" s="3">
        <v>56.6</v>
      </c>
      <c r="H192" s="3">
        <v>2.5</v>
      </c>
      <c r="I192" s="4">
        <v>39483</v>
      </c>
      <c r="J192" s="3">
        <v>62.4</v>
      </c>
      <c r="K192" s="6"/>
      <c r="L192" s="3">
        <v>7</v>
      </c>
      <c r="M192" s="5">
        <v>5.7999999999999972</v>
      </c>
      <c r="N192" s="6"/>
      <c r="O192" s="5">
        <v>13.86</v>
      </c>
      <c r="P192" s="5">
        <v>828.57142857142821</v>
      </c>
      <c r="Q192" s="5">
        <v>52.909426428571408</v>
      </c>
      <c r="R192" s="8">
        <f t="shared" si="18"/>
        <v>7</v>
      </c>
      <c r="S192" s="9">
        <f t="shared" si="19"/>
        <v>5.7999999999999972</v>
      </c>
      <c r="T192" s="10"/>
      <c r="U192" s="9">
        <f t="shared" si="20"/>
        <v>13.86</v>
      </c>
      <c r="V192" s="9">
        <f t="shared" si="21"/>
        <v>828.57142857142821</v>
      </c>
      <c r="W192" s="9">
        <f t="shared" si="12"/>
        <v>52.909426428571408</v>
      </c>
    </row>
    <row r="193" spans="1:23">
      <c r="A193" s="2" t="s">
        <v>299</v>
      </c>
      <c r="B193" s="2" t="s">
        <v>300</v>
      </c>
      <c r="C193" s="3">
        <v>14</v>
      </c>
      <c r="D193" s="3">
        <v>1.98</v>
      </c>
      <c r="E193" s="2" t="s">
        <v>302</v>
      </c>
      <c r="F193" s="4">
        <v>39476</v>
      </c>
      <c r="G193" s="3">
        <v>56.6</v>
      </c>
      <c r="H193" s="3">
        <v>2.5</v>
      </c>
      <c r="I193" s="4">
        <v>39490</v>
      </c>
      <c r="J193" s="3">
        <v>62.4</v>
      </c>
      <c r="K193" s="3">
        <v>2.5</v>
      </c>
      <c r="L193" s="3">
        <v>14</v>
      </c>
      <c r="M193" s="5">
        <v>5.7999999999999972</v>
      </c>
      <c r="N193" s="5">
        <v>0</v>
      </c>
      <c r="O193" s="5">
        <v>27.72</v>
      </c>
      <c r="P193" s="5">
        <v>414.28571428571411</v>
      </c>
      <c r="Q193" s="5">
        <v>32.485140714285706</v>
      </c>
      <c r="R193" s="8">
        <f t="shared" si="18"/>
        <v>7</v>
      </c>
      <c r="S193" s="9">
        <f t="shared" si="19"/>
        <v>0</v>
      </c>
      <c r="T193" s="9">
        <v>0</v>
      </c>
      <c r="U193" s="9">
        <f t="shared" si="20"/>
        <v>13.86</v>
      </c>
      <c r="V193" s="9">
        <f t="shared" si="21"/>
        <v>0</v>
      </c>
      <c r="W193" s="9">
        <f t="shared" si="12"/>
        <v>12.060855</v>
      </c>
    </row>
    <row r="194" spans="1:23">
      <c r="A194" s="2" t="s">
        <v>299</v>
      </c>
      <c r="B194" s="2" t="s">
        <v>300</v>
      </c>
      <c r="C194" s="3">
        <v>14</v>
      </c>
      <c r="D194" s="3">
        <v>1.98</v>
      </c>
      <c r="E194" s="2" t="s">
        <v>302</v>
      </c>
      <c r="F194" s="4">
        <v>39476</v>
      </c>
      <c r="G194" s="3">
        <v>56.6</v>
      </c>
      <c r="H194" s="3">
        <v>2.5</v>
      </c>
      <c r="I194" s="4">
        <v>39497</v>
      </c>
      <c r="J194" s="3">
        <v>62.2</v>
      </c>
      <c r="K194" s="3">
        <v>2.5</v>
      </c>
      <c r="L194" s="3">
        <v>21</v>
      </c>
      <c r="M194" s="5">
        <v>5.6000000000000014</v>
      </c>
      <c r="N194" s="5">
        <v>0</v>
      </c>
      <c r="O194" s="5">
        <v>41.58</v>
      </c>
      <c r="P194" s="5">
        <v>266.66666666666674</v>
      </c>
      <c r="Q194" s="5">
        <v>25.190612666666667</v>
      </c>
      <c r="R194" s="8">
        <f t="shared" si="18"/>
        <v>7</v>
      </c>
      <c r="S194" s="9">
        <f t="shared" si="19"/>
        <v>-0.19999999999999574</v>
      </c>
      <c r="T194" s="9">
        <v>0</v>
      </c>
      <c r="U194" s="9">
        <f t="shared" si="20"/>
        <v>13.86</v>
      </c>
      <c r="V194" s="9">
        <f t="shared" si="21"/>
        <v>-28.571428571427962</v>
      </c>
      <c r="W194" s="9">
        <f t="shared" ref="W194:W244" si="22">IF(R194=0,(((G194)*0.16909+(V194/1000)*49.3)+2),((((G194+J194)/2)*0.16909+(V194/1000)*49.3)+2))</f>
        <v>10.635374571428601</v>
      </c>
    </row>
    <row r="195" spans="1:23">
      <c r="A195" s="2" t="s">
        <v>299</v>
      </c>
      <c r="B195" s="2" t="s">
        <v>300</v>
      </c>
      <c r="C195" s="3">
        <v>14</v>
      </c>
      <c r="D195" s="3">
        <v>1.98</v>
      </c>
      <c r="E195" s="2" t="s">
        <v>302</v>
      </c>
      <c r="F195" s="4">
        <v>39476</v>
      </c>
      <c r="G195" s="3">
        <v>56.6</v>
      </c>
      <c r="H195" s="3">
        <v>2.5</v>
      </c>
      <c r="I195" s="4">
        <v>39503</v>
      </c>
      <c r="J195" s="3">
        <v>62.2</v>
      </c>
      <c r="K195" s="3">
        <v>2.5</v>
      </c>
      <c r="L195" s="3">
        <v>27</v>
      </c>
      <c r="M195" s="5">
        <v>5.6000000000000014</v>
      </c>
      <c r="N195" s="5">
        <v>0</v>
      </c>
      <c r="O195" s="5">
        <v>53.46</v>
      </c>
      <c r="P195" s="5">
        <v>207.40740740740745</v>
      </c>
      <c r="Q195" s="5">
        <v>22.269131185185188</v>
      </c>
      <c r="R195" s="8">
        <f t="shared" si="18"/>
        <v>6</v>
      </c>
      <c r="S195" s="9">
        <f t="shared" si="19"/>
        <v>0</v>
      </c>
      <c r="T195" s="9">
        <v>0</v>
      </c>
      <c r="U195" s="9">
        <f t="shared" ref="U195:U244" si="23">D195*R195</f>
        <v>11.879999999999999</v>
      </c>
      <c r="V195" s="9">
        <f t="shared" ref="V195:V244" si="24">IF(R195=0,0,(S195/R195*1000))</f>
        <v>0</v>
      </c>
      <c r="W195" s="9">
        <f t="shared" si="22"/>
        <v>12.043946</v>
      </c>
    </row>
    <row r="196" spans="1:23">
      <c r="A196" s="2" t="s">
        <v>299</v>
      </c>
      <c r="B196" s="2" t="s">
        <v>300</v>
      </c>
      <c r="C196" s="3">
        <v>14</v>
      </c>
      <c r="D196" s="3">
        <v>1.98</v>
      </c>
      <c r="E196" s="2" t="s">
        <v>302</v>
      </c>
      <c r="F196" s="4">
        <v>39476</v>
      </c>
      <c r="G196" s="3">
        <v>56.6</v>
      </c>
      <c r="H196" s="3">
        <v>2.5</v>
      </c>
      <c r="I196" s="4">
        <v>39511</v>
      </c>
      <c r="J196" s="3">
        <v>65.599999999999994</v>
      </c>
      <c r="K196" s="6"/>
      <c r="L196" s="3">
        <v>35</v>
      </c>
      <c r="M196" s="5">
        <v>8.9999999999999929</v>
      </c>
      <c r="N196" s="6"/>
      <c r="O196" s="5">
        <v>69.3</v>
      </c>
      <c r="P196" s="5">
        <v>257.14285714285694</v>
      </c>
      <c r="Q196" s="5">
        <v>25.008541857142845</v>
      </c>
      <c r="R196" s="8">
        <f t="shared" si="18"/>
        <v>8</v>
      </c>
      <c r="S196" s="9">
        <f t="shared" si="19"/>
        <v>3.3999999999999915</v>
      </c>
      <c r="T196" s="10"/>
      <c r="U196" s="9">
        <f t="shared" si="23"/>
        <v>15.84</v>
      </c>
      <c r="V196" s="9">
        <f t="shared" si="24"/>
        <v>424.99999999999892</v>
      </c>
      <c r="W196" s="9">
        <f t="shared" si="22"/>
        <v>33.283898999999948</v>
      </c>
    </row>
    <row r="197" spans="1:23">
      <c r="A197" s="2" t="s">
        <v>299</v>
      </c>
      <c r="B197" s="2" t="s">
        <v>300</v>
      </c>
      <c r="C197" s="3">
        <v>14</v>
      </c>
      <c r="D197" s="3">
        <v>1.98</v>
      </c>
      <c r="E197" s="2" t="s">
        <v>302</v>
      </c>
      <c r="F197" s="4">
        <v>39476</v>
      </c>
      <c r="G197" s="3">
        <v>56.6</v>
      </c>
      <c r="H197" s="3">
        <v>2.5</v>
      </c>
      <c r="I197" s="4">
        <v>39518</v>
      </c>
      <c r="J197" s="3">
        <v>63.2</v>
      </c>
      <c r="K197" s="3">
        <v>2.75</v>
      </c>
      <c r="L197" s="3">
        <v>42</v>
      </c>
      <c r="M197" s="5">
        <v>6.6000000000000014</v>
      </c>
      <c r="N197" s="5">
        <v>0.25</v>
      </c>
      <c r="O197" s="5">
        <v>83.16</v>
      </c>
      <c r="P197" s="5">
        <v>157.14285714285717</v>
      </c>
      <c r="Q197" s="5">
        <v>19.875633857142859</v>
      </c>
      <c r="R197" s="8">
        <f t="shared" ref="R197:R244" si="25">IF(I197-F197=0,0,I197-I196)</f>
        <v>7</v>
      </c>
      <c r="S197" s="9">
        <f t="shared" si="19"/>
        <v>-2.3999999999999915</v>
      </c>
      <c r="T197" s="9">
        <v>0.25</v>
      </c>
      <c r="U197" s="9">
        <f t="shared" si="23"/>
        <v>13.86</v>
      </c>
      <c r="V197" s="9">
        <f t="shared" si="24"/>
        <v>-342.85714285714164</v>
      </c>
      <c r="W197" s="9">
        <f t="shared" si="22"/>
        <v>-4.7743661428570832</v>
      </c>
    </row>
    <row r="198" spans="1:23">
      <c r="A198" s="2" t="s">
        <v>299</v>
      </c>
      <c r="B198" s="2" t="s">
        <v>300</v>
      </c>
      <c r="C198" s="3">
        <v>14</v>
      </c>
      <c r="D198" s="3">
        <v>1.98</v>
      </c>
      <c r="E198" s="2" t="s">
        <v>302</v>
      </c>
      <c r="F198" s="4">
        <v>39476</v>
      </c>
      <c r="G198" s="3">
        <v>56.6</v>
      </c>
      <c r="H198" s="3">
        <v>2.5</v>
      </c>
      <c r="I198" s="4">
        <v>39525</v>
      </c>
      <c r="J198" s="3">
        <v>62.2</v>
      </c>
      <c r="K198" s="3">
        <v>2.5</v>
      </c>
      <c r="L198" s="3">
        <v>49</v>
      </c>
      <c r="M198" s="5">
        <v>5.6000000000000014</v>
      </c>
      <c r="N198" s="5">
        <v>0</v>
      </c>
      <c r="O198" s="5">
        <v>97.02</v>
      </c>
      <c r="P198" s="5">
        <v>114.28571428571431</v>
      </c>
      <c r="Q198" s="5">
        <v>17.678231714285715</v>
      </c>
      <c r="R198" s="8">
        <f t="shared" si="25"/>
        <v>7</v>
      </c>
      <c r="S198" s="9">
        <f t="shared" si="19"/>
        <v>-1</v>
      </c>
      <c r="T198" s="9">
        <v>0</v>
      </c>
      <c r="U198" s="9">
        <f t="shared" si="23"/>
        <v>13.86</v>
      </c>
      <c r="V198" s="9">
        <f t="shared" si="24"/>
        <v>-142.85714285714286</v>
      </c>
      <c r="W198" s="9">
        <f t="shared" si="22"/>
        <v>5.0010888571428582</v>
      </c>
    </row>
    <row r="199" spans="1:23">
      <c r="A199" s="2" t="s">
        <v>299</v>
      </c>
      <c r="B199" s="2" t="s">
        <v>300</v>
      </c>
      <c r="C199" s="3">
        <v>14</v>
      </c>
      <c r="D199" s="3">
        <v>1.98</v>
      </c>
      <c r="E199" s="2" t="s">
        <v>302</v>
      </c>
      <c r="F199" s="4">
        <v>39476</v>
      </c>
      <c r="G199" s="3">
        <v>56.6</v>
      </c>
      <c r="H199" s="3">
        <v>2.5</v>
      </c>
      <c r="I199" s="4">
        <v>39532</v>
      </c>
      <c r="J199" s="3">
        <v>57.8</v>
      </c>
      <c r="K199" s="3">
        <v>2.5</v>
      </c>
      <c r="L199" s="3">
        <v>56</v>
      </c>
      <c r="M199" s="5">
        <v>1.1999999999999957</v>
      </c>
      <c r="N199" s="5">
        <v>0</v>
      </c>
      <c r="O199" s="5">
        <v>110.88</v>
      </c>
      <c r="P199" s="5">
        <v>21.428571428571352</v>
      </c>
      <c r="Q199" s="5">
        <v>12.728376571428567</v>
      </c>
      <c r="R199" s="8">
        <f t="shared" si="25"/>
        <v>7</v>
      </c>
      <c r="S199" s="9">
        <f t="shared" si="19"/>
        <v>-4.4000000000000057</v>
      </c>
      <c r="T199" s="9">
        <v>0</v>
      </c>
      <c r="U199" s="9">
        <f t="shared" si="23"/>
        <v>13.86</v>
      </c>
      <c r="V199" s="9">
        <f t="shared" si="24"/>
        <v>-628.57142857142935</v>
      </c>
      <c r="W199" s="9">
        <f t="shared" si="22"/>
        <v>-19.316623428571464</v>
      </c>
    </row>
    <row r="200" spans="1:23">
      <c r="A200" s="2" t="s">
        <v>299</v>
      </c>
      <c r="B200" s="2" t="s">
        <v>300</v>
      </c>
      <c r="C200" s="3">
        <v>14</v>
      </c>
      <c r="D200" s="3">
        <v>1.98</v>
      </c>
      <c r="E200" s="2" t="s">
        <v>303</v>
      </c>
      <c r="F200" s="4">
        <v>39476</v>
      </c>
      <c r="G200" s="3">
        <v>56.6</v>
      </c>
      <c r="H200" s="3">
        <v>3.25</v>
      </c>
      <c r="I200" s="4">
        <v>39476</v>
      </c>
      <c r="J200" s="3">
        <v>56.6</v>
      </c>
      <c r="K200" s="3">
        <v>3.25</v>
      </c>
      <c r="L200" s="3">
        <v>0</v>
      </c>
      <c r="M200" s="5">
        <v>0</v>
      </c>
      <c r="N200" s="5">
        <v>0</v>
      </c>
      <c r="O200" s="5">
        <v>0</v>
      </c>
      <c r="P200" s="5">
        <v>0</v>
      </c>
      <c r="Q200" s="5">
        <v>11.570494</v>
      </c>
      <c r="R200" s="8">
        <f t="shared" si="25"/>
        <v>0</v>
      </c>
      <c r="S200" s="9">
        <f t="shared" ref="S200:S244" si="26">IF(R200=0,J200-G200,J200-J199)</f>
        <v>0</v>
      </c>
      <c r="T200" s="9">
        <v>0</v>
      </c>
      <c r="U200" s="9">
        <f t="shared" si="23"/>
        <v>0</v>
      </c>
      <c r="V200" s="9">
        <f t="shared" si="24"/>
        <v>0</v>
      </c>
      <c r="W200" s="9">
        <f t="shared" si="22"/>
        <v>11.570494</v>
      </c>
    </row>
    <row r="201" spans="1:23">
      <c r="A201" s="2" t="s">
        <v>299</v>
      </c>
      <c r="B201" s="2" t="s">
        <v>300</v>
      </c>
      <c r="C201" s="3">
        <v>14</v>
      </c>
      <c r="D201" s="3">
        <v>1.98</v>
      </c>
      <c r="E201" s="2" t="s">
        <v>303</v>
      </c>
      <c r="F201" s="4">
        <v>39476</v>
      </c>
      <c r="G201" s="3">
        <v>56.6</v>
      </c>
      <c r="H201" s="3">
        <v>3.25</v>
      </c>
      <c r="I201" s="4">
        <v>39483</v>
      </c>
      <c r="J201" s="3">
        <v>60.8</v>
      </c>
      <c r="K201" s="6"/>
      <c r="L201" s="3">
        <v>7</v>
      </c>
      <c r="M201" s="5">
        <v>4.1999999999999957</v>
      </c>
      <c r="N201" s="6"/>
      <c r="O201" s="5">
        <v>13.86</v>
      </c>
      <c r="P201" s="5">
        <v>599.99999999999943</v>
      </c>
      <c r="Q201" s="5">
        <v>41.505582999999973</v>
      </c>
      <c r="R201" s="8">
        <f t="shared" si="25"/>
        <v>7</v>
      </c>
      <c r="S201" s="9">
        <f t="shared" si="26"/>
        <v>4.1999999999999957</v>
      </c>
      <c r="T201" s="10"/>
      <c r="U201" s="9">
        <f t="shared" si="23"/>
        <v>13.86</v>
      </c>
      <c r="V201" s="9">
        <f t="shared" si="24"/>
        <v>599.99999999999943</v>
      </c>
      <c r="W201" s="9">
        <f t="shared" si="22"/>
        <v>41.505582999999973</v>
      </c>
    </row>
    <row r="202" spans="1:23">
      <c r="A202" s="2" t="s">
        <v>299</v>
      </c>
      <c r="B202" s="2" t="s">
        <v>300</v>
      </c>
      <c r="C202" s="3">
        <v>14</v>
      </c>
      <c r="D202" s="3">
        <v>1.98</v>
      </c>
      <c r="E202" s="2" t="s">
        <v>303</v>
      </c>
      <c r="F202" s="4">
        <v>39476</v>
      </c>
      <c r="G202" s="3">
        <v>56.6</v>
      </c>
      <c r="H202" s="3">
        <v>3.25</v>
      </c>
      <c r="I202" s="4">
        <v>39490</v>
      </c>
      <c r="J202" s="3">
        <v>65.8</v>
      </c>
      <c r="K202" s="3">
        <v>3.25</v>
      </c>
      <c r="L202" s="3">
        <v>14</v>
      </c>
      <c r="M202" s="5">
        <v>9.1999999999999957</v>
      </c>
      <c r="N202" s="5">
        <v>0</v>
      </c>
      <c r="O202" s="5">
        <v>27.72</v>
      </c>
      <c r="P202" s="5">
        <v>657.14285714285677</v>
      </c>
      <c r="Q202" s="5">
        <v>44.745450857142842</v>
      </c>
      <c r="R202" s="8">
        <f t="shared" si="25"/>
        <v>7</v>
      </c>
      <c r="S202" s="9">
        <f t="shared" si="26"/>
        <v>5</v>
      </c>
      <c r="T202" s="9">
        <v>0</v>
      </c>
      <c r="U202" s="9">
        <f t="shared" si="23"/>
        <v>13.86</v>
      </c>
      <c r="V202" s="9">
        <f t="shared" si="24"/>
        <v>714.28571428571433</v>
      </c>
      <c r="W202" s="9">
        <f t="shared" si="22"/>
        <v>47.562593714285711</v>
      </c>
    </row>
    <row r="203" spans="1:23">
      <c r="A203" s="2" t="s">
        <v>299</v>
      </c>
      <c r="B203" s="2" t="s">
        <v>300</v>
      </c>
      <c r="C203" s="3">
        <v>14</v>
      </c>
      <c r="D203" s="3">
        <v>1.98</v>
      </c>
      <c r="E203" s="2" t="s">
        <v>303</v>
      </c>
      <c r="F203" s="4">
        <v>39476</v>
      </c>
      <c r="G203" s="3">
        <v>56.6</v>
      </c>
      <c r="H203" s="3">
        <v>3.25</v>
      </c>
      <c r="I203" s="4">
        <v>39497</v>
      </c>
      <c r="J203" s="3">
        <v>59.6</v>
      </c>
      <c r="K203" s="3">
        <v>3.25</v>
      </c>
      <c r="L203" s="3">
        <v>21</v>
      </c>
      <c r="M203" s="5">
        <v>3</v>
      </c>
      <c r="N203" s="5">
        <v>0</v>
      </c>
      <c r="O203" s="5">
        <v>41.58</v>
      </c>
      <c r="P203" s="5">
        <v>142.85714285714286</v>
      </c>
      <c r="Q203" s="5">
        <v>18.86698614285714</v>
      </c>
      <c r="R203" s="8">
        <f t="shared" si="25"/>
        <v>7</v>
      </c>
      <c r="S203" s="9">
        <f t="shared" si="26"/>
        <v>-6.1999999999999957</v>
      </c>
      <c r="T203" s="9">
        <v>0</v>
      </c>
      <c r="U203" s="9">
        <f t="shared" si="23"/>
        <v>13.86</v>
      </c>
      <c r="V203" s="9">
        <f t="shared" si="24"/>
        <v>-885.7142857142851</v>
      </c>
      <c r="W203" s="9">
        <f t="shared" si="22"/>
        <v>-31.841585285714253</v>
      </c>
    </row>
    <row r="204" spans="1:23">
      <c r="A204" s="2" t="s">
        <v>299</v>
      </c>
      <c r="B204" s="2" t="s">
        <v>300</v>
      </c>
      <c r="C204" s="3">
        <v>14</v>
      </c>
      <c r="D204" s="3">
        <v>1.98</v>
      </c>
      <c r="E204" s="2" t="s">
        <v>303</v>
      </c>
      <c r="F204" s="4">
        <v>39476</v>
      </c>
      <c r="G204" s="3">
        <v>56.6</v>
      </c>
      <c r="H204" s="3">
        <v>3.25</v>
      </c>
      <c r="I204" s="4">
        <v>39503</v>
      </c>
      <c r="J204" s="3">
        <v>62.8</v>
      </c>
      <c r="K204" s="3">
        <v>3.25</v>
      </c>
      <c r="L204" s="3">
        <v>27</v>
      </c>
      <c r="M204" s="5">
        <v>6.1999999999999957</v>
      </c>
      <c r="N204" s="5">
        <v>0</v>
      </c>
      <c r="O204" s="5">
        <v>53.46</v>
      </c>
      <c r="P204" s="5">
        <v>229.62962962962945</v>
      </c>
      <c r="Q204" s="5">
        <v>23.415413740740732</v>
      </c>
      <c r="R204" s="8">
        <f t="shared" si="25"/>
        <v>6</v>
      </c>
      <c r="S204" s="9">
        <f t="shared" si="26"/>
        <v>3.1999999999999957</v>
      </c>
      <c r="T204" s="9">
        <v>0</v>
      </c>
      <c r="U204" s="9">
        <f t="shared" si="23"/>
        <v>11.879999999999999</v>
      </c>
      <c r="V204" s="9">
        <f t="shared" si="24"/>
        <v>533.33333333333269</v>
      </c>
      <c r="W204" s="9">
        <f t="shared" si="22"/>
        <v>38.388006333333294</v>
      </c>
    </row>
    <row r="205" spans="1:23">
      <c r="A205" s="2" t="s">
        <v>299</v>
      </c>
      <c r="B205" s="2" t="s">
        <v>300</v>
      </c>
      <c r="C205" s="3">
        <v>14</v>
      </c>
      <c r="D205" s="3">
        <v>1.98</v>
      </c>
      <c r="E205" s="2" t="s">
        <v>303</v>
      </c>
      <c r="F205" s="4">
        <v>39476</v>
      </c>
      <c r="G205" s="3">
        <v>56.6</v>
      </c>
      <c r="H205" s="3">
        <v>3.25</v>
      </c>
      <c r="I205" s="4">
        <v>39511</v>
      </c>
      <c r="J205" s="3">
        <v>64.2</v>
      </c>
      <c r="K205" s="6"/>
      <c r="L205" s="3">
        <v>35</v>
      </c>
      <c r="M205" s="5">
        <v>7.6000000000000014</v>
      </c>
      <c r="N205" s="6"/>
      <c r="O205" s="5">
        <v>69.3</v>
      </c>
      <c r="P205" s="5">
        <v>217.1428571428572</v>
      </c>
      <c r="Q205" s="5">
        <v>22.918178857142859</v>
      </c>
      <c r="R205" s="8">
        <f t="shared" si="25"/>
        <v>8</v>
      </c>
      <c r="S205" s="9">
        <f t="shared" si="26"/>
        <v>1.4000000000000057</v>
      </c>
      <c r="T205" s="10"/>
      <c r="U205" s="9">
        <f t="shared" si="23"/>
        <v>15.84</v>
      </c>
      <c r="V205" s="9">
        <f t="shared" si="24"/>
        <v>175.00000000000071</v>
      </c>
      <c r="W205" s="9">
        <f t="shared" si="22"/>
        <v>20.840536000000036</v>
      </c>
    </row>
    <row r="206" spans="1:23">
      <c r="A206" s="2" t="s">
        <v>299</v>
      </c>
      <c r="B206" s="2" t="s">
        <v>300</v>
      </c>
      <c r="C206" s="3">
        <v>14</v>
      </c>
      <c r="D206" s="3">
        <v>1.98</v>
      </c>
      <c r="E206" s="2" t="s">
        <v>303</v>
      </c>
      <c r="F206" s="4">
        <v>39476</v>
      </c>
      <c r="G206" s="3">
        <v>56.6</v>
      </c>
      <c r="H206" s="3">
        <v>3.25</v>
      </c>
      <c r="I206" s="4">
        <v>39518</v>
      </c>
      <c r="J206" s="3">
        <v>65.2</v>
      </c>
      <c r="K206" s="3">
        <v>3.75</v>
      </c>
      <c r="L206" s="3">
        <v>42</v>
      </c>
      <c r="M206" s="5">
        <v>8.6000000000000014</v>
      </c>
      <c r="N206" s="5">
        <v>0.5</v>
      </c>
      <c r="O206" s="5">
        <v>83.16</v>
      </c>
      <c r="P206" s="5">
        <v>204.76190476190479</v>
      </c>
      <c r="Q206" s="5">
        <v>22.392342904761904</v>
      </c>
      <c r="R206" s="8">
        <f t="shared" si="25"/>
        <v>7</v>
      </c>
      <c r="S206" s="9">
        <f t="shared" si="26"/>
        <v>1</v>
      </c>
      <c r="T206" s="9">
        <v>0.5</v>
      </c>
      <c r="U206" s="9">
        <f t="shared" si="23"/>
        <v>13.86</v>
      </c>
      <c r="V206" s="9">
        <f t="shared" si="24"/>
        <v>142.85714285714286</v>
      </c>
      <c r="W206" s="9">
        <f t="shared" si="22"/>
        <v>19.340438142857142</v>
      </c>
    </row>
    <row r="207" spans="1:23">
      <c r="A207" s="2" t="s">
        <v>299</v>
      </c>
      <c r="B207" s="2" t="s">
        <v>300</v>
      </c>
      <c r="C207" s="3">
        <v>14</v>
      </c>
      <c r="D207" s="3">
        <v>1.98</v>
      </c>
      <c r="E207" s="2" t="s">
        <v>303</v>
      </c>
      <c r="F207" s="4">
        <v>39476</v>
      </c>
      <c r="G207" s="3">
        <v>56.6</v>
      </c>
      <c r="H207" s="3">
        <v>3.25</v>
      </c>
      <c r="I207" s="4">
        <v>39525</v>
      </c>
      <c r="J207" s="3">
        <v>64</v>
      </c>
      <c r="K207" s="3">
        <v>3</v>
      </c>
      <c r="L207" s="3">
        <v>49</v>
      </c>
      <c r="M207" s="5">
        <v>7.3999999999999986</v>
      </c>
      <c r="N207" s="5">
        <v>-0.25</v>
      </c>
      <c r="O207" s="5">
        <v>97.02</v>
      </c>
      <c r="P207" s="5">
        <v>151.02040816326527</v>
      </c>
      <c r="Q207" s="5">
        <v>19.641433122448976</v>
      </c>
      <c r="R207" s="8">
        <f t="shared" si="25"/>
        <v>7</v>
      </c>
      <c r="S207" s="9">
        <f t="shared" si="26"/>
        <v>-1.2000000000000028</v>
      </c>
      <c r="T207" s="9">
        <v>-0.25</v>
      </c>
      <c r="U207" s="9">
        <f t="shared" si="23"/>
        <v>13.86</v>
      </c>
      <c r="V207" s="9">
        <f t="shared" si="24"/>
        <v>-171.42857142857184</v>
      </c>
      <c r="W207" s="9">
        <f t="shared" si="22"/>
        <v>3.7446984285714073</v>
      </c>
    </row>
    <row r="208" spans="1:23">
      <c r="A208" s="2" t="s">
        <v>299</v>
      </c>
      <c r="B208" s="2" t="s">
        <v>300</v>
      </c>
      <c r="C208" s="3">
        <v>14</v>
      </c>
      <c r="D208" s="3">
        <v>1.98</v>
      </c>
      <c r="E208" s="2" t="s">
        <v>303</v>
      </c>
      <c r="F208" s="4">
        <v>39476</v>
      </c>
      <c r="G208" s="3">
        <v>56.6</v>
      </c>
      <c r="H208" s="3">
        <v>3.25</v>
      </c>
      <c r="I208" s="4">
        <v>39532</v>
      </c>
      <c r="J208" s="3">
        <v>62.6</v>
      </c>
      <c r="K208" s="3">
        <v>2.75</v>
      </c>
      <c r="L208" s="3">
        <v>56</v>
      </c>
      <c r="M208" s="5">
        <v>6</v>
      </c>
      <c r="N208" s="5">
        <v>-0.5</v>
      </c>
      <c r="O208" s="5">
        <v>110.88</v>
      </c>
      <c r="P208" s="5">
        <v>107.14285714285714</v>
      </c>
      <c r="Q208" s="5">
        <v>17.359906857142857</v>
      </c>
      <c r="R208" s="8">
        <f t="shared" si="25"/>
        <v>7</v>
      </c>
      <c r="S208" s="9">
        <f t="shared" si="26"/>
        <v>-1.3999999999999986</v>
      </c>
      <c r="T208" s="9">
        <v>-0.5</v>
      </c>
      <c r="U208" s="9">
        <f t="shared" si="23"/>
        <v>13.86</v>
      </c>
      <c r="V208" s="9">
        <f t="shared" si="24"/>
        <v>-199.9999999999998</v>
      </c>
      <c r="W208" s="9">
        <f t="shared" si="22"/>
        <v>2.2177640000000114</v>
      </c>
    </row>
    <row r="209" spans="1:23">
      <c r="A209" s="2" t="s">
        <v>299</v>
      </c>
      <c r="B209" s="2" t="s">
        <v>300</v>
      </c>
      <c r="C209" s="3">
        <v>14</v>
      </c>
      <c r="D209" s="3">
        <v>1.98</v>
      </c>
      <c r="E209" s="2" t="s">
        <v>304</v>
      </c>
      <c r="F209" s="4">
        <v>39476</v>
      </c>
      <c r="G209" s="3">
        <v>63.6</v>
      </c>
      <c r="H209" s="3">
        <v>3.25</v>
      </c>
      <c r="I209" s="4">
        <v>39476</v>
      </c>
      <c r="J209" s="3">
        <v>63.6</v>
      </c>
      <c r="K209" s="3">
        <v>3.25</v>
      </c>
      <c r="L209" s="3">
        <v>0</v>
      </c>
      <c r="M209" s="5">
        <v>0</v>
      </c>
      <c r="N209" s="5">
        <v>0</v>
      </c>
      <c r="O209" s="5">
        <v>0</v>
      </c>
      <c r="P209" s="5">
        <v>0</v>
      </c>
      <c r="Q209" s="5">
        <v>12.754123999999999</v>
      </c>
      <c r="R209" s="8">
        <f t="shared" si="25"/>
        <v>0</v>
      </c>
      <c r="S209" s="9">
        <f t="shared" si="26"/>
        <v>0</v>
      </c>
      <c r="T209" s="9">
        <v>0</v>
      </c>
      <c r="U209" s="9">
        <f t="shared" si="23"/>
        <v>0</v>
      </c>
      <c r="V209" s="9">
        <f t="shared" si="24"/>
        <v>0</v>
      </c>
      <c r="W209" s="9">
        <f t="shared" si="22"/>
        <v>12.754123999999999</v>
      </c>
    </row>
    <row r="210" spans="1:23">
      <c r="A210" s="2" t="s">
        <v>299</v>
      </c>
      <c r="B210" s="2" t="s">
        <v>300</v>
      </c>
      <c r="C210" s="3">
        <v>14</v>
      </c>
      <c r="D210" s="3">
        <v>1.98</v>
      </c>
      <c r="E210" s="2" t="s">
        <v>304</v>
      </c>
      <c r="F210" s="4">
        <v>39476</v>
      </c>
      <c r="G210" s="3">
        <v>63.6</v>
      </c>
      <c r="H210" s="3">
        <v>3.25</v>
      </c>
      <c r="I210" s="4">
        <v>39483</v>
      </c>
      <c r="J210" s="3">
        <v>68</v>
      </c>
      <c r="K210" s="6"/>
      <c r="L210" s="3">
        <v>7</v>
      </c>
      <c r="M210" s="5">
        <v>4.3999999999999986</v>
      </c>
      <c r="N210" s="6"/>
      <c r="O210" s="5">
        <v>13.86</v>
      </c>
      <c r="P210" s="5">
        <v>628.57142857142833</v>
      </c>
      <c r="Q210" s="5">
        <v>44.114693428571414</v>
      </c>
      <c r="R210" s="8">
        <f t="shared" si="25"/>
        <v>7</v>
      </c>
      <c r="S210" s="9">
        <f t="shared" si="26"/>
        <v>4.3999999999999986</v>
      </c>
      <c r="T210" s="10"/>
      <c r="U210" s="9">
        <f t="shared" si="23"/>
        <v>13.86</v>
      </c>
      <c r="V210" s="9">
        <f t="shared" si="24"/>
        <v>628.57142857142833</v>
      </c>
      <c r="W210" s="9">
        <f t="shared" si="22"/>
        <v>44.114693428571414</v>
      </c>
    </row>
    <row r="211" spans="1:23">
      <c r="A211" s="2" t="s">
        <v>299</v>
      </c>
      <c r="B211" s="2" t="s">
        <v>300</v>
      </c>
      <c r="C211" s="3">
        <v>14</v>
      </c>
      <c r="D211" s="3">
        <v>1.98</v>
      </c>
      <c r="E211" s="2" t="s">
        <v>304</v>
      </c>
      <c r="F211" s="4">
        <v>39476</v>
      </c>
      <c r="G211" s="3">
        <v>63.6</v>
      </c>
      <c r="H211" s="3">
        <v>3.25</v>
      </c>
      <c r="I211" s="4">
        <v>39490</v>
      </c>
      <c r="J211" s="3">
        <v>67.400000000000006</v>
      </c>
      <c r="K211" s="3">
        <v>3.25</v>
      </c>
      <c r="L211" s="3">
        <v>14</v>
      </c>
      <c r="M211" s="5">
        <v>3.8000000000000043</v>
      </c>
      <c r="N211" s="5">
        <v>0</v>
      </c>
      <c r="O211" s="5">
        <v>27.72</v>
      </c>
      <c r="P211" s="5">
        <v>271.42857142857173</v>
      </c>
      <c r="Q211" s="5">
        <v>26.456823571428586</v>
      </c>
      <c r="R211" s="8">
        <f t="shared" si="25"/>
        <v>7</v>
      </c>
      <c r="S211" s="9">
        <f t="shared" si="26"/>
        <v>-0.59999999999999432</v>
      </c>
      <c r="T211" s="9">
        <v>0</v>
      </c>
      <c r="U211" s="9">
        <f t="shared" si="23"/>
        <v>13.86</v>
      </c>
      <c r="V211" s="9">
        <f t="shared" si="24"/>
        <v>-85.714285714284898</v>
      </c>
      <c r="W211" s="9">
        <f t="shared" si="22"/>
        <v>8.8496807142857534</v>
      </c>
    </row>
    <row r="212" spans="1:23">
      <c r="A212" s="2" t="s">
        <v>299</v>
      </c>
      <c r="B212" s="2" t="s">
        <v>300</v>
      </c>
      <c r="C212" s="3">
        <v>14</v>
      </c>
      <c r="D212" s="3">
        <v>1.98</v>
      </c>
      <c r="E212" s="2" t="s">
        <v>304</v>
      </c>
      <c r="F212" s="4">
        <v>39476</v>
      </c>
      <c r="G212" s="3">
        <v>63.6</v>
      </c>
      <c r="H212" s="3">
        <v>3.25</v>
      </c>
      <c r="I212" s="4">
        <v>39497</v>
      </c>
      <c r="J212" s="3">
        <v>67</v>
      </c>
      <c r="K212" s="3">
        <v>3.25</v>
      </c>
      <c r="L212" s="3">
        <v>21</v>
      </c>
      <c r="M212" s="5">
        <v>3.3999999999999986</v>
      </c>
      <c r="N212" s="5">
        <v>0</v>
      </c>
      <c r="O212" s="5">
        <v>41.58</v>
      </c>
      <c r="P212" s="5">
        <v>161.90476190476184</v>
      </c>
      <c r="Q212" s="5">
        <v>21.023481761904755</v>
      </c>
      <c r="R212" s="8">
        <f t="shared" si="25"/>
        <v>7</v>
      </c>
      <c r="S212" s="9">
        <f t="shared" si="26"/>
        <v>-0.40000000000000568</v>
      </c>
      <c r="T212" s="9">
        <v>0</v>
      </c>
      <c r="U212" s="9">
        <f t="shared" si="23"/>
        <v>13.86</v>
      </c>
      <c r="V212" s="9">
        <f t="shared" si="24"/>
        <v>-57.142857142857956</v>
      </c>
      <c r="W212" s="9">
        <f t="shared" si="22"/>
        <v>10.224434142857103</v>
      </c>
    </row>
    <row r="213" spans="1:23">
      <c r="A213" s="2" t="s">
        <v>299</v>
      </c>
      <c r="B213" s="2" t="s">
        <v>300</v>
      </c>
      <c r="C213" s="3">
        <v>14</v>
      </c>
      <c r="D213" s="3">
        <v>1.98</v>
      </c>
      <c r="E213" s="2" t="s">
        <v>304</v>
      </c>
      <c r="F213" s="4">
        <v>39476</v>
      </c>
      <c r="G213" s="3">
        <v>63.6</v>
      </c>
      <c r="H213" s="3">
        <v>3.25</v>
      </c>
      <c r="I213" s="4">
        <v>39503</v>
      </c>
      <c r="J213" s="3">
        <v>73.400000000000006</v>
      </c>
      <c r="K213" s="3">
        <v>3.25</v>
      </c>
      <c r="L213" s="3">
        <v>27</v>
      </c>
      <c r="M213" s="5">
        <v>9.8000000000000043</v>
      </c>
      <c r="N213" s="5">
        <v>0</v>
      </c>
      <c r="O213" s="5">
        <v>53.46</v>
      </c>
      <c r="P213" s="5">
        <v>362.9629629629631</v>
      </c>
      <c r="Q213" s="5">
        <v>31.476739074074079</v>
      </c>
      <c r="R213" s="8">
        <f t="shared" si="25"/>
        <v>6</v>
      </c>
      <c r="S213" s="9">
        <f t="shared" si="26"/>
        <v>6.4000000000000057</v>
      </c>
      <c r="T213" s="9">
        <v>0</v>
      </c>
      <c r="U213" s="9">
        <f t="shared" si="23"/>
        <v>11.879999999999999</v>
      </c>
      <c r="V213" s="9">
        <f t="shared" si="24"/>
        <v>1066.6666666666677</v>
      </c>
      <c r="W213" s="9">
        <f t="shared" si="22"/>
        <v>66.169331666666722</v>
      </c>
    </row>
    <row r="214" spans="1:23">
      <c r="A214" s="2" t="s">
        <v>299</v>
      </c>
      <c r="B214" s="2" t="s">
        <v>300</v>
      </c>
      <c r="C214" s="3">
        <v>14</v>
      </c>
      <c r="D214" s="3">
        <v>1.98</v>
      </c>
      <c r="E214" s="2" t="s">
        <v>304</v>
      </c>
      <c r="F214" s="4">
        <v>39476</v>
      </c>
      <c r="G214" s="3">
        <v>63.6</v>
      </c>
      <c r="H214" s="3">
        <v>3.25</v>
      </c>
      <c r="I214" s="4">
        <v>39511</v>
      </c>
      <c r="J214" s="3">
        <v>70.400000000000006</v>
      </c>
      <c r="K214" s="6"/>
      <c r="L214" s="3">
        <v>35</v>
      </c>
      <c r="M214" s="5">
        <v>6.8000000000000043</v>
      </c>
      <c r="N214" s="6"/>
      <c r="O214" s="5">
        <v>69.3</v>
      </c>
      <c r="P214" s="5">
        <v>194.28571428571439</v>
      </c>
      <c r="Q214" s="5">
        <v>22.907315714285719</v>
      </c>
      <c r="R214" s="8">
        <f t="shared" si="25"/>
        <v>8</v>
      </c>
      <c r="S214" s="9">
        <f t="shared" si="26"/>
        <v>-3</v>
      </c>
      <c r="T214" s="10"/>
      <c r="U214" s="9">
        <f t="shared" si="23"/>
        <v>15.84</v>
      </c>
      <c r="V214" s="9">
        <f t="shared" si="24"/>
        <v>-375</v>
      </c>
      <c r="W214" s="9">
        <f t="shared" si="22"/>
        <v>-5.1584699999999977</v>
      </c>
    </row>
    <row r="215" spans="1:23">
      <c r="A215" s="2" t="s">
        <v>299</v>
      </c>
      <c r="B215" s="2" t="s">
        <v>300</v>
      </c>
      <c r="C215" s="3">
        <v>14</v>
      </c>
      <c r="D215" s="3">
        <v>1.98</v>
      </c>
      <c r="E215" s="2" t="s">
        <v>304</v>
      </c>
      <c r="F215" s="4">
        <v>39476</v>
      </c>
      <c r="G215" s="3">
        <v>63.6</v>
      </c>
      <c r="H215" s="3">
        <v>3.25</v>
      </c>
      <c r="I215" s="4">
        <v>39518</v>
      </c>
      <c r="J215" s="3">
        <v>68.8</v>
      </c>
      <c r="K215" s="3">
        <v>3.5</v>
      </c>
      <c r="L215" s="3">
        <v>42</v>
      </c>
      <c r="M215" s="5">
        <v>5.1999999999999957</v>
      </c>
      <c r="N215" s="5">
        <v>0.25</v>
      </c>
      <c r="O215" s="5">
        <v>83.16</v>
      </c>
      <c r="P215" s="5">
        <v>123.8095238095237</v>
      </c>
      <c r="Q215" s="5">
        <v>19.297567523809519</v>
      </c>
      <c r="R215" s="8">
        <f t="shared" si="25"/>
        <v>7</v>
      </c>
      <c r="S215" s="9">
        <f t="shared" si="26"/>
        <v>-1.6000000000000085</v>
      </c>
      <c r="T215" s="9">
        <v>0.25</v>
      </c>
      <c r="U215" s="9">
        <f t="shared" si="23"/>
        <v>13.86</v>
      </c>
      <c r="V215" s="9">
        <f t="shared" si="24"/>
        <v>-228.57142857142978</v>
      </c>
      <c r="W215" s="9">
        <f t="shared" si="22"/>
        <v>1.9251865714285117</v>
      </c>
    </row>
    <row r="216" spans="1:23">
      <c r="A216" s="2" t="s">
        <v>299</v>
      </c>
      <c r="B216" s="2" t="s">
        <v>300</v>
      </c>
      <c r="C216" s="3">
        <v>14</v>
      </c>
      <c r="D216" s="3">
        <v>1.98</v>
      </c>
      <c r="E216" s="2" t="s">
        <v>304</v>
      </c>
      <c r="F216" s="4">
        <v>39476</v>
      </c>
      <c r="G216" s="3">
        <v>63.6</v>
      </c>
      <c r="H216" s="3">
        <v>3.25</v>
      </c>
      <c r="I216" s="4">
        <v>39525</v>
      </c>
      <c r="J216" s="3">
        <v>68.2</v>
      </c>
      <c r="K216" s="3">
        <v>3</v>
      </c>
      <c r="L216" s="3">
        <v>49</v>
      </c>
      <c r="M216" s="5">
        <v>4.6000000000000014</v>
      </c>
      <c r="N216" s="5">
        <v>-0.25</v>
      </c>
      <c r="O216" s="5">
        <v>97.02</v>
      </c>
      <c r="P216" s="5">
        <v>93.877551020408191</v>
      </c>
      <c r="Q216" s="5">
        <v>17.771194265306125</v>
      </c>
      <c r="R216" s="8">
        <f t="shared" si="25"/>
        <v>7</v>
      </c>
      <c r="S216" s="9">
        <f t="shared" si="26"/>
        <v>-0.59999999999999432</v>
      </c>
      <c r="T216" s="9">
        <v>-0.25</v>
      </c>
      <c r="U216" s="9">
        <f t="shared" si="23"/>
        <v>13.86</v>
      </c>
      <c r="V216" s="9">
        <f t="shared" si="24"/>
        <v>-85.714285714284898</v>
      </c>
      <c r="W216" s="9">
        <f t="shared" si="22"/>
        <v>8.9173167142857555</v>
      </c>
    </row>
    <row r="217" spans="1:23">
      <c r="A217" s="2" t="s">
        <v>299</v>
      </c>
      <c r="B217" s="2" t="s">
        <v>300</v>
      </c>
      <c r="C217" s="3">
        <v>14</v>
      </c>
      <c r="D217" s="3">
        <v>1.98</v>
      </c>
      <c r="E217" s="2" t="s">
        <v>304</v>
      </c>
      <c r="F217" s="4">
        <v>39476</v>
      </c>
      <c r="G217" s="3">
        <v>63.6</v>
      </c>
      <c r="H217" s="3">
        <v>3.25</v>
      </c>
      <c r="I217" s="4">
        <v>39532</v>
      </c>
      <c r="J217" s="3">
        <v>65.599999999999994</v>
      </c>
      <c r="K217" s="3">
        <v>2.75</v>
      </c>
      <c r="L217" s="3">
        <v>56</v>
      </c>
      <c r="M217" s="5">
        <v>1.9999999999999929</v>
      </c>
      <c r="N217" s="5">
        <v>-0.5</v>
      </c>
      <c r="O217" s="5">
        <v>110.88</v>
      </c>
      <c r="P217" s="5">
        <v>35.714285714285587</v>
      </c>
      <c r="Q217" s="5">
        <v>14.683928285714277</v>
      </c>
      <c r="R217" s="8">
        <f t="shared" si="25"/>
        <v>7</v>
      </c>
      <c r="S217" s="9">
        <f t="shared" si="26"/>
        <v>-2.6000000000000085</v>
      </c>
      <c r="T217" s="9">
        <v>-0.5</v>
      </c>
      <c r="U217" s="9">
        <f t="shared" si="23"/>
        <v>13.86</v>
      </c>
      <c r="V217" s="9">
        <f t="shared" si="24"/>
        <v>-371.42857142857264</v>
      </c>
      <c r="W217" s="9">
        <f t="shared" si="22"/>
        <v>-5.3882145714286338</v>
      </c>
    </row>
    <row r="218" spans="1:23">
      <c r="A218" s="2" t="s">
        <v>299</v>
      </c>
      <c r="B218" s="2" t="s">
        <v>300</v>
      </c>
      <c r="C218" s="3">
        <v>14</v>
      </c>
      <c r="D218" s="3">
        <v>1.98</v>
      </c>
      <c r="E218" s="2" t="s">
        <v>305</v>
      </c>
      <c r="F218" s="4">
        <v>39476</v>
      </c>
      <c r="G218" s="3">
        <v>52.4</v>
      </c>
      <c r="H218" s="3">
        <v>2</v>
      </c>
      <c r="I218" s="4">
        <v>39476</v>
      </c>
      <c r="J218" s="3">
        <v>52.4</v>
      </c>
      <c r="K218" s="3">
        <v>2</v>
      </c>
      <c r="L218" s="3">
        <v>0</v>
      </c>
      <c r="M218" s="5">
        <v>0</v>
      </c>
      <c r="N218" s="5">
        <v>0</v>
      </c>
      <c r="O218" s="5">
        <v>0</v>
      </c>
      <c r="P218" s="5">
        <v>0</v>
      </c>
      <c r="Q218" s="5">
        <v>10.860315999999999</v>
      </c>
      <c r="R218" s="8">
        <f t="shared" si="25"/>
        <v>0</v>
      </c>
      <c r="S218" s="9">
        <f t="shared" si="26"/>
        <v>0</v>
      </c>
      <c r="T218" s="9">
        <v>0</v>
      </c>
      <c r="U218" s="9">
        <f t="shared" si="23"/>
        <v>0</v>
      </c>
      <c r="V218" s="9">
        <f t="shared" si="24"/>
        <v>0</v>
      </c>
      <c r="W218" s="9">
        <f t="shared" si="22"/>
        <v>10.860315999999999</v>
      </c>
    </row>
    <row r="219" spans="1:23">
      <c r="A219" s="2" t="s">
        <v>299</v>
      </c>
      <c r="B219" s="2" t="s">
        <v>300</v>
      </c>
      <c r="C219" s="3">
        <v>14</v>
      </c>
      <c r="D219" s="3">
        <v>1.98</v>
      </c>
      <c r="E219" s="2" t="s">
        <v>305</v>
      </c>
      <c r="F219" s="4">
        <v>39476</v>
      </c>
      <c r="G219" s="3">
        <v>52.4</v>
      </c>
      <c r="H219" s="3">
        <v>2</v>
      </c>
      <c r="I219" s="4">
        <v>39483</v>
      </c>
      <c r="J219" s="3">
        <v>58</v>
      </c>
      <c r="K219" s="6"/>
      <c r="L219" s="3">
        <v>7</v>
      </c>
      <c r="M219" s="5">
        <v>5.6000000000000014</v>
      </c>
      <c r="N219" s="6"/>
      <c r="O219" s="5">
        <v>13.86</v>
      </c>
      <c r="P219" s="5">
        <v>800.00000000000011</v>
      </c>
      <c r="Q219" s="5">
        <v>50.773768000000004</v>
      </c>
      <c r="R219" s="8">
        <f t="shared" si="25"/>
        <v>7</v>
      </c>
      <c r="S219" s="9">
        <f t="shared" si="26"/>
        <v>5.6000000000000014</v>
      </c>
      <c r="T219" s="10"/>
      <c r="U219" s="9">
        <f t="shared" si="23"/>
        <v>13.86</v>
      </c>
      <c r="V219" s="9">
        <f t="shared" si="24"/>
        <v>800.00000000000011</v>
      </c>
      <c r="W219" s="9">
        <f t="shared" si="22"/>
        <v>50.773768000000004</v>
      </c>
    </row>
    <row r="220" spans="1:23">
      <c r="A220" s="2" t="s">
        <v>299</v>
      </c>
      <c r="B220" s="2" t="s">
        <v>300</v>
      </c>
      <c r="C220" s="3">
        <v>14</v>
      </c>
      <c r="D220" s="3">
        <v>1.98</v>
      </c>
      <c r="E220" s="2" t="s">
        <v>305</v>
      </c>
      <c r="F220" s="4">
        <v>39476</v>
      </c>
      <c r="G220" s="3">
        <v>52.4</v>
      </c>
      <c r="H220" s="3">
        <v>2</v>
      </c>
      <c r="I220" s="4">
        <v>39490</v>
      </c>
      <c r="J220" s="3">
        <v>59.2</v>
      </c>
      <c r="K220" s="3">
        <v>2</v>
      </c>
      <c r="L220" s="3">
        <v>14</v>
      </c>
      <c r="M220" s="5">
        <v>6.8000000000000043</v>
      </c>
      <c r="N220" s="5">
        <v>0</v>
      </c>
      <c r="O220" s="5">
        <v>27.72</v>
      </c>
      <c r="P220" s="5">
        <v>485.71428571428606</v>
      </c>
      <c r="Q220" s="5">
        <v>35.380936285714299</v>
      </c>
      <c r="R220" s="8">
        <f t="shared" si="25"/>
        <v>7</v>
      </c>
      <c r="S220" s="9">
        <f t="shared" si="26"/>
        <v>1.2000000000000028</v>
      </c>
      <c r="T220" s="9">
        <v>0</v>
      </c>
      <c r="U220" s="9">
        <f t="shared" si="23"/>
        <v>13.86</v>
      </c>
      <c r="V220" s="9">
        <f t="shared" si="24"/>
        <v>171.42857142857184</v>
      </c>
      <c r="W220" s="9">
        <f t="shared" si="22"/>
        <v>19.886650571428589</v>
      </c>
    </row>
    <row r="221" spans="1:23">
      <c r="A221" s="2" t="s">
        <v>299</v>
      </c>
      <c r="B221" s="2" t="s">
        <v>300</v>
      </c>
      <c r="C221" s="3">
        <v>14</v>
      </c>
      <c r="D221" s="3">
        <v>1.98</v>
      </c>
      <c r="E221" s="2" t="s">
        <v>305</v>
      </c>
      <c r="F221" s="4">
        <v>39476</v>
      </c>
      <c r="G221" s="3">
        <v>52.4</v>
      </c>
      <c r="H221" s="3">
        <v>2</v>
      </c>
      <c r="I221" s="4">
        <v>39497</v>
      </c>
      <c r="J221" s="3">
        <v>56</v>
      </c>
      <c r="K221" s="3">
        <v>2</v>
      </c>
      <c r="L221" s="3">
        <v>21</v>
      </c>
      <c r="M221" s="5">
        <v>3.6000000000000014</v>
      </c>
      <c r="N221" s="5">
        <v>0</v>
      </c>
      <c r="O221" s="5">
        <v>41.58</v>
      </c>
      <c r="P221" s="5">
        <v>171.42857142857147</v>
      </c>
      <c r="Q221" s="5">
        <v>19.616106571428574</v>
      </c>
      <c r="R221" s="8">
        <f t="shared" si="25"/>
        <v>7</v>
      </c>
      <c r="S221" s="9">
        <f t="shared" si="26"/>
        <v>-3.2000000000000028</v>
      </c>
      <c r="T221" s="9">
        <v>0</v>
      </c>
      <c r="U221" s="9">
        <f t="shared" si="23"/>
        <v>13.86</v>
      </c>
      <c r="V221" s="9">
        <f t="shared" si="24"/>
        <v>-457.14285714285757</v>
      </c>
      <c r="W221" s="9">
        <f t="shared" si="22"/>
        <v>-11.372464857142878</v>
      </c>
    </row>
    <row r="222" spans="1:23">
      <c r="A222" s="2" t="s">
        <v>299</v>
      </c>
      <c r="B222" s="2" t="s">
        <v>300</v>
      </c>
      <c r="C222" s="3">
        <v>14</v>
      </c>
      <c r="D222" s="3">
        <v>1.98</v>
      </c>
      <c r="E222" s="2" t="s">
        <v>305</v>
      </c>
      <c r="F222" s="4">
        <v>39476</v>
      </c>
      <c r="G222" s="3">
        <v>52.4</v>
      </c>
      <c r="H222" s="3">
        <v>2</v>
      </c>
      <c r="I222" s="4">
        <v>39503</v>
      </c>
      <c r="J222" s="3">
        <v>63</v>
      </c>
      <c r="K222" s="3">
        <v>2</v>
      </c>
      <c r="L222" s="3">
        <v>27</v>
      </c>
      <c r="M222" s="5">
        <v>10.600000000000001</v>
      </c>
      <c r="N222" s="5">
        <v>0</v>
      </c>
      <c r="O222" s="5">
        <v>53.46</v>
      </c>
      <c r="P222" s="5">
        <v>392.59259259259267</v>
      </c>
      <c r="Q222" s="5">
        <v>31.111307814814815</v>
      </c>
      <c r="R222" s="8">
        <f t="shared" si="25"/>
        <v>6</v>
      </c>
      <c r="S222" s="9">
        <f t="shared" si="26"/>
        <v>7</v>
      </c>
      <c r="T222" s="9">
        <v>0</v>
      </c>
      <c r="U222" s="9">
        <f t="shared" si="23"/>
        <v>11.879999999999999</v>
      </c>
      <c r="V222" s="9">
        <f t="shared" si="24"/>
        <v>1166.6666666666667</v>
      </c>
      <c r="W222" s="9">
        <f t="shared" si="22"/>
        <v>69.273159666666672</v>
      </c>
    </row>
    <row r="223" spans="1:23">
      <c r="A223" s="2" t="s">
        <v>299</v>
      </c>
      <c r="B223" s="2" t="s">
        <v>300</v>
      </c>
      <c r="C223" s="3">
        <v>14</v>
      </c>
      <c r="D223" s="3">
        <v>1.98</v>
      </c>
      <c r="E223" s="2" t="s">
        <v>305</v>
      </c>
      <c r="F223" s="4">
        <v>39476</v>
      </c>
      <c r="G223" s="3">
        <v>52.4</v>
      </c>
      <c r="H223" s="3">
        <v>2</v>
      </c>
      <c r="I223" s="4">
        <v>39511</v>
      </c>
      <c r="J223" s="3">
        <v>61.6</v>
      </c>
      <c r="K223" s="6"/>
      <c r="L223" s="3">
        <v>35</v>
      </c>
      <c r="M223" s="5">
        <v>9.2000000000000028</v>
      </c>
      <c r="N223" s="6"/>
      <c r="O223" s="5">
        <v>69.3</v>
      </c>
      <c r="P223" s="5">
        <v>262.85714285714295</v>
      </c>
      <c r="Q223" s="5">
        <v>24.596987142857145</v>
      </c>
      <c r="R223" s="8">
        <f t="shared" si="25"/>
        <v>8</v>
      </c>
      <c r="S223" s="9">
        <f t="shared" si="26"/>
        <v>-1.3999999999999986</v>
      </c>
      <c r="T223" s="10"/>
      <c r="U223" s="9">
        <f t="shared" si="23"/>
        <v>15.84</v>
      </c>
      <c r="V223" s="9">
        <f t="shared" si="24"/>
        <v>-174.99999999999983</v>
      </c>
      <c r="W223" s="9">
        <f t="shared" si="22"/>
        <v>3.0106300000000097</v>
      </c>
    </row>
    <row r="224" spans="1:23">
      <c r="A224" s="2" t="s">
        <v>299</v>
      </c>
      <c r="B224" s="2" t="s">
        <v>300</v>
      </c>
      <c r="C224" s="3">
        <v>14</v>
      </c>
      <c r="D224" s="3">
        <v>1.98</v>
      </c>
      <c r="E224" s="2" t="s">
        <v>305</v>
      </c>
      <c r="F224" s="4">
        <v>39476</v>
      </c>
      <c r="G224" s="3">
        <v>52.4</v>
      </c>
      <c r="H224" s="3">
        <v>2</v>
      </c>
      <c r="I224" s="4">
        <v>39518</v>
      </c>
      <c r="J224" s="3">
        <v>60.6</v>
      </c>
      <c r="K224" s="3">
        <v>2.5</v>
      </c>
      <c r="L224" s="3">
        <v>42</v>
      </c>
      <c r="M224" s="5">
        <v>8.2000000000000028</v>
      </c>
      <c r="N224" s="5">
        <v>0.5</v>
      </c>
      <c r="O224" s="5">
        <v>83.16</v>
      </c>
      <c r="P224" s="5">
        <v>195.2380952380953</v>
      </c>
      <c r="Q224" s="5">
        <v>21.178823095238098</v>
      </c>
      <c r="R224" s="8">
        <f t="shared" si="25"/>
        <v>7</v>
      </c>
      <c r="S224" s="9">
        <f t="shared" si="26"/>
        <v>-1</v>
      </c>
      <c r="T224" s="9">
        <v>0.5</v>
      </c>
      <c r="U224" s="9">
        <f t="shared" si="23"/>
        <v>13.86</v>
      </c>
      <c r="V224" s="9">
        <f t="shared" si="24"/>
        <v>-142.85714285714286</v>
      </c>
      <c r="W224" s="9">
        <f t="shared" si="22"/>
        <v>4.5107278571428582</v>
      </c>
    </row>
    <row r="225" spans="1:23">
      <c r="A225" s="2" t="s">
        <v>299</v>
      </c>
      <c r="B225" s="2" t="s">
        <v>300</v>
      </c>
      <c r="C225" s="3">
        <v>14</v>
      </c>
      <c r="D225" s="3">
        <v>1.98</v>
      </c>
      <c r="E225" s="2" t="s">
        <v>305</v>
      </c>
      <c r="F225" s="4">
        <v>39476</v>
      </c>
      <c r="G225" s="3">
        <v>52.4</v>
      </c>
      <c r="H225" s="3">
        <v>2</v>
      </c>
      <c r="I225" s="4">
        <v>39525</v>
      </c>
      <c r="J225" s="3">
        <v>60</v>
      </c>
      <c r="K225" s="3">
        <v>2</v>
      </c>
      <c r="L225" s="3">
        <v>49</v>
      </c>
      <c r="M225" s="5">
        <v>7.6000000000000014</v>
      </c>
      <c r="N225" s="5">
        <v>0</v>
      </c>
      <c r="O225" s="5">
        <v>97.02</v>
      </c>
      <c r="P225" s="5">
        <v>155.10204081632656</v>
      </c>
      <c r="Q225" s="5">
        <v>19.149388612244898</v>
      </c>
      <c r="R225" s="8">
        <f t="shared" si="25"/>
        <v>7</v>
      </c>
      <c r="S225" s="9">
        <f t="shared" si="26"/>
        <v>-0.60000000000000142</v>
      </c>
      <c r="T225" s="9">
        <v>0</v>
      </c>
      <c r="U225" s="9">
        <f t="shared" si="23"/>
        <v>13.86</v>
      </c>
      <c r="V225" s="9">
        <f t="shared" si="24"/>
        <v>-85.714285714285921</v>
      </c>
      <c r="W225" s="9">
        <f t="shared" si="22"/>
        <v>7.2771437142857041</v>
      </c>
    </row>
    <row r="226" spans="1:23">
      <c r="A226" s="2" t="s">
        <v>299</v>
      </c>
      <c r="B226" s="2" t="s">
        <v>300</v>
      </c>
      <c r="C226" s="3">
        <v>14</v>
      </c>
      <c r="D226" s="3">
        <v>1.98</v>
      </c>
      <c r="E226" s="2" t="s">
        <v>305</v>
      </c>
      <c r="F226" s="4">
        <v>39476</v>
      </c>
      <c r="G226" s="3">
        <v>52.4</v>
      </c>
      <c r="H226" s="3">
        <v>2</v>
      </c>
      <c r="I226" s="4">
        <v>39532</v>
      </c>
      <c r="J226" s="3">
        <v>59</v>
      </c>
      <c r="K226" s="3">
        <v>2</v>
      </c>
      <c r="L226" s="3">
        <v>56</v>
      </c>
      <c r="M226" s="5">
        <v>6.6000000000000014</v>
      </c>
      <c r="N226" s="5">
        <v>0</v>
      </c>
      <c r="O226" s="5">
        <v>110.88</v>
      </c>
      <c r="P226" s="5">
        <v>117.85714285714289</v>
      </c>
      <c r="Q226" s="5">
        <v>17.228670142857144</v>
      </c>
      <c r="R226" s="8">
        <f t="shared" si="25"/>
        <v>7</v>
      </c>
      <c r="S226" s="9">
        <f t="shared" si="26"/>
        <v>-1</v>
      </c>
      <c r="T226" s="9">
        <v>0</v>
      </c>
      <c r="U226" s="9">
        <f t="shared" si="23"/>
        <v>13.86</v>
      </c>
      <c r="V226" s="9">
        <f t="shared" si="24"/>
        <v>-142.85714285714286</v>
      </c>
      <c r="W226" s="9">
        <f t="shared" si="22"/>
        <v>4.3754558571428577</v>
      </c>
    </row>
    <row r="227" spans="1:23">
      <c r="A227" s="2" t="s">
        <v>299</v>
      </c>
      <c r="B227" s="2" t="s">
        <v>300</v>
      </c>
      <c r="C227" s="3">
        <v>14</v>
      </c>
      <c r="D227" s="3">
        <v>1.98</v>
      </c>
      <c r="E227" s="2" t="s">
        <v>306</v>
      </c>
      <c r="F227" s="4">
        <v>39476</v>
      </c>
      <c r="G227" s="3">
        <v>53.2</v>
      </c>
      <c r="H227" s="3">
        <v>2.5</v>
      </c>
      <c r="I227" s="4">
        <v>39476</v>
      </c>
      <c r="J227" s="3">
        <v>53.2</v>
      </c>
      <c r="K227" s="3">
        <v>2.5</v>
      </c>
      <c r="L227" s="3">
        <v>0</v>
      </c>
      <c r="M227" s="5">
        <v>0</v>
      </c>
      <c r="N227" s="5">
        <v>0</v>
      </c>
      <c r="O227" s="5">
        <v>0</v>
      </c>
      <c r="P227" s="5">
        <v>0</v>
      </c>
      <c r="Q227" s="5">
        <v>10.995588</v>
      </c>
      <c r="R227" s="8">
        <f t="shared" si="25"/>
        <v>0</v>
      </c>
      <c r="S227" s="9">
        <f t="shared" si="26"/>
        <v>0</v>
      </c>
      <c r="T227" s="9">
        <v>0</v>
      </c>
      <c r="U227" s="9">
        <f t="shared" si="23"/>
        <v>0</v>
      </c>
      <c r="V227" s="9">
        <f t="shared" si="24"/>
        <v>0</v>
      </c>
      <c r="W227" s="9">
        <f t="shared" si="22"/>
        <v>10.995588</v>
      </c>
    </row>
    <row r="228" spans="1:23">
      <c r="A228" s="2" t="s">
        <v>299</v>
      </c>
      <c r="B228" s="2" t="s">
        <v>300</v>
      </c>
      <c r="C228" s="3">
        <v>14</v>
      </c>
      <c r="D228" s="3">
        <v>1.98</v>
      </c>
      <c r="E228" s="2" t="s">
        <v>306</v>
      </c>
      <c r="F228" s="4">
        <v>39476</v>
      </c>
      <c r="G228" s="3">
        <v>53.2</v>
      </c>
      <c r="H228" s="3">
        <v>2.5</v>
      </c>
      <c r="I228" s="4">
        <v>39483</v>
      </c>
      <c r="J228" s="3">
        <v>57.2</v>
      </c>
      <c r="K228" s="6"/>
      <c r="L228" s="3">
        <v>7</v>
      </c>
      <c r="M228" s="5">
        <v>4</v>
      </c>
      <c r="N228" s="6"/>
      <c r="O228" s="5">
        <v>13.86</v>
      </c>
      <c r="P228" s="5">
        <v>571.42857142857144</v>
      </c>
      <c r="Q228" s="5">
        <v>39.50519657142857</v>
      </c>
      <c r="R228" s="8">
        <f t="shared" si="25"/>
        <v>7</v>
      </c>
      <c r="S228" s="9">
        <f t="shared" si="26"/>
        <v>4</v>
      </c>
      <c r="T228" s="10"/>
      <c r="U228" s="9">
        <f t="shared" si="23"/>
        <v>13.86</v>
      </c>
      <c r="V228" s="9">
        <f t="shared" si="24"/>
        <v>571.42857142857144</v>
      </c>
      <c r="W228" s="9">
        <f t="shared" si="22"/>
        <v>39.50519657142857</v>
      </c>
    </row>
    <row r="229" spans="1:23">
      <c r="A229" s="2" t="s">
        <v>299</v>
      </c>
      <c r="B229" s="2" t="s">
        <v>300</v>
      </c>
      <c r="C229" s="3">
        <v>14</v>
      </c>
      <c r="D229" s="3">
        <v>1.98</v>
      </c>
      <c r="E229" s="2" t="s">
        <v>306</v>
      </c>
      <c r="F229" s="4">
        <v>39476</v>
      </c>
      <c r="G229" s="3">
        <v>53.2</v>
      </c>
      <c r="H229" s="3">
        <v>2.5</v>
      </c>
      <c r="I229" s="4">
        <v>39490</v>
      </c>
      <c r="J229" s="3">
        <v>58</v>
      </c>
      <c r="K229" s="3">
        <v>2.5</v>
      </c>
      <c r="L229" s="3">
        <v>14</v>
      </c>
      <c r="M229" s="5">
        <v>4.7999999999999972</v>
      </c>
      <c r="N229" s="5">
        <v>0</v>
      </c>
      <c r="O229" s="5">
        <v>27.72</v>
      </c>
      <c r="P229" s="5">
        <v>342.85714285714266</v>
      </c>
      <c r="Q229" s="5">
        <v>28.304261142857129</v>
      </c>
      <c r="R229" s="8">
        <f t="shared" si="25"/>
        <v>7</v>
      </c>
      <c r="S229" s="9">
        <f t="shared" si="26"/>
        <v>0.79999999999999716</v>
      </c>
      <c r="T229" s="9">
        <v>0</v>
      </c>
      <c r="U229" s="9">
        <f t="shared" si="23"/>
        <v>13.86</v>
      </c>
      <c r="V229" s="9">
        <f t="shared" si="24"/>
        <v>114.28571428571388</v>
      </c>
      <c r="W229" s="9">
        <f t="shared" si="22"/>
        <v>17.035689714285695</v>
      </c>
    </row>
    <row r="230" spans="1:23">
      <c r="A230" s="2" t="s">
        <v>299</v>
      </c>
      <c r="B230" s="2" t="s">
        <v>300</v>
      </c>
      <c r="C230" s="3">
        <v>14</v>
      </c>
      <c r="D230" s="3">
        <v>1.98</v>
      </c>
      <c r="E230" s="2" t="s">
        <v>306</v>
      </c>
      <c r="F230" s="4">
        <v>39476</v>
      </c>
      <c r="G230" s="3">
        <v>53.2</v>
      </c>
      <c r="H230" s="3">
        <v>2.5</v>
      </c>
      <c r="I230" s="4">
        <v>39497</v>
      </c>
      <c r="J230" s="3">
        <v>57.6</v>
      </c>
      <c r="K230" s="3">
        <v>2.5</v>
      </c>
      <c r="L230" s="3">
        <v>21</v>
      </c>
      <c r="M230" s="5">
        <v>4.3999999999999986</v>
      </c>
      <c r="N230" s="5">
        <v>0</v>
      </c>
      <c r="O230" s="5">
        <v>41.58</v>
      </c>
      <c r="P230" s="5">
        <v>209.52380952380943</v>
      </c>
      <c r="Q230" s="5">
        <v>21.697109809523806</v>
      </c>
      <c r="R230" s="8">
        <f t="shared" si="25"/>
        <v>7</v>
      </c>
      <c r="S230" s="9">
        <f t="shared" si="26"/>
        <v>-0.39999999999999858</v>
      </c>
      <c r="T230" s="9">
        <v>0</v>
      </c>
      <c r="U230" s="9">
        <f t="shared" si="23"/>
        <v>13.86</v>
      </c>
      <c r="V230" s="9">
        <f t="shared" si="24"/>
        <v>-57.14285714285694</v>
      </c>
      <c r="W230" s="9">
        <f t="shared" si="22"/>
        <v>8.550443142857155</v>
      </c>
    </row>
    <row r="231" spans="1:23">
      <c r="A231" s="2" t="s">
        <v>299</v>
      </c>
      <c r="B231" s="2" t="s">
        <v>300</v>
      </c>
      <c r="C231" s="3">
        <v>14</v>
      </c>
      <c r="D231" s="3">
        <v>1.98</v>
      </c>
      <c r="E231" s="2" t="s">
        <v>306</v>
      </c>
      <c r="F231" s="4">
        <v>39476</v>
      </c>
      <c r="G231" s="3">
        <v>53.2</v>
      </c>
      <c r="H231" s="3">
        <v>2.5</v>
      </c>
      <c r="I231" s="4">
        <v>39503</v>
      </c>
      <c r="J231" s="3">
        <v>59.6</v>
      </c>
      <c r="K231" s="3">
        <v>2.5</v>
      </c>
      <c r="L231" s="3">
        <v>27</v>
      </c>
      <c r="M231" s="5">
        <v>6.3999999999999986</v>
      </c>
      <c r="N231" s="5">
        <v>0</v>
      </c>
      <c r="O231" s="5">
        <v>53.46</v>
      </c>
      <c r="P231" s="5">
        <v>237.03703703703698</v>
      </c>
      <c r="Q231" s="5">
        <v>23.222601925925922</v>
      </c>
      <c r="R231" s="8">
        <f t="shared" si="25"/>
        <v>6</v>
      </c>
      <c r="S231" s="9">
        <f t="shared" si="26"/>
        <v>2</v>
      </c>
      <c r="T231" s="9">
        <v>0</v>
      </c>
      <c r="U231" s="9">
        <f t="shared" si="23"/>
        <v>11.879999999999999</v>
      </c>
      <c r="V231" s="9">
        <f t="shared" si="24"/>
        <v>333.33333333333331</v>
      </c>
      <c r="W231" s="9">
        <f t="shared" si="22"/>
        <v>27.97000933333333</v>
      </c>
    </row>
    <row r="232" spans="1:23">
      <c r="A232" s="2" t="s">
        <v>299</v>
      </c>
      <c r="B232" s="2" t="s">
        <v>300</v>
      </c>
      <c r="C232" s="3">
        <v>14</v>
      </c>
      <c r="D232" s="3">
        <v>1.98</v>
      </c>
      <c r="E232" s="2" t="s">
        <v>306</v>
      </c>
      <c r="F232" s="4">
        <v>39476</v>
      </c>
      <c r="G232" s="3">
        <v>53.2</v>
      </c>
      <c r="H232" s="3">
        <v>2.5</v>
      </c>
      <c r="I232" s="4">
        <v>39511</v>
      </c>
      <c r="J232" s="3">
        <v>61.2</v>
      </c>
      <c r="K232" s="6"/>
      <c r="L232" s="3">
        <v>35</v>
      </c>
      <c r="M232" s="5">
        <v>8</v>
      </c>
      <c r="N232" s="6"/>
      <c r="O232" s="5">
        <v>69.3</v>
      </c>
      <c r="P232" s="5">
        <v>228.57142857142856</v>
      </c>
      <c r="Q232" s="5">
        <v>22.940519428571427</v>
      </c>
      <c r="R232" s="8">
        <f t="shared" si="25"/>
        <v>8</v>
      </c>
      <c r="S232" s="9">
        <f t="shared" si="26"/>
        <v>1.6000000000000014</v>
      </c>
      <c r="T232" s="10"/>
      <c r="U232" s="9">
        <f t="shared" si="23"/>
        <v>15.84</v>
      </c>
      <c r="V232" s="9">
        <f t="shared" si="24"/>
        <v>200.00000000000017</v>
      </c>
      <c r="W232" s="9">
        <f t="shared" si="22"/>
        <v>21.531948000000007</v>
      </c>
    </row>
    <row r="233" spans="1:23">
      <c r="A233" s="2" t="s">
        <v>299</v>
      </c>
      <c r="B233" s="2" t="s">
        <v>300</v>
      </c>
      <c r="C233" s="3">
        <v>14</v>
      </c>
      <c r="D233" s="3">
        <v>1.98</v>
      </c>
      <c r="E233" s="2" t="s">
        <v>306</v>
      </c>
      <c r="F233" s="4">
        <v>39476</v>
      </c>
      <c r="G233" s="3">
        <v>53.2</v>
      </c>
      <c r="H233" s="3">
        <v>2.5</v>
      </c>
      <c r="I233" s="4">
        <v>39518</v>
      </c>
      <c r="J233" s="3">
        <v>60.4</v>
      </c>
      <c r="K233" s="3">
        <v>3</v>
      </c>
      <c r="L233" s="3">
        <v>42</v>
      </c>
      <c r="M233" s="5">
        <v>7.1999999999999957</v>
      </c>
      <c r="N233" s="5">
        <v>0.5</v>
      </c>
      <c r="O233" s="5">
        <v>83.16</v>
      </c>
      <c r="P233" s="5">
        <v>171.42857142857133</v>
      </c>
      <c r="Q233" s="5">
        <v>20.055740571428565</v>
      </c>
      <c r="R233" s="8">
        <f t="shared" si="25"/>
        <v>7</v>
      </c>
      <c r="S233" s="9">
        <f t="shared" si="26"/>
        <v>-0.80000000000000426</v>
      </c>
      <c r="T233" s="9">
        <v>0.5</v>
      </c>
      <c r="U233" s="9">
        <f t="shared" si="23"/>
        <v>13.86</v>
      </c>
      <c r="V233" s="9">
        <f t="shared" si="24"/>
        <v>-114.28571428571489</v>
      </c>
      <c r="W233" s="9">
        <f t="shared" si="22"/>
        <v>5.9700262857142548</v>
      </c>
    </row>
    <row r="234" spans="1:23">
      <c r="A234" s="2" t="s">
        <v>299</v>
      </c>
      <c r="B234" s="2" t="s">
        <v>300</v>
      </c>
      <c r="C234" s="3">
        <v>14</v>
      </c>
      <c r="D234" s="3">
        <v>1.98</v>
      </c>
      <c r="E234" s="2" t="s">
        <v>306</v>
      </c>
      <c r="F234" s="4">
        <v>39476</v>
      </c>
      <c r="G234" s="3">
        <v>53.2</v>
      </c>
      <c r="H234" s="3">
        <v>2.5</v>
      </c>
      <c r="I234" s="4">
        <v>39525</v>
      </c>
      <c r="J234" s="3">
        <v>60.8</v>
      </c>
      <c r="K234" s="3">
        <v>2.5</v>
      </c>
      <c r="L234" s="3">
        <v>49</v>
      </c>
      <c r="M234" s="5">
        <v>7.5999999999999943</v>
      </c>
      <c r="N234" s="5">
        <v>0</v>
      </c>
      <c r="O234" s="5">
        <v>97.02</v>
      </c>
      <c r="P234" s="5">
        <v>155.10204081632642</v>
      </c>
      <c r="Q234" s="5">
        <v>19.284660612244892</v>
      </c>
      <c r="R234" s="8">
        <f t="shared" si="25"/>
        <v>7</v>
      </c>
      <c r="S234" s="9">
        <f t="shared" si="26"/>
        <v>0.39999999999999858</v>
      </c>
      <c r="T234" s="9">
        <v>0</v>
      </c>
      <c r="U234" s="9">
        <f t="shared" si="23"/>
        <v>13.86</v>
      </c>
      <c r="V234" s="9">
        <f t="shared" si="24"/>
        <v>57.14285714285694</v>
      </c>
      <c r="W234" s="9">
        <f t="shared" si="22"/>
        <v>14.455272857142848</v>
      </c>
    </row>
    <row r="235" spans="1:23">
      <c r="A235" s="2" t="s">
        <v>299</v>
      </c>
      <c r="B235" s="2" t="s">
        <v>300</v>
      </c>
      <c r="C235" s="3">
        <v>14</v>
      </c>
      <c r="D235" s="3">
        <v>1.98</v>
      </c>
      <c r="E235" s="2" t="s">
        <v>306</v>
      </c>
      <c r="F235" s="4">
        <v>39476</v>
      </c>
      <c r="G235" s="3">
        <v>53.2</v>
      </c>
      <c r="H235" s="3">
        <v>2.5</v>
      </c>
      <c r="I235" s="4">
        <v>39532</v>
      </c>
      <c r="J235" s="3">
        <v>58.4</v>
      </c>
      <c r="K235" s="3">
        <v>2.25</v>
      </c>
      <c r="L235" s="3">
        <v>56</v>
      </c>
      <c r="M235" s="5">
        <v>5.1999999999999957</v>
      </c>
      <c r="N235" s="5">
        <v>-0.25</v>
      </c>
      <c r="O235" s="5">
        <v>110.88</v>
      </c>
      <c r="P235" s="5">
        <v>92.857142857142776</v>
      </c>
      <c r="Q235" s="5">
        <v>16.013079142857137</v>
      </c>
      <c r="R235" s="8">
        <f t="shared" si="25"/>
        <v>7</v>
      </c>
      <c r="S235" s="9">
        <f t="shared" si="26"/>
        <v>-2.3999999999999986</v>
      </c>
      <c r="T235" s="9">
        <v>-0.25</v>
      </c>
      <c r="U235" s="9">
        <f t="shared" si="23"/>
        <v>13.86</v>
      </c>
      <c r="V235" s="9">
        <f t="shared" si="24"/>
        <v>-342.85714285714266</v>
      </c>
      <c r="W235" s="9">
        <f t="shared" si="22"/>
        <v>-5.4676351428571301</v>
      </c>
    </row>
    <row r="236" spans="1:23">
      <c r="A236" s="2" t="s">
        <v>299</v>
      </c>
      <c r="B236" s="2" t="s">
        <v>300</v>
      </c>
      <c r="C236" s="3">
        <v>14</v>
      </c>
      <c r="D236" s="3">
        <v>1.98</v>
      </c>
      <c r="E236" s="2" t="s">
        <v>307</v>
      </c>
      <c r="F236" s="4">
        <v>39476</v>
      </c>
      <c r="G236" s="3">
        <v>60.2</v>
      </c>
      <c r="H236" s="3">
        <v>2.25</v>
      </c>
      <c r="I236" s="4">
        <v>39476</v>
      </c>
      <c r="J236" s="3">
        <v>60.2</v>
      </c>
      <c r="K236" s="3">
        <v>2.25</v>
      </c>
      <c r="L236" s="3">
        <v>0</v>
      </c>
      <c r="M236" s="5">
        <v>0</v>
      </c>
      <c r="N236" s="5">
        <v>0</v>
      </c>
      <c r="O236" s="5">
        <v>0</v>
      </c>
      <c r="P236" s="5">
        <v>0</v>
      </c>
      <c r="Q236" s="5">
        <v>12.179218000000001</v>
      </c>
      <c r="R236" s="8">
        <f t="shared" si="25"/>
        <v>0</v>
      </c>
      <c r="S236" s="9">
        <f t="shared" si="26"/>
        <v>0</v>
      </c>
      <c r="T236" s="9">
        <v>0</v>
      </c>
      <c r="U236" s="9">
        <f t="shared" si="23"/>
        <v>0</v>
      </c>
      <c r="V236" s="9">
        <f t="shared" si="24"/>
        <v>0</v>
      </c>
      <c r="W236" s="9">
        <f t="shared" si="22"/>
        <v>12.179218000000001</v>
      </c>
    </row>
    <row r="237" spans="1:23">
      <c r="A237" s="2" t="s">
        <v>299</v>
      </c>
      <c r="B237" s="2" t="s">
        <v>300</v>
      </c>
      <c r="C237" s="3">
        <v>14</v>
      </c>
      <c r="D237" s="3">
        <v>1.98</v>
      </c>
      <c r="E237" s="2" t="s">
        <v>307</v>
      </c>
      <c r="F237" s="4">
        <v>39476</v>
      </c>
      <c r="G237" s="3">
        <v>60.2</v>
      </c>
      <c r="H237" s="3">
        <v>2.25</v>
      </c>
      <c r="I237" s="4">
        <v>39483</v>
      </c>
      <c r="J237" s="3">
        <v>66</v>
      </c>
      <c r="K237" s="6"/>
      <c r="L237" s="3">
        <v>7</v>
      </c>
      <c r="M237" s="5">
        <v>5.7999999999999972</v>
      </c>
      <c r="N237" s="6"/>
      <c r="O237" s="5">
        <v>13.86</v>
      </c>
      <c r="P237" s="5">
        <v>828.57142857142821</v>
      </c>
      <c r="Q237" s="5">
        <v>53.518150428571403</v>
      </c>
      <c r="R237" s="8">
        <f t="shared" si="25"/>
        <v>7</v>
      </c>
      <c r="S237" s="9">
        <f t="shared" si="26"/>
        <v>5.7999999999999972</v>
      </c>
      <c r="T237" s="10"/>
      <c r="U237" s="9">
        <f t="shared" si="23"/>
        <v>13.86</v>
      </c>
      <c r="V237" s="9">
        <f t="shared" si="24"/>
        <v>828.57142857142821</v>
      </c>
      <c r="W237" s="9">
        <f t="shared" si="22"/>
        <v>53.518150428571403</v>
      </c>
    </row>
    <row r="238" spans="1:23">
      <c r="A238" s="2" t="s">
        <v>299</v>
      </c>
      <c r="B238" s="2" t="s">
        <v>300</v>
      </c>
      <c r="C238" s="3">
        <v>14</v>
      </c>
      <c r="D238" s="3">
        <v>1.98</v>
      </c>
      <c r="E238" s="2" t="s">
        <v>307</v>
      </c>
      <c r="F238" s="4">
        <v>39476</v>
      </c>
      <c r="G238" s="3">
        <v>60.2</v>
      </c>
      <c r="H238" s="3">
        <v>2.25</v>
      </c>
      <c r="I238" s="4">
        <v>39490</v>
      </c>
      <c r="J238" s="3">
        <v>67</v>
      </c>
      <c r="K238" s="3">
        <v>2.25</v>
      </c>
      <c r="L238" s="3">
        <v>14</v>
      </c>
      <c r="M238" s="5">
        <v>6.7999999999999972</v>
      </c>
      <c r="N238" s="5">
        <v>0</v>
      </c>
      <c r="O238" s="5">
        <v>27.72</v>
      </c>
      <c r="P238" s="5">
        <v>485.7142857142855</v>
      </c>
      <c r="Q238" s="5">
        <v>36.699838285714272</v>
      </c>
      <c r="R238" s="8">
        <f t="shared" si="25"/>
        <v>7</v>
      </c>
      <c r="S238" s="9">
        <f t="shared" si="26"/>
        <v>1</v>
      </c>
      <c r="T238" s="9">
        <v>0</v>
      </c>
      <c r="U238" s="9">
        <f t="shared" si="23"/>
        <v>13.86</v>
      </c>
      <c r="V238" s="9">
        <f t="shared" si="24"/>
        <v>142.85714285714286</v>
      </c>
      <c r="W238" s="9">
        <f t="shared" si="22"/>
        <v>19.796981142857142</v>
      </c>
    </row>
    <row r="239" spans="1:23">
      <c r="A239" s="2" t="s">
        <v>299</v>
      </c>
      <c r="B239" s="2" t="s">
        <v>300</v>
      </c>
      <c r="C239" s="3">
        <v>14</v>
      </c>
      <c r="D239" s="3">
        <v>1.98</v>
      </c>
      <c r="E239" s="2" t="s">
        <v>307</v>
      </c>
      <c r="F239" s="4">
        <v>39476</v>
      </c>
      <c r="G239" s="3">
        <v>60.2</v>
      </c>
      <c r="H239" s="3">
        <v>2.25</v>
      </c>
      <c r="I239" s="4">
        <v>39497</v>
      </c>
      <c r="J239" s="3">
        <v>66.599999999999994</v>
      </c>
      <c r="K239" s="3">
        <v>2.25</v>
      </c>
      <c r="L239" s="3">
        <v>21</v>
      </c>
      <c r="M239" s="5">
        <v>6.3999999999999915</v>
      </c>
      <c r="N239" s="5">
        <v>0</v>
      </c>
      <c r="O239" s="5">
        <v>41.58</v>
      </c>
      <c r="P239" s="5">
        <v>304.76190476190436</v>
      </c>
      <c r="Q239" s="5">
        <v>27.745067904761882</v>
      </c>
      <c r="R239" s="8">
        <f t="shared" si="25"/>
        <v>7</v>
      </c>
      <c r="S239" s="9">
        <f t="shared" si="26"/>
        <v>-0.40000000000000568</v>
      </c>
      <c r="T239" s="9">
        <v>0</v>
      </c>
      <c r="U239" s="9">
        <f t="shared" si="23"/>
        <v>13.86</v>
      </c>
      <c r="V239" s="9">
        <f t="shared" si="24"/>
        <v>-57.142857142857956</v>
      </c>
      <c r="W239" s="9">
        <f t="shared" si="22"/>
        <v>9.9031631428571032</v>
      </c>
    </row>
    <row r="240" spans="1:23">
      <c r="A240" s="2" t="s">
        <v>299</v>
      </c>
      <c r="B240" s="2" t="s">
        <v>300</v>
      </c>
      <c r="C240" s="3">
        <v>14</v>
      </c>
      <c r="D240" s="3">
        <v>1.98</v>
      </c>
      <c r="E240" s="2" t="s">
        <v>307</v>
      </c>
      <c r="F240" s="4">
        <v>39476</v>
      </c>
      <c r="G240" s="3">
        <v>60.2</v>
      </c>
      <c r="H240" s="3">
        <v>2.25</v>
      </c>
      <c r="I240" s="4">
        <v>39503</v>
      </c>
      <c r="J240" s="3">
        <v>67.599999999999994</v>
      </c>
      <c r="K240" s="3">
        <v>2.25</v>
      </c>
      <c r="L240" s="3">
        <v>27</v>
      </c>
      <c r="M240" s="5">
        <v>7.3999999999999915</v>
      </c>
      <c r="N240" s="5">
        <v>0</v>
      </c>
      <c r="O240" s="5">
        <v>53.46</v>
      </c>
      <c r="P240" s="5">
        <v>274.07407407407374</v>
      </c>
      <c r="Q240" s="5">
        <v>26.316702851851836</v>
      </c>
      <c r="R240" s="8">
        <f t="shared" si="25"/>
        <v>6</v>
      </c>
      <c r="S240" s="9">
        <f t="shared" si="26"/>
        <v>1</v>
      </c>
      <c r="T240" s="9">
        <v>0</v>
      </c>
      <c r="U240" s="9">
        <f t="shared" si="23"/>
        <v>11.879999999999999</v>
      </c>
      <c r="V240" s="9">
        <f t="shared" si="24"/>
        <v>166.66666666666666</v>
      </c>
      <c r="W240" s="9">
        <f t="shared" si="22"/>
        <v>21.021517666666664</v>
      </c>
    </row>
    <row r="241" spans="1:23">
      <c r="A241" s="2" t="s">
        <v>299</v>
      </c>
      <c r="B241" s="2" t="s">
        <v>300</v>
      </c>
      <c r="C241" s="3">
        <v>14</v>
      </c>
      <c r="D241" s="3">
        <v>1.98</v>
      </c>
      <c r="E241" s="2" t="s">
        <v>307</v>
      </c>
      <c r="F241" s="4">
        <v>39476</v>
      </c>
      <c r="G241" s="3">
        <v>60.2</v>
      </c>
      <c r="H241" s="3">
        <v>2.25</v>
      </c>
      <c r="I241" s="4">
        <v>39511</v>
      </c>
      <c r="J241" s="3">
        <v>70</v>
      </c>
      <c r="K241" s="6"/>
      <c r="L241" s="3">
        <v>35</v>
      </c>
      <c r="M241" s="5">
        <v>9.7999999999999972</v>
      </c>
      <c r="N241" s="6"/>
      <c r="O241" s="5">
        <v>69.3</v>
      </c>
      <c r="P241" s="5">
        <v>279.99999999999994</v>
      </c>
      <c r="Q241" s="5">
        <v>26.811758999999995</v>
      </c>
      <c r="R241" s="8">
        <f t="shared" si="25"/>
        <v>8</v>
      </c>
      <c r="S241" s="9">
        <f t="shared" si="26"/>
        <v>2.4000000000000057</v>
      </c>
      <c r="T241" s="10"/>
      <c r="U241" s="9">
        <f t="shared" si="23"/>
        <v>15.84</v>
      </c>
      <c r="V241" s="9">
        <f t="shared" si="24"/>
        <v>300.00000000000068</v>
      </c>
      <c r="W241" s="9">
        <f t="shared" si="22"/>
        <v>27.797759000000028</v>
      </c>
    </row>
    <row r="242" spans="1:23">
      <c r="A242" s="2" t="s">
        <v>299</v>
      </c>
      <c r="B242" s="2" t="s">
        <v>300</v>
      </c>
      <c r="C242" s="3">
        <v>14</v>
      </c>
      <c r="D242" s="3">
        <v>1.98</v>
      </c>
      <c r="E242" s="2" t="s">
        <v>307</v>
      </c>
      <c r="F242" s="4">
        <v>39476</v>
      </c>
      <c r="G242" s="3">
        <v>60.2</v>
      </c>
      <c r="H242" s="3">
        <v>2.25</v>
      </c>
      <c r="I242" s="4">
        <v>39518</v>
      </c>
      <c r="J242" s="3">
        <v>68.599999999999994</v>
      </c>
      <c r="K242" s="3">
        <v>2</v>
      </c>
      <c r="L242" s="3">
        <v>42</v>
      </c>
      <c r="M242" s="5">
        <v>8.3999999999999915</v>
      </c>
      <c r="N242" s="5">
        <v>-0.25</v>
      </c>
      <c r="O242" s="5">
        <v>83.16</v>
      </c>
      <c r="P242" s="5">
        <v>199.9999999999998</v>
      </c>
      <c r="Q242" s="5">
        <v>22.74939599999999</v>
      </c>
      <c r="R242" s="8">
        <f t="shared" si="25"/>
        <v>7</v>
      </c>
      <c r="S242" s="9">
        <f t="shared" si="26"/>
        <v>-1.4000000000000057</v>
      </c>
      <c r="T242" s="9">
        <v>-0.25</v>
      </c>
      <c r="U242" s="9">
        <f t="shared" si="23"/>
        <v>13.86</v>
      </c>
      <c r="V242" s="9">
        <f t="shared" si="24"/>
        <v>-200.00000000000082</v>
      </c>
      <c r="W242" s="9">
        <f t="shared" si="22"/>
        <v>3.0293959999999593</v>
      </c>
    </row>
    <row r="243" spans="1:23">
      <c r="A243" s="2" t="s">
        <v>299</v>
      </c>
      <c r="B243" s="2" t="s">
        <v>300</v>
      </c>
      <c r="C243" s="3">
        <v>14</v>
      </c>
      <c r="D243" s="3">
        <v>1.98</v>
      </c>
      <c r="E243" s="2" t="s">
        <v>307</v>
      </c>
      <c r="F243" s="4">
        <v>39476</v>
      </c>
      <c r="G243" s="3">
        <v>60.2</v>
      </c>
      <c r="H243" s="3">
        <v>2.25</v>
      </c>
      <c r="I243" s="4">
        <v>39525</v>
      </c>
      <c r="J243" s="3">
        <v>65.8</v>
      </c>
      <c r="K243" s="3">
        <v>1.75</v>
      </c>
      <c r="L243" s="3">
        <v>49</v>
      </c>
      <c r="M243" s="5">
        <v>5.5999999999999943</v>
      </c>
      <c r="N243" s="5">
        <v>-0.5</v>
      </c>
      <c r="O243" s="5">
        <v>97.02</v>
      </c>
      <c r="P243" s="5">
        <v>114.28571428571418</v>
      </c>
      <c r="Q243" s="5">
        <v>18.286955714285707</v>
      </c>
      <c r="R243" s="8">
        <f t="shared" si="25"/>
        <v>7</v>
      </c>
      <c r="S243" s="9">
        <f t="shared" si="26"/>
        <v>-2.7999999999999972</v>
      </c>
      <c r="T243" s="9">
        <v>-0.5</v>
      </c>
      <c r="U243" s="9">
        <f t="shared" si="23"/>
        <v>13.86</v>
      </c>
      <c r="V243" s="9">
        <f t="shared" si="24"/>
        <v>-399.9999999999996</v>
      </c>
      <c r="W243" s="9">
        <f t="shared" si="22"/>
        <v>-7.0673299999999788</v>
      </c>
    </row>
    <row r="244" spans="1:23">
      <c r="A244" s="2" t="s">
        <v>299</v>
      </c>
      <c r="B244" s="2" t="s">
        <v>300</v>
      </c>
      <c r="C244" s="3">
        <v>14</v>
      </c>
      <c r="D244" s="3">
        <v>1.98</v>
      </c>
      <c r="E244" s="2" t="s">
        <v>307</v>
      </c>
      <c r="F244" s="4">
        <v>39476</v>
      </c>
      <c r="G244" s="3">
        <v>60.2</v>
      </c>
      <c r="H244" s="3">
        <v>2.25</v>
      </c>
      <c r="I244" s="4">
        <v>39532</v>
      </c>
      <c r="J244" s="3">
        <v>64.2</v>
      </c>
      <c r="K244" s="3">
        <v>2.25</v>
      </c>
      <c r="L244" s="3">
        <v>56</v>
      </c>
      <c r="M244" s="5">
        <v>4</v>
      </c>
      <c r="N244" s="5">
        <v>0</v>
      </c>
      <c r="O244" s="5">
        <v>110.88</v>
      </c>
      <c r="P244" s="5">
        <v>71.428571428571431</v>
      </c>
      <c r="Q244" s="5">
        <v>16.038826571428572</v>
      </c>
      <c r="R244" s="8">
        <f t="shared" si="25"/>
        <v>7</v>
      </c>
      <c r="S244" s="9">
        <f t="shared" si="26"/>
        <v>-1.5999999999999943</v>
      </c>
      <c r="T244" s="9">
        <v>0</v>
      </c>
      <c r="U244" s="9">
        <f t="shared" si="23"/>
        <v>13.86</v>
      </c>
      <c r="V244" s="9">
        <f t="shared" si="24"/>
        <v>-228.57142857142776</v>
      </c>
      <c r="W244" s="9">
        <f t="shared" si="22"/>
        <v>1.2488265714286122</v>
      </c>
    </row>
    <row r="245" spans="1:23">
      <c r="A245" s="2" t="s">
        <v>299</v>
      </c>
      <c r="B245" s="2" t="s">
        <v>300</v>
      </c>
      <c r="C245" s="3">
        <v>14</v>
      </c>
      <c r="D245" s="3">
        <v>1.98</v>
      </c>
      <c r="E245" s="2" t="s">
        <v>308</v>
      </c>
      <c r="F245" s="4">
        <v>39476</v>
      </c>
      <c r="G245" s="3">
        <v>60.2</v>
      </c>
      <c r="H245" s="3">
        <v>3</v>
      </c>
      <c r="I245" s="4">
        <v>39476</v>
      </c>
      <c r="J245" s="3">
        <v>60.2</v>
      </c>
      <c r="K245" s="3">
        <v>3</v>
      </c>
      <c r="L245" s="3">
        <v>0</v>
      </c>
      <c r="M245" s="5">
        <v>0</v>
      </c>
      <c r="N245" s="5">
        <v>0</v>
      </c>
      <c r="O245" s="5">
        <v>0</v>
      </c>
      <c r="P245" s="5">
        <v>0</v>
      </c>
      <c r="Q245" s="5">
        <v>12.179218000000001</v>
      </c>
      <c r="R245" s="8">
        <f t="shared" ref="R245:R247" si="27">IF(I245-F245=0,0,I245-I244)</f>
        <v>0</v>
      </c>
      <c r="S245" s="9">
        <f t="shared" ref="S245:S247" si="28">IF(R245=0,J245-G245,J245-J244)</f>
        <v>0</v>
      </c>
      <c r="T245" s="9">
        <v>0.5</v>
      </c>
      <c r="U245" s="9">
        <f t="shared" ref="U245:U247" si="29">D245*R245</f>
        <v>0</v>
      </c>
      <c r="V245" s="9">
        <f t="shared" ref="V245:V247" si="30">IF(R245=0,0,(S245/R245*1000))</f>
        <v>0</v>
      </c>
      <c r="W245" s="9">
        <f t="shared" ref="W245:W247" si="31">IF(R245=0,(((G245)*0.16909+(V245/1000)*49.3)+2),((((G245+J245)/2)*0.16909+(V245/1000)*49.3)+2))</f>
        <v>12.179218000000001</v>
      </c>
    </row>
    <row r="246" spans="1:23">
      <c r="A246" s="2" t="s">
        <v>299</v>
      </c>
      <c r="B246" s="2" t="s">
        <v>300</v>
      </c>
      <c r="C246" s="3">
        <v>14</v>
      </c>
      <c r="D246" s="3">
        <v>1.98</v>
      </c>
      <c r="E246" s="2" t="s">
        <v>308</v>
      </c>
      <c r="F246" s="4">
        <v>39476</v>
      </c>
      <c r="G246" s="3">
        <v>60.2</v>
      </c>
      <c r="H246" s="3">
        <v>3</v>
      </c>
      <c r="I246" s="4">
        <v>39483</v>
      </c>
      <c r="J246" s="6">
        <v>64.2</v>
      </c>
      <c r="K246" s="6"/>
      <c r="L246" s="3">
        <v>7</v>
      </c>
      <c r="M246" s="6">
        <v>4</v>
      </c>
      <c r="N246" s="6"/>
      <c r="O246" s="5">
        <v>13.86</v>
      </c>
      <c r="P246" s="6">
        <v>571.4</v>
      </c>
      <c r="Q246" s="6">
        <v>40.700000000000003</v>
      </c>
      <c r="R246" s="8">
        <f t="shared" si="27"/>
        <v>7</v>
      </c>
      <c r="S246" s="9">
        <f t="shared" si="28"/>
        <v>4</v>
      </c>
      <c r="T246" s="9">
        <v>1</v>
      </c>
      <c r="U246" s="9">
        <f t="shared" si="29"/>
        <v>13.86</v>
      </c>
      <c r="V246" s="9">
        <f t="shared" si="30"/>
        <v>571.42857142857144</v>
      </c>
      <c r="W246" s="9">
        <f t="shared" si="31"/>
        <v>40.688826571428564</v>
      </c>
    </row>
    <row r="247" spans="1:23">
      <c r="A247" s="2" t="s">
        <v>299</v>
      </c>
      <c r="B247" s="2" t="s">
        <v>300</v>
      </c>
      <c r="C247" s="3">
        <v>14</v>
      </c>
      <c r="D247" s="3">
        <v>1.98</v>
      </c>
      <c r="E247" s="2" t="s">
        <v>308</v>
      </c>
      <c r="F247" s="4">
        <v>39476</v>
      </c>
      <c r="G247" s="3">
        <v>60.2</v>
      </c>
      <c r="H247" s="3">
        <v>3</v>
      </c>
      <c r="I247" s="4">
        <v>39490</v>
      </c>
      <c r="J247" s="3">
        <v>65.2</v>
      </c>
      <c r="K247" s="3">
        <v>3</v>
      </c>
      <c r="L247" s="3">
        <v>14</v>
      </c>
      <c r="M247" s="5">
        <v>5</v>
      </c>
      <c r="N247" s="5">
        <v>0</v>
      </c>
      <c r="O247" s="5">
        <v>27.72</v>
      </c>
      <c r="P247" s="5">
        <v>357.14285714285717</v>
      </c>
      <c r="Q247" s="5">
        <v>30.20908585714286</v>
      </c>
      <c r="R247" s="8">
        <f t="shared" si="27"/>
        <v>7</v>
      </c>
      <c r="S247" s="9">
        <f t="shared" si="28"/>
        <v>1</v>
      </c>
      <c r="T247" s="9">
        <v>1.5</v>
      </c>
      <c r="U247" s="9">
        <f t="shared" si="29"/>
        <v>13.86</v>
      </c>
      <c r="V247" s="9">
        <f t="shared" si="30"/>
        <v>142.85714285714286</v>
      </c>
      <c r="W247" s="9">
        <f t="shared" si="31"/>
        <v>19.644800142857143</v>
      </c>
    </row>
    <row r="248" spans="1:23">
      <c r="A248" s="2" t="s">
        <v>299</v>
      </c>
      <c r="B248" s="2" t="s">
        <v>300</v>
      </c>
      <c r="C248" s="3">
        <v>14</v>
      </c>
      <c r="D248" s="3">
        <v>1.98</v>
      </c>
      <c r="E248" s="2" t="s">
        <v>308</v>
      </c>
      <c r="F248" s="4">
        <v>39476</v>
      </c>
      <c r="G248" s="3">
        <v>60.2</v>
      </c>
      <c r="H248" s="3">
        <v>3</v>
      </c>
      <c r="I248" s="4">
        <v>39497</v>
      </c>
      <c r="J248" s="3">
        <v>66.599999999999994</v>
      </c>
      <c r="K248" s="3">
        <v>3</v>
      </c>
      <c r="L248" s="3">
        <v>21</v>
      </c>
      <c r="M248" s="5">
        <v>6.3999999999999915</v>
      </c>
      <c r="N248" s="5">
        <v>0</v>
      </c>
      <c r="O248" s="5">
        <v>41.58</v>
      </c>
      <c r="P248" s="5">
        <v>304.76190476190436</v>
      </c>
      <c r="Q248" s="5">
        <v>27.745067904761882</v>
      </c>
      <c r="R248" s="8">
        <f t="shared" ref="R248:R311" si="32">IF(I248-F248=0,0,I248-I247)</f>
        <v>7</v>
      </c>
      <c r="S248" s="9">
        <f t="shared" ref="S248:S311" si="33">IF(R248=0,J248-G248,J248-J247)</f>
        <v>1.3999999999999915</v>
      </c>
      <c r="T248" s="9">
        <v>1.5</v>
      </c>
      <c r="U248" s="9">
        <f t="shared" ref="U248:U311" si="34">D248*R248</f>
        <v>13.86</v>
      </c>
      <c r="V248" s="9">
        <f t="shared" ref="V248:V311" si="35">IF(R248=0,0,(S248/R248*1000))</f>
        <v>199.99999999999878</v>
      </c>
      <c r="W248" s="9">
        <f t="shared" ref="W248:W311" si="36">IF(R248=0,(((G248)*0.16909+(V248/1000)*49.3)+2),((((G248+J248)/2)*0.16909+(V248/1000)*49.3)+2))</f>
        <v>22.580305999999936</v>
      </c>
    </row>
    <row r="249" spans="1:23">
      <c r="A249" s="2" t="s">
        <v>299</v>
      </c>
      <c r="B249" s="2" t="s">
        <v>300</v>
      </c>
      <c r="C249" s="3">
        <v>14</v>
      </c>
      <c r="D249" s="3">
        <v>1.98</v>
      </c>
      <c r="E249" s="2" t="s">
        <v>308</v>
      </c>
      <c r="F249" s="4">
        <v>39476</v>
      </c>
      <c r="G249" s="3">
        <v>60.2</v>
      </c>
      <c r="H249" s="3">
        <v>3</v>
      </c>
      <c r="I249" s="4">
        <v>39503</v>
      </c>
      <c r="J249" s="3">
        <v>69</v>
      </c>
      <c r="K249" s="3">
        <v>3</v>
      </c>
      <c r="L249" s="3">
        <v>27</v>
      </c>
      <c r="M249" s="5">
        <v>8.7999999999999972</v>
      </c>
      <c r="N249" s="5">
        <v>0</v>
      </c>
      <c r="O249" s="5">
        <v>53.46</v>
      </c>
      <c r="P249" s="5">
        <v>325.92592592592587</v>
      </c>
      <c r="Q249" s="5">
        <v>28.991362148148141</v>
      </c>
      <c r="R249" s="8">
        <f t="shared" si="32"/>
        <v>6</v>
      </c>
      <c r="S249" s="9">
        <f t="shared" si="33"/>
        <v>2.4000000000000057</v>
      </c>
      <c r="T249" s="9">
        <v>1.5</v>
      </c>
      <c r="U249" s="9">
        <f t="shared" si="34"/>
        <v>11.879999999999999</v>
      </c>
      <c r="V249" s="9">
        <f t="shared" si="35"/>
        <v>400.00000000000097</v>
      </c>
      <c r="W249" s="9">
        <f t="shared" si="36"/>
        <v>32.643214000000043</v>
      </c>
    </row>
    <row r="250" spans="1:23">
      <c r="A250" s="2" t="s">
        <v>299</v>
      </c>
      <c r="B250" s="2" t="s">
        <v>300</v>
      </c>
      <c r="C250" s="3">
        <v>14</v>
      </c>
      <c r="D250" s="3">
        <v>1.98</v>
      </c>
      <c r="E250" s="2" t="s">
        <v>308</v>
      </c>
      <c r="F250" s="4">
        <v>39476</v>
      </c>
      <c r="G250" s="3">
        <v>60.2</v>
      </c>
      <c r="H250" s="3">
        <v>3</v>
      </c>
      <c r="I250" s="4">
        <v>39511</v>
      </c>
      <c r="J250" s="3">
        <v>69.599999999999994</v>
      </c>
      <c r="K250" s="6"/>
      <c r="L250" s="3">
        <v>35</v>
      </c>
      <c r="M250" s="5">
        <v>9.3999999999999915</v>
      </c>
      <c r="N250" s="6"/>
      <c r="O250" s="5">
        <v>69.3</v>
      </c>
      <c r="P250" s="5">
        <v>268.57142857142833</v>
      </c>
      <c r="Q250" s="5">
        <v>26.214512428571418</v>
      </c>
      <c r="R250" s="8">
        <f t="shared" si="32"/>
        <v>8</v>
      </c>
      <c r="S250" s="9">
        <f t="shared" si="33"/>
        <v>0.59999999999999432</v>
      </c>
      <c r="T250" s="9">
        <v>1.5</v>
      </c>
      <c r="U250" s="9">
        <f t="shared" si="34"/>
        <v>15.84</v>
      </c>
      <c r="V250" s="9">
        <f t="shared" si="35"/>
        <v>74.999999999999289</v>
      </c>
      <c r="W250" s="9">
        <f t="shared" si="36"/>
        <v>16.671440999999966</v>
      </c>
    </row>
    <row r="251" spans="1:23">
      <c r="A251" s="2" t="s">
        <v>299</v>
      </c>
      <c r="B251" s="2" t="s">
        <v>300</v>
      </c>
      <c r="C251" s="3">
        <v>14</v>
      </c>
      <c r="D251" s="3">
        <v>1.98</v>
      </c>
      <c r="E251" s="2" t="s">
        <v>308</v>
      </c>
      <c r="F251" s="4">
        <v>39476</v>
      </c>
      <c r="G251" s="3">
        <v>60.2</v>
      </c>
      <c r="H251" s="3">
        <v>3</v>
      </c>
      <c r="I251" s="4">
        <v>39518</v>
      </c>
      <c r="J251" s="3">
        <v>68.599999999999994</v>
      </c>
      <c r="K251" s="3">
        <v>3</v>
      </c>
      <c r="L251" s="3">
        <v>42</v>
      </c>
      <c r="M251" s="5">
        <v>8.3999999999999915</v>
      </c>
      <c r="N251" s="5">
        <v>0</v>
      </c>
      <c r="O251" s="5">
        <v>83.16</v>
      </c>
      <c r="P251" s="5">
        <v>199.9999999999998</v>
      </c>
      <c r="Q251" s="5">
        <v>22.74939599999999</v>
      </c>
      <c r="R251" s="8">
        <f t="shared" si="32"/>
        <v>7</v>
      </c>
      <c r="S251" s="9">
        <f t="shared" si="33"/>
        <v>-1</v>
      </c>
      <c r="T251" s="9">
        <v>1.5</v>
      </c>
      <c r="U251" s="9">
        <f t="shared" si="34"/>
        <v>13.86</v>
      </c>
      <c r="V251" s="9">
        <f t="shared" si="35"/>
        <v>-142.85714285714286</v>
      </c>
      <c r="W251" s="9">
        <f t="shared" si="36"/>
        <v>5.8465388571428578</v>
      </c>
    </row>
    <row r="252" spans="1:23">
      <c r="A252" s="2" t="s">
        <v>299</v>
      </c>
      <c r="B252" s="2" t="s">
        <v>300</v>
      </c>
      <c r="C252" s="3">
        <v>14</v>
      </c>
      <c r="D252" s="3">
        <v>1.98</v>
      </c>
      <c r="E252" s="2" t="s">
        <v>308</v>
      </c>
      <c r="F252" s="4">
        <v>39476</v>
      </c>
      <c r="G252" s="3">
        <v>60.2</v>
      </c>
      <c r="H252" s="3">
        <v>3</v>
      </c>
      <c r="I252" s="4">
        <v>39525</v>
      </c>
      <c r="J252" s="3">
        <v>69.2</v>
      </c>
      <c r="K252" s="3">
        <v>3</v>
      </c>
      <c r="L252" s="3">
        <v>49</v>
      </c>
      <c r="M252" s="5">
        <v>9</v>
      </c>
      <c r="N252" s="5">
        <v>0</v>
      </c>
      <c r="O252" s="5">
        <v>97.02</v>
      </c>
      <c r="P252" s="5">
        <v>183.67346938775512</v>
      </c>
      <c r="Q252" s="5">
        <v>21.995225040816326</v>
      </c>
      <c r="R252" s="8">
        <f t="shared" si="32"/>
        <v>7</v>
      </c>
      <c r="S252" s="9">
        <f t="shared" si="33"/>
        <v>0.60000000000000853</v>
      </c>
      <c r="T252" s="9">
        <v>1.5</v>
      </c>
      <c r="U252" s="9">
        <f t="shared" si="34"/>
        <v>13.86</v>
      </c>
      <c r="V252" s="9">
        <f t="shared" si="35"/>
        <v>85.71428571428693</v>
      </c>
      <c r="W252" s="9">
        <f t="shared" si="36"/>
        <v>17.165837285714346</v>
      </c>
    </row>
    <row r="253" spans="1:23">
      <c r="A253" s="2" t="s">
        <v>299</v>
      </c>
      <c r="B253" s="2" t="s">
        <v>300</v>
      </c>
      <c r="C253" s="3">
        <v>14</v>
      </c>
      <c r="D253" s="3">
        <v>1.98</v>
      </c>
      <c r="E253" s="2" t="s">
        <v>308</v>
      </c>
      <c r="F253" s="4">
        <v>39476</v>
      </c>
      <c r="G253" s="3">
        <v>60.2</v>
      </c>
      <c r="H253" s="3">
        <v>3</v>
      </c>
      <c r="I253" s="4">
        <v>39532</v>
      </c>
      <c r="J253" s="3">
        <v>65.8</v>
      </c>
      <c r="K253" s="3">
        <v>2.75</v>
      </c>
      <c r="L253" s="3">
        <v>56</v>
      </c>
      <c r="M253" s="5">
        <v>5.5999999999999943</v>
      </c>
      <c r="N253" s="5">
        <v>-0.25</v>
      </c>
      <c r="O253" s="5">
        <v>110.88</v>
      </c>
      <c r="P253" s="5">
        <v>99.999999999999901</v>
      </c>
      <c r="Q253" s="5">
        <v>17.582669999999993</v>
      </c>
      <c r="R253" s="8">
        <f t="shared" si="32"/>
        <v>7</v>
      </c>
      <c r="S253" s="9">
        <f t="shared" si="33"/>
        <v>-3.4000000000000057</v>
      </c>
      <c r="T253" s="9">
        <v>1.5</v>
      </c>
      <c r="U253" s="9">
        <f t="shared" si="34"/>
        <v>13.86</v>
      </c>
      <c r="V253" s="9">
        <f t="shared" si="35"/>
        <v>-485.71428571428652</v>
      </c>
      <c r="W253" s="9">
        <f t="shared" si="36"/>
        <v>-11.293044285714325</v>
      </c>
    </row>
    <row r="254" spans="1:23">
      <c r="A254" s="2" t="s">
        <v>299</v>
      </c>
      <c r="B254" s="2" t="s">
        <v>300</v>
      </c>
      <c r="C254" s="3">
        <v>14</v>
      </c>
      <c r="D254" s="3">
        <v>1.98</v>
      </c>
      <c r="E254" s="2" t="s">
        <v>309</v>
      </c>
      <c r="F254" s="4">
        <v>39476</v>
      </c>
      <c r="G254" s="3">
        <v>50.6</v>
      </c>
      <c r="H254" s="3">
        <v>1.75</v>
      </c>
      <c r="I254" s="4">
        <v>39476</v>
      </c>
      <c r="J254" s="3">
        <v>50.6</v>
      </c>
      <c r="K254" s="3">
        <v>1.75</v>
      </c>
      <c r="L254" s="3">
        <v>0</v>
      </c>
      <c r="M254" s="5">
        <v>0</v>
      </c>
      <c r="N254" s="5">
        <v>0</v>
      </c>
      <c r="O254" s="5">
        <v>0</v>
      </c>
      <c r="P254" s="5">
        <v>0</v>
      </c>
      <c r="Q254" s="5">
        <v>10.555954</v>
      </c>
      <c r="R254" s="8">
        <f t="shared" si="32"/>
        <v>0</v>
      </c>
      <c r="S254" s="9">
        <f t="shared" si="33"/>
        <v>0</v>
      </c>
      <c r="T254" s="9">
        <v>1.5</v>
      </c>
      <c r="U254" s="9">
        <f t="shared" si="34"/>
        <v>0</v>
      </c>
      <c r="V254" s="9">
        <f t="shared" si="35"/>
        <v>0</v>
      </c>
      <c r="W254" s="9">
        <f t="shared" si="36"/>
        <v>10.555954</v>
      </c>
    </row>
    <row r="255" spans="1:23">
      <c r="A255" s="2" t="s">
        <v>299</v>
      </c>
      <c r="B255" s="2" t="s">
        <v>300</v>
      </c>
      <c r="C255" s="3">
        <v>14</v>
      </c>
      <c r="D255" s="3">
        <v>1.98</v>
      </c>
      <c r="E255" s="2" t="s">
        <v>309</v>
      </c>
      <c r="F255" s="4">
        <v>39476</v>
      </c>
      <c r="G255" s="3">
        <v>50.6</v>
      </c>
      <c r="H255" s="3">
        <v>1.75</v>
      </c>
      <c r="I255" s="4">
        <v>39483</v>
      </c>
      <c r="J255" s="3">
        <v>60</v>
      </c>
      <c r="K255" s="6"/>
      <c r="L255" s="3">
        <v>7</v>
      </c>
      <c r="M255" s="5">
        <v>9.3999999999999986</v>
      </c>
      <c r="N255" s="6"/>
      <c r="O255" s="5">
        <v>13.86</v>
      </c>
      <c r="P255" s="5">
        <v>1342.8571428571427</v>
      </c>
      <c r="Q255" s="5">
        <v>77.553534142857131</v>
      </c>
      <c r="R255" s="8">
        <f t="shared" si="32"/>
        <v>7</v>
      </c>
      <c r="S255" s="9">
        <f t="shared" si="33"/>
        <v>9.3999999999999986</v>
      </c>
      <c r="T255" s="9">
        <v>1.5</v>
      </c>
      <c r="U255" s="9">
        <f t="shared" si="34"/>
        <v>13.86</v>
      </c>
      <c r="V255" s="9">
        <f t="shared" si="35"/>
        <v>1342.8571428571427</v>
      </c>
      <c r="W255" s="9">
        <f t="shared" si="36"/>
        <v>77.553534142857131</v>
      </c>
    </row>
    <row r="256" spans="1:23">
      <c r="A256" s="2" t="s">
        <v>299</v>
      </c>
      <c r="B256" s="2" t="s">
        <v>300</v>
      </c>
      <c r="C256" s="3">
        <v>14</v>
      </c>
      <c r="D256" s="3">
        <v>1.98</v>
      </c>
      <c r="E256" s="2" t="s">
        <v>309</v>
      </c>
      <c r="F256" s="4">
        <v>39476</v>
      </c>
      <c r="G256" s="3">
        <v>50.6</v>
      </c>
      <c r="H256" s="3">
        <v>1.75</v>
      </c>
      <c r="I256" s="4">
        <v>39490</v>
      </c>
      <c r="J256" s="3">
        <v>59</v>
      </c>
      <c r="K256" s="3">
        <v>2</v>
      </c>
      <c r="L256" s="3">
        <v>14</v>
      </c>
      <c r="M256" s="5">
        <v>8.3999999999999986</v>
      </c>
      <c r="N256" s="5">
        <v>0.25</v>
      </c>
      <c r="O256" s="5">
        <v>27.72</v>
      </c>
      <c r="P256" s="5">
        <v>599.99999999999989</v>
      </c>
      <c r="Q256" s="5">
        <v>40.84613199999999</v>
      </c>
      <c r="R256" s="8">
        <f t="shared" si="32"/>
        <v>7</v>
      </c>
      <c r="S256" s="9">
        <f t="shared" si="33"/>
        <v>-1</v>
      </c>
      <c r="T256" s="9">
        <v>1.5</v>
      </c>
      <c r="U256" s="9">
        <f t="shared" si="34"/>
        <v>13.86</v>
      </c>
      <c r="V256" s="9">
        <f t="shared" si="35"/>
        <v>-142.85714285714286</v>
      </c>
      <c r="W256" s="9">
        <f t="shared" si="36"/>
        <v>4.2232748571428571</v>
      </c>
    </row>
    <row r="257" spans="1:23">
      <c r="A257" s="2" t="s">
        <v>299</v>
      </c>
      <c r="B257" s="2" t="s">
        <v>300</v>
      </c>
      <c r="C257" s="3">
        <v>14</v>
      </c>
      <c r="D257" s="3">
        <v>1.98</v>
      </c>
      <c r="E257" s="2" t="s">
        <v>309</v>
      </c>
      <c r="F257" s="4">
        <v>39476</v>
      </c>
      <c r="G257" s="3">
        <v>50.6</v>
      </c>
      <c r="H257" s="3">
        <v>1.75</v>
      </c>
      <c r="I257" s="4">
        <v>39497</v>
      </c>
      <c r="J257" s="3">
        <v>60.2</v>
      </c>
      <c r="K257" s="3">
        <v>1.75</v>
      </c>
      <c r="L257" s="3">
        <v>21</v>
      </c>
      <c r="M257" s="5">
        <v>9.6000000000000014</v>
      </c>
      <c r="N257" s="5">
        <v>0</v>
      </c>
      <c r="O257" s="5">
        <v>41.58</v>
      </c>
      <c r="P257" s="5">
        <v>457.14285714285717</v>
      </c>
      <c r="Q257" s="5">
        <v>33.904728857142857</v>
      </c>
      <c r="R257" s="8">
        <f t="shared" si="32"/>
        <v>7</v>
      </c>
      <c r="S257" s="9">
        <f t="shared" si="33"/>
        <v>1.2000000000000028</v>
      </c>
      <c r="T257" s="9">
        <v>1.5</v>
      </c>
      <c r="U257" s="9">
        <f t="shared" si="34"/>
        <v>13.86</v>
      </c>
      <c r="V257" s="9">
        <f t="shared" si="35"/>
        <v>171.42857142857184</v>
      </c>
      <c r="W257" s="9">
        <f t="shared" si="36"/>
        <v>19.819014571428593</v>
      </c>
    </row>
    <row r="258" spans="1:23">
      <c r="A258" s="2" t="s">
        <v>299</v>
      </c>
      <c r="B258" s="2" t="s">
        <v>300</v>
      </c>
      <c r="C258" s="3">
        <v>14</v>
      </c>
      <c r="D258" s="3">
        <v>1.98</v>
      </c>
      <c r="E258" s="2" t="s">
        <v>309</v>
      </c>
      <c r="F258" s="4">
        <v>39476</v>
      </c>
      <c r="G258" s="3">
        <v>50.6</v>
      </c>
      <c r="H258" s="3">
        <v>1.75</v>
      </c>
      <c r="I258" s="4">
        <v>39503</v>
      </c>
      <c r="J258" s="3">
        <v>62.4</v>
      </c>
      <c r="K258" s="3">
        <v>2</v>
      </c>
      <c r="L258" s="3">
        <v>27</v>
      </c>
      <c r="M258" s="5">
        <v>11.799999999999997</v>
      </c>
      <c r="N258" s="5">
        <v>0.25</v>
      </c>
      <c r="O258" s="5">
        <v>53.46</v>
      </c>
      <c r="P258" s="5">
        <v>437.03703703703695</v>
      </c>
      <c r="Q258" s="5">
        <v>33.099510925925919</v>
      </c>
      <c r="R258" s="8">
        <f t="shared" si="32"/>
        <v>6</v>
      </c>
      <c r="S258" s="9">
        <f t="shared" si="33"/>
        <v>2.1999999999999957</v>
      </c>
      <c r="T258" s="9">
        <v>1.5</v>
      </c>
      <c r="U258" s="9">
        <f t="shared" si="34"/>
        <v>11.879999999999999</v>
      </c>
      <c r="V258" s="9">
        <f t="shared" si="35"/>
        <v>366.66666666666595</v>
      </c>
      <c r="W258" s="9">
        <f t="shared" si="36"/>
        <v>29.630251666666631</v>
      </c>
    </row>
    <row r="259" spans="1:23">
      <c r="A259" s="2" t="s">
        <v>299</v>
      </c>
      <c r="B259" s="2" t="s">
        <v>300</v>
      </c>
      <c r="C259" s="3">
        <v>14</v>
      </c>
      <c r="D259" s="3">
        <v>1.98</v>
      </c>
      <c r="E259" s="2" t="s">
        <v>309</v>
      </c>
      <c r="F259" s="4">
        <v>39476</v>
      </c>
      <c r="G259" s="3">
        <v>50.6</v>
      </c>
      <c r="H259" s="3">
        <v>1.75</v>
      </c>
      <c r="I259" s="4">
        <v>39511</v>
      </c>
      <c r="J259" s="3">
        <v>63.6</v>
      </c>
      <c r="K259" s="6"/>
      <c r="L259" s="3">
        <v>35</v>
      </c>
      <c r="M259" s="5">
        <v>13</v>
      </c>
      <c r="N259" s="6"/>
      <c r="O259" s="5">
        <v>69.3</v>
      </c>
      <c r="P259" s="5">
        <v>371.42857142857144</v>
      </c>
      <c r="Q259" s="5">
        <v>29.966467571428574</v>
      </c>
      <c r="R259" s="8">
        <f t="shared" si="32"/>
        <v>8</v>
      </c>
      <c r="S259" s="9">
        <f t="shared" si="33"/>
        <v>1.2000000000000028</v>
      </c>
      <c r="T259" s="9">
        <v>1.5</v>
      </c>
      <c r="U259" s="9">
        <f t="shared" si="34"/>
        <v>15.84</v>
      </c>
      <c r="V259" s="9">
        <f t="shared" si="35"/>
        <v>150.00000000000034</v>
      </c>
      <c r="W259" s="9">
        <f t="shared" si="36"/>
        <v>19.050039000000016</v>
      </c>
    </row>
    <row r="260" spans="1:23">
      <c r="A260" s="2" t="s">
        <v>299</v>
      </c>
      <c r="B260" s="2" t="s">
        <v>300</v>
      </c>
      <c r="C260" s="3">
        <v>14</v>
      </c>
      <c r="D260" s="3">
        <v>1.98</v>
      </c>
      <c r="E260" s="2" t="s">
        <v>309</v>
      </c>
      <c r="F260" s="4">
        <v>39476</v>
      </c>
      <c r="G260" s="3">
        <v>50.6</v>
      </c>
      <c r="H260" s="3">
        <v>1.75</v>
      </c>
      <c r="I260" s="4">
        <v>39518</v>
      </c>
      <c r="J260" s="3">
        <v>63.8</v>
      </c>
      <c r="K260" s="3">
        <v>2</v>
      </c>
      <c r="L260" s="3">
        <v>42</v>
      </c>
      <c r="M260" s="5">
        <v>13.199999999999996</v>
      </c>
      <c r="N260" s="5">
        <v>0.25</v>
      </c>
      <c r="O260" s="5">
        <v>83.16</v>
      </c>
      <c r="P260" s="5">
        <v>314.28571428571416</v>
      </c>
      <c r="Q260" s="5">
        <v>27.16623371428571</v>
      </c>
      <c r="R260" s="8">
        <f t="shared" si="32"/>
        <v>7</v>
      </c>
      <c r="S260" s="9">
        <f t="shared" si="33"/>
        <v>0.19999999999999574</v>
      </c>
      <c r="T260" s="9">
        <v>1.5</v>
      </c>
      <c r="U260" s="9">
        <f t="shared" si="34"/>
        <v>13.86</v>
      </c>
      <c r="V260" s="9">
        <f t="shared" si="35"/>
        <v>28.571428571427962</v>
      </c>
      <c r="W260" s="9">
        <f t="shared" si="36"/>
        <v>13.080519428571399</v>
      </c>
    </row>
    <row r="261" spans="1:23">
      <c r="A261" s="2" t="s">
        <v>299</v>
      </c>
      <c r="B261" s="2" t="s">
        <v>300</v>
      </c>
      <c r="C261" s="3">
        <v>14</v>
      </c>
      <c r="D261" s="3">
        <v>1.98</v>
      </c>
      <c r="E261" s="2" t="s">
        <v>309</v>
      </c>
      <c r="F261" s="4">
        <v>39476</v>
      </c>
      <c r="G261" s="3">
        <v>50.6</v>
      </c>
      <c r="H261" s="3">
        <v>1.75</v>
      </c>
      <c r="I261" s="4">
        <v>39525</v>
      </c>
      <c r="J261" s="3">
        <v>62.6</v>
      </c>
      <c r="K261" s="3">
        <v>1.75</v>
      </c>
      <c r="L261" s="3">
        <v>49</v>
      </c>
      <c r="M261" s="5">
        <v>12</v>
      </c>
      <c r="N261" s="5">
        <v>0</v>
      </c>
      <c r="O261" s="5">
        <v>97.02</v>
      </c>
      <c r="P261" s="5">
        <v>244.89795918367346</v>
      </c>
      <c r="Q261" s="5">
        <v>23.6439633877551</v>
      </c>
      <c r="R261" s="8">
        <f t="shared" si="32"/>
        <v>7</v>
      </c>
      <c r="S261" s="9">
        <f t="shared" si="33"/>
        <v>-1.1999999999999957</v>
      </c>
      <c r="T261" s="9">
        <v>1.5</v>
      </c>
      <c r="U261" s="9">
        <f t="shared" si="34"/>
        <v>13.86</v>
      </c>
      <c r="V261" s="9">
        <f t="shared" si="35"/>
        <v>-171.42857142857082</v>
      </c>
      <c r="W261" s="9">
        <f t="shared" si="36"/>
        <v>3.1190654285714583</v>
      </c>
    </row>
    <row r="262" spans="1:23">
      <c r="A262" s="2" t="s">
        <v>299</v>
      </c>
      <c r="B262" s="2" t="s">
        <v>300</v>
      </c>
      <c r="C262" s="3">
        <v>14</v>
      </c>
      <c r="D262" s="3">
        <v>1.98</v>
      </c>
      <c r="E262" s="2" t="s">
        <v>309</v>
      </c>
      <c r="F262" s="4">
        <v>39476</v>
      </c>
      <c r="G262" s="3">
        <v>50.6</v>
      </c>
      <c r="H262" s="3">
        <v>1.75</v>
      </c>
      <c r="I262" s="4">
        <v>39532</v>
      </c>
      <c r="J262" s="3">
        <v>65.2</v>
      </c>
      <c r="K262" s="3">
        <v>1.75</v>
      </c>
      <c r="L262" s="3">
        <v>56</v>
      </c>
      <c r="M262" s="5">
        <v>14.600000000000001</v>
      </c>
      <c r="N262" s="5">
        <v>0</v>
      </c>
      <c r="O262" s="5">
        <v>110.88</v>
      </c>
      <c r="P262" s="5">
        <v>260.71428571428572</v>
      </c>
      <c r="Q262" s="5">
        <v>24.643525285714286</v>
      </c>
      <c r="R262" s="8">
        <f t="shared" si="32"/>
        <v>7</v>
      </c>
      <c r="S262" s="9">
        <f t="shared" si="33"/>
        <v>2.6000000000000014</v>
      </c>
      <c r="T262" s="9">
        <v>1.5</v>
      </c>
      <c r="U262" s="9">
        <f t="shared" si="34"/>
        <v>13.86</v>
      </c>
      <c r="V262" s="9">
        <f t="shared" si="35"/>
        <v>371.42857142857162</v>
      </c>
      <c r="W262" s="9">
        <f t="shared" si="36"/>
        <v>30.101739571428581</v>
      </c>
    </row>
    <row r="263" spans="1:23">
      <c r="A263" s="2" t="s">
        <v>299</v>
      </c>
      <c r="B263" s="2" t="s">
        <v>300</v>
      </c>
      <c r="C263" s="3">
        <v>14</v>
      </c>
      <c r="D263" s="3">
        <v>1.98</v>
      </c>
      <c r="E263" s="2" t="s">
        <v>310</v>
      </c>
      <c r="F263" s="4">
        <v>39476</v>
      </c>
      <c r="G263" s="3">
        <v>63.2</v>
      </c>
      <c r="H263" s="3">
        <v>2.5</v>
      </c>
      <c r="I263" s="4">
        <v>39476</v>
      </c>
      <c r="J263" s="3">
        <v>63.2</v>
      </c>
      <c r="K263" s="3">
        <v>2.5</v>
      </c>
      <c r="L263" s="3">
        <v>0</v>
      </c>
      <c r="M263" s="5">
        <v>0</v>
      </c>
      <c r="N263" s="5">
        <v>0</v>
      </c>
      <c r="O263" s="5">
        <v>0</v>
      </c>
      <c r="P263" s="5">
        <v>0</v>
      </c>
      <c r="Q263" s="5">
        <v>12.686488000000001</v>
      </c>
      <c r="R263" s="8">
        <f t="shared" si="32"/>
        <v>0</v>
      </c>
      <c r="S263" s="9">
        <f t="shared" si="33"/>
        <v>0</v>
      </c>
      <c r="T263" s="9">
        <v>1.5</v>
      </c>
      <c r="U263" s="9">
        <f t="shared" si="34"/>
        <v>0</v>
      </c>
      <c r="V263" s="9">
        <f t="shared" si="35"/>
        <v>0</v>
      </c>
      <c r="W263" s="9">
        <f t="shared" si="36"/>
        <v>12.686488000000001</v>
      </c>
    </row>
    <row r="264" spans="1:23">
      <c r="A264" s="2" t="s">
        <v>299</v>
      </c>
      <c r="B264" s="2" t="s">
        <v>300</v>
      </c>
      <c r="C264" s="3">
        <v>14</v>
      </c>
      <c r="D264" s="3">
        <v>1.98</v>
      </c>
      <c r="E264" s="2" t="s">
        <v>310</v>
      </c>
      <c r="F264" s="4">
        <v>39476</v>
      </c>
      <c r="G264" s="3">
        <v>63.2</v>
      </c>
      <c r="H264" s="3">
        <v>2.5</v>
      </c>
      <c r="I264" s="4">
        <v>39483</v>
      </c>
      <c r="J264" s="3">
        <v>68.599999999999994</v>
      </c>
      <c r="K264" s="6"/>
      <c r="L264" s="3">
        <v>7</v>
      </c>
      <c r="M264" s="5">
        <v>5.3999999999999915</v>
      </c>
      <c r="N264" s="6"/>
      <c r="O264" s="5">
        <v>13.86</v>
      </c>
      <c r="P264" s="5">
        <v>771.42857142857019</v>
      </c>
      <c r="Q264" s="5">
        <v>51.174459571428514</v>
      </c>
      <c r="R264" s="8">
        <f t="shared" si="32"/>
        <v>7</v>
      </c>
      <c r="S264" s="9">
        <f t="shared" si="33"/>
        <v>5.3999999999999915</v>
      </c>
      <c r="T264" s="9">
        <v>1.5</v>
      </c>
      <c r="U264" s="9">
        <f t="shared" si="34"/>
        <v>13.86</v>
      </c>
      <c r="V264" s="9">
        <f t="shared" si="35"/>
        <v>771.42857142857019</v>
      </c>
      <c r="W264" s="9">
        <f t="shared" si="36"/>
        <v>51.174459571428514</v>
      </c>
    </row>
    <row r="265" spans="1:23">
      <c r="A265" s="2" t="s">
        <v>299</v>
      </c>
      <c r="B265" s="2" t="s">
        <v>300</v>
      </c>
      <c r="C265" s="3">
        <v>14</v>
      </c>
      <c r="D265" s="3">
        <v>1.98</v>
      </c>
      <c r="E265" s="2" t="s">
        <v>310</v>
      </c>
      <c r="F265" s="4">
        <v>39476</v>
      </c>
      <c r="G265" s="3">
        <v>63.2</v>
      </c>
      <c r="H265" s="3">
        <v>2.5</v>
      </c>
      <c r="I265" s="4">
        <v>39490</v>
      </c>
      <c r="J265" s="3">
        <v>70.2</v>
      </c>
      <c r="K265" s="3">
        <v>2.5</v>
      </c>
      <c r="L265" s="3">
        <v>14</v>
      </c>
      <c r="M265" s="5">
        <v>7</v>
      </c>
      <c r="N265" s="5">
        <v>0</v>
      </c>
      <c r="O265" s="5">
        <v>27.72</v>
      </c>
      <c r="P265" s="5">
        <v>500</v>
      </c>
      <c r="Q265" s="5">
        <v>37.928303</v>
      </c>
      <c r="R265" s="8">
        <f t="shared" si="32"/>
        <v>7</v>
      </c>
      <c r="S265" s="9">
        <f t="shared" si="33"/>
        <v>1.6000000000000085</v>
      </c>
      <c r="T265" s="9">
        <v>1.5</v>
      </c>
      <c r="U265" s="9">
        <f t="shared" si="34"/>
        <v>13.86</v>
      </c>
      <c r="V265" s="9">
        <f t="shared" si="35"/>
        <v>228.57142857142978</v>
      </c>
      <c r="W265" s="9">
        <f t="shared" si="36"/>
        <v>24.546874428571485</v>
      </c>
    </row>
    <row r="266" spans="1:23">
      <c r="A266" s="2" t="s">
        <v>299</v>
      </c>
      <c r="B266" s="2" t="s">
        <v>300</v>
      </c>
      <c r="C266" s="3">
        <v>14</v>
      </c>
      <c r="D266" s="3">
        <v>1.98</v>
      </c>
      <c r="E266" s="2" t="s">
        <v>310</v>
      </c>
      <c r="F266" s="4">
        <v>39476</v>
      </c>
      <c r="G266" s="3">
        <v>63.2</v>
      </c>
      <c r="H266" s="3">
        <v>2.5</v>
      </c>
      <c r="I266" s="4">
        <v>39497</v>
      </c>
      <c r="J266" s="3">
        <v>69</v>
      </c>
      <c r="K266" s="3">
        <v>2.5</v>
      </c>
      <c r="L266" s="3">
        <v>21</v>
      </c>
      <c r="M266" s="5">
        <v>5.7999999999999972</v>
      </c>
      <c r="N266" s="5">
        <v>0</v>
      </c>
      <c r="O266" s="5">
        <v>41.58</v>
      </c>
      <c r="P266" s="5">
        <v>276.19047619047603</v>
      </c>
      <c r="Q266" s="5">
        <v>26.793039476190465</v>
      </c>
      <c r="R266" s="8">
        <f t="shared" si="32"/>
        <v>7</v>
      </c>
      <c r="S266" s="9">
        <f t="shared" si="33"/>
        <v>-1.2000000000000028</v>
      </c>
      <c r="T266" s="9">
        <v>1.5</v>
      </c>
      <c r="U266" s="9">
        <f t="shared" si="34"/>
        <v>13.86</v>
      </c>
      <c r="V266" s="9">
        <f t="shared" si="35"/>
        <v>-171.42857142857184</v>
      </c>
      <c r="W266" s="9">
        <f t="shared" si="36"/>
        <v>4.7254204285714074</v>
      </c>
    </row>
    <row r="267" spans="1:23">
      <c r="A267" s="2" t="s">
        <v>299</v>
      </c>
      <c r="B267" s="2" t="s">
        <v>300</v>
      </c>
      <c r="C267" s="3">
        <v>14</v>
      </c>
      <c r="D267" s="3">
        <v>1.98</v>
      </c>
      <c r="E267" s="2" t="s">
        <v>310</v>
      </c>
      <c r="F267" s="4">
        <v>39476</v>
      </c>
      <c r="G267" s="3">
        <v>63.2</v>
      </c>
      <c r="H267" s="3">
        <v>2.5</v>
      </c>
      <c r="I267" s="4">
        <v>39503</v>
      </c>
      <c r="J267" s="3">
        <v>72</v>
      </c>
      <c r="K267" s="3">
        <v>2.5</v>
      </c>
      <c r="L267" s="3">
        <v>27</v>
      </c>
      <c r="M267" s="5">
        <v>8.7999999999999972</v>
      </c>
      <c r="N267" s="5">
        <v>0</v>
      </c>
      <c r="O267" s="5">
        <v>53.46</v>
      </c>
      <c r="P267" s="5">
        <v>325.92592592592587</v>
      </c>
      <c r="Q267" s="5">
        <v>29.49863214814814</v>
      </c>
      <c r="R267" s="8">
        <f t="shared" si="32"/>
        <v>6</v>
      </c>
      <c r="S267" s="9">
        <f t="shared" si="33"/>
        <v>3</v>
      </c>
      <c r="T267" s="9">
        <v>1.5</v>
      </c>
      <c r="U267" s="9">
        <f t="shared" si="34"/>
        <v>11.879999999999999</v>
      </c>
      <c r="V267" s="9">
        <f t="shared" si="35"/>
        <v>500</v>
      </c>
      <c r="W267" s="9">
        <f t="shared" si="36"/>
        <v>38.080483999999998</v>
      </c>
    </row>
    <row r="268" spans="1:23">
      <c r="A268" s="2" t="s">
        <v>299</v>
      </c>
      <c r="B268" s="2" t="s">
        <v>300</v>
      </c>
      <c r="C268" s="3">
        <v>14</v>
      </c>
      <c r="D268" s="3">
        <v>1.98</v>
      </c>
      <c r="E268" s="2" t="s">
        <v>310</v>
      </c>
      <c r="F268" s="4">
        <v>39476</v>
      </c>
      <c r="G268" s="3">
        <v>63.2</v>
      </c>
      <c r="H268" s="3">
        <v>2.5</v>
      </c>
      <c r="I268" s="4">
        <v>39511</v>
      </c>
      <c r="J268" s="3">
        <v>73.8</v>
      </c>
      <c r="K268" s="6"/>
      <c r="L268" s="3">
        <v>35</v>
      </c>
      <c r="M268" s="5">
        <v>10.599999999999994</v>
      </c>
      <c r="N268" s="6"/>
      <c r="O268" s="5">
        <v>69.3</v>
      </c>
      <c r="P268" s="5">
        <v>302.85714285714272</v>
      </c>
      <c r="Q268" s="5">
        <v>28.513522142857134</v>
      </c>
      <c r="R268" s="8">
        <f t="shared" si="32"/>
        <v>8</v>
      </c>
      <c r="S268" s="9">
        <f t="shared" si="33"/>
        <v>1.7999999999999972</v>
      </c>
      <c r="T268" s="9">
        <v>1.5</v>
      </c>
      <c r="U268" s="9">
        <f t="shared" si="34"/>
        <v>15.84</v>
      </c>
      <c r="V268" s="9">
        <f t="shared" si="35"/>
        <v>224.99999999999966</v>
      </c>
      <c r="W268" s="9">
        <f t="shared" si="36"/>
        <v>24.675164999999982</v>
      </c>
    </row>
    <row r="269" spans="1:23">
      <c r="A269" s="2" t="s">
        <v>299</v>
      </c>
      <c r="B269" s="2" t="s">
        <v>300</v>
      </c>
      <c r="C269" s="3">
        <v>14</v>
      </c>
      <c r="D269" s="3">
        <v>1.98</v>
      </c>
      <c r="E269" s="2" t="s">
        <v>310</v>
      </c>
      <c r="F269" s="4">
        <v>39476</v>
      </c>
      <c r="G269" s="3">
        <v>63.2</v>
      </c>
      <c r="H269" s="3">
        <v>2.5</v>
      </c>
      <c r="I269" s="4">
        <v>39518</v>
      </c>
      <c r="J269" s="3">
        <v>72</v>
      </c>
      <c r="K269" s="3">
        <v>3.5</v>
      </c>
      <c r="L269" s="3">
        <v>42</v>
      </c>
      <c r="M269" s="5">
        <v>8.7999999999999972</v>
      </c>
      <c r="N269" s="5">
        <v>1</v>
      </c>
      <c r="O269" s="5">
        <v>83.16</v>
      </c>
      <c r="P269" s="5">
        <v>209.52380952380943</v>
      </c>
      <c r="Q269" s="5">
        <v>23.760007809523803</v>
      </c>
      <c r="R269" s="8">
        <f t="shared" si="32"/>
        <v>7</v>
      </c>
      <c r="S269" s="9">
        <f t="shared" si="33"/>
        <v>-1.7999999999999972</v>
      </c>
      <c r="T269" s="9">
        <v>1.5</v>
      </c>
      <c r="U269" s="9">
        <f t="shared" si="34"/>
        <v>13.86</v>
      </c>
      <c r="V269" s="9">
        <f t="shared" si="35"/>
        <v>-257.14285714285671</v>
      </c>
      <c r="W269" s="9">
        <f t="shared" si="36"/>
        <v>0.75334114285716147</v>
      </c>
    </row>
    <row r="270" spans="1:23">
      <c r="A270" s="2" t="s">
        <v>299</v>
      </c>
      <c r="B270" s="2" t="s">
        <v>300</v>
      </c>
      <c r="C270" s="3">
        <v>14</v>
      </c>
      <c r="D270" s="3">
        <v>1.98</v>
      </c>
      <c r="E270" s="2" t="s">
        <v>310</v>
      </c>
      <c r="F270" s="4">
        <v>39476</v>
      </c>
      <c r="G270" s="3">
        <v>63.2</v>
      </c>
      <c r="H270" s="3">
        <v>2.5</v>
      </c>
      <c r="I270" s="4">
        <v>39525</v>
      </c>
      <c r="J270" s="3">
        <v>69.2</v>
      </c>
      <c r="K270" s="3">
        <v>2.5</v>
      </c>
      <c r="L270" s="3">
        <v>49</v>
      </c>
      <c r="M270" s="5">
        <v>6</v>
      </c>
      <c r="N270" s="5">
        <v>0</v>
      </c>
      <c r="O270" s="5">
        <v>97.02</v>
      </c>
      <c r="P270" s="5">
        <v>122.44897959183673</v>
      </c>
      <c r="Q270" s="5">
        <v>19.230492693877551</v>
      </c>
      <c r="R270" s="8">
        <f t="shared" si="32"/>
        <v>7</v>
      </c>
      <c r="S270" s="9">
        <f t="shared" si="33"/>
        <v>-2.7999999999999972</v>
      </c>
      <c r="T270" s="9">
        <v>1.5</v>
      </c>
      <c r="U270" s="9">
        <f t="shared" si="34"/>
        <v>13.86</v>
      </c>
      <c r="V270" s="9">
        <f t="shared" si="35"/>
        <v>-399.9999999999996</v>
      </c>
      <c r="W270" s="9">
        <f t="shared" si="36"/>
        <v>-6.5262419999999786</v>
      </c>
    </row>
    <row r="271" spans="1:23">
      <c r="A271" s="2" t="s">
        <v>299</v>
      </c>
      <c r="B271" s="2" t="s">
        <v>300</v>
      </c>
      <c r="C271" s="3">
        <v>14</v>
      </c>
      <c r="D271" s="3">
        <v>1.98</v>
      </c>
      <c r="E271" s="2" t="s">
        <v>310</v>
      </c>
      <c r="F271" s="4">
        <v>39476</v>
      </c>
      <c r="G271" s="3">
        <v>63.2</v>
      </c>
      <c r="H271" s="3">
        <v>2.5</v>
      </c>
      <c r="I271" s="4">
        <v>39532</v>
      </c>
      <c r="J271" s="3">
        <v>68.400000000000006</v>
      </c>
      <c r="K271" s="3">
        <v>2.5</v>
      </c>
      <c r="L271" s="3">
        <v>56</v>
      </c>
      <c r="M271" s="5">
        <v>5.2000000000000028</v>
      </c>
      <c r="N271" s="5">
        <v>0</v>
      </c>
      <c r="O271" s="5">
        <v>110.88</v>
      </c>
      <c r="P271" s="5">
        <v>92.857142857142904</v>
      </c>
      <c r="Q271" s="5">
        <v>17.703979142857143</v>
      </c>
      <c r="R271" s="8">
        <f t="shared" si="32"/>
        <v>7</v>
      </c>
      <c r="S271" s="9">
        <f t="shared" si="33"/>
        <v>-0.79999999999999716</v>
      </c>
      <c r="T271" s="9">
        <v>1.5</v>
      </c>
      <c r="U271" s="9">
        <f t="shared" si="34"/>
        <v>13.86</v>
      </c>
      <c r="V271" s="9">
        <f t="shared" si="35"/>
        <v>-114.28571428571388</v>
      </c>
      <c r="W271" s="9">
        <f t="shared" si="36"/>
        <v>7.4918362857143066</v>
      </c>
    </row>
    <row r="272" spans="1:23">
      <c r="A272" s="2" t="s">
        <v>299</v>
      </c>
      <c r="B272" s="2" t="s">
        <v>300</v>
      </c>
      <c r="C272" s="3">
        <v>14</v>
      </c>
      <c r="D272" s="3">
        <v>1.98</v>
      </c>
      <c r="E272" s="2" t="s">
        <v>311</v>
      </c>
      <c r="F272" s="4">
        <v>39476</v>
      </c>
      <c r="G272" s="3">
        <v>57.2</v>
      </c>
      <c r="H272" s="3">
        <v>3.5</v>
      </c>
      <c r="I272" s="4">
        <v>39476</v>
      </c>
      <c r="J272" s="3">
        <v>57.2</v>
      </c>
      <c r="K272" s="3">
        <v>3.5</v>
      </c>
      <c r="L272" s="3">
        <v>0</v>
      </c>
      <c r="M272" s="5">
        <v>0</v>
      </c>
      <c r="N272" s="5">
        <v>0</v>
      </c>
      <c r="O272" s="5">
        <v>0</v>
      </c>
      <c r="P272" s="5">
        <v>0</v>
      </c>
      <c r="Q272" s="5">
        <v>11.671948</v>
      </c>
      <c r="R272" s="8">
        <f t="shared" si="32"/>
        <v>0</v>
      </c>
      <c r="S272" s="9">
        <f t="shared" si="33"/>
        <v>0</v>
      </c>
      <c r="T272" s="9">
        <v>1.5</v>
      </c>
      <c r="U272" s="9">
        <f t="shared" si="34"/>
        <v>0</v>
      </c>
      <c r="V272" s="9">
        <f t="shared" si="35"/>
        <v>0</v>
      </c>
      <c r="W272" s="9">
        <f t="shared" si="36"/>
        <v>11.671948</v>
      </c>
    </row>
    <row r="273" spans="1:23">
      <c r="A273" s="2" t="s">
        <v>299</v>
      </c>
      <c r="B273" s="2" t="s">
        <v>300</v>
      </c>
      <c r="C273" s="3">
        <v>14</v>
      </c>
      <c r="D273" s="3">
        <v>1.98</v>
      </c>
      <c r="E273" s="2" t="s">
        <v>311</v>
      </c>
      <c r="F273" s="4">
        <v>39476</v>
      </c>
      <c r="G273" s="3">
        <v>57.2</v>
      </c>
      <c r="H273" s="3">
        <v>3.5</v>
      </c>
      <c r="I273" s="4">
        <v>39483</v>
      </c>
      <c r="J273" s="3">
        <v>65.2</v>
      </c>
      <c r="K273" s="6"/>
      <c r="L273" s="3">
        <v>7</v>
      </c>
      <c r="M273" s="5">
        <v>8</v>
      </c>
      <c r="N273" s="6"/>
      <c r="O273" s="5">
        <v>13.86</v>
      </c>
      <c r="P273" s="5">
        <v>1142.8571428571429</v>
      </c>
      <c r="Q273" s="5">
        <v>68.69116514285713</v>
      </c>
      <c r="R273" s="8">
        <f t="shared" si="32"/>
        <v>7</v>
      </c>
      <c r="S273" s="9">
        <f t="shared" si="33"/>
        <v>8</v>
      </c>
      <c r="T273" s="9">
        <v>1.5</v>
      </c>
      <c r="U273" s="9">
        <f t="shared" si="34"/>
        <v>13.86</v>
      </c>
      <c r="V273" s="9">
        <f t="shared" si="35"/>
        <v>1142.8571428571429</v>
      </c>
      <c r="W273" s="9">
        <f t="shared" si="36"/>
        <v>68.69116514285713</v>
      </c>
    </row>
    <row r="274" spans="1:23">
      <c r="A274" s="2" t="s">
        <v>299</v>
      </c>
      <c r="B274" s="2" t="s">
        <v>300</v>
      </c>
      <c r="C274" s="3">
        <v>14</v>
      </c>
      <c r="D274" s="3">
        <v>1.98</v>
      </c>
      <c r="E274" s="2" t="s">
        <v>311</v>
      </c>
      <c r="F274" s="4">
        <v>39476</v>
      </c>
      <c r="G274" s="3">
        <v>57.2</v>
      </c>
      <c r="H274" s="3">
        <v>3.5</v>
      </c>
      <c r="I274" s="4">
        <v>39490</v>
      </c>
      <c r="J274" s="3">
        <v>62.6</v>
      </c>
      <c r="K274" s="3">
        <v>3.5</v>
      </c>
      <c r="L274" s="3">
        <v>14</v>
      </c>
      <c r="M274" s="5">
        <v>5.3999999999999986</v>
      </c>
      <c r="N274" s="5">
        <v>0</v>
      </c>
      <c r="O274" s="5">
        <v>27.72</v>
      </c>
      <c r="P274" s="5">
        <v>385.71428571428561</v>
      </c>
      <c r="Q274" s="5">
        <v>31.144205285714282</v>
      </c>
      <c r="R274" s="8">
        <f t="shared" si="32"/>
        <v>7</v>
      </c>
      <c r="S274" s="9">
        <f t="shared" si="33"/>
        <v>-2.6000000000000014</v>
      </c>
      <c r="T274" s="9">
        <v>1.5</v>
      </c>
      <c r="U274" s="9">
        <f t="shared" si="34"/>
        <v>13.86</v>
      </c>
      <c r="V274" s="9">
        <f t="shared" si="35"/>
        <v>-371.42857142857162</v>
      </c>
      <c r="W274" s="9">
        <f t="shared" si="36"/>
        <v>-6.1829375714285781</v>
      </c>
    </row>
    <row r="275" spans="1:23">
      <c r="A275" s="2" t="s">
        <v>299</v>
      </c>
      <c r="B275" s="2" t="s">
        <v>300</v>
      </c>
      <c r="C275" s="3">
        <v>14</v>
      </c>
      <c r="D275" s="3">
        <v>1.98</v>
      </c>
      <c r="E275" s="2" t="s">
        <v>311</v>
      </c>
      <c r="F275" s="4">
        <v>39476</v>
      </c>
      <c r="G275" s="3">
        <v>57.2</v>
      </c>
      <c r="H275" s="3">
        <v>3.5</v>
      </c>
      <c r="I275" s="4">
        <v>39497</v>
      </c>
      <c r="J275" s="3">
        <v>68.400000000000006</v>
      </c>
      <c r="K275" s="3">
        <v>3.5</v>
      </c>
      <c r="L275" s="3">
        <v>21</v>
      </c>
      <c r="M275" s="5">
        <v>11.200000000000003</v>
      </c>
      <c r="N275" s="5">
        <v>0</v>
      </c>
      <c r="O275" s="5">
        <v>41.58</v>
      </c>
      <c r="P275" s="5">
        <v>533.33333333333348</v>
      </c>
      <c r="Q275" s="5">
        <v>38.912185333333341</v>
      </c>
      <c r="R275" s="8">
        <f t="shared" si="32"/>
        <v>7</v>
      </c>
      <c r="S275" s="9">
        <f t="shared" si="33"/>
        <v>5.8000000000000043</v>
      </c>
      <c r="T275" s="9">
        <v>1.5</v>
      </c>
      <c r="U275" s="9">
        <f t="shared" si="34"/>
        <v>13.86</v>
      </c>
      <c r="V275" s="9">
        <f t="shared" si="35"/>
        <v>828.57142857142912</v>
      </c>
      <c r="W275" s="9">
        <f t="shared" si="36"/>
        <v>53.46742342857145</v>
      </c>
    </row>
    <row r="276" spans="1:23">
      <c r="A276" s="2" t="s">
        <v>299</v>
      </c>
      <c r="B276" s="2" t="s">
        <v>300</v>
      </c>
      <c r="C276" s="3">
        <v>14</v>
      </c>
      <c r="D276" s="3">
        <v>1.98</v>
      </c>
      <c r="E276" s="2" t="s">
        <v>311</v>
      </c>
      <c r="F276" s="4">
        <v>39476</v>
      </c>
      <c r="G276" s="3">
        <v>57.2</v>
      </c>
      <c r="H276" s="3">
        <v>3.5</v>
      </c>
      <c r="I276" s="4">
        <v>39503</v>
      </c>
      <c r="J276" s="3">
        <v>68</v>
      </c>
      <c r="K276" s="3">
        <v>3.5</v>
      </c>
      <c r="L276" s="3">
        <v>27</v>
      </c>
      <c r="M276" s="5">
        <v>10.799999999999997</v>
      </c>
      <c r="N276" s="5">
        <v>0</v>
      </c>
      <c r="O276" s="5">
        <v>53.46</v>
      </c>
      <c r="P276" s="5">
        <v>399.99999999999989</v>
      </c>
      <c r="Q276" s="5">
        <v>32.305033999999992</v>
      </c>
      <c r="R276" s="8">
        <f t="shared" si="32"/>
        <v>6</v>
      </c>
      <c r="S276" s="9">
        <f t="shared" si="33"/>
        <v>-0.40000000000000568</v>
      </c>
      <c r="T276" s="9">
        <v>1.5</v>
      </c>
      <c r="U276" s="9">
        <f t="shared" si="34"/>
        <v>11.879999999999999</v>
      </c>
      <c r="V276" s="9">
        <f t="shared" si="35"/>
        <v>-66.666666666667609</v>
      </c>
      <c r="W276" s="9">
        <f t="shared" si="36"/>
        <v>9.298367333333287</v>
      </c>
    </row>
    <row r="277" spans="1:23">
      <c r="A277" s="2" t="s">
        <v>299</v>
      </c>
      <c r="B277" s="2" t="s">
        <v>300</v>
      </c>
      <c r="C277" s="3">
        <v>14</v>
      </c>
      <c r="D277" s="3">
        <v>1.98</v>
      </c>
      <c r="E277" s="2" t="s">
        <v>311</v>
      </c>
      <c r="F277" s="4">
        <v>39476</v>
      </c>
      <c r="G277" s="3">
        <v>57.2</v>
      </c>
      <c r="H277" s="3">
        <v>3.5</v>
      </c>
      <c r="I277" s="4">
        <v>39511</v>
      </c>
      <c r="J277" s="3">
        <v>66.400000000000006</v>
      </c>
      <c r="K277" s="6"/>
      <c r="L277" s="3">
        <v>35</v>
      </c>
      <c r="M277" s="5">
        <v>9.2000000000000028</v>
      </c>
      <c r="N277" s="6"/>
      <c r="O277" s="5">
        <v>69.3</v>
      </c>
      <c r="P277" s="5">
        <v>262.85714285714295</v>
      </c>
      <c r="Q277" s="5">
        <v>25.408619142857148</v>
      </c>
      <c r="R277" s="8">
        <f t="shared" si="32"/>
        <v>8</v>
      </c>
      <c r="S277" s="9">
        <f t="shared" si="33"/>
        <v>-1.5999999999999943</v>
      </c>
      <c r="T277" s="9">
        <v>1.5</v>
      </c>
      <c r="U277" s="9">
        <f t="shared" si="34"/>
        <v>15.84</v>
      </c>
      <c r="V277" s="9">
        <f t="shared" si="35"/>
        <v>-199.99999999999929</v>
      </c>
      <c r="W277" s="9">
        <f t="shared" si="36"/>
        <v>2.5897620000000359</v>
      </c>
    </row>
    <row r="278" spans="1:23">
      <c r="A278" s="2" t="s">
        <v>299</v>
      </c>
      <c r="B278" s="2" t="s">
        <v>300</v>
      </c>
      <c r="C278" s="3">
        <v>14</v>
      </c>
      <c r="D278" s="3">
        <v>1.98</v>
      </c>
      <c r="E278" s="2" t="s">
        <v>311</v>
      </c>
      <c r="F278" s="4">
        <v>39476</v>
      </c>
      <c r="G278" s="3">
        <v>57.2</v>
      </c>
      <c r="H278" s="3">
        <v>3.5</v>
      </c>
      <c r="I278" s="4">
        <v>39518</v>
      </c>
      <c r="J278" s="3">
        <v>65</v>
      </c>
      <c r="K278" s="3">
        <v>3.5</v>
      </c>
      <c r="L278" s="3">
        <v>42</v>
      </c>
      <c r="M278" s="5">
        <v>7.7999999999999972</v>
      </c>
      <c r="N278" s="5">
        <v>0</v>
      </c>
      <c r="O278" s="5">
        <v>83.16</v>
      </c>
      <c r="P278" s="5">
        <v>185.71428571428564</v>
      </c>
      <c r="Q278" s="5">
        <v>21.48711328571428</v>
      </c>
      <c r="R278" s="8">
        <f t="shared" si="32"/>
        <v>7</v>
      </c>
      <c r="S278" s="9">
        <f t="shared" si="33"/>
        <v>-1.4000000000000057</v>
      </c>
      <c r="T278" s="9">
        <v>1.5</v>
      </c>
      <c r="U278" s="9">
        <f t="shared" si="34"/>
        <v>13.86</v>
      </c>
      <c r="V278" s="9">
        <f t="shared" si="35"/>
        <v>-200.00000000000082</v>
      </c>
      <c r="W278" s="9">
        <f t="shared" si="36"/>
        <v>2.471398999999959</v>
      </c>
    </row>
    <row r="279" spans="1:23">
      <c r="A279" s="2" t="s">
        <v>299</v>
      </c>
      <c r="B279" s="2" t="s">
        <v>300</v>
      </c>
      <c r="C279" s="3">
        <v>14</v>
      </c>
      <c r="D279" s="3">
        <v>1.98</v>
      </c>
      <c r="E279" s="2" t="s">
        <v>311</v>
      </c>
      <c r="F279" s="4">
        <v>39476</v>
      </c>
      <c r="G279" s="3">
        <v>57.2</v>
      </c>
      <c r="H279" s="3">
        <v>3.5</v>
      </c>
      <c r="I279" s="4">
        <v>39525</v>
      </c>
      <c r="J279" s="3">
        <v>64.2</v>
      </c>
      <c r="K279" s="3">
        <v>3</v>
      </c>
      <c r="L279" s="3">
        <v>49</v>
      </c>
      <c r="M279" s="5">
        <v>7</v>
      </c>
      <c r="N279" s="5">
        <v>-0.5</v>
      </c>
      <c r="O279" s="5">
        <v>97.02</v>
      </c>
      <c r="P279" s="5">
        <v>142.85714285714286</v>
      </c>
      <c r="Q279" s="5">
        <v>19.306620142857142</v>
      </c>
      <c r="R279" s="8">
        <f t="shared" si="32"/>
        <v>7</v>
      </c>
      <c r="S279" s="9">
        <f t="shared" si="33"/>
        <v>-0.79999999999999716</v>
      </c>
      <c r="T279" s="9">
        <v>1.5</v>
      </c>
      <c r="U279" s="9">
        <f t="shared" si="34"/>
        <v>13.86</v>
      </c>
      <c r="V279" s="9">
        <f t="shared" si="35"/>
        <v>-114.28571428571388</v>
      </c>
      <c r="W279" s="9">
        <f t="shared" si="36"/>
        <v>6.6294772857143052</v>
      </c>
    </row>
    <row r="280" spans="1:23">
      <c r="A280" s="2" t="s">
        <v>299</v>
      </c>
      <c r="B280" s="2" t="s">
        <v>300</v>
      </c>
      <c r="C280" s="3">
        <v>14</v>
      </c>
      <c r="D280" s="3">
        <v>1.98</v>
      </c>
      <c r="E280" s="2" t="s">
        <v>311</v>
      </c>
      <c r="F280" s="4">
        <v>39476</v>
      </c>
      <c r="G280" s="3">
        <v>57.2</v>
      </c>
      <c r="H280" s="3">
        <v>3.5</v>
      </c>
      <c r="I280" s="4">
        <v>39532</v>
      </c>
      <c r="J280" s="3">
        <v>61.4</v>
      </c>
      <c r="K280" s="3">
        <v>2.75</v>
      </c>
      <c r="L280" s="3">
        <v>56</v>
      </c>
      <c r="M280" s="5">
        <v>4.1999999999999957</v>
      </c>
      <c r="N280" s="5">
        <v>-0.75</v>
      </c>
      <c r="O280" s="5">
        <v>110.88</v>
      </c>
      <c r="P280" s="5">
        <v>74.999999999999929</v>
      </c>
      <c r="Q280" s="5">
        <v>15.724536999999994</v>
      </c>
      <c r="R280" s="8">
        <f t="shared" si="32"/>
        <v>7</v>
      </c>
      <c r="S280" s="9">
        <f t="shared" si="33"/>
        <v>-2.8000000000000043</v>
      </c>
      <c r="T280" s="9">
        <v>1.5</v>
      </c>
      <c r="U280" s="9">
        <f t="shared" si="34"/>
        <v>13.86</v>
      </c>
      <c r="V280" s="9">
        <f t="shared" si="35"/>
        <v>-400.00000000000063</v>
      </c>
      <c r="W280" s="9">
        <f t="shared" si="36"/>
        <v>-7.6929630000000326</v>
      </c>
    </row>
    <row r="281" spans="1:23">
      <c r="A281" s="2" t="s">
        <v>299</v>
      </c>
      <c r="B281" s="2" t="s">
        <v>300</v>
      </c>
      <c r="C281" s="3">
        <v>14</v>
      </c>
      <c r="D281" s="3">
        <v>1.98</v>
      </c>
      <c r="E281" s="2" t="s">
        <v>312</v>
      </c>
      <c r="F281" s="4">
        <v>39476</v>
      </c>
      <c r="G281" s="3">
        <v>48.2</v>
      </c>
      <c r="H281" s="3">
        <v>2.25</v>
      </c>
      <c r="I281" s="4">
        <v>39476</v>
      </c>
      <c r="J281" s="3">
        <v>48.2</v>
      </c>
      <c r="K281" s="3">
        <v>2.25</v>
      </c>
      <c r="L281" s="3">
        <v>0</v>
      </c>
      <c r="M281" s="5">
        <v>0</v>
      </c>
      <c r="N281" s="5">
        <v>0</v>
      </c>
      <c r="O281" s="5">
        <v>0</v>
      </c>
      <c r="P281" s="5">
        <v>0</v>
      </c>
      <c r="Q281" s="5">
        <v>10.150138</v>
      </c>
      <c r="R281" s="8">
        <f t="shared" si="32"/>
        <v>0</v>
      </c>
      <c r="S281" s="9">
        <f t="shared" si="33"/>
        <v>0</v>
      </c>
      <c r="T281" s="9">
        <v>1.5</v>
      </c>
      <c r="U281" s="9">
        <f t="shared" si="34"/>
        <v>0</v>
      </c>
      <c r="V281" s="9">
        <f t="shared" si="35"/>
        <v>0</v>
      </c>
      <c r="W281" s="9">
        <f t="shared" si="36"/>
        <v>10.150138</v>
      </c>
    </row>
    <row r="282" spans="1:23">
      <c r="A282" s="2" t="s">
        <v>299</v>
      </c>
      <c r="B282" s="2" t="s">
        <v>300</v>
      </c>
      <c r="C282" s="3">
        <v>14</v>
      </c>
      <c r="D282" s="3">
        <v>1.98</v>
      </c>
      <c r="E282" s="2" t="s">
        <v>312</v>
      </c>
      <c r="F282" s="4">
        <v>39476</v>
      </c>
      <c r="G282" s="3">
        <v>48.2</v>
      </c>
      <c r="H282" s="3">
        <v>2.25</v>
      </c>
      <c r="I282" s="4">
        <v>39483</v>
      </c>
      <c r="J282" s="3">
        <v>55.8</v>
      </c>
      <c r="K282" s="6"/>
      <c r="L282" s="3">
        <v>7</v>
      </c>
      <c r="M282" s="5">
        <v>7.5999999999999943</v>
      </c>
      <c r="N282" s="6"/>
      <c r="O282" s="5">
        <v>13.86</v>
      </c>
      <c r="P282" s="5">
        <v>1085.7142857142849</v>
      </c>
      <c r="Q282" s="5">
        <v>64.318394285714248</v>
      </c>
      <c r="R282" s="8">
        <f t="shared" si="32"/>
        <v>7</v>
      </c>
      <c r="S282" s="9">
        <f t="shared" si="33"/>
        <v>7.5999999999999943</v>
      </c>
      <c r="T282" s="9">
        <v>1.5</v>
      </c>
      <c r="U282" s="9">
        <f t="shared" si="34"/>
        <v>13.86</v>
      </c>
      <c r="V282" s="9">
        <f t="shared" si="35"/>
        <v>1085.7142857142849</v>
      </c>
      <c r="W282" s="9">
        <f t="shared" si="36"/>
        <v>64.318394285714248</v>
      </c>
    </row>
    <row r="283" spans="1:23">
      <c r="A283" s="2" t="s">
        <v>299</v>
      </c>
      <c r="B283" s="2" t="s">
        <v>300</v>
      </c>
      <c r="C283" s="3">
        <v>14</v>
      </c>
      <c r="D283" s="3">
        <v>1.98</v>
      </c>
      <c r="E283" s="2" t="s">
        <v>312</v>
      </c>
      <c r="F283" s="4">
        <v>39476</v>
      </c>
      <c r="G283" s="3">
        <v>48.2</v>
      </c>
      <c r="H283" s="3">
        <v>2.25</v>
      </c>
      <c r="I283" s="4">
        <v>39490</v>
      </c>
      <c r="J283" s="3">
        <v>55.6</v>
      </c>
      <c r="K283" s="3">
        <v>2.25</v>
      </c>
      <c r="L283" s="3">
        <v>14</v>
      </c>
      <c r="M283" s="5">
        <v>7.3999999999999986</v>
      </c>
      <c r="N283" s="5">
        <v>0</v>
      </c>
      <c r="O283" s="5">
        <v>27.72</v>
      </c>
      <c r="P283" s="5">
        <v>528.57142857142844</v>
      </c>
      <c r="Q283" s="5">
        <v>36.834342428571425</v>
      </c>
      <c r="R283" s="8">
        <f t="shared" si="32"/>
        <v>7</v>
      </c>
      <c r="S283" s="9">
        <f t="shared" si="33"/>
        <v>-0.19999999999999574</v>
      </c>
      <c r="T283" s="9">
        <v>1.5</v>
      </c>
      <c r="U283" s="9">
        <f t="shared" si="34"/>
        <v>13.86</v>
      </c>
      <c r="V283" s="9">
        <f t="shared" si="35"/>
        <v>-28.571428571427962</v>
      </c>
      <c r="W283" s="9">
        <f t="shared" si="36"/>
        <v>9.3671995714286016</v>
      </c>
    </row>
    <row r="284" spans="1:23">
      <c r="A284" s="2" t="s">
        <v>299</v>
      </c>
      <c r="B284" s="2" t="s">
        <v>300</v>
      </c>
      <c r="C284" s="3">
        <v>14</v>
      </c>
      <c r="D284" s="3">
        <v>1.98</v>
      </c>
      <c r="E284" s="2" t="s">
        <v>312</v>
      </c>
      <c r="F284" s="4">
        <v>39476</v>
      </c>
      <c r="G284" s="3">
        <v>48.2</v>
      </c>
      <c r="H284" s="3">
        <v>2.25</v>
      </c>
      <c r="I284" s="4">
        <v>39497</v>
      </c>
      <c r="J284" s="3">
        <v>56</v>
      </c>
      <c r="K284" s="3">
        <v>2.25</v>
      </c>
      <c r="L284" s="3">
        <v>21</v>
      </c>
      <c r="M284" s="5">
        <v>7.7999999999999972</v>
      </c>
      <c r="N284" s="5">
        <v>0</v>
      </c>
      <c r="O284" s="5">
        <v>41.58</v>
      </c>
      <c r="P284" s="5">
        <v>371.42857142857127</v>
      </c>
      <c r="Q284" s="5">
        <v>29.121017571428563</v>
      </c>
      <c r="R284" s="8">
        <f t="shared" si="32"/>
        <v>7</v>
      </c>
      <c r="S284" s="9">
        <f t="shared" si="33"/>
        <v>0.39999999999999858</v>
      </c>
      <c r="T284" s="9">
        <v>1.5</v>
      </c>
      <c r="U284" s="9">
        <f t="shared" si="34"/>
        <v>13.86</v>
      </c>
      <c r="V284" s="9">
        <f t="shared" si="35"/>
        <v>57.14285714285694</v>
      </c>
      <c r="W284" s="9">
        <f t="shared" si="36"/>
        <v>13.626731857142847</v>
      </c>
    </row>
    <row r="285" spans="1:23">
      <c r="A285" s="2" t="s">
        <v>299</v>
      </c>
      <c r="B285" s="2" t="s">
        <v>300</v>
      </c>
      <c r="C285" s="3">
        <v>14</v>
      </c>
      <c r="D285" s="3">
        <v>1.98</v>
      </c>
      <c r="E285" s="2" t="s">
        <v>312</v>
      </c>
      <c r="F285" s="4">
        <v>39476</v>
      </c>
      <c r="G285" s="3">
        <v>48.2</v>
      </c>
      <c r="H285" s="3">
        <v>2.25</v>
      </c>
      <c r="I285" s="4">
        <v>39503</v>
      </c>
      <c r="J285" s="3">
        <v>58</v>
      </c>
      <c r="K285" s="3">
        <v>2.25</v>
      </c>
      <c r="L285" s="3">
        <v>27</v>
      </c>
      <c r="M285" s="5">
        <v>9.7999999999999972</v>
      </c>
      <c r="N285" s="5">
        <v>0</v>
      </c>
      <c r="O285" s="5">
        <v>53.46</v>
      </c>
      <c r="P285" s="5">
        <v>362.96296296296288</v>
      </c>
      <c r="Q285" s="5">
        <v>28.872753074074069</v>
      </c>
      <c r="R285" s="8">
        <f t="shared" si="32"/>
        <v>6</v>
      </c>
      <c r="S285" s="9">
        <f t="shared" si="33"/>
        <v>2</v>
      </c>
      <c r="T285" s="9">
        <v>1.5</v>
      </c>
      <c r="U285" s="9">
        <f t="shared" si="34"/>
        <v>11.879999999999999</v>
      </c>
      <c r="V285" s="9">
        <f t="shared" si="35"/>
        <v>333.33333333333331</v>
      </c>
      <c r="W285" s="9">
        <f t="shared" si="36"/>
        <v>27.41201233333333</v>
      </c>
    </row>
    <row r="286" spans="1:23">
      <c r="A286" s="2" t="s">
        <v>299</v>
      </c>
      <c r="B286" s="2" t="s">
        <v>300</v>
      </c>
      <c r="C286" s="3">
        <v>14</v>
      </c>
      <c r="D286" s="3">
        <v>1.98</v>
      </c>
      <c r="E286" s="2" t="s">
        <v>312</v>
      </c>
      <c r="F286" s="4">
        <v>39476</v>
      </c>
      <c r="G286" s="3">
        <v>48.2</v>
      </c>
      <c r="H286" s="3">
        <v>2.25</v>
      </c>
      <c r="I286" s="4">
        <v>39511</v>
      </c>
      <c r="J286" s="3">
        <v>57.6</v>
      </c>
      <c r="K286" s="6"/>
      <c r="L286" s="3">
        <v>35</v>
      </c>
      <c r="M286" s="5">
        <v>9.3999999999999986</v>
      </c>
      <c r="N286" s="6"/>
      <c r="O286" s="5">
        <v>69.3</v>
      </c>
      <c r="P286" s="5">
        <v>268.5714285714285</v>
      </c>
      <c r="Q286" s="5">
        <v>24.185432428571424</v>
      </c>
      <c r="R286" s="8">
        <f t="shared" si="32"/>
        <v>8</v>
      </c>
      <c r="S286" s="9">
        <f t="shared" si="33"/>
        <v>-0.39999999999999858</v>
      </c>
      <c r="T286" s="9">
        <v>1.5</v>
      </c>
      <c r="U286" s="9">
        <f t="shared" si="34"/>
        <v>15.84</v>
      </c>
      <c r="V286" s="9">
        <f t="shared" si="35"/>
        <v>-49.999999999999822</v>
      </c>
      <c r="W286" s="9">
        <f t="shared" si="36"/>
        <v>8.4798610000000103</v>
      </c>
    </row>
    <row r="287" spans="1:23">
      <c r="A287" s="2" t="s">
        <v>299</v>
      </c>
      <c r="B287" s="2" t="s">
        <v>300</v>
      </c>
      <c r="C287" s="3">
        <v>14</v>
      </c>
      <c r="D287" s="3">
        <v>1.98</v>
      </c>
      <c r="E287" s="2" t="s">
        <v>312</v>
      </c>
      <c r="F287" s="4">
        <v>39476</v>
      </c>
      <c r="G287" s="3">
        <v>48.2</v>
      </c>
      <c r="H287" s="3">
        <v>2.25</v>
      </c>
      <c r="I287" s="4">
        <v>39518</v>
      </c>
      <c r="J287" s="3">
        <v>57.6</v>
      </c>
      <c r="K287" s="3">
        <v>3</v>
      </c>
      <c r="L287" s="3">
        <v>42</v>
      </c>
      <c r="M287" s="5">
        <v>9.3999999999999986</v>
      </c>
      <c r="N287" s="5">
        <v>0.75</v>
      </c>
      <c r="O287" s="5">
        <v>83.16</v>
      </c>
      <c r="P287" s="5">
        <v>223.80952380952377</v>
      </c>
      <c r="Q287" s="5">
        <v>21.978670523809523</v>
      </c>
      <c r="R287" s="8">
        <f t="shared" si="32"/>
        <v>7</v>
      </c>
      <c r="S287" s="9">
        <f t="shared" si="33"/>
        <v>0</v>
      </c>
      <c r="T287" s="9">
        <v>1.5</v>
      </c>
      <c r="U287" s="9">
        <f t="shared" si="34"/>
        <v>13.86</v>
      </c>
      <c r="V287" s="9">
        <f t="shared" si="35"/>
        <v>0</v>
      </c>
      <c r="W287" s="9">
        <f t="shared" si="36"/>
        <v>10.944861000000001</v>
      </c>
    </row>
    <row r="288" spans="1:23">
      <c r="A288" s="2" t="s">
        <v>299</v>
      </c>
      <c r="B288" s="2" t="s">
        <v>300</v>
      </c>
      <c r="C288" s="3">
        <v>14</v>
      </c>
      <c r="D288" s="3">
        <v>1.98</v>
      </c>
      <c r="E288" s="2" t="s">
        <v>312</v>
      </c>
      <c r="F288" s="4">
        <v>39476</v>
      </c>
      <c r="G288" s="3">
        <v>48.2</v>
      </c>
      <c r="H288" s="3">
        <v>2.25</v>
      </c>
      <c r="I288" s="4">
        <v>39525</v>
      </c>
      <c r="J288" s="3">
        <v>57.2</v>
      </c>
      <c r="K288" s="3">
        <v>2.75</v>
      </c>
      <c r="L288" s="3">
        <v>49</v>
      </c>
      <c r="M288" s="5">
        <v>9</v>
      </c>
      <c r="N288" s="5">
        <v>0.5</v>
      </c>
      <c r="O288" s="5">
        <v>97.02</v>
      </c>
      <c r="P288" s="5">
        <v>183.67346938775512</v>
      </c>
      <c r="Q288" s="5">
        <v>19.966145040816325</v>
      </c>
      <c r="R288" s="8">
        <f t="shared" si="32"/>
        <v>7</v>
      </c>
      <c r="S288" s="9">
        <f t="shared" si="33"/>
        <v>-0.39999999999999858</v>
      </c>
      <c r="T288" s="9">
        <v>1.5</v>
      </c>
      <c r="U288" s="9">
        <f t="shared" si="34"/>
        <v>13.86</v>
      </c>
      <c r="V288" s="9">
        <f t="shared" si="35"/>
        <v>-57.14285714285694</v>
      </c>
      <c r="W288" s="9">
        <f t="shared" si="36"/>
        <v>8.0939001428571515</v>
      </c>
    </row>
    <row r="289" spans="1:23">
      <c r="A289" s="2" t="s">
        <v>299</v>
      </c>
      <c r="B289" s="2" t="s">
        <v>300</v>
      </c>
      <c r="C289" s="3">
        <v>14</v>
      </c>
      <c r="D289" s="3">
        <v>1.98</v>
      </c>
      <c r="E289" s="2" t="s">
        <v>312</v>
      </c>
      <c r="F289" s="4">
        <v>39476</v>
      </c>
      <c r="G289" s="3">
        <v>48.2</v>
      </c>
      <c r="H289" s="3">
        <v>2.25</v>
      </c>
      <c r="I289" s="4">
        <v>39532</v>
      </c>
      <c r="J289" s="3">
        <v>56</v>
      </c>
      <c r="K289" s="3">
        <v>2.25</v>
      </c>
      <c r="L289" s="3">
        <v>56</v>
      </c>
      <c r="M289" s="5">
        <v>7.7999999999999972</v>
      </c>
      <c r="N289" s="5">
        <v>0</v>
      </c>
      <c r="O289" s="5">
        <v>110.88</v>
      </c>
      <c r="P289" s="5">
        <v>139.28571428571422</v>
      </c>
      <c r="Q289" s="5">
        <v>17.676374714285707</v>
      </c>
      <c r="R289" s="8">
        <f t="shared" si="32"/>
        <v>7</v>
      </c>
      <c r="S289" s="9">
        <f t="shared" si="33"/>
        <v>-1.2000000000000028</v>
      </c>
      <c r="T289" s="9">
        <v>1.5</v>
      </c>
      <c r="U289" s="9">
        <f t="shared" si="34"/>
        <v>13.86</v>
      </c>
      <c r="V289" s="9">
        <f t="shared" si="35"/>
        <v>-171.42857142857184</v>
      </c>
      <c r="W289" s="9">
        <f t="shared" si="36"/>
        <v>2.3581604285714075</v>
      </c>
    </row>
    <row r="290" spans="1:23">
      <c r="A290" s="2" t="s">
        <v>299</v>
      </c>
      <c r="B290" s="2" t="s">
        <v>300</v>
      </c>
      <c r="C290" s="3">
        <v>14</v>
      </c>
      <c r="D290" s="3">
        <v>1.98</v>
      </c>
      <c r="E290" s="2" t="s">
        <v>313</v>
      </c>
      <c r="F290" s="4">
        <v>39476</v>
      </c>
      <c r="G290" s="3">
        <v>66.400000000000006</v>
      </c>
      <c r="H290" s="3">
        <v>2.5</v>
      </c>
      <c r="I290" s="4">
        <v>39476</v>
      </c>
      <c r="J290" s="3">
        <v>66.400000000000006</v>
      </c>
      <c r="K290" s="3">
        <v>2.5</v>
      </c>
      <c r="L290" s="3">
        <v>0</v>
      </c>
      <c r="M290" s="5">
        <v>0</v>
      </c>
      <c r="N290" s="5">
        <v>0</v>
      </c>
      <c r="O290" s="5">
        <v>0</v>
      </c>
      <c r="P290" s="5">
        <v>0</v>
      </c>
      <c r="Q290" s="5">
        <v>13.227576000000001</v>
      </c>
      <c r="R290" s="8">
        <f t="shared" si="32"/>
        <v>0</v>
      </c>
      <c r="S290" s="9">
        <f t="shared" si="33"/>
        <v>0</v>
      </c>
      <c r="T290" s="9">
        <v>1.5</v>
      </c>
      <c r="U290" s="9">
        <f t="shared" si="34"/>
        <v>0</v>
      </c>
      <c r="V290" s="9">
        <f t="shared" si="35"/>
        <v>0</v>
      </c>
      <c r="W290" s="9">
        <f t="shared" si="36"/>
        <v>13.227576000000001</v>
      </c>
    </row>
    <row r="291" spans="1:23">
      <c r="A291" s="2" t="s">
        <v>299</v>
      </c>
      <c r="B291" s="2" t="s">
        <v>300</v>
      </c>
      <c r="C291" s="3">
        <v>14</v>
      </c>
      <c r="D291" s="3">
        <v>1.98</v>
      </c>
      <c r="E291" s="2" t="s">
        <v>313</v>
      </c>
      <c r="F291" s="4">
        <v>39476</v>
      </c>
      <c r="G291" s="3">
        <v>66.400000000000006</v>
      </c>
      <c r="H291" s="3">
        <v>2.5</v>
      </c>
      <c r="I291" s="4">
        <v>39483</v>
      </c>
      <c r="J291" s="3">
        <v>67.8</v>
      </c>
      <c r="K291" s="6"/>
      <c r="L291" s="3">
        <v>7</v>
      </c>
      <c r="M291" s="5">
        <v>1.3999999999999915</v>
      </c>
      <c r="N291" s="6"/>
      <c r="O291" s="5">
        <v>13.86</v>
      </c>
      <c r="P291" s="5">
        <v>199.99999999999878</v>
      </c>
      <c r="Q291" s="5">
        <v>23.205938999999937</v>
      </c>
      <c r="R291" s="8">
        <f t="shared" si="32"/>
        <v>7</v>
      </c>
      <c r="S291" s="9">
        <f t="shared" si="33"/>
        <v>1.3999999999999915</v>
      </c>
      <c r="T291" s="9">
        <v>1.5</v>
      </c>
      <c r="U291" s="9">
        <f t="shared" si="34"/>
        <v>13.86</v>
      </c>
      <c r="V291" s="9">
        <f t="shared" si="35"/>
        <v>199.99999999999878</v>
      </c>
      <c r="W291" s="9">
        <f t="shared" si="36"/>
        <v>23.205938999999937</v>
      </c>
    </row>
    <row r="292" spans="1:23">
      <c r="A292" s="2" t="s">
        <v>299</v>
      </c>
      <c r="B292" s="2" t="s">
        <v>300</v>
      </c>
      <c r="C292" s="3">
        <v>14</v>
      </c>
      <c r="D292" s="3">
        <v>1.98</v>
      </c>
      <c r="E292" s="2" t="s">
        <v>313</v>
      </c>
      <c r="F292" s="4">
        <v>39476</v>
      </c>
      <c r="G292" s="3">
        <v>66.400000000000006</v>
      </c>
      <c r="H292" s="3">
        <v>2.5</v>
      </c>
      <c r="I292" s="4">
        <v>39490</v>
      </c>
      <c r="J292" s="3">
        <v>69.8</v>
      </c>
      <c r="K292" s="3">
        <v>2.5</v>
      </c>
      <c r="L292" s="3">
        <v>14</v>
      </c>
      <c r="M292" s="5">
        <v>3.3999999999999915</v>
      </c>
      <c r="N292" s="5">
        <v>0</v>
      </c>
      <c r="O292" s="5">
        <v>27.72</v>
      </c>
      <c r="P292" s="5">
        <v>242.85714285714224</v>
      </c>
      <c r="Q292" s="5">
        <v>25.487886142857111</v>
      </c>
      <c r="R292" s="8">
        <f t="shared" si="32"/>
        <v>7</v>
      </c>
      <c r="S292" s="9">
        <f t="shared" si="33"/>
        <v>2</v>
      </c>
      <c r="T292" s="9">
        <v>1.5</v>
      </c>
      <c r="U292" s="9">
        <f t="shared" si="34"/>
        <v>13.86</v>
      </c>
      <c r="V292" s="9">
        <f t="shared" si="35"/>
        <v>285.71428571428572</v>
      </c>
      <c r="W292" s="9">
        <f t="shared" si="36"/>
        <v>27.60074328571428</v>
      </c>
    </row>
    <row r="293" spans="1:23">
      <c r="A293" s="2" t="s">
        <v>299</v>
      </c>
      <c r="B293" s="2" t="s">
        <v>300</v>
      </c>
      <c r="C293" s="3">
        <v>14</v>
      </c>
      <c r="D293" s="3">
        <v>1.98</v>
      </c>
      <c r="E293" s="2" t="s">
        <v>313</v>
      </c>
      <c r="F293" s="4">
        <v>39476</v>
      </c>
      <c r="G293" s="3">
        <v>66.400000000000006</v>
      </c>
      <c r="H293" s="3">
        <v>2.5</v>
      </c>
      <c r="I293" s="4">
        <v>39497</v>
      </c>
      <c r="J293" s="3">
        <v>73</v>
      </c>
      <c r="K293" s="3">
        <v>2.5</v>
      </c>
      <c r="L293" s="3">
        <v>21</v>
      </c>
      <c r="M293" s="5">
        <v>6.5999999999999943</v>
      </c>
      <c r="N293" s="5">
        <v>0</v>
      </c>
      <c r="O293" s="5">
        <v>41.58</v>
      </c>
      <c r="P293" s="5">
        <v>314.28571428571399</v>
      </c>
      <c r="Q293" s="5">
        <v>29.279858714285698</v>
      </c>
      <c r="R293" s="8">
        <f t="shared" si="32"/>
        <v>7</v>
      </c>
      <c r="S293" s="9">
        <f t="shared" si="33"/>
        <v>3.2000000000000028</v>
      </c>
      <c r="T293" s="9">
        <v>1.5</v>
      </c>
      <c r="U293" s="9">
        <f t="shared" si="34"/>
        <v>13.86</v>
      </c>
      <c r="V293" s="9">
        <f t="shared" si="35"/>
        <v>457.14285714285757</v>
      </c>
      <c r="W293" s="9">
        <f t="shared" si="36"/>
        <v>36.322715857142882</v>
      </c>
    </row>
    <row r="294" spans="1:23">
      <c r="A294" s="2" t="s">
        <v>299</v>
      </c>
      <c r="B294" s="2" t="s">
        <v>300</v>
      </c>
      <c r="C294" s="3">
        <v>14</v>
      </c>
      <c r="D294" s="3">
        <v>1.98</v>
      </c>
      <c r="E294" s="2" t="s">
        <v>313</v>
      </c>
      <c r="F294" s="4">
        <v>39476</v>
      </c>
      <c r="G294" s="3">
        <v>66.400000000000006</v>
      </c>
      <c r="H294" s="3">
        <v>2.5</v>
      </c>
      <c r="I294" s="4">
        <v>39503</v>
      </c>
      <c r="J294" s="3">
        <v>76.2</v>
      </c>
      <c r="K294" s="3">
        <v>2.5</v>
      </c>
      <c r="L294" s="3">
        <v>27</v>
      </c>
      <c r="M294" s="5">
        <v>9.7999999999999972</v>
      </c>
      <c r="N294" s="5">
        <v>0</v>
      </c>
      <c r="O294" s="5">
        <v>53.46</v>
      </c>
      <c r="P294" s="5">
        <v>362.96296296296288</v>
      </c>
      <c r="Q294" s="5">
        <v>31.95019107407407</v>
      </c>
      <c r="R294" s="8">
        <f t="shared" si="32"/>
        <v>6</v>
      </c>
      <c r="S294" s="9">
        <f t="shared" si="33"/>
        <v>3.2000000000000028</v>
      </c>
      <c r="T294" s="9">
        <v>1.5</v>
      </c>
      <c r="U294" s="9">
        <f t="shared" si="34"/>
        <v>11.879999999999999</v>
      </c>
      <c r="V294" s="9">
        <f t="shared" si="35"/>
        <v>533.33333333333383</v>
      </c>
      <c r="W294" s="9">
        <f t="shared" si="36"/>
        <v>40.349450333333358</v>
      </c>
    </row>
    <row r="295" spans="1:23">
      <c r="A295" s="2" t="s">
        <v>299</v>
      </c>
      <c r="B295" s="2" t="s">
        <v>300</v>
      </c>
      <c r="C295" s="3">
        <v>14</v>
      </c>
      <c r="D295" s="3">
        <v>1.98</v>
      </c>
      <c r="E295" s="2" t="s">
        <v>313</v>
      </c>
      <c r="F295" s="4">
        <v>39476</v>
      </c>
      <c r="G295" s="3">
        <v>66.400000000000006</v>
      </c>
      <c r="H295" s="3">
        <v>2.5</v>
      </c>
      <c r="I295" s="4">
        <v>39511</v>
      </c>
      <c r="J295" s="3">
        <v>72.599999999999994</v>
      </c>
      <c r="K295" s="6"/>
      <c r="L295" s="3">
        <v>35</v>
      </c>
      <c r="M295" s="5">
        <v>6.1999999999999886</v>
      </c>
      <c r="N295" s="6"/>
      <c r="O295" s="5">
        <v>69.3</v>
      </c>
      <c r="P295" s="5">
        <v>177.14285714285683</v>
      </c>
      <c r="Q295" s="5">
        <v>22.48489785714284</v>
      </c>
      <c r="R295" s="8">
        <f t="shared" si="32"/>
        <v>8</v>
      </c>
      <c r="S295" s="9">
        <f t="shared" si="33"/>
        <v>-3.6000000000000085</v>
      </c>
      <c r="T295" s="9">
        <v>1.5</v>
      </c>
      <c r="U295" s="9">
        <f t="shared" si="34"/>
        <v>15.84</v>
      </c>
      <c r="V295" s="9">
        <f t="shared" si="35"/>
        <v>-450.00000000000108</v>
      </c>
      <c r="W295" s="9">
        <f t="shared" si="36"/>
        <v>-8.4332450000000527</v>
      </c>
    </row>
    <row r="296" spans="1:23">
      <c r="A296" s="2" t="s">
        <v>299</v>
      </c>
      <c r="B296" s="2" t="s">
        <v>300</v>
      </c>
      <c r="C296" s="3">
        <v>14</v>
      </c>
      <c r="D296" s="3">
        <v>1.98</v>
      </c>
      <c r="E296" s="2" t="s">
        <v>313</v>
      </c>
      <c r="F296" s="4">
        <v>39476</v>
      </c>
      <c r="G296" s="3">
        <v>66.400000000000006</v>
      </c>
      <c r="H296" s="3">
        <v>2.5</v>
      </c>
      <c r="I296" s="4">
        <v>39518</v>
      </c>
      <c r="J296" s="3">
        <v>70.8</v>
      </c>
      <c r="K296" s="3">
        <v>3</v>
      </c>
      <c r="L296" s="3">
        <v>42</v>
      </c>
      <c r="M296" s="5">
        <v>4.3999999999999915</v>
      </c>
      <c r="N296" s="5">
        <v>0.5</v>
      </c>
      <c r="O296" s="5">
        <v>83.16</v>
      </c>
      <c r="P296" s="5">
        <v>104.76190476190456</v>
      </c>
      <c r="Q296" s="5">
        <v>18.764335904761893</v>
      </c>
      <c r="R296" s="8">
        <f t="shared" si="32"/>
        <v>7</v>
      </c>
      <c r="S296" s="9">
        <f t="shared" si="33"/>
        <v>-1.7999999999999972</v>
      </c>
      <c r="T296" s="9">
        <v>1.5</v>
      </c>
      <c r="U296" s="9">
        <f t="shared" si="34"/>
        <v>13.86</v>
      </c>
      <c r="V296" s="9">
        <f t="shared" si="35"/>
        <v>-257.14285714285671</v>
      </c>
      <c r="W296" s="9">
        <f t="shared" si="36"/>
        <v>0.9224311428571621</v>
      </c>
    </row>
    <row r="297" spans="1:23">
      <c r="A297" s="2" t="s">
        <v>299</v>
      </c>
      <c r="B297" s="2" t="s">
        <v>300</v>
      </c>
      <c r="C297" s="3">
        <v>14</v>
      </c>
      <c r="D297" s="3">
        <v>1.98</v>
      </c>
      <c r="E297" s="2" t="s">
        <v>313</v>
      </c>
      <c r="F297" s="4">
        <v>39476</v>
      </c>
      <c r="G297" s="3">
        <v>66.400000000000006</v>
      </c>
      <c r="H297" s="3">
        <v>2.5</v>
      </c>
      <c r="I297" s="4">
        <v>39525</v>
      </c>
      <c r="J297" s="3">
        <v>70</v>
      </c>
      <c r="K297" s="3">
        <v>2.25</v>
      </c>
      <c r="L297" s="3">
        <v>49</v>
      </c>
      <c r="M297" s="5">
        <v>3.5999999999999943</v>
      </c>
      <c r="N297" s="5">
        <v>-0.25</v>
      </c>
      <c r="O297" s="5">
        <v>97.02</v>
      </c>
      <c r="P297" s="5">
        <v>73.46938775510192</v>
      </c>
      <c r="Q297" s="5">
        <v>17.153978816326525</v>
      </c>
      <c r="R297" s="8">
        <f t="shared" si="32"/>
        <v>7</v>
      </c>
      <c r="S297" s="9">
        <f t="shared" si="33"/>
        <v>-0.79999999999999716</v>
      </c>
      <c r="T297" s="9">
        <v>1.5</v>
      </c>
      <c r="U297" s="9">
        <f t="shared" si="34"/>
        <v>13.86</v>
      </c>
      <c r="V297" s="9">
        <f t="shared" si="35"/>
        <v>-114.28571428571388</v>
      </c>
      <c r="W297" s="9">
        <f t="shared" si="36"/>
        <v>7.8976522857143063</v>
      </c>
    </row>
    <row r="298" spans="1:23">
      <c r="A298" s="2" t="s">
        <v>299</v>
      </c>
      <c r="B298" s="2" t="s">
        <v>300</v>
      </c>
      <c r="C298" s="3">
        <v>14</v>
      </c>
      <c r="D298" s="3">
        <v>1.98</v>
      </c>
      <c r="E298" s="2" t="s">
        <v>313</v>
      </c>
      <c r="F298" s="4">
        <v>39476</v>
      </c>
      <c r="G298" s="3">
        <v>66.400000000000006</v>
      </c>
      <c r="H298" s="3">
        <v>2.5</v>
      </c>
      <c r="I298" s="4">
        <v>39532</v>
      </c>
      <c r="J298" s="3">
        <v>68.599999999999994</v>
      </c>
      <c r="K298" s="3">
        <v>2.5</v>
      </c>
      <c r="L298" s="3">
        <v>56</v>
      </c>
      <c r="M298" s="5">
        <v>2.1999999999999886</v>
      </c>
      <c r="N298" s="5">
        <v>0</v>
      </c>
      <c r="O298" s="5">
        <v>110.88</v>
      </c>
      <c r="P298" s="5">
        <v>39.285714285714086</v>
      </c>
      <c r="Q298" s="5">
        <v>15.350360714285705</v>
      </c>
      <c r="R298" s="8">
        <f t="shared" si="32"/>
        <v>7</v>
      </c>
      <c r="S298" s="9">
        <f t="shared" si="33"/>
        <v>-1.4000000000000057</v>
      </c>
      <c r="T298" s="9">
        <v>1.5</v>
      </c>
      <c r="U298" s="9">
        <f t="shared" si="34"/>
        <v>13.86</v>
      </c>
      <c r="V298" s="9">
        <f t="shared" si="35"/>
        <v>-200.00000000000082</v>
      </c>
      <c r="W298" s="9">
        <f t="shared" si="36"/>
        <v>3.5535749999999595</v>
      </c>
    </row>
    <row r="299" spans="1:23">
      <c r="A299" s="2" t="s">
        <v>299</v>
      </c>
      <c r="B299" s="2" t="s">
        <v>300</v>
      </c>
      <c r="C299" s="3">
        <v>14</v>
      </c>
      <c r="D299" s="3">
        <v>1.98</v>
      </c>
      <c r="E299" s="2" t="s">
        <v>314</v>
      </c>
      <c r="F299" s="4">
        <v>39476</v>
      </c>
      <c r="G299" s="3">
        <v>48.4</v>
      </c>
      <c r="H299" s="3">
        <v>2</v>
      </c>
      <c r="I299" s="4">
        <v>39476</v>
      </c>
      <c r="J299" s="3">
        <v>48.4</v>
      </c>
      <c r="K299" s="3">
        <v>2</v>
      </c>
      <c r="L299" s="3">
        <v>0</v>
      </c>
      <c r="M299" s="5">
        <v>0</v>
      </c>
      <c r="N299" s="5">
        <v>0</v>
      </c>
      <c r="O299" s="5">
        <v>0</v>
      </c>
      <c r="P299" s="5">
        <v>0</v>
      </c>
      <c r="Q299" s="5">
        <v>10.183955999999998</v>
      </c>
      <c r="R299" s="8">
        <f t="shared" si="32"/>
        <v>0</v>
      </c>
      <c r="S299" s="9">
        <f t="shared" si="33"/>
        <v>0</v>
      </c>
      <c r="T299" s="9">
        <v>1.5</v>
      </c>
      <c r="U299" s="9">
        <f t="shared" si="34"/>
        <v>0</v>
      </c>
      <c r="V299" s="9">
        <f t="shared" si="35"/>
        <v>0</v>
      </c>
      <c r="W299" s="9">
        <f t="shared" si="36"/>
        <v>10.183955999999998</v>
      </c>
    </row>
    <row r="300" spans="1:23">
      <c r="A300" s="2" t="s">
        <v>299</v>
      </c>
      <c r="B300" s="2" t="s">
        <v>300</v>
      </c>
      <c r="C300" s="3">
        <v>14</v>
      </c>
      <c r="D300" s="3">
        <v>1.98</v>
      </c>
      <c r="E300" s="2" t="s">
        <v>314</v>
      </c>
      <c r="F300" s="4">
        <v>39476</v>
      </c>
      <c r="G300" s="3">
        <v>48.4</v>
      </c>
      <c r="H300" s="3">
        <v>2</v>
      </c>
      <c r="I300" s="4">
        <v>39483</v>
      </c>
      <c r="J300" s="3">
        <v>49.4</v>
      </c>
      <c r="K300" s="6"/>
      <c r="L300" s="3">
        <v>7</v>
      </c>
      <c r="M300" s="5">
        <v>1</v>
      </c>
      <c r="N300" s="6"/>
      <c r="O300" s="5">
        <v>13.86</v>
      </c>
      <c r="P300" s="5">
        <v>142.85714285714286</v>
      </c>
      <c r="Q300" s="5">
        <v>17.311358142857141</v>
      </c>
      <c r="R300" s="8">
        <f t="shared" si="32"/>
        <v>7</v>
      </c>
      <c r="S300" s="9">
        <f t="shared" si="33"/>
        <v>1</v>
      </c>
      <c r="T300" s="9">
        <v>1.5</v>
      </c>
      <c r="U300" s="9">
        <f t="shared" si="34"/>
        <v>13.86</v>
      </c>
      <c r="V300" s="9">
        <f t="shared" si="35"/>
        <v>142.85714285714286</v>
      </c>
      <c r="W300" s="9">
        <f t="shared" si="36"/>
        <v>17.311358142857141</v>
      </c>
    </row>
    <row r="301" spans="1:23">
      <c r="A301" s="2" t="s">
        <v>299</v>
      </c>
      <c r="B301" s="2" t="s">
        <v>300</v>
      </c>
      <c r="C301" s="3">
        <v>14</v>
      </c>
      <c r="D301" s="3">
        <v>1.98</v>
      </c>
      <c r="E301" s="2" t="s">
        <v>314</v>
      </c>
      <c r="F301" s="4">
        <v>39476</v>
      </c>
      <c r="G301" s="3">
        <v>48.4</v>
      </c>
      <c r="H301" s="3">
        <v>2</v>
      </c>
      <c r="I301" s="4">
        <v>39490</v>
      </c>
      <c r="J301" s="3">
        <v>51.8</v>
      </c>
      <c r="K301" s="3">
        <v>2</v>
      </c>
      <c r="L301" s="3">
        <v>14</v>
      </c>
      <c r="M301" s="5">
        <v>3.3999999999999986</v>
      </c>
      <c r="N301" s="5">
        <v>0</v>
      </c>
      <c r="O301" s="5">
        <v>27.72</v>
      </c>
      <c r="P301" s="5">
        <v>242.85714285714275</v>
      </c>
      <c r="Q301" s="5">
        <v>22.444266142857135</v>
      </c>
      <c r="R301" s="8">
        <f t="shared" si="32"/>
        <v>7</v>
      </c>
      <c r="S301" s="9">
        <f t="shared" si="33"/>
        <v>2.3999999999999986</v>
      </c>
      <c r="T301" s="9">
        <v>1.5</v>
      </c>
      <c r="U301" s="9">
        <f t="shared" si="34"/>
        <v>13.86</v>
      </c>
      <c r="V301" s="9">
        <f t="shared" si="35"/>
        <v>342.85714285714266</v>
      </c>
      <c r="W301" s="9">
        <f t="shared" si="36"/>
        <v>27.374266142857127</v>
      </c>
    </row>
    <row r="302" spans="1:23">
      <c r="A302" s="2" t="s">
        <v>299</v>
      </c>
      <c r="B302" s="2" t="s">
        <v>300</v>
      </c>
      <c r="C302" s="3">
        <v>14</v>
      </c>
      <c r="D302" s="3">
        <v>1.98</v>
      </c>
      <c r="E302" s="2" t="s">
        <v>314</v>
      </c>
      <c r="F302" s="4">
        <v>39476</v>
      </c>
      <c r="G302" s="3">
        <v>48.4</v>
      </c>
      <c r="H302" s="3">
        <v>2</v>
      </c>
      <c r="I302" s="4">
        <v>39497</v>
      </c>
      <c r="J302" s="3">
        <v>52.4</v>
      </c>
      <c r="K302" s="3">
        <v>2</v>
      </c>
      <c r="L302" s="3">
        <v>21</v>
      </c>
      <c r="M302" s="5">
        <v>4</v>
      </c>
      <c r="N302" s="5">
        <v>0</v>
      </c>
      <c r="O302" s="5">
        <v>41.58</v>
      </c>
      <c r="P302" s="5">
        <v>190.47619047619045</v>
      </c>
      <c r="Q302" s="5">
        <v>19.912612190476189</v>
      </c>
      <c r="R302" s="8">
        <f t="shared" si="32"/>
        <v>7</v>
      </c>
      <c r="S302" s="9">
        <f t="shared" si="33"/>
        <v>0.60000000000000142</v>
      </c>
      <c r="T302" s="9">
        <v>1.5</v>
      </c>
      <c r="U302" s="9">
        <f t="shared" si="34"/>
        <v>13.86</v>
      </c>
      <c r="V302" s="9">
        <f t="shared" si="35"/>
        <v>85.714285714285921</v>
      </c>
      <c r="W302" s="9">
        <f t="shared" si="36"/>
        <v>14.747850285714296</v>
      </c>
    </row>
    <row r="303" spans="1:23">
      <c r="A303" s="2" t="s">
        <v>299</v>
      </c>
      <c r="B303" s="2" t="s">
        <v>300</v>
      </c>
      <c r="C303" s="3">
        <v>14</v>
      </c>
      <c r="D303" s="3">
        <v>1.98</v>
      </c>
      <c r="E303" s="2" t="s">
        <v>314</v>
      </c>
      <c r="F303" s="4">
        <v>39476</v>
      </c>
      <c r="G303" s="3">
        <v>48.4</v>
      </c>
      <c r="H303" s="3">
        <v>2</v>
      </c>
      <c r="I303" s="4">
        <v>39503</v>
      </c>
      <c r="J303" s="3">
        <v>53.8</v>
      </c>
      <c r="K303" s="3">
        <v>2</v>
      </c>
      <c r="L303" s="3">
        <v>27</v>
      </c>
      <c r="M303" s="5">
        <v>5.3999999999999986</v>
      </c>
      <c r="N303" s="5">
        <v>0</v>
      </c>
      <c r="O303" s="5">
        <v>53.46</v>
      </c>
      <c r="P303" s="5">
        <v>199.99999999999994</v>
      </c>
      <c r="Q303" s="5">
        <v>20.500498999999998</v>
      </c>
      <c r="R303" s="8">
        <f t="shared" si="32"/>
        <v>6</v>
      </c>
      <c r="S303" s="9">
        <f t="shared" si="33"/>
        <v>1.3999999999999986</v>
      </c>
      <c r="T303" s="9">
        <v>1.5</v>
      </c>
      <c r="U303" s="9">
        <f t="shared" si="34"/>
        <v>11.879999999999999</v>
      </c>
      <c r="V303" s="9">
        <f t="shared" si="35"/>
        <v>233.33333333333309</v>
      </c>
      <c r="W303" s="9">
        <f t="shared" si="36"/>
        <v>22.143832333333322</v>
      </c>
    </row>
    <row r="304" spans="1:23">
      <c r="A304" s="2" t="s">
        <v>299</v>
      </c>
      <c r="B304" s="2" t="s">
        <v>300</v>
      </c>
      <c r="C304" s="3">
        <v>14</v>
      </c>
      <c r="D304" s="3">
        <v>1.98</v>
      </c>
      <c r="E304" s="2" t="s">
        <v>314</v>
      </c>
      <c r="F304" s="4">
        <v>39476</v>
      </c>
      <c r="G304" s="3">
        <v>48.4</v>
      </c>
      <c r="H304" s="3">
        <v>2</v>
      </c>
      <c r="I304" s="4">
        <v>39511</v>
      </c>
      <c r="J304" s="3">
        <v>55.8</v>
      </c>
      <c r="K304" s="6"/>
      <c r="L304" s="3">
        <v>35</v>
      </c>
      <c r="M304" s="5">
        <v>7.3999999999999986</v>
      </c>
      <c r="N304" s="6"/>
      <c r="O304" s="5">
        <v>69.3</v>
      </c>
      <c r="P304" s="5">
        <v>211.42857142857139</v>
      </c>
      <c r="Q304" s="5">
        <v>21.233017571428569</v>
      </c>
      <c r="R304" s="8">
        <f t="shared" si="32"/>
        <v>8</v>
      </c>
      <c r="S304" s="9">
        <f t="shared" si="33"/>
        <v>2</v>
      </c>
      <c r="T304" s="9">
        <v>1.5</v>
      </c>
      <c r="U304" s="9">
        <f t="shared" si="34"/>
        <v>15.84</v>
      </c>
      <c r="V304" s="9">
        <f t="shared" si="35"/>
        <v>250</v>
      </c>
      <c r="W304" s="9">
        <f t="shared" si="36"/>
        <v>23.134588999999998</v>
      </c>
    </row>
    <row r="305" spans="1:23">
      <c r="A305" s="2" t="s">
        <v>299</v>
      </c>
      <c r="B305" s="2" t="s">
        <v>300</v>
      </c>
      <c r="C305" s="3">
        <v>14</v>
      </c>
      <c r="D305" s="3">
        <v>1.98</v>
      </c>
      <c r="E305" s="2" t="s">
        <v>314</v>
      </c>
      <c r="F305" s="4">
        <v>39476</v>
      </c>
      <c r="G305" s="3">
        <v>48.4</v>
      </c>
      <c r="H305" s="3">
        <v>2</v>
      </c>
      <c r="I305" s="4">
        <v>39518</v>
      </c>
      <c r="J305" s="3">
        <v>54.4</v>
      </c>
      <c r="K305" s="3">
        <v>2.25</v>
      </c>
      <c r="L305" s="3">
        <v>42</v>
      </c>
      <c r="M305" s="5">
        <v>6</v>
      </c>
      <c r="N305" s="5">
        <v>0.25</v>
      </c>
      <c r="O305" s="5">
        <v>83.16</v>
      </c>
      <c r="P305" s="5">
        <v>142.85714285714286</v>
      </c>
      <c r="Q305" s="5">
        <v>17.734083142857141</v>
      </c>
      <c r="R305" s="8">
        <f t="shared" si="32"/>
        <v>7</v>
      </c>
      <c r="S305" s="9">
        <f t="shared" si="33"/>
        <v>-1.3999999999999986</v>
      </c>
      <c r="T305" s="9">
        <v>1.5</v>
      </c>
      <c r="U305" s="9">
        <f t="shared" si="34"/>
        <v>13.86</v>
      </c>
      <c r="V305" s="9">
        <f t="shared" si="35"/>
        <v>-199.9999999999998</v>
      </c>
      <c r="W305" s="9">
        <f t="shared" si="36"/>
        <v>0.83122600000000979</v>
      </c>
    </row>
    <row r="306" spans="1:23">
      <c r="A306" s="2" t="s">
        <v>299</v>
      </c>
      <c r="B306" s="2" t="s">
        <v>300</v>
      </c>
      <c r="C306" s="3">
        <v>14</v>
      </c>
      <c r="D306" s="3">
        <v>1.98</v>
      </c>
      <c r="E306" s="2" t="s">
        <v>314</v>
      </c>
      <c r="F306" s="4">
        <v>39476</v>
      </c>
      <c r="G306" s="3">
        <v>48.4</v>
      </c>
      <c r="H306" s="3">
        <v>2</v>
      </c>
      <c r="I306" s="4">
        <v>39525</v>
      </c>
      <c r="J306" s="3">
        <v>53.2</v>
      </c>
      <c r="K306" s="3">
        <v>2.25</v>
      </c>
      <c r="L306" s="3">
        <v>49</v>
      </c>
      <c r="M306" s="5">
        <v>4.8000000000000043</v>
      </c>
      <c r="N306" s="5">
        <v>0.25</v>
      </c>
      <c r="O306" s="5">
        <v>97.02</v>
      </c>
      <c r="P306" s="5">
        <v>97.959183673469482</v>
      </c>
      <c r="Q306" s="5">
        <v>15.419159755102044</v>
      </c>
      <c r="R306" s="8">
        <f t="shared" si="32"/>
        <v>7</v>
      </c>
      <c r="S306" s="9">
        <f t="shared" si="33"/>
        <v>-1.1999999999999957</v>
      </c>
      <c r="T306" s="9">
        <v>1.5</v>
      </c>
      <c r="U306" s="9">
        <f t="shared" si="34"/>
        <v>13.86</v>
      </c>
      <c r="V306" s="9">
        <f t="shared" si="35"/>
        <v>-171.42857142857082</v>
      </c>
      <c r="W306" s="9">
        <f t="shared" si="36"/>
        <v>2.1383434285714564</v>
      </c>
    </row>
    <row r="307" spans="1:23">
      <c r="A307" s="2" t="s">
        <v>299</v>
      </c>
      <c r="B307" s="2" t="s">
        <v>300</v>
      </c>
      <c r="C307" s="3">
        <v>14</v>
      </c>
      <c r="D307" s="3">
        <v>1.98</v>
      </c>
      <c r="E307" s="2" t="s">
        <v>314</v>
      </c>
      <c r="F307" s="4">
        <v>39476</v>
      </c>
      <c r="G307" s="3">
        <v>48.4</v>
      </c>
      <c r="H307" s="3">
        <v>2</v>
      </c>
      <c r="I307" s="4">
        <v>39532</v>
      </c>
      <c r="J307" s="3">
        <v>51</v>
      </c>
      <c r="K307" s="3">
        <v>2</v>
      </c>
      <c r="L307" s="3">
        <v>56</v>
      </c>
      <c r="M307" s="5">
        <v>2.6000000000000014</v>
      </c>
      <c r="N307" s="5">
        <v>0</v>
      </c>
      <c r="O307" s="5">
        <v>110.88</v>
      </c>
      <c r="P307" s="5">
        <v>46.428571428571452</v>
      </c>
      <c r="Q307" s="5">
        <v>12.692701571428572</v>
      </c>
      <c r="R307" s="8">
        <f t="shared" si="32"/>
        <v>7</v>
      </c>
      <c r="S307" s="9">
        <f t="shared" si="33"/>
        <v>-2.2000000000000028</v>
      </c>
      <c r="T307" s="9">
        <v>1.5</v>
      </c>
      <c r="U307" s="9">
        <f t="shared" si="34"/>
        <v>13.86</v>
      </c>
      <c r="V307" s="9">
        <f t="shared" si="35"/>
        <v>-314.28571428571468</v>
      </c>
      <c r="W307" s="9">
        <f t="shared" si="36"/>
        <v>-5.0905127142857332</v>
      </c>
    </row>
    <row r="308" spans="1:23">
      <c r="A308" s="2" t="s">
        <v>299</v>
      </c>
      <c r="B308" s="2" t="s">
        <v>300</v>
      </c>
      <c r="C308" s="3">
        <v>14</v>
      </c>
      <c r="D308" s="3">
        <v>1.98</v>
      </c>
      <c r="E308" s="2" t="s">
        <v>315</v>
      </c>
      <c r="F308" s="4">
        <v>39476</v>
      </c>
      <c r="G308" s="3">
        <v>53</v>
      </c>
      <c r="H308" s="3">
        <v>2</v>
      </c>
      <c r="I308" s="4">
        <v>39476</v>
      </c>
      <c r="J308" s="3">
        <v>53</v>
      </c>
      <c r="K308" s="3">
        <v>2</v>
      </c>
      <c r="L308" s="3">
        <v>0</v>
      </c>
      <c r="M308" s="5">
        <v>0</v>
      </c>
      <c r="N308" s="5">
        <v>0</v>
      </c>
      <c r="O308" s="5">
        <v>0</v>
      </c>
      <c r="P308" s="5">
        <v>0</v>
      </c>
      <c r="Q308" s="5">
        <v>10.96177</v>
      </c>
      <c r="R308" s="8">
        <f t="shared" si="32"/>
        <v>0</v>
      </c>
      <c r="S308" s="9">
        <f t="shared" si="33"/>
        <v>0</v>
      </c>
      <c r="T308" s="9">
        <v>1.5</v>
      </c>
      <c r="U308" s="9">
        <f t="shared" si="34"/>
        <v>0</v>
      </c>
      <c r="V308" s="9">
        <f t="shared" si="35"/>
        <v>0</v>
      </c>
      <c r="W308" s="9">
        <f t="shared" si="36"/>
        <v>10.96177</v>
      </c>
    </row>
    <row r="309" spans="1:23">
      <c r="A309" s="2" t="s">
        <v>299</v>
      </c>
      <c r="B309" s="2" t="s">
        <v>300</v>
      </c>
      <c r="C309" s="3">
        <v>14</v>
      </c>
      <c r="D309" s="3">
        <v>1.98</v>
      </c>
      <c r="E309" s="2" t="s">
        <v>315</v>
      </c>
      <c r="F309" s="4">
        <v>39476</v>
      </c>
      <c r="G309" s="3">
        <v>53</v>
      </c>
      <c r="H309" s="3">
        <v>2</v>
      </c>
      <c r="I309" s="4">
        <v>39483</v>
      </c>
      <c r="J309" s="3">
        <v>59</v>
      </c>
      <c r="K309" s="6"/>
      <c r="L309" s="3">
        <v>7</v>
      </c>
      <c r="M309" s="5">
        <v>6</v>
      </c>
      <c r="N309" s="6"/>
      <c r="O309" s="5">
        <v>13.86</v>
      </c>
      <c r="P309" s="5">
        <v>857.14285714285711</v>
      </c>
      <c r="Q309" s="5">
        <v>53.726182857142852</v>
      </c>
      <c r="R309" s="8">
        <f t="shared" si="32"/>
        <v>7</v>
      </c>
      <c r="S309" s="9">
        <f t="shared" si="33"/>
        <v>6</v>
      </c>
      <c r="T309" s="9">
        <v>1.5</v>
      </c>
      <c r="U309" s="9">
        <f t="shared" si="34"/>
        <v>13.86</v>
      </c>
      <c r="V309" s="9">
        <f t="shared" si="35"/>
        <v>857.14285714285711</v>
      </c>
      <c r="W309" s="9">
        <f t="shared" si="36"/>
        <v>53.726182857142852</v>
      </c>
    </row>
    <row r="310" spans="1:23">
      <c r="A310" s="2" t="s">
        <v>299</v>
      </c>
      <c r="B310" s="2" t="s">
        <v>300</v>
      </c>
      <c r="C310" s="3">
        <v>14</v>
      </c>
      <c r="D310" s="3">
        <v>1.98</v>
      </c>
      <c r="E310" s="2" t="s">
        <v>315</v>
      </c>
      <c r="F310" s="4">
        <v>39476</v>
      </c>
      <c r="G310" s="3">
        <v>53</v>
      </c>
      <c r="H310" s="3">
        <v>2</v>
      </c>
      <c r="I310" s="4">
        <v>39490</v>
      </c>
      <c r="J310" s="3">
        <v>59.4</v>
      </c>
      <c r="K310" s="3">
        <v>2.25</v>
      </c>
      <c r="L310" s="3">
        <v>14</v>
      </c>
      <c r="M310" s="5">
        <v>6.3999999999999986</v>
      </c>
      <c r="N310" s="5">
        <v>0.25</v>
      </c>
      <c r="O310" s="5">
        <v>27.72</v>
      </c>
      <c r="P310" s="5">
        <v>457.142857142857</v>
      </c>
      <c r="Q310" s="5">
        <v>34.04000085714285</v>
      </c>
      <c r="R310" s="8">
        <f t="shared" si="32"/>
        <v>7</v>
      </c>
      <c r="S310" s="9">
        <f t="shared" si="33"/>
        <v>0.39999999999999858</v>
      </c>
      <c r="T310" s="9">
        <v>1.5</v>
      </c>
      <c r="U310" s="9">
        <f t="shared" si="34"/>
        <v>13.86</v>
      </c>
      <c r="V310" s="9">
        <f t="shared" si="35"/>
        <v>57.14285714285694</v>
      </c>
      <c r="W310" s="9">
        <f t="shared" si="36"/>
        <v>14.320000857142848</v>
      </c>
    </row>
    <row r="311" spans="1:23">
      <c r="A311" s="2" t="s">
        <v>299</v>
      </c>
      <c r="B311" s="2" t="s">
        <v>300</v>
      </c>
      <c r="C311" s="3">
        <v>14</v>
      </c>
      <c r="D311" s="3">
        <v>1.98</v>
      </c>
      <c r="E311" s="2" t="s">
        <v>315</v>
      </c>
      <c r="F311" s="4">
        <v>39476</v>
      </c>
      <c r="G311" s="3">
        <v>53</v>
      </c>
      <c r="H311" s="3">
        <v>2</v>
      </c>
      <c r="I311" s="4">
        <v>39497</v>
      </c>
      <c r="J311" s="3">
        <v>61</v>
      </c>
      <c r="K311" s="3">
        <v>2</v>
      </c>
      <c r="L311" s="3">
        <v>21</v>
      </c>
      <c r="M311" s="5">
        <v>8</v>
      </c>
      <c r="N311" s="5">
        <v>0</v>
      </c>
      <c r="O311" s="5">
        <v>41.58</v>
      </c>
      <c r="P311" s="5">
        <v>380.95238095238091</v>
      </c>
      <c r="Q311" s="5">
        <v>30.419082380952378</v>
      </c>
      <c r="R311" s="8">
        <f t="shared" si="32"/>
        <v>7</v>
      </c>
      <c r="S311" s="9">
        <f t="shared" si="33"/>
        <v>1.6000000000000014</v>
      </c>
      <c r="T311" s="9">
        <v>1.5</v>
      </c>
      <c r="U311" s="9">
        <f t="shared" si="34"/>
        <v>13.86</v>
      </c>
      <c r="V311" s="9">
        <f t="shared" si="35"/>
        <v>228.57142857142878</v>
      </c>
      <c r="W311" s="9">
        <f t="shared" si="36"/>
        <v>22.906701428571438</v>
      </c>
    </row>
    <row r="312" spans="1:23">
      <c r="A312" s="2" t="s">
        <v>299</v>
      </c>
      <c r="B312" s="2" t="s">
        <v>300</v>
      </c>
      <c r="C312" s="3">
        <v>14</v>
      </c>
      <c r="D312" s="3">
        <v>1.98</v>
      </c>
      <c r="E312" s="2" t="s">
        <v>315</v>
      </c>
      <c r="F312" s="4">
        <v>39476</v>
      </c>
      <c r="G312" s="3">
        <v>53</v>
      </c>
      <c r="H312" s="3">
        <v>2</v>
      </c>
      <c r="I312" s="4">
        <v>39503</v>
      </c>
      <c r="J312" s="3">
        <v>62</v>
      </c>
      <c r="K312" s="3">
        <v>2</v>
      </c>
      <c r="L312" s="3">
        <v>27</v>
      </c>
      <c r="M312" s="5">
        <v>9</v>
      </c>
      <c r="N312" s="5">
        <v>0</v>
      </c>
      <c r="O312" s="5">
        <v>53.46</v>
      </c>
      <c r="P312" s="5">
        <v>333.33333333333331</v>
      </c>
      <c r="Q312" s="5">
        <v>28.156008333333329</v>
      </c>
      <c r="R312" s="8">
        <f t="shared" ref="R312:R375" si="37">IF(I312-F312=0,0,I312-I311)</f>
        <v>6</v>
      </c>
      <c r="S312" s="9">
        <f t="shared" ref="S312:S375" si="38">IF(R312=0,J312-G312,J312-J311)</f>
        <v>1</v>
      </c>
      <c r="T312" s="9">
        <v>1.5</v>
      </c>
      <c r="U312" s="9">
        <f t="shared" ref="U312:U375" si="39">D312*R312</f>
        <v>11.879999999999999</v>
      </c>
      <c r="V312" s="9">
        <f t="shared" ref="V312:V375" si="40">IF(R312=0,0,(S312/R312*1000))</f>
        <v>166.66666666666666</v>
      </c>
      <c r="W312" s="9">
        <f t="shared" ref="W312:W375" si="41">IF(R312=0,(((G312)*0.16909+(V312/1000)*49.3)+2),((((G312+J312)/2)*0.16909+(V312/1000)*49.3)+2))</f>
        <v>19.939341666666664</v>
      </c>
    </row>
    <row r="313" spans="1:23">
      <c r="A313" s="2" t="s">
        <v>299</v>
      </c>
      <c r="B313" s="2" t="s">
        <v>300</v>
      </c>
      <c r="C313" s="3">
        <v>14</v>
      </c>
      <c r="D313" s="3">
        <v>1.98</v>
      </c>
      <c r="E313" s="2" t="s">
        <v>315</v>
      </c>
      <c r="F313" s="4">
        <v>39476</v>
      </c>
      <c r="G313" s="3">
        <v>53</v>
      </c>
      <c r="H313" s="3">
        <v>2</v>
      </c>
      <c r="I313" s="4">
        <v>39511</v>
      </c>
      <c r="J313" s="3">
        <v>63</v>
      </c>
      <c r="K313" s="6"/>
      <c r="L313" s="3">
        <v>35</v>
      </c>
      <c r="M313" s="5">
        <v>10</v>
      </c>
      <c r="N313" s="6"/>
      <c r="O313" s="5">
        <v>69.3</v>
      </c>
      <c r="P313" s="5">
        <v>285.71428571428572</v>
      </c>
      <c r="Q313" s="5">
        <v>25.892934285714283</v>
      </c>
      <c r="R313" s="8">
        <f t="shared" si="37"/>
        <v>8</v>
      </c>
      <c r="S313" s="9">
        <f t="shared" si="38"/>
        <v>1</v>
      </c>
      <c r="T313" s="9">
        <v>1.5</v>
      </c>
      <c r="U313" s="9">
        <f t="shared" si="39"/>
        <v>15.84</v>
      </c>
      <c r="V313" s="9">
        <f t="shared" si="40"/>
        <v>125</v>
      </c>
      <c r="W313" s="9">
        <f t="shared" si="41"/>
        <v>17.969719999999999</v>
      </c>
    </row>
    <row r="314" spans="1:23">
      <c r="A314" s="2" t="s">
        <v>299</v>
      </c>
      <c r="B314" s="2" t="s">
        <v>300</v>
      </c>
      <c r="C314" s="3">
        <v>14</v>
      </c>
      <c r="D314" s="3">
        <v>1.98</v>
      </c>
      <c r="E314" s="2" t="s">
        <v>315</v>
      </c>
      <c r="F314" s="4">
        <v>39476</v>
      </c>
      <c r="G314" s="3">
        <v>53</v>
      </c>
      <c r="H314" s="3">
        <v>2</v>
      </c>
      <c r="I314" s="4">
        <v>39518</v>
      </c>
      <c r="J314" s="3">
        <v>61.4</v>
      </c>
      <c r="K314" s="3">
        <v>2.5</v>
      </c>
      <c r="L314" s="3">
        <v>42</v>
      </c>
      <c r="M314" s="5">
        <v>8.3999999999999986</v>
      </c>
      <c r="N314" s="5">
        <v>0.5</v>
      </c>
      <c r="O314" s="5">
        <v>83.16</v>
      </c>
      <c r="P314" s="5">
        <v>199.99999999999994</v>
      </c>
      <c r="Q314" s="5">
        <v>21.531948</v>
      </c>
      <c r="R314" s="8">
        <f t="shared" si="37"/>
        <v>7</v>
      </c>
      <c r="S314" s="9">
        <f t="shared" si="38"/>
        <v>-1.6000000000000014</v>
      </c>
      <c r="T314" s="9">
        <v>1.5</v>
      </c>
      <c r="U314" s="9">
        <f t="shared" si="39"/>
        <v>13.86</v>
      </c>
      <c r="V314" s="9">
        <f t="shared" si="40"/>
        <v>-228.57142857142878</v>
      </c>
      <c r="W314" s="9">
        <f t="shared" si="41"/>
        <v>0.40337657142856109</v>
      </c>
    </row>
    <row r="315" spans="1:23">
      <c r="A315" s="2" t="s">
        <v>299</v>
      </c>
      <c r="B315" s="2" t="s">
        <v>300</v>
      </c>
      <c r="C315" s="3">
        <v>14</v>
      </c>
      <c r="D315" s="3">
        <v>1.98</v>
      </c>
      <c r="E315" s="2" t="s">
        <v>315</v>
      </c>
      <c r="F315" s="4">
        <v>39476</v>
      </c>
      <c r="G315" s="3">
        <v>53</v>
      </c>
      <c r="H315" s="3">
        <v>2</v>
      </c>
      <c r="I315" s="4">
        <v>39525</v>
      </c>
      <c r="J315" s="3">
        <v>61.8</v>
      </c>
      <c r="K315" s="3">
        <v>1.75</v>
      </c>
      <c r="L315" s="3">
        <v>49</v>
      </c>
      <c r="M315" s="5">
        <v>8.7999999999999972</v>
      </c>
      <c r="N315" s="5">
        <v>-0.25</v>
      </c>
      <c r="O315" s="5">
        <v>97.02</v>
      </c>
      <c r="P315" s="5">
        <v>179.5918367346938</v>
      </c>
      <c r="Q315" s="5">
        <v>20.559643551020404</v>
      </c>
      <c r="R315" s="8">
        <f t="shared" si="37"/>
        <v>7</v>
      </c>
      <c r="S315" s="9">
        <f t="shared" si="38"/>
        <v>0.39999999999999858</v>
      </c>
      <c r="T315" s="9">
        <v>1.5</v>
      </c>
      <c r="U315" s="9">
        <f t="shared" si="39"/>
        <v>13.86</v>
      </c>
      <c r="V315" s="9">
        <f t="shared" si="40"/>
        <v>57.14285714285694</v>
      </c>
      <c r="W315" s="9">
        <f t="shared" si="41"/>
        <v>14.522908857142845</v>
      </c>
    </row>
    <row r="316" spans="1:23">
      <c r="A316" s="2" t="s">
        <v>299</v>
      </c>
      <c r="B316" s="2" t="s">
        <v>300</v>
      </c>
      <c r="C316" s="3">
        <v>14</v>
      </c>
      <c r="D316" s="3">
        <v>1.98</v>
      </c>
      <c r="E316" s="2" t="s">
        <v>315</v>
      </c>
      <c r="F316" s="4">
        <v>39476</v>
      </c>
      <c r="G316" s="3">
        <v>53</v>
      </c>
      <c r="H316" s="3">
        <v>2</v>
      </c>
      <c r="I316" s="4">
        <v>39532</v>
      </c>
      <c r="J316" s="3">
        <v>58.6</v>
      </c>
      <c r="K316" s="3">
        <v>2</v>
      </c>
      <c r="L316" s="3">
        <v>56</v>
      </c>
      <c r="M316" s="5">
        <v>5.6000000000000014</v>
      </c>
      <c r="N316" s="5">
        <v>0</v>
      </c>
      <c r="O316" s="5">
        <v>110.88</v>
      </c>
      <c r="P316" s="5">
        <v>100.00000000000001</v>
      </c>
      <c r="Q316" s="5">
        <v>16.365221999999999</v>
      </c>
      <c r="R316" s="8">
        <f t="shared" si="37"/>
        <v>7</v>
      </c>
      <c r="S316" s="9">
        <f t="shared" si="38"/>
        <v>-3.1999999999999957</v>
      </c>
      <c r="T316" s="9">
        <v>1.5</v>
      </c>
      <c r="U316" s="9">
        <f t="shared" si="39"/>
        <v>13.86</v>
      </c>
      <c r="V316" s="9">
        <f t="shared" si="40"/>
        <v>-457.14285714285654</v>
      </c>
      <c r="W316" s="9">
        <f t="shared" si="41"/>
        <v>-11.101920857142826</v>
      </c>
    </row>
    <row r="317" spans="1:23">
      <c r="A317" s="2" t="s">
        <v>299</v>
      </c>
      <c r="B317" s="2" t="s">
        <v>300</v>
      </c>
      <c r="C317" s="3">
        <v>14</v>
      </c>
      <c r="D317" s="3">
        <v>1.98</v>
      </c>
      <c r="E317" s="2" t="s">
        <v>316</v>
      </c>
      <c r="F317" s="4">
        <v>39476</v>
      </c>
      <c r="G317" s="3">
        <v>60</v>
      </c>
      <c r="H317" s="3">
        <v>2</v>
      </c>
      <c r="I317" s="4">
        <v>39476</v>
      </c>
      <c r="J317" s="3">
        <v>60</v>
      </c>
      <c r="K317" s="3">
        <v>2</v>
      </c>
      <c r="L317" s="3">
        <v>0</v>
      </c>
      <c r="M317" s="5">
        <v>0</v>
      </c>
      <c r="N317" s="5">
        <v>0</v>
      </c>
      <c r="O317" s="5">
        <v>0</v>
      </c>
      <c r="P317" s="5">
        <v>0</v>
      </c>
      <c r="Q317" s="5">
        <v>12.145399999999999</v>
      </c>
      <c r="R317" s="8">
        <f t="shared" si="37"/>
        <v>0</v>
      </c>
      <c r="S317" s="9">
        <f t="shared" si="38"/>
        <v>0</v>
      </c>
      <c r="T317" s="9">
        <v>1.5</v>
      </c>
      <c r="U317" s="9">
        <f t="shared" si="39"/>
        <v>0</v>
      </c>
      <c r="V317" s="9">
        <f t="shared" si="40"/>
        <v>0</v>
      </c>
      <c r="W317" s="9">
        <f t="shared" si="41"/>
        <v>12.145399999999999</v>
      </c>
    </row>
    <row r="318" spans="1:23">
      <c r="A318" s="2" t="s">
        <v>299</v>
      </c>
      <c r="B318" s="2" t="s">
        <v>300</v>
      </c>
      <c r="C318" s="3">
        <v>14</v>
      </c>
      <c r="D318" s="3">
        <v>1.98</v>
      </c>
      <c r="E318" s="2" t="s">
        <v>316</v>
      </c>
      <c r="F318" s="4">
        <v>39476</v>
      </c>
      <c r="G318" s="3">
        <v>60</v>
      </c>
      <c r="H318" s="3">
        <v>2</v>
      </c>
      <c r="I318" s="4">
        <v>39483</v>
      </c>
      <c r="J318" s="3">
        <v>65</v>
      </c>
      <c r="K318" s="6"/>
      <c r="L318" s="3">
        <v>7</v>
      </c>
      <c r="M318" s="5">
        <v>5</v>
      </c>
      <c r="N318" s="6"/>
      <c r="O318" s="5">
        <v>13.86</v>
      </c>
      <c r="P318" s="5">
        <v>714.28571428571433</v>
      </c>
      <c r="Q318" s="5">
        <v>47.782410714285717</v>
      </c>
      <c r="R318" s="8">
        <f t="shared" si="37"/>
        <v>7</v>
      </c>
      <c r="S318" s="9">
        <f t="shared" si="38"/>
        <v>5</v>
      </c>
      <c r="T318" s="9">
        <v>1.5</v>
      </c>
      <c r="U318" s="9">
        <f t="shared" si="39"/>
        <v>13.86</v>
      </c>
      <c r="V318" s="9">
        <f t="shared" si="40"/>
        <v>714.28571428571433</v>
      </c>
      <c r="W318" s="9">
        <f t="shared" si="41"/>
        <v>47.782410714285717</v>
      </c>
    </row>
    <row r="319" spans="1:23">
      <c r="A319" s="2" t="s">
        <v>299</v>
      </c>
      <c r="B319" s="2" t="s">
        <v>300</v>
      </c>
      <c r="C319" s="3">
        <v>14</v>
      </c>
      <c r="D319" s="3">
        <v>1.98</v>
      </c>
      <c r="E319" s="2" t="s">
        <v>316</v>
      </c>
      <c r="F319" s="4">
        <v>39476</v>
      </c>
      <c r="G319" s="3">
        <v>60</v>
      </c>
      <c r="H319" s="3">
        <v>2</v>
      </c>
      <c r="I319" s="4">
        <v>39490</v>
      </c>
      <c r="J319" s="3">
        <v>66.2</v>
      </c>
      <c r="K319" s="3">
        <v>2</v>
      </c>
      <c r="L319" s="3">
        <v>14</v>
      </c>
      <c r="M319" s="5">
        <v>6.2000000000000028</v>
      </c>
      <c r="N319" s="5">
        <v>0</v>
      </c>
      <c r="O319" s="5">
        <v>27.72</v>
      </c>
      <c r="P319" s="5">
        <v>442.85714285714306</v>
      </c>
      <c r="Q319" s="5">
        <v>34.50243614285715</v>
      </c>
      <c r="R319" s="8">
        <f t="shared" si="37"/>
        <v>7</v>
      </c>
      <c r="S319" s="9">
        <f t="shared" si="38"/>
        <v>1.2000000000000028</v>
      </c>
      <c r="T319" s="9">
        <v>1.5</v>
      </c>
      <c r="U319" s="9">
        <f t="shared" si="39"/>
        <v>13.86</v>
      </c>
      <c r="V319" s="9">
        <f t="shared" si="40"/>
        <v>171.42857142857184</v>
      </c>
      <c r="W319" s="9">
        <f t="shared" si="41"/>
        <v>21.121007571428592</v>
      </c>
    </row>
    <row r="320" spans="1:23">
      <c r="A320" s="2" t="s">
        <v>299</v>
      </c>
      <c r="B320" s="2" t="s">
        <v>300</v>
      </c>
      <c r="C320" s="3">
        <v>14</v>
      </c>
      <c r="D320" s="3">
        <v>1.98</v>
      </c>
      <c r="E320" s="2" t="s">
        <v>316</v>
      </c>
      <c r="F320" s="4">
        <v>39476</v>
      </c>
      <c r="G320" s="3">
        <v>60</v>
      </c>
      <c r="H320" s="3">
        <v>2</v>
      </c>
      <c r="I320" s="4">
        <v>39497</v>
      </c>
      <c r="J320" s="3">
        <v>65</v>
      </c>
      <c r="K320" s="3">
        <v>2</v>
      </c>
      <c r="L320" s="3">
        <v>21</v>
      </c>
      <c r="M320" s="5">
        <v>5</v>
      </c>
      <c r="N320" s="5">
        <v>0</v>
      </c>
      <c r="O320" s="5">
        <v>41.58</v>
      </c>
      <c r="P320" s="5">
        <v>238.09523809523807</v>
      </c>
      <c r="Q320" s="5">
        <v>24.306220238095236</v>
      </c>
      <c r="R320" s="8">
        <f t="shared" si="37"/>
        <v>7</v>
      </c>
      <c r="S320" s="9">
        <f t="shared" si="38"/>
        <v>-1.2000000000000028</v>
      </c>
      <c r="T320" s="9">
        <v>1.5</v>
      </c>
      <c r="U320" s="9">
        <f t="shared" si="39"/>
        <v>13.86</v>
      </c>
      <c r="V320" s="9">
        <f t="shared" si="40"/>
        <v>-171.42857142857184</v>
      </c>
      <c r="W320" s="9">
        <f t="shared" si="41"/>
        <v>4.1166964285714087</v>
      </c>
    </row>
    <row r="321" spans="1:23">
      <c r="A321" s="2" t="s">
        <v>299</v>
      </c>
      <c r="B321" s="2" t="s">
        <v>300</v>
      </c>
      <c r="C321" s="3">
        <v>14</v>
      </c>
      <c r="D321" s="3">
        <v>1.98</v>
      </c>
      <c r="E321" s="2" t="s">
        <v>316</v>
      </c>
      <c r="F321" s="4">
        <v>39476</v>
      </c>
      <c r="G321" s="3">
        <v>60</v>
      </c>
      <c r="H321" s="3">
        <v>2</v>
      </c>
      <c r="I321" s="4">
        <v>39503</v>
      </c>
      <c r="J321" s="3">
        <v>68.2</v>
      </c>
      <c r="K321" s="3">
        <v>2</v>
      </c>
      <c r="L321" s="3">
        <v>27</v>
      </c>
      <c r="M321" s="5">
        <v>8.2000000000000028</v>
      </c>
      <c r="N321" s="5">
        <v>0</v>
      </c>
      <c r="O321" s="5">
        <v>53.46</v>
      </c>
      <c r="P321" s="5">
        <v>303.70370370370381</v>
      </c>
      <c r="Q321" s="5">
        <v>27.811261592592594</v>
      </c>
      <c r="R321" s="8">
        <f t="shared" si="37"/>
        <v>6</v>
      </c>
      <c r="S321" s="9">
        <f t="shared" si="38"/>
        <v>3.2000000000000028</v>
      </c>
      <c r="T321" s="9">
        <v>1.5</v>
      </c>
      <c r="U321" s="9">
        <f t="shared" si="39"/>
        <v>11.879999999999999</v>
      </c>
      <c r="V321" s="9">
        <f t="shared" si="40"/>
        <v>533.33333333333383</v>
      </c>
      <c r="W321" s="9">
        <f t="shared" si="41"/>
        <v>39.132002333333354</v>
      </c>
    </row>
    <row r="322" spans="1:23">
      <c r="A322" s="2" t="s">
        <v>299</v>
      </c>
      <c r="B322" s="2" t="s">
        <v>300</v>
      </c>
      <c r="C322" s="3">
        <v>14</v>
      </c>
      <c r="D322" s="3">
        <v>1.98</v>
      </c>
      <c r="E322" s="2" t="s">
        <v>316</v>
      </c>
      <c r="F322" s="4">
        <v>39476</v>
      </c>
      <c r="G322" s="3">
        <v>60</v>
      </c>
      <c r="H322" s="3">
        <v>2</v>
      </c>
      <c r="I322" s="4">
        <v>39511</v>
      </c>
      <c r="J322" s="3">
        <v>68.2</v>
      </c>
      <c r="K322" s="6"/>
      <c r="L322" s="3">
        <v>35</v>
      </c>
      <c r="M322" s="5">
        <v>8.2000000000000028</v>
      </c>
      <c r="N322" s="6"/>
      <c r="O322" s="5">
        <v>69.3</v>
      </c>
      <c r="P322" s="5">
        <v>234.28571428571436</v>
      </c>
      <c r="Q322" s="5">
        <v>24.388954714285717</v>
      </c>
      <c r="R322" s="8">
        <f t="shared" si="37"/>
        <v>8</v>
      </c>
      <c r="S322" s="9">
        <f t="shared" si="38"/>
        <v>0</v>
      </c>
      <c r="T322" s="9">
        <v>1.5</v>
      </c>
      <c r="U322" s="9">
        <f t="shared" si="39"/>
        <v>15.84</v>
      </c>
      <c r="V322" s="9">
        <f t="shared" si="40"/>
        <v>0</v>
      </c>
      <c r="W322" s="9">
        <f t="shared" si="41"/>
        <v>12.838668999999998</v>
      </c>
    </row>
    <row r="323" spans="1:23">
      <c r="A323" s="2" t="s">
        <v>299</v>
      </c>
      <c r="B323" s="2" t="s">
        <v>300</v>
      </c>
      <c r="C323" s="3">
        <v>14</v>
      </c>
      <c r="D323" s="3">
        <v>1.98</v>
      </c>
      <c r="E323" s="2" t="s">
        <v>316</v>
      </c>
      <c r="F323" s="4">
        <v>39476</v>
      </c>
      <c r="G323" s="3">
        <v>60</v>
      </c>
      <c r="H323" s="3">
        <v>2</v>
      </c>
      <c r="I323" s="4">
        <v>39518</v>
      </c>
      <c r="J323" s="3">
        <v>65.400000000000006</v>
      </c>
      <c r="K323" s="3">
        <v>2.5</v>
      </c>
      <c r="L323" s="3">
        <v>42</v>
      </c>
      <c r="M323" s="5">
        <v>5.4000000000000057</v>
      </c>
      <c r="N323" s="5">
        <v>0.5</v>
      </c>
      <c r="O323" s="5">
        <v>83.16</v>
      </c>
      <c r="P323" s="5">
        <v>128.5714285714287</v>
      </c>
      <c r="Q323" s="5">
        <v>18.940514428571433</v>
      </c>
      <c r="R323" s="8">
        <f t="shared" si="37"/>
        <v>7</v>
      </c>
      <c r="S323" s="9">
        <f t="shared" si="38"/>
        <v>-2.7999999999999972</v>
      </c>
      <c r="T323" s="9">
        <v>1.5</v>
      </c>
      <c r="U323" s="9">
        <f t="shared" si="39"/>
        <v>13.86</v>
      </c>
      <c r="V323" s="9">
        <f t="shared" si="40"/>
        <v>-399.9999999999996</v>
      </c>
      <c r="W323" s="9">
        <f t="shared" si="41"/>
        <v>-7.1180569999999772</v>
      </c>
    </row>
    <row r="324" spans="1:23">
      <c r="A324" s="2" t="s">
        <v>299</v>
      </c>
      <c r="B324" s="2" t="s">
        <v>300</v>
      </c>
      <c r="C324" s="3">
        <v>14</v>
      </c>
      <c r="D324" s="3">
        <v>1.98</v>
      </c>
      <c r="E324" s="2" t="s">
        <v>316</v>
      </c>
      <c r="F324" s="4">
        <v>39476</v>
      </c>
      <c r="G324" s="3">
        <v>60</v>
      </c>
      <c r="H324" s="3">
        <v>2</v>
      </c>
      <c r="I324" s="4">
        <v>39525</v>
      </c>
      <c r="J324" s="3">
        <v>67.2</v>
      </c>
      <c r="K324" s="3">
        <v>2.25</v>
      </c>
      <c r="L324" s="3">
        <v>49</v>
      </c>
      <c r="M324" s="5">
        <v>7.2000000000000028</v>
      </c>
      <c r="N324" s="5">
        <v>0.25</v>
      </c>
      <c r="O324" s="5">
        <v>97.02</v>
      </c>
      <c r="P324" s="5">
        <v>146.93877551020415</v>
      </c>
      <c r="Q324" s="5">
        <v>19.998205632653065</v>
      </c>
      <c r="R324" s="8">
        <f t="shared" si="37"/>
        <v>7</v>
      </c>
      <c r="S324" s="9">
        <f t="shared" si="38"/>
        <v>1.7999999999999972</v>
      </c>
      <c r="T324" s="9">
        <v>1.5</v>
      </c>
      <c r="U324" s="9">
        <f t="shared" si="39"/>
        <v>13.86</v>
      </c>
      <c r="V324" s="9">
        <f t="shared" si="40"/>
        <v>257.14285714285671</v>
      </c>
      <c r="W324" s="9">
        <f t="shared" si="41"/>
        <v>25.431266857142838</v>
      </c>
    </row>
    <row r="325" spans="1:23">
      <c r="A325" s="2" t="s">
        <v>299</v>
      </c>
      <c r="B325" s="2" t="s">
        <v>300</v>
      </c>
      <c r="C325" s="3">
        <v>14</v>
      </c>
      <c r="D325" s="3">
        <v>1.98</v>
      </c>
      <c r="E325" s="2" t="s">
        <v>316</v>
      </c>
      <c r="F325" s="4">
        <v>39476</v>
      </c>
      <c r="G325" s="3">
        <v>60</v>
      </c>
      <c r="H325" s="3">
        <v>2</v>
      </c>
      <c r="I325" s="4">
        <v>39532</v>
      </c>
      <c r="J325" s="3">
        <v>70.400000000000006</v>
      </c>
      <c r="K325" s="3">
        <v>2</v>
      </c>
      <c r="L325" s="3">
        <v>56</v>
      </c>
      <c r="M325" s="5">
        <v>10.400000000000006</v>
      </c>
      <c r="N325" s="5">
        <v>0</v>
      </c>
      <c r="O325" s="5">
        <v>110.88</v>
      </c>
      <c r="P325" s="5">
        <v>185.71428571428581</v>
      </c>
      <c r="Q325" s="5">
        <v>22.180382285714288</v>
      </c>
      <c r="R325" s="8">
        <f t="shared" si="37"/>
        <v>7</v>
      </c>
      <c r="S325" s="9">
        <f t="shared" si="38"/>
        <v>3.2000000000000028</v>
      </c>
      <c r="T325" s="9">
        <v>1.5</v>
      </c>
      <c r="U325" s="9">
        <f t="shared" si="39"/>
        <v>13.86</v>
      </c>
      <c r="V325" s="9">
        <f t="shared" si="40"/>
        <v>457.14285714285757</v>
      </c>
      <c r="W325" s="9">
        <f t="shared" si="41"/>
        <v>35.561810857142881</v>
      </c>
    </row>
    <row r="326" spans="1:23">
      <c r="A326" s="2" t="s">
        <v>299</v>
      </c>
      <c r="B326" s="2" t="s">
        <v>300</v>
      </c>
      <c r="C326" s="3">
        <v>14</v>
      </c>
      <c r="D326" s="3">
        <v>1.98</v>
      </c>
      <c r="E326" s="2" t="s">
        <v>317</v>
      </c>
      <c r="F326" s="4">
        <v>39476</v>
      </c>
      <c r="G326" s="3">
        <v>64.2</v>
      </c>
      <c r="H326" s="3">
        <v>3</v>
      </c>
      <c r="I326" s="4">
        <v>39476</v>
      </c>
      <c r="J326" s="3">
        <v>64.2</v>
      </c>
      <c r="K326" s="3">
        <v>3</v>
      </c>
      <c r="L326" s="3">
        <v>0</v>
      </c>
      <c r="M326" s="5">
        <v>0</v>
      </c>
      <c r="N326" s="5">
        <v>0</v>
      </c>
      <c r="O326" s="5">
        <v>0</v>
      </c>
      <c r="P326" s="5">
        <v>0</v>
      </c>
      <c r="Q326" s="5">
        <v>12.855578</v>
      </c>
      <c r="R326" s="8">
        <f t="shared" si="37"/>
        <v>0</v>
      </c>
      <c r="S326" s="9">
        <f t="shared" si="38"/>
        <v>0</v>
      </c>
      <c r="T326" s="9">
        <v>1.5</v>
      </c>
      <c r="U326" s="9">
        <f t="shared" si="39"/>
        <v>0</v>
      </c>
      <c r="V326" s="9">
        <f t="shared" si="40"/>
        <v>0</v>
      </c>
      <c r="W326" s="9">
        <f t="shared" si="41"/>
        <v>12.855578</v>
      </c>
    </row>
    <row r="327" spans="1:23">
      <c r="A327" s="2" t="s">
        <v>299</v>
      </c>
      <c r="B327" s="2" t="s">
        <v>300</v>
      </c>
      <c r="C327" s="3">
        <v>14</v>
      </c>
      <c r="D327" s="3">
        <v>1.98</v>
      </c>
      <c r="E327" s="2" t="s">
        <v>317</v>
      </c>
      <c r="F327" s="4">
        <v>39476</v>
      </c>
      <c r="G327" s="3">
        <v>64.2</v>
      </c>
      <c r="H327" s="3">
        <v>3</v>
      </c>
      <c r="I327" s="4">
        <v>39483</v>
      </c>
      <c r="J327" s="3">
        <v>69.8</v>
      </c>
      <c r="K327" s="6"/>
      <c r="L327" s="3">
        <v>7</v>
      </c>
      <c r="M327" s="5">
        <v>5.5999999999999943</v>
      </c>
      <c r="N327" s="6"/>
      <c r="O327" s="5">
        <v>13.86</v>
      </c>
      <c r="P327" s="5">
        <v>799.9999999999992</v>
      </c>
      <c r="Q327" s="5">
        <v>52.769029999999958</v>
      </c>
      <c r="R327" s="8">
        <f t="shared" si="37"/>
        <v>7</v>
      </c>
      <c r="S327" s="9">
        <f t="shared" si="38"/>
        <v>5.5999999999999943</v>
      </c>
      <c r="T327" s="9">
        <v>1.5</v>
      </c>
      <c r="U327" s="9">
        <f t="shared" si="39"/>
        <v>13.86</v>
      </c>
      <c r="V327" s="9">
        <f t="shared" si="40"/>
        <v>799.9999999999992</v>
      </c>
      <c r="W327" s="9">
        <f t="shared" si="41"/>
        <v>52.769029999999958</v>
      </c>
    </row>
    <row r="328" spans="1:23">
      <c r="A328" s="2" t="s">
        <v>299</v>
      </c>
      <c r="B328" s="2" t="s">
        <v>300</v>
      </c>
      <c r="C328" s="3">
        <v>14</v>
      </c>
      <c r="D328" s="3">
        <v>1.98</v>
      </c>
      <c r="E328" s="2" t="s">
        <v>317</v>
      </c>
      <c r="F328" s="4">
        <v>39476</v>
      </c>
      <c r="G328" s="3">
        <v>64.2</v>
      </c>
      <c r="H328" s="3">
        <v>3</v>
      </c>
      <c r="I328" s="4">
        <v>39490</v>
      </c>
      <c r="J328" s="3">
        <v>70.400000000000006</v>
      </c>
      <c r="K328" s="3">
        <v>3</v>
      </c>
      <c r="L328" s="3">
        <v>14</v>
      </c>
      <c r="M328" s="5">
        <v>6.2000000000000028</v>
      </c>
      <c r="N328" s="5">
        <v>0</v>
      </c>
      <c r="O328" s="5">
        <v>27.72</v>
      </c>
      <c r="P328" s="5">
        <v>442.85714285714306</v>
      </c>
      <c r="Q328" s="5">
        <v>35.212614142857149</v>
      </c>
      <c r="R328" s="8">
        <f t="shared" si="37"/>
        <v>7</v>
      </c>
      <c r="S328" s="9">
        <f t="shared" si="38"/>
        <v>0.60000000000000853</v>
      </c>
      <c r="T328" s="9">
        <v>1.5</v>
      </c>
      <c r="U328" s="9">
        <f t="shared" si="39"/>
        <v>13.86</v>
      </c>
      <c r="V328" s="9">
        <f t="shared" si="40"/>
        <v>85.71428571428693</v>
      </c>
      <c r="W328" s="9">
        <f t="shared" si="41"/>
        <v>17.605471285714348</v>
      </c>
    </row>
    <row r="329" spans="1:23">
      <c r="A329" s="2" t="s">
        <v>299</v>
      </c>
      <c r="B329" s="2" t="s">
        <v>300</v>
      </c>
      <c r="C329" s="3">
        <v>14</v>
      </c>
      <c r="D329" s="3">
        <v>1.98</v>
      </c>
      <c r="E329" s="2" t="s">
        <v>317</v>
      </c>
      <c r="F329" s="4">
        <v>39476</v>
      </c>
      <c r="G329" s="3">
        <v>64.2</v>
      </c>
      <c r="H329" s="3">
        <v>3</v>
      </c>
      <c r="I329" s="4">
        <v>39497</v>
      </c>
      <c r="J329" s="3">
        <v>68</v>
      </c>
      <c r="K329" s="3">
        <v>3</v>
      </c>
      <c r="L329" s="3">
        <v>21</v>
      </c>
      <c r="M329" s="5">
        <v>3.7999999999999972</v>
      </c>
      <c r="N329" s="5">
        <v>0</v>
      </c>
      <c r="O329" s="5">
        <v>41.58</v>
      </c>
      <c r="P329" s="5">
        <v>180.95238095238082</v>
      </c>
      <c r="Q329" s="5">
        <v>22.097801380952372</v>
      </c>
      <c r="R329" s="8">
        <f t="shared" si="37"/>
        <v>7</v>
      </c>
      <c r="S329" s="9">
        <f t="shared" si="38"/>
        <v>-2.4000000000000057</v>
      </c>
      <c r="T329" s="9">
        <v>1.5</v>
      </c>
      <c r="U329" s="9">
        <f t="shared" si="39"/>
        <v>13.86</v>
      </c>
      <c r="V329" s="9">
        <f t="shared" si="40"/>
        <v>-342.85714285714369</v>
      </c>
      <c r="W329" s="9">
        <f t="shared" si="41"/>
        <v>-3.7260081428571841</v>
      </c>
    </row>
    <row r="330" spans="1:23">
      <c r="A330" s="2" t="s">
        <v>299</v>
      </c>
      <c r="B330" s="2" t="s">
        <v>300</v>
      </c>
      <c r="C330" s="3">
        <v>14</v>
      </c>
      <c r="D330" s="3">
        <v>1.98</v>
      </c>
      <c r="E330" s="2" t="s">
        <v>317</v>
      </c>
      <c r="F330" s="4">
        <v>39476</v>
      </c>
      <c r="G330" s="3">
        <v>64.2</v>
      </c>
      <c r="H330" s="3">
        <v>3</v>
      </c>
      <c r="I330" s="4">
        <v>39503</v>
      </c>
      <c r="J330" s="3">
        <v>74.2</v>
      </c>
      <c r="K330" s="3">
        <v>3</v>
      </c>
      <c r="L330" s="3">
        <v>27</v>
      </c>
      <c r="M330" s="5">
        <v>10</v>
      </c>
      <c r="N330" s="5">
        <v>0</v>
      </c>
      <c r="O330" s="5">
        <v>53.46</v>
      </c>
      <c r="P330" s="5">
        <v>370.37037037037032</v>
      </c>
      <c r="Q330" s="5">
        <v>31.960287259259253</v>
      </c>
      <c r="R330" s="8">
        <f t="shared" si="37"/>
        <v>6</v>
      </c>
      <c r="S330" s="9">
        <f t="shared" si="38"/>
        <v>6.2000000000000028</v>
      </c>
      <c r="T330" s="9">
        <v>1.5</v>
      </c>
      <c r="U330" s="9">
        <f t="shared" si="39"/>
        <v>11.879999999999999</v>
      </c>
      <c r="V330" s="9">
        <f t="shared" si="40"/>
        <v>1033.3333333333339</v>
      </c>
      <c r="W330" s="9">
        <f t="shared" si="41"/>
        <v>64.644361333333364</v>
      </c>
    </row>
    <row r="331" spans="1:23">
      <c r="A331" s="2" t="s">
        <v>299</v>
      </c>
      <c r="B331" s="2" t="s">
        <v>300</v>
      </c>
      <c r="C331" s="3">
        <v>14</v>
      </c>
      <c r="D331" s="3">
        <v>1.98</v>
      </c>
      <c r="E331" s="2" t="s">
        <v>317</v>
      </c>
      <c r="F331" s="4">
        <v>39476</v>
      </c>
      <c r="G331" s="3">
        <v>64.2</v>
      </c>
      <c r="H331" s="3">
        <v>3</v>
      </c>
      <c r="I331" s="4">
        <v>39511</v>
      </c>
      <c r="J331" s="3">
        <v>71.400000000000006</v>
      </c>
      <c r="K331" s="6"/>
      <c r="L331" s="3">
        <v>35</v>
      </c>
      <c r="M331" s="5">
        <v>7.2000000000000028</v>
      </c>
      <c r="N331" s="6"/>
      <c r="O331" s="5">
        <v>69.3</v>
      </c>
      <c r="P331" s="5">
        <v>205.71428571428581</v>
      </c>
      <c r="Q331" s="5">
        <v>23.60601628571429</v>
      </c>
      <c r="R331" s="8">
        <f t="shared" si="37"/>
        <v>8</v>
      </c>
      <c r="S331" s="9">
        <f t="shared" si="38"/>
        <v>-2.7999999999999972</v>
      </c>
      <c r="T331" s="9">
        <v>1.5</v>
      </c>
      <c r="U331" s="9">
        <f t="shared" si="39"/>
        <v>15.84</v>
      </c>
      <c r="V331" s="9">
        <f t="shared" si="40"/>
        <v>-349.99999999999966</v>
      </c>
      <c r="W331" s="9">
        <f t="shared" si="41"/>
        <v>-3.7906979999999795</v>
      </c>
    </row>
    <row r="332" spans="1:23">
      <c r="A332" s="2" t="s">
        <v>299</v>
      </c>
      <c r="B332" s="2" t="s">
        <v>300</v>
      </c>
      <c r="C332" s="3">
        <v>14</v>
      </c>
      <c r="D332" s="3">
        <v>1.98</v>
      </c>
      <c r="E332" s="2" t="s">
        <v>317</v>
      </c>
      <c r="F332" s="4">
        <v>39476</v>
      </c>
      <c r="G332" s="3">
        <v>64.2</v>
      </c>
      <c r="H332" s="3">
        <v>3</v>
      </c>
      <c r="I332" s="4">
        <v>39518</v>
      </c>
      <c r="J332" s="3">
        <v>69.8</v>
      </c>
      <c r="K332" s="3">
        <v>3</v>
      </c>
      <c r="L332" s="3">
        <v>42</v>
      </c>
      <c r="M332" s="5">
        <v>5.5999999999999943</v>
      </c>
      <c r="N332" s="5">
        <v>0</v>
      </c>
      <c r="O332" s="5">
        <v>83.16</v>
      </c>
      <c r="P332" s="5">
        <v>133.3333333333332</v>
      </c>
      <c r="Q332" s="5">
        <v>19.902363333333327</v>
      </c>
      <c r="R332" s="8">
        <f t="shared" si="37"/>
        <v>7</v>
      </c>
      <c r="S332" s="9">
        <f t="shared" si="38"/>
        <v>-1.6000000000000085</v>
      </c>
      <c r="T332" s="9">
        <v>1.5</v>
      </c>
      <c r="U332" s="9">
        <f t="shared" si="39"/>
        <v>13.86</v>
      </c>
      <c r="V332" s="9">
        <f t="shared" si="40"/>
        <v>-228.57142857142978</v>
      </c>
      <c r="W332" s="9">
        <f t="shared" si="41"/>
        <v>2.0604585714285122</v>
      </c>
    </row>
    <row r="333" spans="1:23">
      <c r="A333" s="2" t="s">
        <v>299</v>
      </c>
      <c r="B333" s="2" t="s">
        <v>300</v>
      </c>
      <c r="C333" s="3">
        <v>14</v>
      </c>
      <c r="D333" s="3">
        <v>1.98</v>
      </c>
      <c r="E333" s="2" t="s">
        <v>317</v>
      </c>
      <c r="F333" s="4">
        <v>39476</v>
      </c>
      <c r="G333" s="3">
        <v>64.2</v>
      </c>
      <c r="H333" s="3">
        <v>3</v>
      </c>
      <c r="I333" s="4">
        <v>39525</v>
      </c>
      <c r="J333" s="3">
        <v>69</v>
      </c>
      <c r="K333" s="3">
        <v>3</v>
      </c>
      <c r="L333" s="3">
        <v>49</v>
      </c>
      <c r="M333" s="5">
        <v>4.7999999999999972</v>
      </c>
      <c r="N333" s="5">
        <v>0</v>
      </c>
      <c r="O333" s="5">
        <v>97.02</v>
      </c>
      <c r="P333" s="5">
        <v>97.959183673469326</v>
      </c>
      <c r="Q333" s="5">
        <v>18.090781755102036</v>
      </c>
      <c r="R333" s="8">
        <f t="shared" si="37"/>
        <v>7</v>
      </c>
      <c r="S333" s="9">
        <f t="shared" si="38"/>
        <v>-0.79999999999999716</v>
      </c>
      <c r="T333" s="9">
        <v>1.5</v>
      </c>
      <c r="U333" s="9">
        <f t="shared" si="39"/>
        <v>13.86</v>
      </c>
      <c r="V333" s="9">
        <f t="shared" si="40"/>
        <v>-114.28571428571388</v>
      </c>
      <c r="W333" s="9">
        <f t="shared" si="41"/>
        <v>7.6271082857143053</v>
      </c>
    </row>
    <row r="334" spans="1:23">
      <c r="A334" s="2" t="s">
        <v>299</v>
      </c>
      <c r="B334" s="2" t="s">
        <v>300</v>
      </c>
      <c r="C334" s="3">
        <v>14</v>
      </c>
      <c r="D334" s="3">
        <v>1.98</v>
      </c>
      <c r="E334" s="2" t="s">
        <v>317</v>
      </c>
      <c r="F334" s="4">
        <v>39476</v>
      </c>
      <c r="G334" s="3">
        <v>64.2</v>
      </c>
      <c r="H334" s="3">
        <v>3</v>
      </c>
      <c r="I334" s="4">
        <v>39532</v>
      </c>
      <c r="J334" s="3">
        <v>65.599999999999994</v>
      </c>
      <c r="K334" s="3">
        <v>2.5</v>
      </c>
      <c r="L334" s="3">
        <v>56</v>
      </c>
      <c r="M334" s="5">
        <v>1.3999999999999915</v>
      </c>
      <c r="N334" s="5">
        <v>-0.5</v>
      </c>
      <c r="O334" s="5">
        <v>110.88</v>
      </c>
      <c r="P334" s="5">
        <v>24.999999999999847</v>
      </c>
      <c r="Q334" s="5">
        <v>14.206440999999993</v>
      </c>
      <c r="R334" s="8">
        <f t="shared" si="37"/>
        <v>7</v>
      </c>
      <c r="S334" s="9">
        <f t="shared" si="38"/>
        <v>-3.4000000000000057</v>
      </c>
      <c r="T334" s="9">
        <v>1.5</v>
      </c>
      <c r="U334" s="9">
        <f t="shared" si="39"/>
        <v>13.86</v>
      </c>
      <c r="V334" s="9">
        <f t="shared" si="40"/>
        <v>-485.71428571428652</v>
      </c>
      <c r="W334" s="9">
        <f t="shared" si="41"/>
        <v>-10.971773285714324</v>
      </c>
    </row>
    <row r="335" spans="1:23">
      <c r="A335" s="2" t="s">
        <v>299</v>
      </c>
      <c r="B335" s="2" t="s">
        <v>300</v>
      </c>
      <c r="C335" s="3">
        <v>14</v>
      </c>
      <c r="D335" s="3">
        <v>1.98</v>
      </c>
      <c r="E335" s="2" t="s">
        <v>318</v>
      </c>
      <c r="F335" s="4">
        <v>39476</v>
      </c>
      <c r="G335" s="3">
        <v>56.4</v>
      </c>
      <c r="H335" s="3">
        <v>2.5</v>
      </c>
      <c r="I335" s="4">
        <v>39476</v>
      </c>
      <c r="J335" s="3">
        <v>56.4</v>
      </c>
      <c r="K335" s="3">
        <v>2.5</v>
      </c>
      <c r="L335" s="3">
        <v>0</v>
      </c>
      <c r="M335" s="5">
        <v>0</v>
      </c>
      <c r="N335" s="5">
        <v>0</v>
      </c>
      <c r="O335" s="5">
        <v>0</v>
      </c>
      <c r="P335" s="5">
        <v>0</v>
      </c>
      <c r="Q335" s="5">
        <v>11.536676</v>
      </c>
      <c r="R335" s="8">
        <f t="shared" si="37"/>
        <v>0</v>
      </c>
      <c r="S335" s="9">
        <f t="shared" si="38"/>
        <v>0</v>
      </c>
      <c r="T335" s="9">
        <v>1.5</v>
      </c>
      <c r="U335" s="9">
        <f t="shared" si="39"/>
        <v>0</v>
      </c>
      <c r="V335" s="9">
        <f t="shared" si="40"/>
        <v>0</v>
      </c>
      <c r="W335" s="9">
        <f t="shared" si="41"/>
        <v>11.536676</v>
      </c>
    </row>
    <row r="336" spans="1:23">
      <c r="A336" s="2" t="s">
        <v>299</v>
      </c>
      <c r="B336" s="2" t="s">
        <v>300</v>
      </c>
      <c r="C336" s="3">
        <v>14</v>
      </c>
      <c r="D336" s="3">
        <v>1.98</v>
      </c>
      <c r="E336" s="2" t="s">
        <v>318</v>
      </c>
      <c r="F336" s="4">
        <v>39476</v>
      </c>
      <c r="G336" s="3">
        <v>56.4</v>
      </c>
      <c r="H336" s="3">
        <v>2.5</v>
      </c>
      <c r="I336" s="4">
        <v>39483</v>
      </c>
      <c r="J336" s="3">
        <v>63.8</v>
      </c>
      <c r="K336" s="6"/>
      <c r="L336" s="3">
        <v>7</v>
      </c>
      <c r="M336" s="5">
        <v>7.3999999999999986</v>
      </c>
      <c r="N336" s="6"/>
      <c r="O336" s="5">
        <v>13.86</v>
      </c>
      <c r="P336" s="5">
        <v>1057.1428571428569</v>
      </c>
      <c r="Q336" s="5">
        <v>64.279451857142845</v>
      </c>
      <c r="R336" s="8">
        <f t="shared" si="37"/>
        <v>7</v>
      </c>
      <c r="S336" s="9">
        <f t="shared" si="38"/>
        <v>7.3999999999999986</v>
      </c>
      <c r="T336" s="9">
        <v>1.5</v>
      </c>
      <c r="U336" s="9">
        <f t="shared" si="39"/>
        <v>13.86</v>
      </c>
      <c r="V336" s="9">
        <f t="shared" si="40"/>
        <v>1057.1428571428569</v>
      </c>
      <c r="W336" s="9">
        <f t="shared" si="41"/>
        <v>64.279451857142845</v>
      </c>
    </row>
    <row r="337" spans="1:23">
      <c r="A337" s="2" t="s">
        <v>299</v>
      </c>
      <c r="B337" s="2" t="s">
        <v>300</v>
      </c>
      <c r="C337" s="3">
        <v>14</v>
      </c>
      <c r="D337" s="3">
        <v>1.98</v>
      </c>
      <c r="E337" s="2" t="s">
        <v>318</v>
      </c>
      <c r="F337" s="4">
        <v>39476</v>
      </c>
      <c r="G337" s="3">
        <v>56.4</v>
      </c>
      <c r="H337" s="3">
        <v>2.5</v>
      </c>
      <c r="I337" s="4">
        <v>39490</v>
      </c>
      <c r="J337" s="3">
        <v>62.6</v>
      </c>
      <c r="K337" s="3">
        <v>2.5</v>
      </c>
      <c r="L337" s="3">
        <v>14</v>
      </c>
      <c r="M337" s="5">
        <v>6.2000000000000028</v>
      </c>
      <c r="N337" s="5">
        <v>0</v>
      </c>
      <c r="O337" s="5">
        <v>27.72</v>
      </c>
      <c r="P337" s="5">
        <v>442.85714285714306</v>
      </c>
      <c r="Q337" s="5">
        <v>33.893712142857154</v>
      </c>
      <c r="R337" s="8">
        <f t="shared" si="37"/>
        <v>7</v>
      </c>
      <c r="S337" s="9">
        <f t="shared" si="38"/>
        <v>-1.1999999999999957</v>
      </c>
      <c r="T337" s="9">
        <v>1.5</v>
      </c>
      <c r="U337" s="9">
        <f t="shared" si="39"/>
        <v>13.86</v>
      </c>
      <c r="V337" s="9">
        <f t="shared" si="40"/>
        <v>-171.42857142857082</v>
      </c>
      <c r="W337" s="9">
        <f t="shared" si="41"/>
        <v>3.6094264285714583</v>
      </c>
    </row>
    <row r="338" spans="1:23">
      <c r="A338" s="2" t="s">
        <v>299</v>
      </c>
      <c r="B338" s="2" t="s">
        <v>300</v>
      </c>
      <c r="C338" s="3">
        <v>14</v>
      </c>
      <c r="D338" s="3">
        <v>1.98</v>
      </c>
      <c r="E338" s="2" t="s">
        <v>318</v>
      </c>
      <c r="F338" s="4">
        <v>39476</v>
      </c>
      <c r="G338" s="3">
        <v>56.4</v>
      </c>
      <c r="H338" s="3">
        <v>2.5</v>
      </c>
      <c r="I338" s="4">
        <v>39497</v>
      </c>
      <c r="J338" s="3">
        <v>61.8</v>
      </c>
      <c r="K338" s="3">
        <v>2.5</v>
      </c>
      <c r="L338" s="3">
        <v>21</v>
      </c>
      <c r="M338" s="5">
        <v>5.3999999999999986</v>
      </c>
      <c r="N338" s="5">
        <v>0</v>
      </c>
      <c r="O338" s="5">
        <v>41.58</v>
      </c>
      <c r="P338" s="5">
        <v>257.14285714285705</v>
      </c>
      <c r="Q338" s="5">
        <v>24.670361857142851</v>
      </c>
      <c r="R338" s="8">
        <f t="shared" si="37"/>
        <v>7</v>
      </c>
      <c r="S338" s="9">
        <f t="shared" si="38"/>
        <v>-0.80000000000000426</v>
      </c>
      <c r="T338" s="9">
        <v>1.5</v>
      </c>
      <c r="U338" s="9">
        <f t="shared" si="39"/>
        <v>13.86</v>
      </c>
      <c r="V338" s="9">
        <f t="shared" si="40"/>
        <v>-114.28571428571489</v>
      </c>
      <c r="W338" s="9">
        <f t="shared" si="41"/>
        <v>6.3589332857142544</v>
      </c>
    </row>
    <row r="339" spans="1:23">
      <c r="A339" s="2" t="s">
        <v>299</v>
      </c>
      <c r="B339" s="2" t="s">
        <v>300</v>
      </c>
      <c r="C339" s="3">
        <v>14</v>
      </c>
      <c r="D339" s="3">
        <v>1.98</v>
      </c>
      <c r="E339" s="2" t="s">
        <v>318</v>
      </c>
      <c r="F339" s="4">
        <v>39476</v>
      </c>
      <c r="G339" s="3">
        <v>56.4</v>
      </c>
      <c r="H339" s="3">
        <v>2.5</v>
      </c>
      <c r="I339" s="4">
        <v>39503</v>
      </c>
      <c r="J339" s="3">
        <v>65.599999999999994</v>
      </c>
      <c r="K339" s="3">
        <v>2.5</v>
      </c>
      <c r="L339" s="3">
        <v>27</v>
      </c>
      <c r="M339" s="5">
        <v>9.1999999999999957</v>
      </c>
      <c r="N339" s="5">
        <v>0</v>
      </c>
      <c r="O339" s="5">
        <v>53.46</v>
      </c>
      <c r="P339" s="5">
        <v>340.74074074074059</v>
      </c>
      <c r="Q339" s="5">
        <v>29.113008518518509</v>
      </c>
      <c r="R339" s="8">
        <f t="shared" si="37"/>
        <v>6</v>
      </c>
      <c r="S339" s="9">
        <f t="shared" si="38"/>
        <v>3.7999999999999972</v>
      </c>
      <c r="T339" s="9">
        <v>1.5</v>
      </c>
      <c r="U339" s="9">
        <f t="shared" si="39"/>
        <v>11.879999999999999</v>
      </c>
      <c r="V339" s="9">
        <f t="shared" si="40"/>
        <v>633.3333333333328</v>
      </c>
      <c r="W339" s="9">
        <f t="shared" si="41"/>
        <v>43.537823333333307</v>
      </c>
    </row>
    <row r="340" spans="1:23">
      <c r="A340" s="2" t="s">
        <v>299</v>
      </c>
      <c r="B340" s="2" t="s">
        <v>300</v>
      </c>
      <c r="C340" s="3">
        <v>14</v>
      </c>
      <c r="D340" s="3">
        <v>1.98</v>
      </c>
      <c r="E340" s="2" t="s">
        <v>318</v>
      </c>
      <c r="F340" s="4">
        <v>39476</v>
      </c>
      <c r="G340" s="3">
        <v>56.4</v>
      </c>
      <c r="H340" s="3">
        <v>2.5</v>
      </c>
      <c r="I340" s="4">
        <v>39511</v>
      </c>
      <c r="J340" s="3">
        <v>66.599999999999994</v>
      </c>
      <c r="K340" s="6"/>
      <c r="L340" s="3">
        <v>35</v>
      </c>
      <c r="M340" s="5">
        <v>10.199999999999996</v>
      </c>
      <c r="N340" s="6"/>
      <c r="O340" s="5">
        <v>69.3</v>
      </c>
      <c r="P340" s="5">
        <v>291.42857142857133</v>
      </c>
      <c r="Q340" s="5">
        <v>26.766463571428567</v>
      </c>
      <c r="R340" s="8">
        <f t="shared" si="37"/>
        <v>8</v>
      </c>
      <c r="S340" s="9">
        <f t="shared" si="38"/>
        <v>1</v>
      </c>
      <c r="T340" s="9">
        <v>1.5</v>
      </c>
      <c r="U340" s="9">
        <f t="shared" si="39"/>
        <v>15.84</v>
      </c>
      <c r="V340" s="9">
        <f t="shared" si="40"/>
        <v>125</v>
      </c>
      <c r="W340" s="9">
        <f t="shared" si="41"/>
        <v>18.561534999999999</v>
      </c>
    </row>
    <row r="341" spans="1:23">
      <c r="A341" s="2" t="s">
        <v>299</v>
      </c>
      <c r="B341" s="2" t="s">
        <v>300</v>
      </c>
      <c r="C341" s="3">
        <v>14</v>
      </c>
      <c r="D341" s="3">
        <v>1.98</v>
      </c>
      <c r="E341" s="2" t="s">
        <v>318</v>
      </c>
      <c r="F341" s="4">
        <v>39476</v>
      </c>
      <c r="G341" s="3">
        <v>56.4</v>
      </c>
      <c r="H341" s="3">
        <v>2.5</v>
      </c>
      <c r="I341" s="4">
        <v>39518</v>
      </c>
      <c r="J341" s="3">
        <v>65.599999999999994</v>
      </c>
      <c r="K341" s="3">
        <v>3</v>
      </c>
      <c r="L341" s="3">
        <v>42</v>
      </c>
      <c r="M341" s="5">
        <v>9.1999999999999957</v>
      </c>
      <c r="N341" s="5">
        <v>0.5</v>
      </c>
      <c r="O341" s="5">
        <v>83.16</v>
      </c>
      <c r="P341" s="5">
        <v>219.04761904761892</v>
      </c>
      <c r="Q341" s="5">
        <v>23.113537619047612</v>
      </c>
      <c r="R341" s="8">
        <f t="shared" si="37"/>
        <v>7</v>
      </c>
      <c r="S341" s="9">
        <f t="shared" si="38"/>
        <v>-1</v>
      </c>
      <c r="T341" s="9">
        <v>1.5</v>
      </c>
      <c r="U341" s="9">
        <f t="shared" si="39"/>
        <v>13.86</v>
      </c>
      <c r="V341" s="9">
        <f t="shared" si="40"/>
        <v>-142.85714285714286</v>
      </c>
      <c r="W341" s="9">
        <f t="shared" si="41"/>
        <v>5.2716328571428575</v>
      </c>
    </row>
    <row r="342" spans="1:23">
      <c r="A342" s="2" t="s">
        <v>299</v>
      </c>
      <c r="B342" s="2" t="s">
        <v>300</v>
      </c>
      <c r="C342" s="3">
        <v>14</v>
      </c>
      <c r="D342" s="3">
        <v>1.98</v>
      </c>
      <c r="E342" s="2" t="s">
        <v>318</v>
      </c>
      <c r="F342" s="4">
        <v>39476</v>
      </c>
      <c r="G342" s="3">
        <v>56.4</v>
      </c>
      <c r="H342" s="3">
        <v>2.5</v>
      </c>
      <c r="I342" s="4">
        <v>39525</v>
      </c>
      <c r="J342" s="3">
        <v>66</v>
      </c>
      <c r="K342" s="3">
        <v>2</v>
      </c>
      <c r="L342" s="3">
        <v>49</v>
      </c>
      <c r="M342" s="5">
        <v>9.6000000000000014</v>
      </c>
      <c r="N342" s="5">
        <v>-0.5</v>
      </c>
      <c r="O342" s="5">
        <v>97.02</v>
      </c>
      <c r="P342" s="5">
        <v>195.91836734693879</v>
      </c>
      <c r="Q342" s="5">
        <v>22.007083510204083</v>
      </c>
      <c r="R342" s="8">
        <f t="shared" si="37"/>
        <v>7</v>
      </c>
      <c r="S342" s="9">
        <f t="shared" si="38"/>
        <v>0.40000000000000568</v>
      </c>
      <c r="T342" s="9">
        <v>1.5</v>
      </c>
      <c r="U342" s="9">
        <f t="shared" si="39"/>
        <v>13.86</v>
      </c>
      <c r="V342" s="9">
        <f t="shared" si="40"/>
        <v>57.142857142857956</v>
      </c>
      <c r="W342" s="9">
        <f t="shared" si="41"/>
        <v>15.165450857142897</v>
      </c>
    </row>
    <row r="343" spans="1:23">
      <c r="A343" s="2" t="s">
        <v>299</v>
      </c>
      <c r="B343" s="2" t="s">
        <v>300</v>
      </c>
      <c r="C343" s="3">
        <v>14</v>
      </c>
      <c r="D343" s="3">
        <v>1.98</v>
      </c>
      <c r="E343" s="2" t="s">
        <v>318</v>
      </c>
      <c r="F343" s="4">
        <v>39476</v>
      </c>
      <c r="G343" s="3">
        <v>56.4</v>
      </c>
      <c r="H343" s="3">
        <v>2.5</v>
      </c>
      <c r="I343" s="4">
        <v>39532</v>
      </c>
      <c r="J343" s="3">
        <v>61.6</v>
      </c>
      <c r="K343" s="3">
        <v>2.5</v>
      </c>
      <c r="L343" s="3">
        <v>56</v>
      </c>
      <c r="M343" s="5">
        <v>5.2000000000000028</v>
      </c>
      <c r="N343" s="5">
        <v>0</v>
      </c>
      <c r="O343" s="5">
        <v>110.88</v>
      </c>
      <c r="P343" s="5">
        <v>92.857142857142904</v>
      </c>
      <c r="Q343" s="5">
        <v>16.554167142857146</v>
      </c>
      <c r="R343" s="8">
        <f t="shared" si="37"/>
        <v>7</v>
      </c>
      <c r="S343" s="9">
        <f t="shared" si="38"/>
        <v>-4.3999999999999986</v>
      </c>
      <c r="T343" s="9">
        <v>1.5</v>
      </c>
      <c r="U343" s="9">
        <f t="shared" si="39"/>
        <v>13.86</v>
      </c>
      <c r="V343" s="9">
        <f t="shared" si="40"/>
        <v>-628.57142857142833</v>
      </c>
      <c r="W343" s="9">
        <f t="shared" si="41"/>
        <v>-19.012261428571414</v>
      </c>
    </row>
    <row r="344" spans="1:23">
      <c r="A344" s="2" t="s">
        <v>299</v>
      </c>
      <c r="B344" s="2" t="s">
        <v>300</v>
      </c>
      <c r="C344" s="3">
        <v>14</v>
      </c>
      <c r="D344" s="3">
        <v>1.98</v>
      </c>
      <c r="E344" s="2" t="s">
        <v>319</v>
      </c>
      <c r="F344" s="4">
        <v>39476</v>
      </c>
      <c r="G344" s="3">
        <v>64</v>
      </c>
      <c r="H344" s="3">
        <v>3</v>
      </c>
      <c r="I344" s="4">
        <v>39476</v>
      </c>
      <c r="J344" s="3">
        <v>64</v>
      </c>
      <c r="K344" s="3">
        <v>3</v>
      </c>
      <c r="L344" s="3">
        <v>0</v>
      </c>
      <c r="M344" s="5">
        <v>0</v>
      </c>
      <c r="N344" s="5">
        <v>0</v>
      </c>
      <c r="O344" s="5">
        <v>0</v>
      </c>
      <c r="P344" s="5">
        <v>0</v>
      </c>
      <c r="Q344" s="5">
        <v>12.821759999999999</v>
      </c>
      <c r="R344" s="8">
        <f t="shared" si="37"/>
        <v>0</v>
      </c>
      <c r="S344" s="9">
        <f t="shared" si="38"/>
        <v>0</v>
      </c>
      <c r="T344" s="9">
        <v>1.5</v>
      </c>
      <c r="U344" s="9">
        <f t="shared" si="39"/>
        <v>0</v>
      </c>
      <c r="V344" s="9">
        <f t="shared" si="40"/>
        <v>0</v>
      </c>
      <c r="W344" s="9">
        <f t="shared" si="41"/>
        <v>12.821759999999999</v>
      </c>
    </row>
    <row r="345" spans="1:23">
      <c r="A345" s="2" t="s">
        <v>299</v>
      </c>
      <c r="B345" s="2" t="s">
        <v>300</v>
      </c>
      <c r="C345" s="3">
        <v>14</v>
      </c>
      <c r="D345" s="3">
        <v>1.98</v>
      </c>
      <c r="E345" s="2" t="s">
        <v>319</v>
      </c>
      <c r="F345" s="4">
        <v>39476</v>
      </c>
      <c r="G345" s="3">
        <v>64</v>
      </c>
      <c r="H345" s="3">
        <v>3</v>
      </c>
      <c r="I345" s="4">
        <v>39483</v>
      </c>
      <c r="J345" s="3">
        <v>67.599999999999994</v>
      </c>
      <c r="K345" s="6"/>
      <c r="L345" s="3">
        <v>7</v>
      </c>
      <c r="M345" s="5">
        <v>3.5999999999999943</v>
      </c>
      <c r="N345" s="6"/>
      <c r="O345" s="5">
        <v>13.86</v>
      </c>
      <c r="P345" s="5">
        <v>514.28571428571342</v>
      </c>
      <c r="Q345" s="5">
        <v>38.480407714285676</v>
      </c>
      <c r="R345" s="8">
        <f t="shared" si="37"/>
        <v>7</v>
      </c>
      <c r="S345" s="9">
        <f t="shared" si="38"/>
        <v>3.5999999999999943</v>
      </c>
      <c r="T345" s="9">
        <v>1.5</v>
      </c>
      <c r="U345" s="9">
        <f t="shared" si="39"/>
        <v>13.86</v>
      </c>
      <c r="V345" s="9">
        <f t="shared" si="40"/>
        <v>514.28571428571342</v>
      </c>
      <c r="W345" s="9">
        <f t="shared" si="41"/>
        <v>38.480407714285676</v>
      </c>
    </row>
    <row r="346" spans="1:23">
      <c r="A346" s="2" t="s">
        <v>299</v>
      </c>
      <c r="B346" s="2" t="s">
        <v>300</v>
      </c>
      <c r="C346" s="3">
        <v>14</v>
      </c>
      <c r="D346" s="3">
        <v>1.98</v>
      </c>
      <c r="E346" s="2" t="s">
        <v>319</v>
      </c>
      <c r="F346" s="4">
        <v>39476</v>
      </c>
      <c r="G346" s="3">
        <v>64</v>
      </c>
      <c r="H346" s="3">
        <v>3</v>
      </c>
      <c r="I346" s="4">
        <v>39490</v>
      </c>
      <c r="J346" s="3">
        <v>69.8</v>
      </c>
      <c r="K346" s="3">
        <v>3</v>
      </c>
      <c r="L346" s="3">
        <v>14</v>
      </c>
      <c r="M346" s="5">
        <v>5.7999999999999972</v>
      </c>
      <c r="N346" s="5">
        <v>0</v>
      </c>
      <c r="O346" s="5">
        <v>27.72</v>
      </c>
      <c r="P346" s="5">
        <v>414.28571428571411</v>
      </c>
      <c r="Q346" s="5">
        <v>33.7364067142857</v>
      </c>
      <c r="R346" s="8">
        <f t="shared" si="37"/>
        <v>7</v>
      </c>
      <c r="S346" s="9">
        <f t="shared" si="38"/>
        <v>2.2000000000000028</v>
      </c>
      <c r="T346" s="9">
        <v>1.5</v>
      </c>
      <c r="U346" s="9">
        <f t="shared" si="39"/>
        <v>13.86</v>
      </c>
      <c r="V346" s="9">
        <f t="shared" si="40"/>
        <v>314.28571428571468</v>
      </c>
      <c r="W346" s="9">
        <f t="shared" si="41"/>
        <v>28.806406714285732</v>
      </c>
    </row>
    <row r="347" spans="1:23">
      <c r="A347" s="2" t="s">
        <v>299</v>
      </c>
      <c r="B347" s="2" t="s">
        <v>300</v>
      </c>
      <c r="C347" s="3">
        <v>14</v>
      </c>
      <c r="D347" s="3">
        <v>1.98</v>
      </c>
      <c r="E347" s="2" t="s">
        <v>319</v>
      </c>
      <c r="F347" s="4">
        <v>39476</v>
      </c>
      <c r="G347" s="3">
        <v>64</v>
      </c>
      <c r="H347" s="3">
        <v>3</v>
      </c>
      <c r="I347" s="4">
        <v>39497</v>
      </c>
      <c r="J347" s="3">
        <v>68.8</v>
      </c>
      <c r="K347" s="3">
        <v>3</v>
      </c>
      <c r="L347" s="3">
        <v>21</v>
      </c>
      <c r="M347" s="5">
        <v>4.7999999999999972</v>
      </c>
      <c r="N347" s="5">
        <v>0</v>
      </c>
      <c r="O347" s="5">
        <v>41.58</v>
      </c>
      <c r="P347" s="5">
        <v>228.57142857142841</v>
      </c>
      <c r="Q347" s="5">
        <v>24.496147428571422</v>
      </c>
      <c r="R347" s="8">
        <f t="shared" si="37"/>
        <v>7</v>
      </c>
      <c r="S347" s="9">
        <f t="shared" si="38"/>
        <v>-1</v>
      </c>
      <c r="T347" s="9">
        <v>1.5</v>
      </c>
      <c r="U347" s="9">
        <f t="shared" si="39"/>
        <v>13.86</v>
      </c>
      <c r="V347" s="9">
        <f t="shared" si="40"/>
        <v>-142.85714285714286</v>
      </c>
      <c r="W347" s="9">
        <f t="shared" si="41"/>
        <v>6.1847188571428591</v>
      </c>
    </row>
    <row r="348" spans="1:23">
      <c r="A348" s="2" t="s">
        <v>299</v>
      </c>
      <c r="B348" s="2" t="s">
        <v>300</v>
      </c>
      <c r="C348" s="3">
        <v>14</v>
      </c>
      <c r="D348" s="3">
        <v>1.98</v>
      </c>
      <c r="E348" s="2" t="s">
        <v>319</v>
      </c>
      <c r="F348" s="4">
        <v>39476</v>
      </c>
      <c r="G348" s="3">
        <v>64</v>
      </c>
      <c r="H348" s="3">
        <v>3</v>
      </c>
      <c r="I348" s="4">
        <v>39503</v>
      </c>
      <c r="J348" s="3">
        <v>76.599999999999994</v>
      </c>
      <c r="K348" s="3">
        <v>3</v>
      </c>
      <c r="L348" s="3">
        <v>27</v>
      </c>
      <c r="M348" s="5">
        <v>12.599999999999994</v>
      </c>
      <c r="N348" s="5">
        <v>0</v>
      </c>
      <c r="O348" s="5">
        <v>53.46</v>
      </c>
      <c r="P348" s="5">
        <v>466.66666666666646</v>
      </c>
      <c r="Q348" s="5">
        <v>36.89369366666665</v>
      </c>
      <c r="R348" s="8">
        <f t="shared" si="37"/>
        <v>6</v>
      </c>
      <c r="S348" s="9">
        <f t="shared" si="38"/>
        <v>7.7999999999999972</v>
      </c>
      <c r="T348" s="9">
        <v>1.5</v>
      </c>
      <c r="U348" s="9">
        <f t="shared" si="39"/>
        <v>11.879999999999999</v>
      </c>
      <c r="V348" s="9">
        <f t="shared" si="40"/>
        <v>1299.9999999999995</v>
      </c>
      <c r="W348" s="9">
        <f t="shared" si="41"/>
        <v>77.977026999999978</v>
      </c>
    </row>
    <row r="349" spans="1:23">
      <c r="A349" s="2" t="s">
        <v>299</v>
      </c>
      <c r="B349" s="2" t="s">
        <v>300</v>
      </c>
      <c r="C349" s="3">
        <v>14</v>
      </c>
      <c r="D349" s="3">
        <v>1.98</v>
      </c>
      <c r="E349" s="2" t="s">
        <v>319</v>
      </c>
      <c r="F349" s="4">
        <v>39476</v>
      </c>
      <c r="G349" s="3">
        <v>64</v>
      </c>
      <c r="H349" s="3">
        <v>3</v>
      </c>
      <c r="I349" s="4">
        <v>39511</v>
      </c>
      <c r="J349" s="3">
        <v>71.400000000000006</v>
      </c>
      <c r="K349" s="6"/>
      <c r="L349" s="3">
        <v>35</v>
      </c>
      <c r="M349" s="5">
        <v>7.4000000000000057</v>
      </c>
      <c r="N349" s="6"/>
      <c r="O349" s="5">
        <v>69.3</v>
      </c>
      <c r="P349" s="5">
        <v>211.42857142857162</v>
      </c>
      <c r="Q349" s="5">
        <v>23.870821571428579</v>
      </c>
      <c r="R349" s="8">
        <f t="shared" si="37"/>
        <v>8</v>
      </c>
      <c r="S349" s="9">
        <f t="shared" si="38"/>
        <v>-5.1999999999999886</v>
      </c>
      <c r="T349" s="9">
        <v>1.5</v>
      </c>
      <c r="U349" s="9">
        <f t="shared" si="39"/>
        <v>15.84</v>
      </c>
      <c r="V349" s="9">
        <f t="shared" si="40"/>
        <v>-649.99999999999864</v>
      </c>
      <c r="W349" s="9">
        <f t="shared" si="41"/>
        <v>-18.597606999999932</v>
      </c>
    </row>
    <row r="350" spans="1:23">
      <c r="A350" s="2" t="s">
        <v>299</v>
      </c>
      <c r="B350" s="2" t="s">
        <v>300</v>
      </c>
      <c r="C350" s="3">
        <v>14</v>
      </c>
      <c r="D350" s="3">
        <v>1.98</v>
      </c>
      <c r="E350" s="2" t="s">
        <v>319</v>
      </c>
      <c r="F350" s="4">
        <v>39476</v>
      </c>
      <c r="G350" s="3">
        <v>64</v>
      </c>
      <c r="H350" s="3">
        <v>3</v>
      </c>
      <c r="I350" s="4">
        <v>39518</v>
      </c>
      <c r="J350" s="3">
        <v>71</v>
      </c>
      <c r="K350" s="3">
        <v>4</v>
      </c>
      <c r="L350" s="3">
        <v>42</v>
      </c>
      <c r="M350" s="5">
        <v>7</v>
      </c>
      <c r="N350" s="5">
        <v>1</v>
      </c>
      <c r="O350" s="5">
        <v>83.16</v>
      </c>
      <c r="P350" s="5">
        <v>166.66666666666666</v>
      </c>
      <c r="Q350" s="5">
        <v>21.630241666666663</v>
      </c>
      <c r="R350" s="8">
        <f t="shared" si="37"/>
        <v>7</v>
      </c>
      <c r="S350" s="9">
        <f t="shared" si="38"/>
        <v>-0.40000000000000568</v>
      </c>
      <c r="T350" s="9">
        <v>1.5</v>
      </c>
      <c r="U350" s="9">
        <f t="shared" si="39"/>
        <v>13.86</v>
      </c>
      <c r="V350" s="9">
        <f t="shared" si="40"/>
        <v>-57.142857142857956</v>
      </c>
      <c r="W350" s="9">
        <f t="shared" si="41"/>
        <v>10.596432142857104</v>
      </c>
    </row>
    <row r="351" spans="1:23">
      <c r="A351" s="2" t="s">
        <v>299</v>
      </c>
      <c r="B351" s="2" t="s">
        <v>300</v>
      </c>
      <c r="C351" s="3">
        <v>14</v>
      </c>
      <c r="D351" s="3">
        <v>1.98</v>
      </c>
      <c r="E351" s="2" t="s">
        <v>319</v>
      </c>
      <c r="F351" s="4">
        <v>39476</v>
      </c>
      <c r="G351" s="3">
        <v>64</v>
      </c>
      <c r="H351" s="3">
        <v>3</v>
      </c>
      <c r="I351" s="4">
        <v>39525</v>
      </c>
      <c r="J351" s="3">
        <v>69</v>
      </c>
      <c r="K351" s="3">
        <v>3</v>
      </c>
      <c r="L351" s="3">
        <v>49</v>
      </c>
      <c r="M351" s="5">
        <v>5</v>
      </c>
      <c r="N351" s="5">
        <v>0</v>
      </c>
      <c r="O351" s="5">
        <v>97.02</v>
      </c>
      <c r="P351" s="5">
        <v>102.04081632653062</v>
      </c>
      <c r="Q351" s="5">
        <v>18.275097244897957</v>
      </c>
      <c r="R351" s="8">
        <f t="shared" si="37"/>
        <v>7</v>
      </c>
      <c r="S351" s="9">
        <f t="shared" si="38"/>
        <v>-2</v>
      </c>
      <c r="T351" s="9">
        <v>1.5</v>
      </c>
      <c r="U351" s="9">
        <f t="shared" si="39"/>
        <v>13.86</v>
      </c>
      <c r="V351" s="9">
        <f t="shared" si="40"/>
        <v>-285.71428571428572</v>
      </c>
      <c r="W351" s="9">
        <f t="shared" si="41"/>
        <v>-0.84122928571428446</v>
      </c>
    </row>
    <row r="352" spans="1:23">
      <c r="A352" s="2" t="s">
        <v>299</v>
      </c>
      <c r="B352" s="2" t="s">
        <v>300</v>
      </c>
      <c r="C352" s="3">
        <v>14</v>
      </c>
      <c r="D352" s="3">
        <v>1.98</v>
      </c>
      <c r="E352" s="2" t="s">
        <v>319</v>
      </c>
      <c r="F352" s="4">
        <v>39476</v>
      </c>
      <c r="G352" s="3">
        <v>64</v>
      </c>
      <c r="H352" s="3">
        <v>3</v>
      </c>
      <c r="I352" s="4">
        <v>39532</v>
      </c>
      <c r="J352" s="3">
        <v>66.2</v>
      </c>
      <c r="K352" s="3">
        <v>2.75</v>
      </c>
      <c r="L352" s="3">
        <v>56</v>
      </c>
      <c r="M352" s="5">
        <v>2.2000000000000028</v>
      </c>
      <c r="N352" s="5">
        <v>-0.25</v>
      </c>
      <c r="O352" s="5">
        <v>110.88</v>
      </c>
      <c r="P352" s="5">
        <v>39.285714285714334</v>
      </c>
      <c r="Q352" s="5">
        <v>14.944544714285716</v>
      </c>
      <c r="R352" s="8">
        <f t="shared" si="37"/>
        <v>7</v>
      </c>
      <c r="S352" s="9">
        <f t="shared" si="38"/>
        <v>-2.7999999999999972</v>
      </c>
      <c r="T352" s="9">
        <v>1.5</v>
      </c>
      <c r="U352" s="9">
        <f t="shared" si="39"/>
        <v>13.86</v>
      </c>
      <c r="V352" s="9">
        <f t="shared" si="40"/>
        <v>-399.9999999999996</v>
      </c>
      <c r="W352" s="9">
        <f t="shared" si="41"/>
        <v>-6.7122409999999793</v>
      </c>
    </row>
    <row r="353" spans="1:23">
      <c r="A353" s="2" t="s">
        <v>299</v>
      </c>
      <c r="B353" s="2" t="s">
        <v>300</v>
      </c>
      <c r="C353" s="3">
        <v>14</v>
      </c>
      <c r="D353" s="3">
        <v>1.98</v>
      </c>
      <c r="E353" s="2" t="s">
        <v>320</v>
      </c>
      <c r="F353" s="4">
        <v>39476</v>
      </c>
      <c r="G353" s="3">
        <v>54</v>
      </c>
      <c r="H353" s="3">
        <v>2.5</v>
      </c>
      <c r="I353" s="4">
        <v>39476</v>
      </c>
      <c r="J353" s="3">
        <v>54</v>
      </c>
      <c r="K353" s="3">
        <v>2.5</v>
      </c>
      <c r="L353" s="3">
        <v>0</v>
      </c>
      <c r="M353" s="5">
        <v>0</v>
      </c>
      <c r="N353" s="5">
        <v>0</v>
      </c>
      <c r="O353" s="5">
        <v>0</v>
      </c>
      <c r="P353" s="5">
        <v>0</v>
      </c>
      <c r="Q353" s="5">
        <v>11.13086</v>
      </c>
      <c r="R353" s="8">
        <f t="shared" si="37"/>
        <v>0</v>
      </c>
      <c r="S353" s="9">
        <f t="shared" si="38"/>
        <v>0</v>
      </c>
      <c r="T353" s="9">
        <v>1.5</v>
      </c>
      <c r="U353" s="9">
        <f t="shared" si="39"/>
        <v>0</v>
      </c>
      <c r="V353" s="9">
        <f t="shared" si="40"/>
        <v>0</v>
      </c>
      <c r="W353" s="9">
        <f t="shared" si="41"/>
        <v>11.13086</v>
      </c>
    </row>
    <row r="354" spans="1:23">
      <c r="A354" s="2" t="s">
        <v>299</v>
      </c>
      <c r="B354" s="2" t="s">
        <v>300</v>
      </c>
      <c r="C354" s="3">
        <v>14</v>
      </c>
      <c r="D354" s="3">
        <v>1.98</v>
      </c>
      <c r="E354" s="2" t="s">
        <v>320</v>
      </c>
      <c r="F354" s="4">
        <v>39476</v>
      </c>
      <c r="G354" s="3">
        <v>54</v>
      </c>
      <c r="H354" s="3">
        <v>2.5</v>
      </c>
      <c r="I354" s="4">
        <v>39483</v>
      </c>
      <c r="J354" s="3">
        <v>57.8</v>
      </c>
      <c r="K354" s="6"/>
      <c r="L354" s="3">
        <v>7</v>
      </c>
      <c r="M354" s="5">
        <v>3.7999999999999972</v>
      </c>
      <c r="N354" s="6"/>
      <c r="O354" s="5">
        <v>13.86</v>
      </c>
      <c r="P354" s="5">
        <v>542.85714285714243</v>
      </c>
      <c r="Q354" s="5">
        <v>38.214988142857123</v>
      </c>
      <c r="R354" s="8">
        <f t="shared" si="37"/>
        <v>7</v>
      </c>
      <c r="S354" s="9">
        <f t="shared" si="38"/>
        <v>3.7999999999999972</v>
      </c>
      <c r="T354" s="9">
        <v>1.5</v>
      </c>
      <c r="U354" s="9">
        <f t="shared" si="39"/>
        <v>13.86</v>
      </c>
      <c r="V354" s="9">
        <f t="shared" si="40"/>
        <v>542.85714285714243</v>
      </c>
      <c r="W354" s="9">
        <f t="shared" si="41"/>
        <v>38.214988142857123</v>
      </c>
    </row>
    <row r="355" spans="1:23">
      <c r="A355" s="2" t="s">
        <v>299</v>
      </c>
      <c r="B355" s="2" t="s">
        <v>300</v>
      </c>
      <c r="C355" s="3">
        <v>14</v>
      </c>
      <c r="D355" s="3">
        <v>1.98</v>
      </c>
      <c r="E355" s="2" t="s">
        <v>320</v>
      </c>
      <c r="F355" s="4">
        <v>39476</v>
      </c>
      <c r="G355" s="3">
        <v>54</v>
      </c>
      <c r="H355" s="3">
        <v>2.5</v>
      </c>
      <c r="I355" s="4">
        <v>39490</v>
      </c>
      <c r="J355" s="3">
        <v>57</v>
      </c>
      <c r="K355" s="3">
        <v>2.5</v>
      </c>
      <c r="L355" s="3">
        <v>14</v>
      </c>
      <c r="M355" s="5">
        <v>3</v>
      </c>
      <c r="N355" s="5">
        <v>0</v>
      </c>
      <c r="O355" s="5">
        <v>27.72</v>
      </c>
      <c r="P355" s="5">
        <v>214.28571428571428</v>
      </c>
      <c r="Q355" s="5">
        <v>21.948780714285711</v>
      </c>
      <c r="R355" s="8">
        <f t="shared" si="37"/>
        <v>7</v>
      </c>
      <c r="S355" s="9">
        <f t="shared" si="38"/>
        <v>-0.79999999999999716</v>
      </c>
      <c r="T355" s="9">
        <v>1.5</v>
      </c>
      <c r="U355" s="9">
        <f t="shared" si="39"/>
        <v>13.86</v>
      </c>
      <c r="V355" s="9">
        <f t="shared" si="40"/>
        <v>-114.28571428571388</v>
      </c>
      <c r="W355" s="9">
        <f t="shared" si="41"/>
        <v>5.7502092857143055</v>
      </c>
    </row>
    <row r="356" spans="1:23">
      <c r="A356" s="2" t="s">
        <v>299</v>
      </c>
      <c r="B356" s="2" t="s">
        <v>300</v>
      </c>
      <c r="C356" s="3">
        <v>14</v>
      </c>
      <c r="D356" s="3">
        <v>1.98</v>
      </c>
      <c r="E356" s="2" t="s">
        <v>320</v>
      </c>
      <c r="F356" s="4">
        <v>39476</v>
      </c>
      <c r="G356" s="3">
        <v>54</v>
      </c>
      <c r="H356" s="3">
        <v>2.5</v>
      </c>
      <c r="I356" s="4">
        <v>39497</v>
      </c>
      <c r="J356" s="3">
        <v>56.6</v>
      </c>
      <c r="K356" s="3">
        <v>2.5</v>
      </c>
      <c r="L356" s="3">
        <v>21</v>
      </c>
      <c r="M356" s="5">
        <v>2.6000000000000014</v>
      </c>
      <c r="N356" s="5">
        <v>0</v>
      </c>
      <c r="O356" s="5">
        <v>41.58</v>
      </c>
      <c r="P356" s="5">
        <v>123.80952380952388</v>
      </c>
      <c r="Q356" s="5">
        <v>17.454486523809528</v>
      </c>
      <c r="R356" s="8">
        <f t="shared" si="37"/>
        <v>7</v>
      </c>
      <c r="S356" s="9">
        <f t="shared" si="38"/>
        <v>-0.39999999999999858</v>
      </c>
      <c r="T356" s="9">
        <v>1.5</v>
      </c>
      <c r="U356" s="9">
        <f t="shared" si="39"/>
        <v>13.86</v>
      </c>
      <c r="V356" s="9">
        <f t="shared" si="40"/>
        <v>-57.14285714285694</v>
      </c>
      <c r="W356" s="9">
        <f t="shared" si="41"/>
        <v>8.5335341428571532</v>
      </c>
    </row>
    <row r="357" spans="1:23">
      <c r="A357" s="2" t="s">
        <v>299</v>
      </c>
      <c r="B357" s="2" t="s">
        <v>300</v>
      </c>
      <c r="C357" s="3">
        <v>14</v>
      </c>
      <c r="D357" s="3">
        <v>1.98</v>
      </c>
      <c r="E357" s="2" t="s">
        <v>320</v>
      </c>
      <c r="F357" s="4">
        <v>39476</v>
      </c>
      <c r="G357" s="3">
        <v>54</v>
      </c>
      <c r="H357" s="3">
        <v>2.5</v>
      </c>
      <c r="I357" s="4">
        <v>39503</v>
      </c>
      <c r="J357" s="3">
        <v>60.2</v>
      </c>
      <c r="K357" s="3">
        <v>2.5</v>
      </c>
      <c r="L357" s="3">
        <v>27</v>
      </c>
      <c r="M357" s="5">
        <v>6.2000000000000028</v>
      </c>
      <c r="N357" s="5">
        <v>0</v>
      </c>
      <c r="O357" s="5">
        <v>53.46</v>
      </c>
      <c r="P357" s="5">
        <v>229.62962962962973</v>
      </c>
      <c r="Q357" s="5">
        <v>22.975779740740748</v>
      </c>
      <c r="R357" s="8">
        <f t="shared" si="37"/>
        <v>6</v>
      </c>
      <c r="S357" s="9">
        <f t="shared" si="38"/>
        <v>3.6000000000000014</v>
      </c>
      <c r="T357" s="9">
        <v>1.5</v>
      </c>
      <c r="U357" s="9">
        <f t="shared" si="39"/>
        <v>11.879999999999999</v>
      </c>
      <c r="V357" s="9">
        <f t="shared" si="40"/>
        <v>600.00000000000023</v>
      </c>
      <c r="W357" s="9">
        <f t="shared" si="41"/>
        <v>41.235039000000008</v>
      </c>
    </row>
    <row r="358" spans="1:23">
      <c r="A358" s="2" t="s">
        <v>299</v>
      </c>
      <c r="B358" s="2" t="s">
        <v>300</v>
      </c>
      <c r="C358" s="3">
        <v>14</v>
      </c>
      <c r="D358" s="3">
        <v>1.98</v>
      </c>
      <c r="E358" s="2" t="s">
        <v>320</v>
      </c>
      <c r="F358" s="4">
        <v>39476</v>
      </c>
      <c r="G358" s="3">
        <v>54</v>
      </c>
      <c r="H358" s="3">
        <v>2.5</v>
      </c>
      <c r="I358" s="4">
        <v>39511</v>
      </c>
      <c r="J358" s="3">
        <v>60.6</v>
      </c>
      <c r="K358" s="6"/>
      <c r="L358" s="3">
        <v>35</v>
      </c>
      <c r="M358" s="5">
        <v>6.6000000000000014</v>
      </c>
      <c r="N358" s="6"/>
      <c r="O358" s="5">
        <v>69.3</v>
      </c>
      <c r="P358" s="5">
        <v>188.57142857142861</v>
      </c>
      <c r="Q358" s="5">
        <v>20.985428428571428</v>
      </c>
      <c r="R358" s="8">
        <f t="shared" si="37"/>
        <v>8</v>
      </c>
      <c r="S358" s="9">
        <f t="shared" si="38"/>
        <v>0.39999999999999858</v>
      </c>
      <c r="T358" s="9">
        <v>1.5</v>
      </c>
      <c r="U358" s="9">
        <f t="shared" si="39"/>
        <v>15.84</v>
      </c>
      <c r="V358" s="9">
        <f t="shared" si="40"/>
        <v>49.999999999999822</v>
      </c>
      <c r="W358" s="9">
        <f t="shared" si="41"/>
        <v>14.15385699999999</v>
      </c>
    </row>
    <row r="359" spans="1:23">
      <c r="A359" s="2" t="s">
        <v>299</v>
      </c>
      <c r="B359" s="2" t="s">
        <v>300</v>
      </c>
      <c r="C359" s="3">
        <v>14</v>
      </c>
      <c r="D359" s="3">
        <v>1.98</v>
      </c>
      <c r="E359" s="2" t="s">
        <v>320</v>
      </c>
      <c r="F359" s="4">
        <v>39476</v>
      </c>
      <c r="G359" s="3">
        <v>54</v>
      </c>
      <c r="H359" s="3">
        <v>2.5</v>
      </c>
      <c r="I359" s="4">
        <v>39518</v>
      </c>
      <c r="J359" s="3">
        <v>61.4</v>
      </c>
      <c r="K359" s="3">
        <v>2.5</v>
      </c>
      <c r="L359" s="3">
        <v>42</v>
      </c>
      <c r="M359" s="5">
        <v>7.3999999999999986</v>
      </c>
      <c r="N359" s="5">
        <v>0</v>
      </c>
      <c r="O359" s="5">
        <v>83.16</v>
      </c>
      <c r="P359" s="5">
        <v>176.19047619047615</v>
      </c>
      <c r="Q359" s="5">
        <v>20.442683476190474</v>
      </c>
      <c r="R359" s="8">
        <f t="shared" si="37"/>
        <v>7</v>
      </c>
      <c r="S359" s="9">
        <f t="shared" si="38"/>
        <v>0.79999999999999716</v>
      </c>
      <c r="T359" s="9">
        <v>1.5</v>
      </c>
      <c r="U359" s="9">
        <f t="shared" si="39"/>
        <v>13.86</v>
      </c>
      <c r="V359" s="9">
        <f t="shared" si="40"/>
        <v>114.28571428571388</v>
      </c>
      <c r="W359" s="9">
        <f t="shared" si="41"/>
        <v>17.390778714285695</v>
      </c>
    </row>
    <row r="360" spans="1:23">
      <c r="A360" s="2" t="s">
        <v>299</v>
      </c>
      <c r="B360" s="2" t="s">
        <v>300</v>
      </c>
      <c r="C360" s="3">
        <v>14</v>
      </c>
      <c r="D360" s="3">
        <v>1.98</v>
      </c>
      <c r="E360" s="2" t="s">
        <v>320</v>
      </c>
      <c r="F360" s="4">
        <v>39476</v>
      </c>
      <c r="G360" s="3">
        <v>54</v>
      </c>
      <c r="H360" s="3">
        <v>2.5</v>
      </c>
      <c r="I360" s="4">
        <v>39525</v>
      </c>
      <c r="J360" s="3">
        <v>60.4</v>
      </c>
      <c r="K360" s="3">
        <v>2.75</v>
      </c>
      <c r="L360" s="3">
        <v>49</v>
      </c>
      <c r="M360" s="5">
        <v>6.3999999999999986</v>
      </c>
      <c r="N360" s="5">
        <v>0.25</v>
      </c>
      <c r="O360" s="5">
        <v>97.02</v>
      </c>
      <c r="P360" s="5">
        <v>130.61224489795916</v>
      </c>
      <c r="Q360" s="5">
        <v>18.111131673469387</v>
      </c>
      <c r="R360" s="8">
        <f t="shared" si="37"/>
        <v>7</v>
      </c>
      <c r="S360" s="9">
        <f t="shared" si="38"/>
        <v>-1</v>
      </c>
      <c r="T360" s="9">
        <v>1.5</v>
      </c>
      <c r="U360" s="9">
        <f t="shared" si="39"/>
        <v>13.86</v>
      </c>
      <c r="V360" s="9">
        <f t="shared" si="40"/>
        <v>-142.85714285714286</v>
      </c>
      <c r="W360" s="9">
        <f t="shared" si="41"/>
        <v>4.6290908571428586</v>
      </c>
    </row>
    <row r="361" spans="1:23">
      <c r="A361" s="2" t="s">
        <v>299</v>
      </c>
      <c r="B361" s="2" t="s">
        <v>300</v>
      </c>
      <c r="C361" s="3">
        <v>14</v>
      </c>
      <c r="D361" s="3">
        <v>1.98</v>
      </c>
      <c r="E361" s="2" t="s">
        <v>320</v>
      </c>
      <c r="F361" s="4">
        <v>39476</v>
      </c>
      <c r="G361" s="3">
        <v>54</v>
      </c>
      <c r="H361" s="3">
        <v>2.5</v>
      </c>
      <c r="I361" s="4">
        <v>39532</v>
      </c>
      <c r="J361" s="3">
        <v>56</v>
      </c>
      <c r="K361" s="3">
        <v>2.25</v>
      </c>
      <c r="L361" s="3">
        <v>56</v>
      </c>
      <c r="M361" s="5">
        <v>2</v>
      </c>
      <c r="N361" s="5">
        <v>-0.25</v>
      </c>
      <c r="O361" s="5">
        <v>110.88</v>
      </c>
      <c r="P361" s="5">
        <v>35.714285714285715</v>
      </c>
      <c r="Q361" s="5">
        <v>13.060664285714285</v>
      </c>
      <c r="R361" s="8">
        <f t="shared" si="37"/>
        <v>7</v>
      </c>
      <c r="S361" s="9">
        <f t="shared" si="38"/>
        <v>-4.3999999999999986</v>
      </c>
      <c r="T361" s="9">
        <v>1.5</v>
      </c>
      <c r="U361" s="9">
        <f t="shared" si="39"/>
        <v>13.86</v>
      </c>
      <c r="V361" s="9">
        <f t="shared" si="40"/>
        <v>-628.57142857142833</v>
      </c>
      <c r="W361" s="9">
        <f t="shared" si="41"/>
        <v>-19.688621428571416</v>
      </c>
    </row>
    <row r="362" spans="1:23">
      <c r="A362" s="2" t="s">
        <v>299</v>
      </c>
      <c r="B362" s="2" t="s">
        <v>300</v>
      </c>
      <c r="C362" s="3">
        <v>14</v>
      </c>
      <c r="D362" s="3">
        <v>1.98</v>
      </c>
      <c r="E362" s="2" t="s">
        <v>321</v>
      </c>
      <c r="F362" s="4">
        <v>39476</v>
      </c>
      <c r="G362" s="3">
        <v>59.2</v>
      </c>
      <c r="H362" s="3">
        <v>1.75</v>
      </c>
      <c r="I362" s="4">
        <v>39476</v>
      </c>
      <c r="J362" s="3">
        <v>59.2</v>
      </c>
      <c r="K362" s="3">
        <v>1.75</v>
      </c>
      <c r="L362" s="3">
        <v>0</v>
      </c>
      <c r="M362" s="5">
        <v>0</v>
      </c>
      <c r="N362" s="5">
        <v>0</v>
      </c>
      <c r="O362" s="5">
        <v>0</v>
      </c>
      <c r="P362" s="5">
        <v>0</v>
      </c>
      <c r="Q362" s="5">
        <v>12.010128</v>
      </c>
      <c r="R362" s="8">
        <f t="shared" si="37"/>
        <v>0</v>
      </c>
      <c r="S362" s="9">
        <f t="shared" si="38"/>
        <v>0</v>
      </c>
      <c r="T362" s="9">
        <v>1.5</v>
      </c>
      <c r="U362" s="9">
        <f t="shared" si="39"/>
        <v>0</v>
      </c>
      <c r="V362" s="9">
        <f t="shared" si="40"/>
        <v>0</v>
      </c>
      <c r="W362" s="9">
        <f t="shared" si="41"/>
        <v>12.010128</v>
      </c>
    </row>
    <row r="363" spans="1:23">
      <c r="A363" s="2" t="s">
        <v>299</v>
      </c>
      <c r="B363" s="2" t="s">
        <v>300</v>
      </c>
      <c r="C363" s="3">
        <v>14</v>
      </c>
      <c r="D363" s="3">
        <v>1.98</v>
      </c>
      <c r="E363" s="2" t="s">
        <v>321</v>
      </c>
      <c r="F363" s="4">
        <v>39476</v>
      </c>
      <c r="G363" s="3">
        <v>59.2</v>
      </c>
      <c r="H363" s="3">
        <v>1.75</v>
      </c>
      <c r="I363" s="4">
        <v>39483</v>
      </c>
      <c r="J363" s="3">
        <v>64</v>
      </c>
      <c r="K363" s="6"/>
      <c r="L363" s="3">
        <v>7</v>
      </c>
      <c r="M363" s="5">
        <v>4.7999999999999972</v>
      </c>
      <c r="N363" s="6"/>
      <c r="O363" s="5">
        <v>13.86</v>
      </c>
      <c r="P363" s="5">
        <v>685.71428571428532</v>
      </c>
      <c r="Q363" s="5">
        <v>46.221658285714255</v>
      </c>
      <c r="R363" s="8">
        <f t="shared" si="37"/>
        <v>7</v>
      </c>
      <c r="S363" s="9">
        <f t="shared" si="38"/>
        <v>4.7999999999999972</v>
      </c>
      <c r="T363" s="9">
        <v>1.5</v>
      </c>
      <c r="U363" s="9">
        <f t="shared" si="39"/>
        <v>13.86</v>
      </c>
      <c r="V363" s="9">
        <f t="shared" si="40"/>
        <v>685.71428571428532</v>
      </c>
      <c r="W363" s="9">
        <f t="shared" si="41"/>
        <v>46.221658285714255</v>
      </c>
    </row>
    <row r="364" spans="1:23">
      <c r="A364" s="2" t="s">
        <v>299</v>
      </c>
      <c r="B364" s="2" t="s">
        <v>300</v>
      </c>
      <c r="C364" s="3">
        <v>14</v>
      </c>
      <c r="D364" s="3">
        <v>1.98</v>
      </c>
      <c r="E364" s="2" t="s">
        <v>321</v>
      </c>
      <c r="F364" s="4">
        <v>39476</v>
      </c>
      <c r="G364" s="3">
        <v>59.2</v>
      </c>
      <c r="H364" s="3">
        <v>1.75</v>
      </c>
      <c r="I364" s="4">
        <v>39490</v>
      </c>
      <c r="J364" s="3">
        <v>64.400000000000006</v>
      </c>
      <c r="K364" s="3">
        <v>1.75</v>
      </c>
      <c r="L364" s="3">
        <v>14</v>
      </c>
      <c r="M364" s="5">
        <v>5.2000000000000028</v>
      </c>
      <c r="N364" s="5">
        <v>0</v>
      </c>
      <c r="O364" s="5">
        <v>27.72</v>
      </c>
      <c r="P364" s="5">
        <v>371.42857142857162</v>
      </c>
      <c r="Q364" s="5">
        <v>30.761190571428578</v>
      </c>
      <c r="R364" s="8">
        <f t="shared" si="37"/>
        <v>7</v>
      </c>
      <c r="S364" s="9">
        <f t="shared" si="38"/>
        <v>0.40000000000000568</v>
      </c>
      <c r="T364" s="9">
        <v>1.5</v>
      </c>
      <c r="U364" s="9">
        <f t="shared" si="39"/>
        <v>13.86</v>
      </c>
      <c r="V364" s="9">
        <f t="shared" si="40"/>
        <v>57.142857142857956</v>
      </c>
      <c r="W364" s="9">
        <f t="shared" si="41"/>
        <v>15.266904857142897</v>
      </c>
    </row>
    <row r="365" spans="1:23">
      <c r="A365" s="2" t="s">
        <v>299</v>
      </c>
      <c r="B365" s="2" t="s">
        <v>300</v>
      </c>
      <c r="C365" s="3">
        <v>14</v>
      </c>
      <c r="D365" s="3">
        <v>1.98</v>
      </c>
      <c r="E365" s="2" t="s">
        <v>321</v>
      </c>
      <c r="F365" s="4">
        <v>39476</v>
      </c>
      <c r="G365" s="3">
        <v>59.2</v>
      </c>
      <c r="H365" s="3">
        <v>1.75</v>
      </c>
      <c r="I365" s="4">
        <v>39497</v>
      </c>
      <c r="J365" s="3">
        <v>66.8</v>
      </c>
      <c r="K365" s="3">
        <v>1.75</v>
      </c>
      <c r="L365" s="3">
        <v>21</v>
      </c>
      <c r="M365" s="5">
        <v>7.5999999999999943</v>
      </c>
      <c r="N365" s="5">
        <v>0</v>
      </c>
      <c r="O365" s="5">
        <v>41.58</v>
      </c>
      <c r="P365" s="5">
        <v>361.90476190476164</v>
      </c>
      <c r="Q365" s="5">
        <v>30.494574761904744</v>
      </c>
      <c r="R365" s="8">
        <f t="shared" si="37"/>
        <v>7</v>
      </c>
      <c r="S365" s="9">
        <f t="shared" si="38"/>
        <v>2.3999999999999915</v>
      </c>
      <c r="T365" s="9">
        <v>1.5</v>
      </c>
      <c r="U365" s="9">
        <f t="shared" si="39"/>
        <v>13.86</v>
      </c>
      <c r="V365" s="9">
        <f t="shared" si="40"/>
        <v>342.85714285714164</v>
      </c>
      <c r="W365" s="9">
        <f t="shared" si="41"/>
        <v>29.55552714285708</v>
      </c>
    </row>
    <row r="366" spans="1:23">
      <c r="A366" s="2" t="s">
        <v>299</v>
      </c>
      <c r="B366" s="2" t="s">
        <v>300</v>
      </c>
      <c r="C366" s="3">
        <v>14</v>
      </c>
      <c r="D366" s="3">
        <v>1.98</v>
      </c>
      <c r="E366" s="2" t="s">
        <v>321</v>
      </c>
      <c r="F366" s="4">
        <v>39476</v>
      </c>
      <c r="G366" s="3">
        <v>59.2</v>
      </c>
      <c r="H366" s="3">
        <v>1.75</v>
      </c>
      <c r="I366" s="4">
        <v>39503</v>
      </c>
      <c r="J366" s="3">
        <v>70.2</v>
      </c>
      <c r="K366" s="3">
        <v>1.75</v>
      </c>
      <c r="L366" s="3">
        <v>27</v>
      </c>
      <c r="M366" s="5">
        <v>11</v>
      </c>
      <c r="N366" s="5">
        <v>0</v>
      </c>
      <c r="O366" s="5">
        <v>53.46</v>
      </c>
      <c r="P366" s="5">
        <v>407.40740740740739</v>
      </c>
      <c r="Q366" s="5">
        <v>33.025308185185182</v>
      </c>
      <c r="R366" s="8">
        <f t="shared" si="37"/>
        <v>6</v>
      </c>
      <c r="S366" s="9">
        <f t="shared" si="38"/>
        <v>3.4000000000000057</v>
      </c>
      <c r="T366" s="9">
        <v>1.5</v>
      </c>
      <c r="U366" s="9">
        <f t="shared" si="39"/>
        <v>11.879999999999999</v>
      </c>
      <c r="V366" s="9">
        <f t="shared" si="40"/>
        <v>566.66666666666765</v>
      </c>
      <c r="W366" s="9">
        <f t="shared" si="41"/>
        <v>40.87678966666671</v>
      </c>
    </row>
    <row r="367" spans="1:23">
      <c r="A367" s="2" t="s">
        <v>299</v>
      </c>
      <c r="B367" s="2" t="s">
        <v>300</v>
      </c>
      <c r="C367" s="3">
        <v>14</v>
      </c>
      <c r="D367" s="3">
        <v>1.98</v>
      </c>
      <c r="E367" s="2" t="s">
        <v>321</v>
      </c>
      <c r="F367" s="4">
        <v>39476</v>
      </c>
      <c r="G367" s="3">
        <v>59.2</v>
      </c>
      <c r="H367" s="3">
        <v>1.75</v>
      </c>
      <c r="I367" s="4">
        <v>39511</v>
      </c>
      <c r="J367" s="3">
        <v>67.2</v>
      </c>
      <c r="K367" s="6"/>
      <c r="L367" s="3">
        <v>35</v>
      </c>
      <c r="M367" s="5">
        <v>8</v>
      </c>
      <c r="N367" s="6"/>
      <c r="O367" s="5">
        <v>69.3</v>
      </c>
      <c r="P367" s="5">
        <v>228.57142857142856</v>
      </c>
      <c r="Q367" s="5">
        <v>23.955059428571428</v>
      </c>
      <c r="R367" s="8">
        <f t="shared" si="37"/>
        <v>8</v>
      </c>
      <c r="S367" s="9">
        <f t="shared" si="38"/>
        <v>-3</v>
      </c>
      <c r="T367" s="9">
        <v>1.5</v>
      </c>
      <c r="U367" s="9">
        <f t="shared" si="39"/>
        <v>15.84</v>
      </c>
      <c r="V367" s="9">
        <f t="shared" si="40"/>
        <v>-375</v>
      </c>
      <c r="W367" s="9">
        <f t="shared" si="41"/>
        <v>-5.8010119999999965</v>
      </c>
    </row>
    <row r="368" spans="1:23">
      <c r="A368" s="2" t="s">
        <v>299</v>
      </c>
      <c r="B368" s="2" t="s">
        <v>300</v>
      </c>
      <c r="C368" s="3">
        <v>14</v>
      </c>
      <c r="D368" s="3">
        <v>1.98</v>
      </c>
      <c r="E368" s="2" t="s">
        <v>321</v>
      </c>
      <c r="F368" s="4">
        <v>39476</v>
      </c>
      <c r="G368" s="3">
        <v>59.2</v>
      </c>
      <c r="H368" s="3">
        <v>1.75</v>
      </c>
      <c r="I368" s="4">
        <v>39518</v>
      </c>
      <c r="J368" s="3">
        <v>70.2</v>
      </c>
      <c r="K368" s="3">
        <v>2</v>
      </c>
      <c r="L368" s="3">
        <v>42</v>
      </c>
      <c r="M368" s="5">
        <v>11</v>
      </c>
      <c r="N368" s="5">
        <v>0.25</v>
      </c>
      <c r="O368" s="5">
        <v>83.16</v>
      </c>
      <c r="P368" s="5">
        <v>261.90476190476193</v>
      </c>
      <c r="Q368" s="5">
        <v>25.852027761904761</v>
      </c>
      <c r="R368" s="8">
        <f t="shared" si="37"/>
        <v>7</v>
      </c>
      <c r="S368" s="9">
        <f t="shared" si="38"/>
        <v>3</v>
      </c>
      <c r="T368" s="9">
        <v>1.5</v>
      </c>
      <c r="U368" s="9">
        <f t="shared" si="39"/>
        <v>13.86</v>
      </c>
      <c r="V368" s="9">
        <f t="shared" si="40"/>
        <v>428.57142857142856</v>
      </c>
      <c r="W368" s="9">
        <f t="shared" si="41"/>
        <v>34.068694428571426</v>
      </c>
    </row>
    <row r="369" spans="1:23">
      <c r="A369" s="2" t="s">
        <v>299</v>
      </c>
      <c r="B369" s="2" t="s">
        <v>300</v>
      </c>
      <c r="C369" s="3">
        <v>14</v>
      </c>
      <c r="D369" s="3">
        <v>1.98</v>
      </c>
      <c r="E369" s="2" t="s">
        <v>321</v>
      </c>
      <c r="F369" s="4">
        <v>39476</v>
      </c>
      <c r="G369" s="3">
        <v>59.2</v>
      </c>
      <c r="H369" s="3">
        <v>1.75</v>
      </c>
      <c r="I369" s="4">
        <v>39525</v>
      </c>
      <c r="J369" s="3">
        <v>68.400000000000006</v>
      </c>
      <c r="K369" s="3">
        <v>1.75</v>
      </c>
      <c r="L369" s="3">
        <v>49</v>
      </c>
      <c r="M369" s="5">
        <v>9.2000000000000028</v>
      </c>
      <c r="N369" s="5">
        <v>0</v>
      </c>
      <c r="O369" s="5">
        <v>97.02</v>
      </c>
      <c r="P369" s="5">
        <v>187.75510204081638</v>
      </c>
      <c r="Q369" s="5">
        <v>22.044268530612246</v>
      </c>
      <c r="R369" s="8">
        <f t="shared" si="37"/>
        <v>7</v>
      </c>
      <c r="S369" s="9">
        <f t="shared" si="38"/>
        <v>-1.7999999999999972</v>
      </c>
      <c r="T369" s="9">
        <v>1.5</v>
      </c>
      <c r="U369" s="9">
        <f t="shared" si="39"/>
        <v>13.86</v>
      </c>
      <c r="V369" s="9">
        <f t="shared" si="40"/>
        <v>-257.14285714285671</v>
      </c>
      <c r="W369" s="9">
        <f t="shared" si="41"/>
        <v>0.11079914285716264</v>
      </c>
    </row>
    <row r="370" spans="1:23">
      <c r="A370" s="2" t="s">
        <v>299</v>
      </c>
      <c r="B370" s="2" t="s">
        <v>300</v>
      </c>
      <c r="C370" s="3">
        <v>14</v>
      </c>
      <c r="D370" s="3">
        <v>1.98</v>
      </c>
      <c r="E370" s="2" t="s">
        <v>321</v>
      </c>
      <c r="F370" s="4">
        <v>39476</v>
      </c>
      <c r="G370" s="3">
        <v>59.2</v>
      </c>
      <c r="H370" s="3">
        <v>1.75</v>
      </c>
      <c r="I370" s="4">
        <v>39532</v>
      </c>
      <c r="J370" s="3">
        <v>67.8</v>
      </c>
      <c r="K370" s="3">
        <v>1.75</v>
      </c>
      <c r="L370" s="3">
        <v>56</v>
      </c>
      <c r="M370" s="5">
        <v>8.5999999999999943</v>
      </c>
      <c r="N370" s="5">
        <v>0</v>
      </c>
      <c r="O370" s="5">
        <v>110.88</v>
      </c>
      <c r="P370" s="5">
        <v>153.57142857142847</v>
      </c>
      <c r="Q370" s="5">
        <v>20.308286428571421</v>
      </c>
      <c r="R370" s="8">
        <f t="shared" si="37"/>
        <v>7</v>
      </c>
      <c r="S370" s="9">
        <f t="shared" si="38"/>
        <v>-0.60000000000000853</v>
      </c>
      <c r="T370" s="9">
        <v>1.5</v>
      </c>
      <c r="U370" s="9">
        <f t="shared" si="39"/>
        <v>13.86</v>
      </c>
      <c r="V370" s="9">
        <f t="shared" si="40"/>
        <v>-85.71428571428693</v>
      </c>
      <c r="W370" s="9">
        <f t="shared" si="41"/>
        <v>8.5115007142856527</v>
      </c>
    </row>
    <row r="371" spans="1:23">
      <c r="A371" s="2" t="s">
        <v>299</v>
      </c>
      <c r="B371" s="2" t="s">
        <v>300</v>
      </c>
      <c r="C371" s="3">
        <v>14</v>
      </c>
      <c r="D371" s="3">
        <v>1.98</v>
      </c>
      <c r="E371" s="2" t="s">
        <v>322</v>
      </c>
      <c r="F371" s="4">
        <v>39476</v>
      </c>
      <c r="G371" s="3">
        <v>57.8</v>
      </c>
      <c r="H371" s="3">
        <v>1.75</v>
      </c>
      <c r="I371" s="4">
        <v>39476</v>
      </c>
      <c r="J371" s="3">
        <v>57.8</v>
      </c>
      <c r="K371" s="3">
        <v>1.75</v>
      </c>
      <c r="L371" s="3">
        <v>0</v>
      </c>
      <c r="M371" s="5">
        <v>0</v>
      </c>
      <c r="N371" s="5">
        <v>0</v>
      </c>
      <c r="O371" s="5">
        <v>0</v>
      </c>
      <c r="P371" s="5">
        <v>0</v>
      </c>
      <c r="Q371" s="5">
        <v>11.773401999999999</v>
      </c>
      <c r="R371" s="8">
        <f t="shared" si="37"/>
        <v>0</v>
      </c>
      <c r="S371" s="9">
        <f t="shared" si="38"/>
        <v>0</v>
      </c>
      <c r="T371" s="9">
        <v>1.5</v>
      </c>
      <c r="U371" s="9">
        <f t="shared" si="39"/>
        <v>0</v>
      </c>
      <c r="V371" s="9">
        <f t="shared" si="40"/>
        <v>0</v>
      </c>
      <c r="W371" s="9">
        <f t="shared" si="41"/>
        <v>11.773401999999999</v>
      </c>
    </row>
    <row r="372" spans="1:23">
      <c r="A372" s="2" t="s">
        <v>299</v>
      </c>
      <c r="B372" s="2" t="s">
        <v>300</v>
      </c>
      <c r="C372" s="3">
        <v>14</v>
      </c>
      <c r="D372" s="3">
        <v>1.98</v>
      </c>
      <c r="E372" s="2" t="s">
        <v>322</v>
      </c>
      <c r="F372" s="4">
        <v>39476</v>
      </c>
      <c r="G372" s="3">
        <v>57.8</v>
      </c>
      <c r="H372" s="3">
        <v>1.75</v>
      </c>
      <c r="I372" s="4">
        <v>39483</v>
      </c>
      <c r="J372" s="3">
        <v>61.4</v>
      </c>
      <c r="K372" s="6"/>
      <c r="L372" s="3">
        <v>7</v>
      </c>
      <c r="M372" s="5">
        <v>3.6000000000000014</v>
      </c>
      <c r="N372" s="6"/>
      <c r="O372" s="5">
        <v>13.86</v>
      </c>
      <c r="P372" s="5">
        <v>514.28571428571445</v>
      </c>
      <c r="Q372" s="5">
        <v>37.432049714285725</v>
      </c>
      <c r="R372" s="8">
        <f t="shared" si="37"/>
        <v>7</v>
      </c>
      <c r="S372" s="9">
        <f t="shared" si="38"/>
        <v>3.6000000000000014</v>
      </c>
      <c r="T372" s="9">
        <v>1.5</v>
      </c>
      <c r="U372" s="9">
        <f t="shared" si="39"/>
        <v>13.86</v>
      </c>
      <c r="V372" s="9">
        <f t="shared" si="40"/>
        <v>514.28571428571445</v>
      </c>
      <c r="W372" s="9">
        <f t="shared" si="41"/>
        <v>37.432049714285725</v>
      </c>
    </row>
    <row r="373" spans="1:23">
      <c r="A373" s="2" t="s">
        <v>299</v>
      </c>
      <c r="B373" s="2" t="s">
        <v>300</v>
      </c>
      <c r="C373" s="3">
        <v>14</v>
      </c>
      <c r="D373" s="3">
        <v>1.98</v>
      </c>
      <c r="E373" s="2" t="s">
        <v>322</v>
      </c>
      <c r="F373" s="4">
        <v>39476</v>
      </c>
      <c r="G373" s="3">
        <v>57.8</v>
      </c>
      <c r="H373" s="3">
        <v>1.75</v>
      </c>
      <c r="I373" s="4">
        <v>39490</v>
      </c>
      <c r="J373" s="3">
        <v>63.4</v>
      </c>
      <c r="K373" s="3">
        <v>1.75</v>
      </c>
      <c r="L373" s="3">
        <v>14</v>
      </c>
      <c r="M373" s="5">
        <v>5.6000000000000014</v>
      </c>
      <c r="N373" s="5">
        <v>0</v>
      </c>
      <c r="O373" s="5">
        <v>27.72</v>
      </c>
      <c r="P373" s="5">
        <v>400.00000000000006</v>
      </c>
      <c r="Q373" s="5">
        <v>31.966854000000001</v>
      </c>
      <c r="R373" s="8">
        <f t="shared" si="37"/>
        <v>7</v>
      </c>
      <c r="S373" s="9">
        <f t="shared" si="38"/>
        <v>2</v>
      </c>
      <c r="T373" s="9">
        <v>1.5</v>
      </c>
      <c r="U373" s="9">
        <f t="shared" si="39"/>
        <v>13.86</v>
      </c>
      <c r="V373" s="9">
        <f t="shared" si="40"/>
        <v>285.71428571428572</v>
      </c>
      <c r="W373" s="9">
        <f t="shared" si="41"/>
        <v>26.332568285714281</v>
      </c>
    </row>
    <row r="374" spans="1:23">
      <c r="A374" s="2" t="s">
        <v>299</v>
      </c>
      <c r="B374" s="2" t="s">
        <v>300</v>
      </c>
      <c r="C374" s="3">
        <v>14</v>
      </c>
      <c r="D374" s="3">
        <v>1.98</v>
      </c>
      <c r="E374" s="2" t="s">
        <v>322</v>
      </c>
      <c r="F374" s="4">
        <v>39476</v>
      </c>
      <c r="G374" s="3">
        <v>57.8</v>
      </c>
      <c r="H374" s="3">
        <v>1.75</v>
      </c>
      <c r="I374" s="4">
        <v>39497</v>
      </c>
      <c r="J374" s="3">
        <v>62.2</v>
      </c>
      <c r="K374" s="3">
        <v>1.75</v>
      </c>
      <c r="L374" s="3">
        <v>21</v>
      </c>
      <c r="M374" s="5">
        <v>4.4000000000000057</v>
      </c>
      <c r="N374" s="5">
        <v>0</v>
      </c>
      <c r="O374" s="5">
        <v>41.58</v>
      </c>
      <c r="P374" s="5">
        <v>209.5238095238098</v>
      </c>
      <c r="Q374" s="5">
        <v>22.474923809523823</v>
      </c>
      <c r="R374" s="8">
        <f t="shared" si="37"/>
        <v>7</v>
      </c>
      <c r="S374" s="9">
        <f t="shared" si="38"/>
        <v>-1.1999999999999957</v>
      </c>
      <c r="T374" s="9">
        <v>1.5</v>
      </c>
      <c r="U374" s="9">
        <f t="shared" si="39"/>
        <v>13.86</v>
      </c>
      <c r="V374" s="9">
        <f t="shared" si="40"/>
        <v>-171.42857142857082</v>
      </c>
      <c r="W374" s="9">
        <f t="shared" si="41"/>
        <v>3.6939714285714569</v>
      </c>
    </row>
    <row r="375" spans="1:23">
      <c r="A375" s="2" t="s">
        <v>299</v>
      </c>
      <c r="B375" s="2" t="s">
        <v>300</v>
      </c>
      <c r="C375" s="3">
        <v>14</v>
      </c>
      <c r="D375" s="3">
        <v>1.98</v>
      </c>
      <c r="E375" s="2" t="s">
        <v>322</v>
      </c>
      <c r="F375" s="4">
        <v>39476</v>
      </c>
      <c r="G375" s="3">
        <v>57.8</v>
      </c>
      <c r="H375" s="3">
        <v>1.75</v>
      </c>
      <c r="I375" s="4">
        <v>39503</v>
      </c>
      <c r="J375" s="3">
        <v>64.2</v>
      </c>
      <c r="K375" s="3">
        <v>1.75</v>
      </c>
      <c r="L375" s="3">
        <v>27</v>
      </c>
      <c r="M375" s="5">
        <v>6.4000000000000057</v>
      </c>
      <c r="N375" s="5">
        <v>0</v>
      </c>
      <c r="O375" s="5">
        <v>53.46</v>
      </c>
      <c r="P375" s="5">
        <v>237.03703703703724</v>
      </c>
      <c r="Q375" s="5">
        <v>24.000415925925935</v>
      </c>
      <c r="R375" s="8">
        <f t="shared" si="37"/>
        <v>6</v>
      </c>
      <c r="S375" s="9">
        <f t="shared" si="38"/>
        <v>2</v>
      </c>
      <c r="T375" s="9">
        <v>1.5</v>
      </c>
      <c r="U375" s="9">
        <f t="shared" si="39"/>
        <v>11.879999999999999</v>
      </c>
      <c r="V375" s="9">
        <f t="shared" si="40"/>
        <v>333.33333333333331</v>
      </c>
      <c r="W375" s="9">
        <f t="shared" si="41"/>
        <v>28.747823333333329</v>
      </c>
    </row>
    <row r="376" spans="1:23">
      <c r="A376" s="2" t="s">
        <v>299</v>
      </c>
      <c r="B376" s="2" t="s">
        <v>300</v>
      </c>
      <c r="C376" s="3">
        <v>14</v>
      </c>
      <c r="D376" s="3">
        <v>1.98</v>
      </c>
      <c r="E376" s="2" t="s">
        <v>322</v>
      </c>
      <c r="F376" s="4">
        <v>39476</v>
      </c>
      <c r="G376" s="3">
        <v>57.8</v>
      </c>
      <c r="H376" s="3">
        <v>1.75</v>
      </c>
      <c r="I376" s="4">
        <v>39511</v>
      </c>
      <c r="J376" s="3">
        <v>66.400000000000006</v>
      </c>
      <c r="K376" s="6"/>
      <c r="L376" s="3">
        <v>35</v>
      </c>
      <c r="M376" s="5">
        <v>8.6000000000000085</v>
      </c>
      <c r="N376" s="6"/>
      <c r="O376" s="5">
        <v>69.3</v>
      </c>
      <c r="P376" s="5">
        <v>245.71428571428598</v>
      </c>
      <c r="Q376" s="5">
        <v>24.614203285714296</v>
      </c>
      <c r="R376" s="8">
        <f t="shared" ref="R376:R439" si="42">IF(I376-F376=0,0,I376-I375)</f>
        <v>8</v>
      </c>
      <c r="S376" s="9">
        <f t="shared" ref="S376:S439" si="43">IF(R376=0,J376-G376,J376-J375)</f>
        <v>2.2000000000000028</v>
      </c>
      <c r="T376" s="9">
        <v>1.5</v>
      </c>
      <c r="U376" s="9">
        <f t="shared" ref="U376:U439" si="44">D376*R376</f>
        <v>15.84</v>
      </c>
      <c r="V376" s="9">
        <f t="shared" ref="V376:V439" si="45">IF(R376=0,0,(S376/R376*1000))</f>
        <v>275.00000000000034</v>
      </c>
      <c r="W376" s="9">
        <f t="shared" ref="W376:W439" si="46">IF(R376=0,(((G376)*0.16909+(V376/1000)*49.3)+2),((((G376+J376)/2)*0.16909+(V376/1000)*49.3)+2))</f>
        <v>26.057989000000017</v>
      </c>
    </row>
    <row r="377" spans="1:23">
      <c r="A377" s="2" t="s">
        <v>299</v>
      </c>
      <c r="B377" s="2" t="s">
        <v>300</v>
      </c>
      <c r="C377" s="3">
        <v>14</v>
      </c>
      <c r="D377" s="3">
        <v>1.98</v>
      </c>
      <c r="E377" s="2" t="s">
        <v>322</v>
      </c>
      <c r="F377" s="4">
        <v>39476</v>
      </c>
      <c r="G377" s="3">
        <v>57.8</v>
      </c>
      <c r="H377" s="3">
        <v>1.75</v>
      </c>
      <c r="I377" s="4">
        <v>39518</v>
      </c>
      <c r="J377" s="3">
        <v>65.2</v>
      </c>
      <c r="K377" s="3">
        <v>2</v>
      </c>
      <c r="L377" s="3">
        <v>42</v>
      </c>
      <c r="M377" s="5">
        <v>7.4000000000000057</v>
      </c>
      <c r="N377" s="5">
        <v>0.25</v>
      </c>
      <c r="O377" s="5">
        <v>83.16</v>
      </c>
      <c r="P377" s="5">
        <v>176.19047619047632</v>
      </c>
      <c r="Q377" s="5">
        <v>21.08522547619048</v>
      </c>
      <c r="R377" s="8">
        <f t="shared" si="42"/>
        <v>7</v>
      </c>
      <c r="S377" s="9">
        <f t="shared" si="43"/>
        <v>-1.2000000000000028</v>
      </c>
      <c r="T377" s="9">
        <v>1.5</v>
      </c>
      <c r="U377" s="9">
        <f t="shared" si="44"/>
        <v>13.86</v>
      </c>
      <c r="V377" s="9">
        <f t="shared" si="45"/>
        <v>-171.42857142857184</v>
      </c>
      <c r="W377" s="9">
        <f t="shared" si="46"/>
        <v>3.9476064285714081</v>
      </c>
    </row>
    <row r="378" spans="1:23">
      <c r="A378" s="2" t="s">
        <v>299</v>
      </c>
      <c r="B378" s="2" t="s">
        <v>300</v>
      </c>
      <c r="C378" s="3">
        <v>14</v>
      </c>
      <c r="D378" s="3">
        <v>1.98</v>
      </c>
      <c r="E378" s="2" t="s">
        <v>322</v>
      </c>
      <c r="F378" s="4">
        <v>39476</v>
      </c>
      <c r="G378" s="3">
        <v>57.8</v>
      </c>
      <c r="H378" s="3">
        <v>1.75</v>
      </c>
      <c r="I378" s="4">
        <v>39525</v>
      </c>
      <c r="J378" s="3">
        <v>64.2</v>
      </c>
      <c r="K378" s="3">
        <v>2</v>
      </c>
      <c r="L378" s="3">
        <v>49</v>
      </c>
      <c r="M378" s="5">
        <v>6.4000000000000057</v>
      </c>
      <c r="N378" s="5">
        <v>0.25</v>
      </c>
      <c r="O378" s="5">
        <v>97.02</v>
      </c>
      <c r="P378" s="5">
        <v>130.6122448979593</v>
      </c>
      <c r="Q378" s="5">
        <v>18.753673673469393</v>
      </c>
      <c r="R378" s="8">
        <f t="shared" si="42"/>
        <v>7</v>
      </c>
      <c r="S378" s="9">
        <f t="shared" si="43"/>
        <v>-1</v>
      </c>
      <c r="T378" s="9">
        <v>1.5</v>
      </c>
      <c r="U378" s="9">
        <f t="shared" si="44"/>
        <v>13.86</v>
      </c>
      <c r="V378" s="9">
        <f t="shared" si="45"/>
        <v>-142.85714285714286</v>
      </c>
      <c r="W378" s="9">
        <f t="shared" si="46"/>
        <v>5.2716328571428575</v>
      </c>
    </row>
    <row r="379" spans="1:23">
      <c r="A379" s="2" t="s">
        <v>299</v>
      </c>
      <c r="B379" s="2" t="s">
        <v>300</v>
      </c>
      <c r="C379" s="3">
        <v>14</v>
      </c>
      <c r="D379" s="3">
        <v>1.98</v>
      </c>
      <c r="E379" s="2" t="s">
        <v>322</v>
      </c>
      <c r="F379" s="4">
        <v>39476</v>
      </c>
      <c r="G379" s="3">
        <v>57.8</v>
      </c>
      <c r="H379" s="3">
        <v>1.75</v>
      </c>
      <c r="I379" s="4">
        <v>39532</v>
      </c>
      <c r="J379" s="3">
        <v>61</v>
      </c>
      <c r="K379" s="3">
        <v>1.75</v>
      </c>
      <c r="L379" s="3">
        <v>56</v>
      </c>
      <c r="M379" s="5">
        <v>3.2000000000000028</v>
      </c>
      <c r="N379" s="5">
        <v>0</v>
      </c>
      <c r="O379" s="5">
        <v>110.88</v>
      </c>
      <c r="P379" s="5">
        <v>57.142857142857196</v>
      </c>
      <c r="Q379" s="5">
        <v>14.86108885714286</v>
      </c>
      <c r="R379" s="8">
        <f t="shared" si="42"/>
        <v>7</v>
      </c>
      <c r="S379" s="9">
        <f t="shared" si="43"/>
        <v>-3.2000000000000028</v>
      </c>
      <c r="T379" s="9">
        <v>1.5</v>
      </c>
      <c r="U379" s="9">
        <f t="shared" si="44"/>
        <v>13.86</v>
      </c>
      <c r="V379" s="9">
        <f t="shared" si="45"/>
        <v>-457.14285714285757</v>
      </c>
      <c r="W379" s="9">
        <f t="shared" si="46"/>
        <v>-10.493196857142879</v>
      </c>
    </row>
    <row r="380" spans="1:23">
      <c r="A380" s="2" t="s">
        <v>299</v>
      </c>
      <c r="B380" s="2" t="s">
        <v>300</v>
      </c>
      <c r="C380" s="3">
        <v>14</v>
      </c>
      <c r="D380" s="3">
        <v>1.98</v>
      </c>
      <c r="E380" s="2" t="s">
        <v>323</v>
      </c>
      <c r="F380" s="4">
        <v>39476</v>
      </c>
      <c r="G380" s="3">
        <v>56.2</v>
      </c>
      <c r="H380" s="3">
        <v>2.75</v>
      </c>
      <c r="I380" s="4">
        <v>39476</v>
      </c>
      <c r="J380" s="3">
        <v>56.2</v>
      </c>
      <c r="K380" s="3">
        <v>2.75</v>
      </c>
      <c r="L380" s="3">
        <v>0</v>
      </c>
      <c r="M380" s="5">
        <v>0</v>
      </c>
      <c r="N380" s="5">
        <v>0</v>
      </c>
      <c r="O380" s="5">
        <v>0</v>
      </c>
      <c r="P380" s="5">
        <v>0</v>
      </c>
      <c r="Q380" s="5">
        <v>11.502858</v>
      </c>
      <c r="R380" s="8">
        <f t="shared" si="42"/>
        <v>0</v>
      </c>
      <c r="S380" s="9">
        <f t="shared" si="43"/>
        <v>0</v>
      </c>
      <c r="T380" s="9">
        <v>1.5</v>
      </c>
      <c r="U380" s="9">
        <f t="shared" si="44"/>
        <v>0</v>
      </c>
      <c r="V380" s="9">
        <f t="shared" si="45"/>
        <v>0</v>
      </c>
      <c r="W380" s="9">
        <f t="shared" si="46"/>
        <v>11.502858</v>
      </c>
    </row>
    <row r="381" spans="1:23">
      <c r="A381" s="2" t="s">
        <v>299</v>
      </c>
      <c r="B381" s="2" t="s">
        <v>300</v>
      </c>
      <c r="C381" s="3">
        <v>14</v>
      </c>
      <c r="D381" s="3">
        <v>1.98</v>
      </c>
      <c r="E381" s="2" t="s">
        <v>323</v>
      </c>
      <c r="F381" s="4">
        <v>39476</v>
      </c>
      <c r="G381" s="3">
        <v>56.2</v>
      </c>
      <c r="H381" s="3">
        <v>2.75</v>
      </c>
      <c r="I381" s="4">
        <v>39483</v>
      </c>
      <c r="J381" s="3">
        <v>64.8</v>
      </c>
      <c r="K381" s="6"/>
      <c r="L381" s="3">
        <v>7</v>
      </c>
      <c r="M381" s="5">
        <v>8.5999999999999943</v>
      </c>
      <c r="N381" s="6"/>
      <c r="O381" s="5">
        <v>13.86</v>
      </c>
      <c r="P381" s="5">
        <v>1228.5714285714278</v>
      </c>
      <c r="Q381" s="5">
        <v>72.798516428571389</v>
      </c>
      <c r="R381" s="8">
        <f t="shared" si="42"/>
        <v>7</v>
      </c>
      <c r="S381" s="9">
        <f t="shared" si="43"/>
        <v>8.5999999999999943</v>
      </c>
      <c r="T381" s="9">
        <v>1.5</v>
      </c>
      <c r="U381" s="9">
        <f t="shared" si="44"/>
        <v>13.86</v>
      </c>
      <c r="V381" s="9">
        <f t="shared" si="45"/>
        <v>1228.5714285714278</v>
      </c>
      <c r="W381" s="9">
        <f t="shared" si="46"/>
        <v>72.798516428571389</v>
      </c>
    </row>
    <row r="382" spans="1:23">
      <c r="A382" s="2" t="s">
        <v>299</v>
      </c>
      <c r="B382" s="2" t="s">
        <v>300</v>
      </c>
      <c r="C382" s="3">
        <v>14</v>
      </c>
      <c r="D382" s="3">
        <v>1.98</v>
      </c>
      <c r="E382" s="2" t="s">
        <v>323</v>
      </c>
      <c r="F382" s="4">
        <v>39476</v>
      </c>
      <c r="G382" s="3">
        <v>56.2</v>
      </c>
      <c r="H382" s="3">
        <v>2.75</v>
      </c>
      <c r="I382" s="4">
        <v>39490</v>
      </c>
      <c r="J382" s="3">
        <v>63.6</v>
      </c>
      <c r="K382" s="3">
        <v>2.75</v>
      </c>
      <c r="L382" s="3">
        <v>14</v>
      </c>
      <c r="M382" s="5">
        <v>7.3999999999999986</v>
      </c>
      <c r="N382" s="5">
        <v>0</v>
      </c>
      <c r="O382" s="5">
        <v>27.72</v>
      </c>
      <c r="P382" s="5">
        <v>528.57142857142844</v>
      </c>
      <c r="Q382" s="5">
        <v>38.187062428571423</v>
      </c>
      <c r="R382" s="8">
        <f t="shared" si="42"/>
        <v>7</v>
      </c>
      <c r="S382" s="9">
        <f t="shared" si="43"/>
        <v>-1.1999999999999957</v>
      </c>
      <c r="T382" s="9">
        <v>1.5</v>
      </c>
      <c r="U382" s="9">
        <f t="shared" si="44"/>
        <v>13.86</v>
      </c>
      <c r="V382" s="9">
        <f t="shared" si="45"/>
        <v>-171.42857142857082</v>
      </c>
      <c r="W382" s="9">
        <f t="shared" si="46"/>
        <v>3.6770624285714586</v>
      </c>
    </row>
    <row r="383" spans="1:23">
      <c r="A383" s="2" t="s">
        <v>299</v>
      </c>
      <c r="B383" s="2" t="s">
        <v>300</v>
      </c>
      <c r="C383" s="3">
        <v>14</v>
      </c>
      <c r="D383" s="3">
        <v>1.98</v>
      </c>
      <c r="E383" s="2" t="s">
        <v>323</v>
      </c>
      <c r="F383" s="4">
        <v>39476</v>
      </c>
      <c r="G383" s="3">
        <v>56.2</v>
      </c>
      <c r="H383" s="3">
        <v>2.75</v>
      </c>
      <c r="I383" s="4">
        <v>39497</v>
      </c>
      <c r="J383" s="3">
        <v>64.2</v>
      </c>
      <c r="K383" s="3">
        <v>2.75</v>
      </c>
      <c r="L383" s="3">
        <v>21</v>
      </c>
      <c r="M383" s="5">
        <v>8</v>
      </c>
      <c r="N383" s="5">
        <v>0</v>
      </c>
      <c r="O383" s="5">
        <v>41.58</v>
      </c>
      <c r="P383" s="5">
        <v>380.95238095238091</v>
      </c>
      <c r="Q383" s="5">
        <v>30.960170380952377</v>
      </c>
      <c r="R383" s="8">
        <f t="shared" si="42"/>
        <v>7</v>
      </c>
      <c r="S383" s="9">
        <f t="shared" si="43"/>
        <v>0.60000000000000142</v>
      </c>
      <c r="T383" s="9">
        <v>1.5</v>
      </c>
      <c r="U383" s="9">
        <f t="shared" si="44"/>
        <v>13.86</v>
      </c>
      <c r="V383" s="9">
        <f t="shared" si="45"/>
        <v>85.714285714285921</v>
      </c>
      <c r="W383" s="9">
        <f t="shared" si="46"/>
        <v>16.404932285714295</v>
      </c>
    </row>
    <row r="384" spans="1:23">
      <c r="A384" s="2" t="s">
        <v>299</v>
      </c>
      <c r="B384" s="2" t="s">
        <v>300</v>
      </c>
      <c r="C384" s="3">
        <v>14</v>
      </c>
      <c r="D384" s="3">
        <v>1.98</v>
      </c>
      <c r="E384" s="2" t="s">
        <v>323</v>
      </c>
      <c r="F384" s="4">
        <v>39476</v>
      </c>
      <c r="G384" s="3">
        <v>56.2</v>
      </c>
      <c r="H384" s="3">
        <v>2.75</v>
      </c>
      <c r="I384" s="4">
        <v>39503</v>
      </c>
      <c r="J384" s="3">
        <v>68</v>
      </c>
      <c r="K384" s="3">
        <v>2.75</v>
      </c>
      <c r="L384" s="3">
        <v>27</v>
      </c>
      <c r="M384" s="5">
        <v>11.799999999999997</v>
      </c>
      <c r="N384" s="5">
        <v>0</v>
      </c>
      <c r="O384" s="5">
        <v>53.46</v>
      </c>
      <c r="P384" s="5">
        <v>437.03703703703695</v>
      </c>
      <c r="Q384" s="5">
        <v>34.046414925925923</v>
      </c>
      <c r="R384" s="8">
        <f t="shared" si="42"/>
        <v>6</v>
      </c>
      <c r="S384" s="9">
        <f t="shared" si="43"/>
        <v>3.7999999999999972</v>
      </c>
      <c r="T384" s="9">
        <v>1.5</v>
      </c>
      <c r="U384" s="9">
        <f t="shared" si="44"/>
        <v>11.879999999999999</v>
      </c>
      <c r="V384" s="9">
        <f t="shared" si="45"/>
        <v>633.3333333333328</v>
      </c>
      <c r="W384" s="9">
        <f t="shared" si="46"/>
        <v>43.723822333333302</v>
      </c>
    </row>
    <row r="385" spans="1:23">
      <c r="A385" s="2" t="s">
        <v>299</v>
      </c>
      <c r="B385" s="2" t="s">
        <v>300</v>
      </c>
      <c r="C385" s="3">
        <v>14</v>
      </c>
      <c r="D385" s="3">
        <v>1.98</v>
      </c>
      <c r="E385" s="2" t="s">
        <v>323</v>
      </c>
      <c r="F385" s="4">
        <v>39476</v>
      </c>
      <c r="G385" s="3">
        <v>56.2</v>
      </c>
      <c r="H385" s="3">
        <v>2.75</v>
      </c>
      <c r="I385" s="4">
        <v>39511</v>
      </c>
      <c r="J385" s="3">
        <v>68.8</v>
      </c>
      <c r="K385" s="6"/>
      <c r="L385" s="3">
        <v>35</v>
      </c>
      <c r="M385" s="5">
        <v>12.599999999999994</v>
      </c>
      <c r="N385" s="6"/>
      <c r="O385" s="5">
        <v>69.3</v>
      </c>
      <c r="P385" s="5">
        <v>359.99999999999983</v>
      </c>
      <c r="Q385" s="5">
        <v>30.316124999999992</v>
      </c>
      <c r="R385" s="8">
        <f t="shared" si="42"/>
        <v>8</v>
      </c>
      <c r="S385" s="9">
        <f t="shared" si="43"/>
        <v>0.79999999999999716</v>
      </c>
      <c r="T385" s="9">
        <v>1.5</v>
      </c>
      <c r="U385" s="9">
        <f t="shared" si="44"/>
        <v>15.84</v>
      </c>
      <c r="V385" s="9">
        <f t="shared" si="45"/>
        <v>99.999999999999645</v>
      </c>
      <c r="W385" s="9">
        <f t="shared" si="46"/>
        <v>17.49812499999998</v>
      </c>
    </row>
    <row r="386" spans="1:23">
      <c r="A386" s="2" t="s">
        <v>299</v>
      </c>
      <c r="B386" s="2" t="s">
        <v>300</v>
      </c>
      <c r="C386" s="3">
        <v>14</v>
      </c>
      <c r="D386" s="3">
        <v>1.98</v>
      </c>
      <c r="E386" s="2" t="s">
        <v>323</v>
      </c>
      <c r="F386" s="4">
        <v>39476</v>
      </c>
      <c r="G386" s="3">
        <v>56.2</v>
      </c>
      <c r="H386" s="3">
        <v>2.75</v>
      </c>
      <c r="I386" s="4">
        <v>39518</v>
      </c>
      <c r="J386" s="3">
        <v>68.599999999999994</v>
      </c>
      <c r="K386" s="3">
        <v>3.25</v>
      </c>
      <c r="L386" s="3">
        <v>42</v>
      </c>
      <c r="M386" s="5">
        <v>12.399999999999991</v>
      </c>
      <c r="N386" s="5">
        <v>0.5</v>
      </c>
      <c r="O386" s="5">
        <v>83.16</v>
      </c>
      <c r="P386" s="5">
        <v>295.23809523809501</v>
      </c>
      <c r="Q386" s="5">
        <v>27.106454095238082</v>
      </c>
      <c r="R386" s="8">
        <f t="shared" si="42"/>
        <v>7</v>
      </c>
      <c r="S386" s="9">
        <f t="shared" si="43"/>
        <v>-0.20000000000000284</v>
      </c>
      <c r="T386" s="9">
        <v>1.5</v>
      </c>
      <c r="U386" s="9">
        <f t="shared" si="44"/>
        <v>13.86</v>
      </c>
      <c r="V386" s="9">
        <f t="shared" si="45"/>
        <v>-28.571428571428978</v>
      </c>
      <c r="W386" s="9">
        <f t="shared" si="46"/>
        <v>11.14264457142855</v>
      </c>
    </row>
    <row r="387" spans="1:23">
      <c r="A387" s="2" t="s">
        <v>299</v>
      </c>
      <c r="B387" s="2" t="s">
        <v>300</v>
      </c>
      <c r="C387" s="3">
        <v>14</v>
      </c>
      <c r="D387" s="3">
        <v>1.98</v>
      </c>
      <c r="E387" s="2" t="s">
        <v>323</v>
      </c>
      <c r="F387" s="4">
        <v>39476</v>
      </c>
      <c r="G387" s="3">
        <v>56.2</v>
      </c>
      <c r="H387" s="3">
        <v>2.75</v>
      </c>
      <c r="I387" s="4">
        <v>39525</v>
      </c>
      <c r="J387" s="3">
        <v>68.2</v>
      </c>
      <c r="K387" s="3">
        <v>3</v>
      </c>
      <c r="L387" s="3">
        <v>49</v>
      </c>
      <c r="M387" s="5">
        <v>12</v>
      </c>
      <c r="N387" s="5">
        <v>0.25</v>
      </c>
      <c r="O387" s="5">
        <v>97.02</v>
      </c>
      <c r="P387" s="5">
        <v>244.89795918367346</v>
      </c>
      <c r="Q387" s="5">
        <v>24.5908673877551</v>
      </c>
      <c r="R387" s="8">
        <f t="shared" si="42"/>
        <v>7</v>
      </c>
      <c r="S387" s="9">
        <f t="shared" si="43"/>
        <v>-0.39999999999999147</v>
      </c>
      <c r="T387" s="9">
        <v>1.5</v>
      </c>
      <c r="U387" s="9">
        <f t="shared" si="44"/>
        <v>13.86</v>
      </c>
      <c r="V387" s="9">
        <f t="shared" si="45"/>
        <v>-57.142857142855924</v>
      </c>
      <c r="W387" s="9">
        <f t="shared" si="46"/>
        <v>9.7002551428572019</v>
      </c>
    </row>
    <row r="388" spans="1:23">
      <c r="A388" s="2" t="s">
        <v>299</v>
      </c>
      <c r="B388" s="2" t="s">
        <v>300</v>
      </c>
      <c r="C388" s="3">
        <v>14</v>
      </c>
      <c r="D388" s="3">
        <v>1.98</v>
      </c>
      <c r="E388" s="2" t="s">
        <v>323</v>
      </c>
      <c r="F388" s="4">
        <v>39476</v>
      </c>
      <c r="G388" s="3">
        <v>56.2</v>
      </c>
      <c r="H388" s="3">
        <v>2.75</v>
      </c>
      <c r="I388" s="4">
        <v>39532</v>
      </c>
      <c r="J388" s="3">
        <v>65.8</v>
      </c>
      <c r="K388" s="3">
        <v>2.75</v>
      </c>
      <c r="L388" s="3">
        <v>56</v>
      </c>
      <c r="M388" s="5">
        <v>9.5999999999999943</v>
      </c>
      <c r="N388" s="5">
        <v>0</v>
      </c>
      <c r="O388" s="5">
        <v>110.88</v>
      </c>
      <c r="P388" s="5">
        <v>171.42857142857133</v>
      </c>
      <c r="Q388" s="5">
        <v>20.765918571428564</v>
      </c>
      <c r="R388" s="8">
        <f t="shared" si="42"/>
        <v>7</v>
      </c>
      <c r="S388" s="9">
        <f t="shared" si="43"/>
        <v>-2.4000000000000057</v>
      </c>
      <c r="T388" s="9">
        <v>1.5</v>
      </c>
      <c r="U388" s="9">
        <f t="shared" si="44"/>
        <v>13.86</v>
      </c>
      <c r="V388" s="9">
        <f t="shared" si="45"/>
        <v>-342.85714285714369</v>
      </c>
      <c r="W388" s="9">
        <f t="shared" si="46"/>
        <v>-4.5883671428571837</v>
      </c>
    </row>
    <row r="389" spans="1:23">
      <c r="A389" s="2" t="s">
        <v>299</v>
      </c>
      <c r="B389" s="2" t="s">
        <v>300</v>
      </c>
      <c r="C389" s="3">
        <v>14</v>
      </c>
      <c r="D389" s="3">
        <v>1.98</v>
      </c>
      <c r="E389" s="2" t="s">
        <v>324</v>
      </c>
      <c r="F389" s="4">
        <v>39476</v>
      </c>
      <c r="G389" s="3">
        <v>58</v>
      </c>
      <c r="H389" s="3">
        <v>2.25</v>
      </c>
      <c r="I389" s="4">
        <v>39476</v>
      </c>
      <c r="J389" s="3">
        <v>58</v>
      </c>
      <c r="K389" s="3">
        <v>2.25</v>
      </c>
      <c r="L389" s="3">
        <v>0</v>
      </c>
      <c r="M389" s="5">
        <v>0</v>
      </c>
      <c r="N389" s="5">
        <v>0</v>
      </c>
      <c r="O389" s="5">
        <v>0</v>
      </c>
      <c r="P389" s="5">
        <v>0</v>
      </c>
      <c r="Q389" s="5">
        <v>11.807219999999999</v>
      </c>
      <c r="R389" s="8">
        <f t="shared" si="42"/>
        <v>0</v>
      </c>
      <c r="S389" s="9">
        <f t="shared" si="43"/>
        <v>0</v>
      </c>
      <c r="T389" s="9">
        <v>1.5</v>
      </c>
      <c r="U389" s="9">
        <f t="shared" si="44"/>
        <v>0</v>
      </c>
      <c r="V389" s="9">
        <f t="shared" si="45"/>
        <v>0</v>
      </c>
      <c r="W389" s="9">
        <f t="shared" si="46"/>
        <v>11.807219999999999</v>
      </c>
    </row>
    <row r="390" spans="1:23">
      <c r="A390" s="2" t="s">
        <v>299</v>
      </c>
      <c r="B390" s="2" t="s">
        <v>300</v>
      </c>
      <c r="C390" s="3">
        <v>14</v>
      </c>
      <c r="D390" s="3">
        <v>1.98</v>
      </c>
      <c r="E390" s="2" t="s">
        <v>324</v>
      </c>
      <c r="F390" s="4">
        <v>39476</v>
      </c>
      <c r="G390" s="3">
        <v>58</v>
      </c>
      <c r="H390" s="3">
        <v>2.25</v>
      </c>
      <c r="I390" s="4">
        <v>39483</v>
      </c>
      <c r="J390" s="3">
        <v>64.2</v>
      </c>
      <c r="K390" s="6"/>
      <c r="L390" s="3">
        <v>7</v>
      </c>
      <c r="M390" s="5">
        <v>6.2000000000000028</v>
      </c>
      <c r="N390" s="6"/>
      <c r="O390" s="5">
        <v>13.86</v>
      </c>
      <c r="P390" s="5">
        <v>885.71428571428612</v>
      </c>
      <c r="Q390" s="5">
        <v>55.997113285714299</v>
      </c>
      <c r="R390" s="8">
        <f t="shared" si="42"/>
        <v>7</v>
      </c>
      <c r="S390" s="9">
        <f t="shared" si="43"/>
        <v>6.2000000000000028</v>
      </c>
      <c r="T390" s="9">
        <v>1.5</v>
      </c>
      <c r="U390" s="9">
        <f t="shared" si="44"/>
        <v>13.86</v>
      </c>
      <c r="V390" s="9">
        <f t="shared" si="45"/>
        <v>885.71428571428612</v>
      </c>
      <c r="W390" s="9">
        <f t="shared" si="46"/>
        <v>55.997113285714299</v>
      </c>
    </row>
    <row r="391" spans="1:23">
      <c r="A391" s="2" t="s">
        <v>299</v>
      </c>
      <c r="B391" s="2" t="s">
        <v>300</v>
      </c>
      <c r="C391" s="3">
        <v>14</v>
      </c>
      <c r="D391" s="3">
        <v>1.98</v>
      </c>
      <c r="E391" s="2" t="s">
        <v>324</v>
      </c>
      <c r="F391" s="4">
        <v>39476</v>
      </c>
      <c r="G391" s="3">
        <v>58</v>
      </c>
      <c r="H391" s="3">
        <v>2.25</v>
      </c>
      <c r="I391" s="4">
        <v>39490</v>
      </c>
      <c r="J391" s="3">
        <v>65.2</v>
      </c>
      <c r="K391" s="3">
        <v>2.25</v>
      </c>
      <c r="L391" s="3">
        <v>14</v>
      </c>
      <c r="M391" s="5">
        <v>7.2000000000000028</v>
      </c>
      <c r="N391" s="5">
        <v>0</v>
      </c>
      <c r="O391" s="5">
        <v>27.72</v>
      </c>
      <c r="P391" s="5">
        <v>514.28571428571445</v>
      </c>
      <c r="Q391" s="5">
        <v>37.770229714285719</v>
      </c>
      <c r="R391" s="8">
        <f t="shared" si="42"/>
        <v>7</v>
      </c>
      <c r="S391" s="9">
        <f t="shared" si="43"/>
        <v>1</v>
      </c>
      <c r="T391" s="9">
        <v>1.5</v>
      </c>
      <c r="U391" s="9">
        <f t="shared" si="44"/>
        <v>13.86</v>
      </c>
      <c r="V391" s="9">
        <f t="shared" si="45"/>
        <v>142.85714285714286</v>
      </c>
      <c r="W391" s="9">
        <f t="shared" si="46"/>
        <v>19.458801142857141</v>
      </c>
    </row>
    <row r="392" spans="1:23">
      <c r="A392" s="2" t="s">
        <v>299</v>
      </c>
      <c r="B392" s="2" t="s">
        <v>300</v>
      </c>
      <c r="C392" s="3">
        <v>14</v>
      </c>
      <c r="D392" s="3">
        <v>1.98</v>
      </c>
      <c r="E392" s="2" t="s">
        <v>324</v>
      </c>
      <c r="F392" s="4">
        <v>39476</v>
      </c>
      <c r="G392" s="3">
        <v>58</v>
      </c>
      <c r="H392" s="3">
        <v>2.25</v>
      </c>
      <c r="I392" s="4">
        <v>39497</v>
      </c>
      <c r="J392" s="3">
        <v>68</v>
      </c>
      <c r="K392" s="3">
        <v>2.25</v>
      </c>
      <c r="L392" s="3">
        <v>21</v>
      </c>
      <c r="M392" s="5">
        <v>10</v>
      </c>
      <c r="N392" s="5">
        <v>0</v>
      </c>
      <c r="O392" s="5">
        <v>41.58</v>
      </c>
      <c r="P392" s="5">
        <v>476.19047619047615</v>
      </c>
      <c r="Q392" s="5">
        <v>36.128860476190475</v>
      </c>
      <c r="R392" s="8">
        <f t="shared" si="42"/>
        <v>7</v>
      </c>
      <c r="S392" s="9">
        <f t="shared" si="43"/>
        <v>2.7999999999999972</v>
      </c>
      <c r="T392" s="9">
        <v>1.5</v>
      </c>
      <c r="U392" s="9">
        <f t="shared" si="44"/>
        <v>13.86</v>
      </c>
      <c r="V392" s="9">
        <f t="shared" si="45"/>
        <v>399.9999999999996</v>
      </c>
      <c r="W392" s="9">
        <f t="shared" si="46"/>
        <v>32.372669999999978</v>
      </c>
    </row>
    <row r="393" spans="1:23">
      <c r="A393" s="2" t="s">
        <v>299</v>
      </c>
      <c r="B393" s="2" t="s">
        <v>300</v>
      </c>
      <c r="C393" s="3">
        <v>14</v>
      </c>
      <c r="D393" s="3">
        <v>1.98</v>
      </c>
      <c r="E393" s="2" t="s">
        <v>324</v>
      </c>
      <c r="F393" s="4">
        <v>39476</v>
      </c>
      <c r="G393" s="3">
        <v>58</v>
      </c>
      <c r="H393" s="3">
        <v>2.25</v>
      </c>
      <c r="I393" s="4">
        <v>39503</v>
      </c>
      <c r="J393" s="3">
        <v>66.400000000000006</v>
      </c>
      <c r="K393" s="3">
        <v>2.25</v>
      </c>
      <c r="L393" s="3">
        <v>27</v>
      </c>
      <c r="M393" s="5">
        <v>8.4000000000000057</v>
      </c>
      <c r="N393" s="5">
        <v>0</v>
      </c>
      <c r="O393" s="5">
        <v>53.46</v>
      </c>
      <c r="P393" s="5">
        <v>311.11111111111131</v>
      </c>
      <c r="Q393" s="5">
        <v>27.855175777777788</v>
      </c>
      <c r="R393" s="8">
        <f t="shared" si="42"/>
        <v>6</v>
      </c>
      <c r="S393" s="9">
        <f t="shared" si="43"/>
        <v>-1.5999999999999943</v>
      </c>
      <c r="T393" s="9">
        <v>1.5</v>
      </c>
      <c r="U393" s="9">
        <f t="shared" si="44"/>
        <v>11.879999999999999</v>
      </c>
      <c r="V393" s="9">
        <f t="shared" si="45"/>
        <v>-266.66666666666572</v>
      </c>
      <c r="W393" s="9">
        <f t="shared" si="46"/>
        <v>-0.62926866666661851</v>
      </c>
    </row>
    <row r="394" spans="1:23">
      <c r="A394" s="2" t="s">
        <v>299</v>
      </c>
      <c r="B394" s="2" t="s">
        <v>300</v>
      </c>
      <c r="C394" s="3">
        <v>14</v>
      </c>
      <c r="D394" s="3">
        <v>1.98</v>
      </c>
      <c r="E394" s="2" t="s">
        <v>324</v>
      </c>
      <c r="F394" s="4">
        <v>39476</v>
      </c>
      <c r="G394" s="3">
        <v>58</v>
      </c>
      <c r="H394" s="3">
        <v>2.25</v>
      </c>
      <c r="I394" s="4">
        <v>39511</v>
      </c>
      <c r="J394" s="3">
        <v>67.2</v>
      </c>
      <c r="K394" s="6"/>
      <c r="L394" s="3">
        <v>35</v>
      </c>
      <c r="M394" s="5">
        <v>9.2000000000000028</v>
      </c>
      <c r="N394" s="6"/>
      <c r="O394" s="5">
        <v>69.3</v>
      </c>
      <c r="P394" s="5">
        <v>262.85714285714295</v>
      </c>
      <c r="Q394" s="5">
        <v>25.543891142857149</v>
      </c>
      <c r="R394" s="8">
        <f t="shared" si="42"/>
        <v>8</v>
      </c>
      <c r="S394" s="9">
        <f t="shared" si="43"/>
        <v>0.79999999999999716</v>
      </c>
      <c r="T394" s="9">
        <v>1.5</v>
      </c>
      <c r="U394" s="9">
        <f t="shared" si="44"/>
        <v>15.84</v>
      </c>
      <c r="V394" s="9">
        <f t="shared" si="45"/>
        <v>99.999999999999645</v>
      </c>
      <c r="W394" s="9">
        <f t="shared" si="46"/>
        <v>17.515033999999982</v>
      </c>
    </row>
    <row r="395" spans="1:23">
      <c r="A395" s="2" t="s">
        <v>299</v>
      </c>
      <c r="B395" s="2" t="s">
        <v>300</v>
      </c>
      <c r="C395" s="3">
        <v>14</v>
      </c>
      <c r="D395" s="3">
        <v>1.98</v>
      </c>
      <c r="E395" s="2" t="s">
        <v>324</v>
      </c>
      <c r="F395" s="4">
        <v>39476</v>
      </c>
      <c r="G395" s="3">
        <v>58</v>
      </c>
      <c r="H395" s="3">
        <v>2.25</v>
      </c>
      <c r="I395" s="4">
        <v>39518</v>
      </c>
      <c r="J395" s="3">
        <v>67.599999999999994</v>
      </c>
      <c r="K395" s="3">
        <v>3</v>
      </c>
      <c r="L395" s="3">
        <v>42</v>
      </c>
      <c r="M395" s="5">
        <v>9.5999999999999943</v>
      </c>
      <c r="N395" s="5">
        <v>0.75</v>
      </c>
      <c r="O395" s="5">
        <v>83.16</v>
      </c>
      <c r="P395" s="5">
        <v>228.57142857142841</v>
      </c>
      <c r="Q395" s="5">
        <v>23.88742342857142</v>
      </c>
      <c r="R395" s="8">
        <f t="shared" si="42"/>
        <v>7</v>
      </c>
      <c r="S395" s="9">
        <f t="shared" si="43"/>
        <v>0.39999999999999147</v>
      </c>
      <c r="T395" s="9">
        <v>1.5</v>
      </c>
      <c r="U395" s="9">
        <f t="shared" si="44"/>
        <v>13.86</v>
      </c>
      <c r="V395" s="9">
        <f t="shared" si="45"/>
        <v>57.142857142855924</v>
      </c>
      <c r="W395" s="9">
        <f t="shared" si="46"/>
        <v>15.435994857142795</v>
      </c>
    </row>
    <row r="396" spans="1:23">
      <c r="A396" s="2" t="s">
        <v>299</v>
      </c>
      <c r="B396" s="2" t="s">
        <v>300</v>
      </c>
      <c r="C396" s="3">
        <v>14</v>
      </c>
      <c r="D396" s="3">
        <v>1.98</v>
      </c>
      <c r="E396" s="2" t="s">
        <v>324</v>
      </c>
      <c r="F396" s="4">
        <v>39476</v>
      </c>
      <c r="G396" s="3">
        <v>58</v>
      </c>
      <c r="H396" s="3">
        <v>2.25</v>
      </c>
      <c r="I396" s="4">
        <v>39525</v>
      </c>
      <c r="J396" s="3">
        <v>65</v>
      </c>
      <c r="K396" s="3">
        <v>2.5</v>
      </c>
      <c r="L396" s="3">
        <v>49</v>
      </c>
      <c r="M396" s="5">
        <v>7</v>
      </c>
      <c r="N396" s="5">
        <v>0.25</v>
      </c>
      <c r="O396" s="5">
        <v>97.02</v>
      </c>
      <c r="P396" s="5">
        <v>142.85714285714286</v>
      </c>
      <c r="Q396" s="5">
        <v>19.441892142857142</v>
      </c>
      <c r="R396" s="8">
        <f t="shared" si="42"/>
        <v>7</v>
      </c>
      <c r="S396" s="9">
        <f t="shared" si="43"/>
        <v>-2.5999999999999943</v>
      </c>
      <c r="T396" s="9">
        <v>1.5</v>
      </c>
      <c r="U396" s="9">
        <f t="shared" si="44"/>
        <v>13.86</v>
      </c>
      <c r="V396" s="9">
        <f t="shared" si="45"/>
        <v>-371.42857142857059</v>
      </c>
      <c r="W396" s="9">
        <f t="shared" si="46"/>
        <v>-5.9123935714285292</v>
      </c>
    </row>
    <row r="397" spans="1:23">
      <c r="A397" s="2" t="s">
        <v>299</v>
      </c>
      <c r="B397" s="2" t="s">
        <v>300</v>
      </c>
      <c r="C397" s="3">
        <v>14</v>
      </c>
      <c r="D397" s="3">
        <v>1.98</v>
      </c>
      <c r="E397" s="2" t="s">
        <v>324</v>
      </c>
      <c r="F397" s="4">
        <v>39476</v>
      </c>
      <c r="G397" s="3">
        <v>58</v>
      </c>
      <c r="H397" s="3">
        <v>2.25</v>
      </c>
      <c r="I397" s="4">
        <v>39532</v>
      </c>
      <c r="J397" s="3">
        <v>64</v>
      </c>
      <c r="K397" s="3">
        <v>2.25</v>
      </c>
      <c r="L397" s="3">
        <v>56</v>
      </c>
      <c r="M397" s="5">
        <v>6</v>
      </c>
      <c r="N397" s="5">
        <v>0</v>
      </c>
      <c r="O397" s="5">
        <v>110.88</v>
      </c>
      <c r="P397" s="5">
        <v>107.14285714285714</v>
      </c>
      <c r="Q397" s="5">
        <v>17.596632857142858</v>
      </c>
      <c r="R397" s="8">
        <f t="shared" si="42"/>
        <v>7</v>
      </c>
      <c r="S397" s="9">
        <f t="shared" si="43"/>
        <v>-1</v>
      </c>
      <c r="T397" s="9">
        <v>1.5</v>
      </c>
      <c r="U397" s="9">
        <f t="shared" si="44"/>
        <v>13.86</v>
      </c>
      <c r="V397" s="9">
        <f t="shared" si="45"/>
        <v>-142.85714285714286</v>
      </c>
      <c r="W397" s="9">
        <f t="shared" si="46"/>
        <v>5.2716328571428575</v>
      </c>
    </row>
    <row r="398" spans="1:23">
      <c r="A398" s="2" t="s">
        <v>299</v>
      </c>
      <c r="B398" s="2" t="s">
        <v>300</v>
      </c>
      <c r="C398" s="3">
        <v>14</v>
      </c>
      <c r="D398" s="3">
        <v>1.98</v>
      </c>
      <c r="E398" s="2" t="s">
        <v>325</v>
      </c>
      <c r="F398" s="4">
        <v>39476</v>
      </c>
      <c r="G398" s="3">
        <v>67</v>
      </c>
      <c r="H398" s="3">
        <v>2.25</v>
      </c>
      <c r="I398" s="4">
        <v>39476</v>
      </c>
      <c r="J398" s="3">
        <v>67</v>
      </c>
      <c r="K398" s="3">
        <v>2.25</v>
      </c>
      <c r="L398" s="3">
        <v>0</v>
      </c>
      <c r="M398" s="5">
        <v>0</v>
      </c>
      <c r="N398" s="5">
        <v>0</v>
      </c>
      <c r="O398" s="5">
        <v>0</v>
      </c>
      <c r="P398" s="5">
        <v>0</v>
      </c>
      <c r="Q398" s="5">
        <v>13.329029999999999</v>
      </c>
      <c r="R398" s="8">
        <f t="shared" si="42"/>
        <v>0</v>
      </c>
      <c r="S398" s="9">
        <f t="shared" si="43"/>
        <v>0</v>
      </c>
      <c r="T398" s="9">
        <v>1.5</v>
      </c>
      <c r="U398" s="9">
        <f t="shared" si="44"/>
        <v>0</v>
      </c>
      <c r="V398" s="9">
        <f t="shared" si="45"/>
        <v>0</v>
      </c>
      <c r="W398" s="9">
        <f t="shared" si="46"/>
        <v>13.329029999999999</v>
      </c>
    </row>
    <row r="399" spans="1:23">
      <c r="A399" s="2" t="s">
        <v>299</v>
      </c>
      <c r="B399" s="2" t="s">
        <v>300</v>
      </c>
      <c r="C399" s="3">
        <v>14</v>
      </c>
      <c r="D399" s="3">
        <v>1.98</v>
      </c>
      <c r="E399" s="2" t="s">
        <v>325</v>
      </c>
      <c r="F399" s="4">
        <v>39476</v>
      </c>
      <c r="G399" s="3">
        <v>67</v>
      </c>
      <c r="H399" s="3">
        <v>2.25</v>
      </c>
      <c r="I399" s="4">
        <v>39483</v>
      </c>
      <c r="J399" s="3">
        <v>67.8</v>
      </c>
      <c r="K399" s="6"/>
      <c r="L399" s="3">
        <v>7</v>
      </c>
      <c r="M399" s="5">
        <v>0.79999999999999716</v>
      </c>
      <c r="N399" s="6"/>
      <c r="O399" s="5">
        <v>13.86</v>
      </c>
      <c r="P399" s="5">
        <v>114.28571428571388</v>
      </c>
      <c r="Q399" s="5">
        <v>19.030951714285692</v>
      </c>
      <c r="R399" s="8">
        <f t="shared" si="42"/>
        <v>7</v>
      </c>
      <c r="S399" s="9">
        <f t="shared" si="43"/>
        <v>0.79999999999999716</v>
      </c>
      <c r="T399" s="9">
        <v>1.5</v>
      </c>
      <c r="U399" s="9">
        <f t="shared" si="44"/>
        <v>13.86</v>
      </c>
      <c r="V399" s="9">
        <f t="shared" si="45"/>
        <v>114.28571428571388</v>
      </c>
      <c r="W399" s="9">
        <f t="shared" si="46"/>
        <v>19.030951714285692</v>
      </c>
    </row>
    <row r="400" spans="1:23">
      <c r="A400" s="2" t="s">
        <v>299</v>
      </c>
      <c r="B400" s="2" t="s">
        <v>300</v>
      </c>
      <c r="C400" s="3">
        <v>14</v>
      </c>
      <c r="D400" s="3">
        <v>1.98</v>
      </c>
      <c r="E400" s="2" t="s">
        <v>325</v>
      </c>
      <c r="F400" s="4">
        <v>39476</v>
      </c>
      <c r="G400" s="3">
        <v>67</v>
      </c>
      <c r="H400" s="3">
        <v>2.25</v>
      </c>
      <c r="I400" s="4">
        <v>39490</v>
      </c>
      <c r="J400" s="3">
        <v>68.599999999999994</v>
      </c>
      <c r="K400" s="3">
        <v>2.25</v>
      </c>
      <c r="L400" s="3">
        <v>14</v>
      </c>
      <c r="M400" s="5">
        <v>1.5999999999999943</v>
      </c>
      <c r="N400" s="5">
        <v>0</v>
      </c>
      <c r="O400" s="5">
        <v>27.72</v>
      </c>
      <c r="P400" s="5">
        <v>114.28571428571388</v>
      </c>
      <c r="Q400" s="5">
        <v>19.098587714285692</v>
      </c>
      <c r="R400" s="8">
        <f t="shared" si="42"/>
        <v>7</v>
      </c>
      <c r="S400" s="9">
        <f t="shared" si="43"/>
        <v>0.79999999999999716</v>
      </c>
      <c r="T400" s="9">
        <v>1.5</v>
      </c>
      <c r="U400" s="9">
        <f t="shared" si="44"/>
        <v>13.86</v>
      </c>
      <c r="V400" s="9">
        <f t="shared" si="45"/>
        <v>114.28571428571388</v>
      </c>
      <c r="W400" s="9">
        <f t="shared" si="46"/>
        <v>19.098587714285692</v>
      </c>
    </row>
    <row r="401" spans="1:23">
      <c r="A401" s="2" t="s">
        <v>299</v>
      </c>
      <c r="B401" s="2" t="s">
        <v>300</v>
      </c>
      <c r="C401" s="3">
        <v>14</v>
      </c>
      <c r="D401" s="3">
        <v>1.98</v>
      </c>
      <c r="E401" s="2" t="s">
        <v>325</v>
      </c>
      <c r="F401" s="4">
        <v>39476</v>
      </c>
      <c r="G401" s="3">
        <v>67</v>
      </c>
      <c r="H401" s="3">
        <v>2.25</v>
      </c>
      <c r="I401" s="4">
        <v>39497</v>
      </c>
      <c r="J401" s="3">
        <v>69</v>
      </c>
      <c r="K401" s="3">
        <v>2.25</v>
      </c>
      <c r="L401" s="3">
        <v>21</v>
      </c>
      <c r="M401" s="5">
        <v>2</v>
      </c>
      <c r="N401" s="5">
        <v>0</v>
      </c>
      <c r="O401" s="5">
        <v>41.58</v>
      </c>
      <c r="P401" s="5">
        <v>95.238095238095227</v>
      </c>
      <c r="Q401" s="5">
        <v>18.193358095238096</v>
      </c>
      <c r="R401" s="8">
        <f t="shared" si="42"/>
        <v>7</v>
      </c>
      <c r="S401" s="9">
        <f t="shared" si="43"/>
        <v>0.40000000000000568</v>
      </c>
      <c r="T401" s="9">
        <v>1.5</v>
      </c>
      <c r="U401" s="9">
        <f t="shared" si="44"/>
        <v>13.86</v>
      </c>
      <c r="V401" s="9">
        <f t="shared" si="45"/>
        <v>57.142857142857956</v>
      </c>
      <c r="W401" s="9">
        <f t="shared" si="46"/>
        <v>16.315262857142898</v>
      </c>
    </row>
    <row r="402" spans="1:23">
      <c r="A402" s="2" t="s">
        <v>299</v>
      </c>
      <c r="B402" s="2" t="s">
        <v>300</v>
      </c>
      <c r="C402" s="3">
        <v>14</v>
      </c>
      <c r="D402" s="3">
        <v>1.98</v>
      </c>
      <c r="E402" s="2" t="s">
        <v>325</v>
      </c>
      <c r="F402" s="4">
        <v>39476</v>
      </c>
      <c r="G402" s="3">
        <v>67</v>
      </c>
      <c r="H402" s="3">
        <v>2.25</v>
      </c>
      <c r="I402" s="4">
        <v>39503</v>
      </c>
      <c r="J402" s="3">
        <v>70.8</v>
      </c>
      <c r="K402" s="3">
        <v>2.25</v>
      </c>
      <c r="L402" s="3">
        <v>27</v>
      </c>
      <c r="M402" s="5">
        <v>3.7999999999999972</v>
      </c>
      <c r="N402" s="5">
        <v>0</v>
      </c>
      <c r="O402" s="5">
        <v>53.46</v>
      </c>
      <c r="P402" s="5">
        <v>140.74074074074065</v>
      </c>
      <c r="Q402" s="5">
        <v>20.588819518518513</v>
      </c>
      <c r="R402" s="8">
        <f t="shared" si="42"/>
        <v>6</v>
      </c>
      <c r="S402" s="9">
        <f t="shared" si="43"/>
        <v>1.7999999999999972</v>
      </c>
      <c r="T402" s="9">
        <v>1.5</v>
      </c>
      <c r="U402" s="9">
        <f t="shared" si="44"/>
        <v>11.879999999999999</v>
      </c>
      <c r="V402" s="9">
        <f t="shared" si="45"/>
        <v>299.99999999999955</v>
      </c>
      <c r="W402" s="9">
        <f t="shared" si="46"/>
        <v>28.440300999999977</v>
      </c>
    </row>
    <row r="403" spans="1:23">
      <c r="A403" s="2" t="s">
        <v>299</v>
      </c>
      <c r="B403" s="2" t="s">
        <v>300</v>
      </c>
      <c r="C403" s="3">
        <v>14</v>
      </c>
      <c r="D403" s="3">
        <v>1.98</v>
      </c>
      <c r="E403" s="2" t="s">
        <v>325</v>
      </c>
      <c r="F403" s="4">
        <v>39476</v>
      </c>
      <c r="G403" s="3">
        <v>67</v>
      </c>
      <c r="H403" s="3">
        <v>2.25</v>
      </c>
      <c r="I403" s="4">
        <v>39511</v>
      </c>
      <c r="J403" s="3">
        <v>72</v>
      </c>
      <c r="K403" s="6"/>
      <c r="L403" s="3">
        <v>35</v>
      </c>
      <c r="M403" s="5">
        <v>5</v>
      </c>
      <c r="N403" s="6"/>
      <c r="O403" s="5">
        <v>69.3</v>
      </c>
      <c r="P403" s="5">
        <v>142.85714285714286</v>
      </c>
      <c r="Q403" s="5">
        <v>20.79461214285714</v>
      </c>
      <c r="R403" s="8">
        <f t="shared" si="42"/>
        <v>8</v>
      </c>
      <c r="S403" s="9">
        <f t="shared" si="43"/>
        <v>1.2000000000000028</v>
      </c>
      <c r="T403" s="9">
        <v>1.5</v>
      </c>
      <c r="U403" s="9">
        <f t="shared" si="44"/>
        <v>15.84</v>
      </c>
      <c r="V403" s="9">
        <f t="shared" si="45"/>
        <v>150.00000000000034</v>
      </c>
      <c r="W403" s="9">
        <f t="shared" si="46"/>
        <v>21.146755000000013</v>
      </c>
    </row>
    <row r="404" spans="1:23">
      <c r="A404" s="2" t="s">
        <v>299</v>
      </c>
      <c r="B404" s="2" t="s">
        <v>300</v>
      </c>
      <c r="C404" s="3">
        <v>14</v>
      </c>
      <c r="D404" s="3">
        <v>1.98</v>
      </c>
      <c r="E404" s="2" t="s">
        <v>325</v>
      </c>
      <c r="F404" s="4">
        <v>39476</v>
      </c>
      <c r="G404" s="3">
        <v>67</v>
      </c>
      <c r="H404" s="3">
        <v>2.25</v>
      </c>
      <c r="I404" s="4">
        <v>39518</v>
      </c>
      <c r="J404" s="3">
        <v>71.599999999999994</v>
      </c>
      <c r="K404" s="3">
        <v>2.5</v>
      </c>
      <c r="L404" s="3">
        <v>42</v>
      </c>
      <c r="M404" s="5">
        <v>4.5999999999999943</v>
      </c>
      <c r="N404" s="5">
        <v>0.25</v>
      </c>
      <c r="O404" s="5">
        <v>83.16</v>
      </c>
      <c r="P404" s="5">
        <v>109.52380952380939</v>
      </c>
      <c r="Q404" s="5">
        <v>19.117460809523802</v>
      </c>
      <c r="R404" s="8">
        <f t="shared" si="42"/>
        <v>7</v>
      </c>
      <c r="S404" s="9">
        <f t="shared" si="43"/>
        <v>-0.40000000000000568</v>
      </c>
      <c r="T404" s="9">
        <v>1.5</v>
      </c>
      <c r="U404" s="9">
        <f t="shared" si="44"/>
        <v>13.86</v>
      </c>
      <c r="V404" s="9">
        <f t="shared" si="45"/>
        <v>-57.142857142857956</v>
      </c>
      <c r="W404" s="9">
        <f t="shared" si="46"/>
        <v>10.900794142857102</v>
      </c>
    </row>
    <row r="405" spans="1:23">
      <c r="A405" s="2" t="s">
        <v>299</v>
      </c>
      <c r="B405" s="2" t="s">
        <v>300</v>
      </c>
      <c r="C405" s="3">
        <v>14</v>
      </c>
      <c r="D405" s="3">
        <v>1.98</v>
      </c>
      <c r="E405" s="2" t="s">
        <v>325</v>
      </c>
      <c r="F405" s="4">
        <v>39476</v>
      </c>
      <c r="G405" s="3">
        <v>67</v>
      </c>
      <c r="H405" s="3">
        <v>2.25</v>
      </c>
      <c r="I405" s="4">
        <v>39525</v>
      </c>
      <c r="J405" s="3">
        <v>70.2</v>
      </c>
      <c r="K405" s="3">
        <v>3</v>
      </c>
      <c r="L405" s="3">
        <v>49</v>
      </c>
      <c r="M405" s="5">
        <v>3.2000000000000028</v>
      </c>
      <c r="N405" s="5">
        <v>0.75</v>
      </c>
      <c r="O405" s="5">
        <v>97.02</v>
      </c>
      <c r="P405" s="5">
        <v>65.30612244897965</v>
      </c>
      <c r="Q405" s="5">
        <v>16.819165836734697</v>
      </c>
      <c r="R405" s="8">
        <f t="shared" si="42"/>
        <v>7</v>
      </c>
      <c r="S405" s="9">
        <f t="shared" si="43"/>
        <v>-1.3999999999999915</v>
      </c>
      <c r="T405" s="9">
        <v>1.5</v>
      </c>
      <c r="U405" s="9">
        <f t="shared" si="44"/>
        <v>13.86</v>
      </c>
      <c r="V405" s="9">
        <f t="shared" si="45"/>
        <v>-199.99999999999878</v>
      </c>
      <c r="W405" s="9">
        <f t="shared" si="46"/>
        <v>3.7395740000000597</v>
      </c>
    </row>
    <row r="406" spans="1:23">
      <c r="A406" s="2" t="s">
        <v>299</v>
      </c>
      <c r="B406" s="2" t="s">
        <v>300</v>
      </c>
      <c r="C406" s="3">
        <v>14</v>
      </c>
      <c r="D406" s="3">
        <v>1.98</v>
      </c>
      <c r="E406" s="2" t="s">
        <v>325</v>
      </c>
      <c r="F406" s="4">
        <v>39476</v>
      </c>
      <c r="G406" s="3">
        <v>67</v>
      </c>
      <c r="H406" s="3">
        <v>2.25</v>
      </c>
      <c r="I406" s="4">
        <v>39532</v>
      </c>
      <c r="J406" s="3">
        <v>69.400000000000006</v>
      </c>
      <c r="K406" s="3">
        <v>2.25</v>
      </c>
      <c r="L406" s="3">
        <v>56</v>
      </c>
      <c r="M406" s="5">
        <v>2.4000000000000057</v>
      </c>
      <c r="N406" s="5">
        <v>0</v>
      </c>
      <c r="O406" s="5">
        <v>110.88</v>
      </c>
      <c r="P406" s="5">
        <v>42.857142857142961</v>
      </c>
      <c r="Q406" s="5">
        <v>15.644795142857149</v>
      </c>
      <c r="R406" s="8">
        <f t="shared" si="42"/>
        <v>7</v>
      </c>
      <c r="S406" s="9">
        <f t="shared" si="43"/>
        <v>-0.79999999999999716</v>
      </c>
      <c r="T406" s="9">
        <v>1.5</v>
      </c>
      <c r="U406" s="9">
        <f t="shared" si="44"/>
        <v>13.86</v>
      </c>
      <c r="V406" s="9">
        <f t="shared" si="45"/>
        <v>-114.28571428571388</v>
      </c>
      <c r="W406" s="9">
        <f t="shared" si="46"/>
        <v>7.8976522857143063</v>
      </c>
    </row>
    <row r="407" spans="1:23">
      <c r="A407" s="2" t="s">
        <v>299</v>
      </c>
      <c r="B407" s="2" t="s">
        <v>300</v>
      </c>
      <c r="C407" s="3">
        <v>14</v>
      </c>
      <c r="D407" s="3">
        <v>1.98</v>
      </c>
      <c r="E407" s="2" t="s">
        <v>326</v>
      </c>
      <c r="F407" s="4">
        <v>39476</v>
      </c>
      <c r="G407" s="3">
        <v>70.599999999999994</v>
      </c>
      <c r="H407" s="3">
        <v>3</v>
      </c>
      <c r="I407" s="4">
        <v>39476</v>
      </c>
      <c r="J407" s="3">
        <v>70.599999999999994</v>
      </c>
      <c r="K407" s="3">
        <v>3</v>
      </c>
      <c r="L407" s="3">
        <v>0</v>
      </c>
      <c r="M407" s="5">
        <v>0</v>
      </c>
      <c r="N407" s="5">
        <v>0</v>
      </c>
      <c r="O407" s="5">
        <v>0</v>
      </c>
      <c r="P407" s="5">
        <v>0</v>
      </c>
      <c r="Q407" s="5">
        <v>13.937753999999998</v>
      </c>
      <c r="R407" s="8">
        <f t="shared" si="42"/>
        <v>0</v>
      </c>
      <c r="S407" s="9">
        <f t="shared" si="43"/>
        <v>0</v>
      </c>
      <c r="T407" s="9">
        <v>1.5</v>
      </c>
      <c r="U407" s="9">
        <f t="shared" si="44"/>
        <v>0</v>
      </c>
      <c r="V407" s="9">
        <f t="shared" si="45"/>
        <v>0</v>
      </c>
      <c r="W407" s="9">
        <f t="shared" si="46"/>
        <v>13.937753999999998</v>
      </c>
    </row>
    <row r="408" spans="1:23">
      <c r="A408" s="2" t="s">
        <v>299</v>
      </c>
      <c r="B408" s="2" t="s">
        <v>300</v>
      </c>
      <c r="C408" s="3">
        <v>14</v>
      </c>
      <c r="D408" s="3">
        <v>1.98</v>
      </c>
      <c r="E408" s="2" t="s">
        <v>326</v>
      </c>
      <c r="F408" s="4">
        <v>39476</v>
      </c>
      <c r="G408" s="3">
        <v>70.599999999999994</v>
      </c>
      <c r="H408" s="3">
        <v>3</v>
      </c>
      <c r="I408" s="4">
        <v>39483</v>
      </c>
      <c r="J408" s="3">
        <v>68.2</v>
      </c>
      <c r="K408" s="6"/>
      <c r="L408" s="3">
        <v>7</v>
      </c>
      <c r="M408" s="5">
        <v>-2.3999999999999915</v>
      </c>
      <c r="N408" s="6"/>
      <c r="O408" s="5">
        <v>13.86</v>
      </c>
      <c r="P408" s="5">
        <v>-342.85714285714164</v>
      </c>
      <c r="Q408" s="5">
        <v>-3.1680111428570825</v>
      </c>
      <c r="R408" s="8">
        <f t="shared" si="42"/>
        <v>7</v>
      </c>
      <c r="S408" s="9">
        <f t="shared" si="43"/>
        <v>-2.3999999999999915</v>
      </c>
      <c r="T408" s="9">
        <v>1.5</v>
      </c>
      <c r="U408" s="9">
        <f t="shared" si="44"/>
        <v>13.86</v>
      </c>
      <c r="V408" s="9">
        <f t="shared" si="45"/>
        <v>-342.85714285714164</v>
      </c>
      <c r="W408" s="9">
        <f t="shared" si="46"/>
        <v>-3.1680111428570825</v>
      </c>
    </row>
    <row r="409" spans="1:23">
      <c r="A409" s="2" t="s">
        <v>299</v>
      </c>
      <c r="B409" s="2" t="s">
        <v>300</v>
      </c>
      <c r="C409" s="3">
        <v>14</v>
      </c>
      <c r="D409" s="3">
        <v>1.98</v>
      </c>
      <c r="E409" s="2" t="s">
        <v>326</v>
      </c>
      <c r="F409" s="4">
        <v>39476</v>
      </c>
      <c r="G409" s="3">
        <v>70.599999999999994</v>
      </c>
      <c r="H409" s="3">
        <v>3</v>
      </c>
      <c r="I409" s="4">
        <v>39490</v>
      </c>
      <c r="J409" s="3">
        <v>74.2</v>
      </c>
      <c r="K409" s="3">
        <v>3</v>
      </c>
      <c r="L409" s="3">
        <v>14</v>
      </c>
      <c r="M409" s="5">
        <v>3.6000000000000085</v>
      </c>
      <c r="N409" s="5">
        <v>0</v>
      </c>
      <c r="O409" s="5">
        <v>27.72</v>
      </c>
      <c r="P409" s="5">
        <v>257.14285714285774</v>
      </c>
      <c r="Q409" s="5">
        <v>26.919258857142886</v>
      </c>
      <c r="R409" s="8">
        <f t="shared" si="42"/>
        <v>7</v>
      </c>
      <c r="S409" s="9">
        <f t="shared" si="43"/>
        <v>6</v>
      </c>
      <c r="T409" s="9">
        <v>1.5</v>
      </c>
      <c r="U409" s="9">
        <f t="shared" si="44"/>
        <v>13.86</v>
      </c>
      <c r="V409" s="9">
        <f t="shared" si="45"/>
        <v>857.14285714285711</v>
      </c>
      <c r="W409" s="9">
        <f t="shared" si="46"/>
        <v>56.499258857142856</v>
      </c>
    </row>
    <row r="410" spans="1:23">
      <c r="A410" s="2" t="s">
        <v>299</v>
      </c>
      <c r="B410" s="2" t="s">
        <v>300</v>
      </c>
      <c r="C410" s="3">
        <v>14</v>
      </c>
      <c r="D410" s="3">
        <v>1.98</v>
      </c>
      <c r="E410" s="2" t="s">
        <v>326</v>
      </c>
      <c r="F410" s="4">
        <v>39476</v>
      </c>
      <c r="G410" s="3">
        <v>70.599999999999994</v>
      </c>
      <c r="H410" s="3">
        <v>3</v>
      </c>
      <c r="I410" s="4">
        <v>39497</v>
      </c>
      <c r="J410" s="3">
        <v>75.400000000000006</v>
      </c>
      <c r="K410" s="3">
        <v>3</v>
      </c>
      <c r="L410" s="3">
        <v>21</v>
      </c>
      <c r="M410" s="5">
        <v>4.8000000000000114</v>
      </c>
      <c r="N410" s="5">
        <v>0</v>
      </c>
      <c r="O410" s="5">
        <v>41.58</v>
      </c>
      <c r="P410" s="5">
        <v>228.57142857142912</v>
      </c>
      <c r="Q410" s="5">
        <v>25.612141428571455</v>
      </c>
      <c r="R410" s="8">
        <f t="shared" si="42"/>
        <v>7</v>
      </c>
      <c r="S410" s="9">
        <f t="shared" si="43"/>
        <v>1.2000000000000028</v>
      </c>
      <c r="T410" s="9">
        <v>1.5</v>
      </c>
      <c r="U410" s="9">
        <f t="shared" si="44"/>
        <v>13.86</v>
      </c>
      <c r="V410" s="9">
        <f t="shared" si="45"/>
        <v>171.42857142857184</v>
      </c>
      <c r="W410" s="9">
        <f t="shared" si="46"/>
        <v>22.794998571428593</v>
      </c>
    </row>
    <row r="411" spans="1:23">
      <c r="A411" s="2" t="s">
        <v>299</v>
      </c>
      <c r="B411" s="2" t="s">
        <v>300</v>
      </c>
      <c r="C411" s="3">
        <v>14</v>
      </c>
      <c r="D411" s="3">
        <v>1.98</v>
      </c>
      <c r="E411" s="2" t="s">
        <v>326</v>
      </c>
      <c r="F411" s="4">
        <v>39476</v>
      </c>
      <c r="G411" s="3">
        <v>70.599999999999994</v>
      </c>
      <c r="H411" s="3">
        <v>3</v>
      </c>
      <c r="I411" s="4">
        <v>39503</v>
      </c>
      <c r="J411" s="3">
        <v>82.6</v>
      </c>
      <c r="K411" s="3">
        <v>3</v>
      </c>
      <c r="L411" s="3">
        <v>27</v>
      </c>
      <c r="M411" s="5">
        <v>12</v>
      </c>
      <c r="N411" s="5">
        <v>0</v>
      </c>
      <c r="O411" s="5">
        <v>53.46</v>
      </c>
      <c r="P411" s="5">
        <v>444.4444444444444</v>
      </c>
      <c r="Q411" s="5">
        <v>36.863405111111106</v>
      </c>
      <c r="R411" s="8">
        <f t="shared" si="42"/>
        <v>6</v>
      </c>
      <c r="S411" s="9">
        <f t="shared" si="43"/>
        <v>7.1999999999999886</v>
      </c>
      <c r="T411" s="9">
        <v>1.5</v>
      </c>
      <c r="U411" s="9">
        <f t="shared" si="44"/>
        <v>11.879999999999999</v>
      </c>
      <c r="V411" s="9">
        <f t="shared" si="45"/>
        <v>1199.9999999999982</v>
      </c>
      <c r="W411" s="9">
        <f t="shared" si="46"/>
        <v>74.112293999999906</v>
      </c>
    </row>
    <row r="412" spans="1:23">
      <c r="A412" s="2" t="s">
        <v>299</v>
      </c>
      <c r="B412" s="2" t="s">
        <v>300</v>
      </c>
      <c r="C412" s="3">
        <v>14</v>
      </c>
      <c r="D412" s="3">
        <v>1.98</v>
      </c>
      <c r="E412" s="2" t="s">
        <v>326</v>
      </c>
      <c r="F412" s="4">
        <v>39476</v>
      </c>
      <c r="G412" s="3">
        <v>70.599999999999994</v>
      </c>
      <c r="H412" s="3">
        <v>3</v>
      </c>
      <c r="I412" s="4">
        <v>39511</v>
      </c>
      <c r="J412" s="3">
        <v>81.599999999999994</v>
      </c>
      <c r="K412" s="6"/>
      <c r="L412" s="3">
        <v>35</v>
      </c>
      <c r="M412" s="5">
        <v>11</v>
      </c>
      <c r="N412" s="6"/>
      <c r="O412" s="5">
        <v>69.3</v>
      </c>
      <c r="P412" s="5">
        <v>314.28571428571428</v>
      </c>
      <c r="Q412" s="5">
        <v>30.362034714285713</v>
      </c>
      <c r="R412" s="8">
        <f t="shared" si="42"/>
        <v>8</v>
      </c>
      <c r="S412" s="9">
        <f t="shared" si="43"/>
        <v>-1</v>
      </c>
      <c r="T412" s="9">
        <v>1.5</v>
      </c>
      <c r="U412" s="9">
        <f t="shared" si="44"/>
        <v>15.84</v>
      </c>
      <c r="V412" s="9">
        <f t="shared" si="45"/>
        <v>-125</v>
      </c>
      <c r="W412" s="9">
        <f t="shared" si="46"/>
        <v>8.7052489999999985</v>
      </c>
    </row>
    <row r="413" spans="1:23">
      <c r="A413" s="2" t="s">
        <v>299</v>
      </c>
      <c r="B413" s="2" t="s">
        <v>300</v>
      </c>
      <c r="C413" s="3">
        <v>14</v>
      </c>
      <c r="D413" s="3">
        <v>1.98</v>
      </c>
      <c r="E413" s="2" t="s">
        <v>326</v>
      </c>
      <c r="F413" s="4">
        <v>39476</v>
      </c>
      <c r="G413" s="3">
        <v>70.599999999999994</v>
      </c>
      <c r="H413" s="3">
        <v>3</v>
      </c>
      <c r="I413" s="4">
        <v>39518</v>
      </c>
      <c r="J413" s="3">
        <v>79.400000000000006</v>
      </c>
      <c r="K413" s="3">
        <v>3</v>
      </c>
      <c r="L413" s="3">
        <v>42</v>
      </c>
      <c r="M413" s="5">
        <v>8.8000000000000114</v>
      </c>
      <c r="N413" s="5">
        <v>0</v>
      </c>
      <c r="O413" s="5">
        <v>83.16</v>
      </c>
      <c r="P413" s="5">
        <v>209.5238095238098</v>
      </c>
      <c r="Q413" s="5">
        <v>25.011273809523821</v>
      </c>
      <c r="R413" s="8">
        <f t="shared" si="42"/>
        <v>7</v>
      </c>
      <c r="S413" s="9">
        <f t="shared" si="43"/>
        <v>-2.1999999999999886</v>
      </c>
      <c r="T413" s="9">
        <v>1.5</v>
      </c>
      <c r="U413" s="9">
        <f t="shared" si="44"/>
        <v>13.86</v>
      </c>
      <c r="V413" s="9">
        <f t="shared" si="45"/>
        <v>-314.28571428571269</v>
      </c>
      <c r="W413" s="9">
        <f t="shared" si="46"/>
        <v>-0.81253571428563376</v>
      </c>
    </row>
    <row r="414" spans="1:23">
      <c r="A414" s="2" t="s">
        <v>299</v>
      </c>
      <c r="B414" s="2" t="s">
        <v>300</v>
      </c>
      <c r="C414" s="3">
        <v>14</v>
      </c>
      <c r="D414" s="3">
        <v>1.98</v>
      </c>
      <c r="E414" s="2" t="s">
        <v>326</v>
      </c>
      <c r="F414" s="4">
        <v>39476</v>
      </c>
      <c r="G414" s="3">
        <v>70.599999999999994</v>
      </c>
      <c r="H414" s="3">
        <v>3</v>
      </c>
      <c r="I414" s="4">
        <v>39525</v>
      </c>
      <c r="J414" s="3">
        <v>77.599999999999994</v>
      </c>
      <c r="K414" s="3">
        <v>3</v>
      </c>
      <c r="L414" s="3">
        <v>49</v>
      </c>
      <c r="M414" s="5">
        <v>7</v>
      </c>
      <c r="N414" s="5">
        <v>0</v>
      </c>
      <c r="O414" s="5">
        <v>97.02</v>
      </c>
      <c r="P414" s="5">
        <v>142.85714285714286</v>
      </c>
      <c r="Q414" s="5">
        <v>21.57242614285714</v>
      </c>
      <c r="R414" s="8">
        <f t="shared" si="42"/>
        <v>7</v>
      </c>
      <c r="S414" s="9">
        <f t="shared" si="43"/>
        <v>-1.8000000000000114</v>
      </c>
      <c r="T414" s="9">
        <v>1.5</v>
      </c>
      <c r="U414" s="9">
        <f t="shared" si="44"/>
        <v>13.86</v>
      </c>
      <c r="V414" s="9">
        <f t="shared" si="45"/>
        <v>-257.14285714285876</v>
      </c>
      <c r="W414" s="9">
        <f t="shared" si="46"/>
        <v>1.8524261428570608</v>
      </c>
    </row>
    <row r="415" spans="1:23">
      <c r="A415" s="2" t="s">
        <v>299</v>
      </c>
      <c r="B415" s="2" t="s">
        <v>300</v>
      </c>
      <c r="C415" s="3">
        <v>14</v>
      </c>
      <c r="D415" s="3">
        <v>1.98</v>
      </c>
      <c r="E415" s="2" t="s">
        <v>326</v>
      </c>
      <c r="F415" s="4">
        <v>39476</v>
      </c>
      <c r="G415" s="3">
        <v>70.599999999999994</v>
      </c>
      <c r="H415" s="3">
        <v>3</v>
      </c>
      <c r="I415" s="4">
        <v>39532</v>
      </c>
      <c r="J415" s="3">
        <v>74.599999999999994</v>
      </c>
      <c r="K415" s="3">
        <v>2.5</v>
      </c>
      <c r="L415" s="3">
        <v>56</v>
      </c>
      <c r="M415" s="5">
        <v>4</v>
      </c>
      <c r="N415" s="5">
        <v>-0.5</v>
      </c>
      <c r="O415" s="5">
        <v>110.88</v>
      </c>
      <c r="P415" s="5">
        <v>71.428571428571431</v>
      </c>
      <c r="Q415" s="5">
        <v>17.797362571428568</v>
      </c>
      <c r="R415" s="8">
        <f t="shared" si="42"/>
        <v>7</v>
      </c>
      <c r="S415" s="9">
        <f t="shared" si="43"/>
        <v>-3</v>
      </c>
      <c r="T415" s="9">
        <v>1.5</v>
      </c>
      <c r="U415" s="9">
        <f t="shared" si="44"/>
        <v>13.86</v>
      </c>
      <c r="V415" s="9">
        <f t="shared" si="45"/>
        <v>-428.57142857142856</v>
      </c>
      <c r="W415" s="9">
        <f t="shared" si="46"/>
        <v>-6.8526374285714287</v>
      </c>
    </row>
    <row r="416" spans="1:23">
      <c r="A416" s="2" t="s">
        <v>299</v>
      </c>
      <c r="B416" s="2" t="s">
        <v>300</v>
      </c>
      <c r="C416" s="3">
        <v>14</v>
      </c>
      <c r="D416" s="3">
        <v>1.98</v>
      </c>
      <c r="E416" s="2" t="s">
        <v>327</v>
      </c>
      <c r="F416" s="4">
        <v>39476</v>
      </c>
      <c r="G416" s="3">
        <v>61.6</v>
      </c>
      <c r="H416" s="3">
        <v>2.5</v>
      </c>
      <c r="I416" s="4">
        <v>39476</v>
      </c>
      <c r="J416" s="3">
        <v>61.6</v>
      </c>
      <c r="K416" s="3">
        <v>2.5</v>
      </c>
      <c r="L416" s="3">
        <v>0</v>
      </c>
      <c r="M416" s="5">
        <v>0</v>
      </c>
      <c r="N416" s="5">
        <v>0</v>
      </c>
      <c r="O416" s="5">
        <v>0</v>
      </c>
      <c r="P416" s="5">
        <v>0</v>
      </c>
      <c r="Q416" s="5">
        <v>12.415944</v>
      </c>
      <c r="R416" s="8">
        <f t="shared" si="42"/>
        <v>0</v>
      </c>
      <c r="S416" s="9">
        <f t="shared" si="43"/>
        <v>0</v>
      </c>
      <c r="T416" s="9">
        <v>1.5</v>
      </c>
      <c r="U416" s="9">
        <f t="shared" si="44"/>
        <v>0</v>
      </c>
      <c r="V416" s="9">
        <f t="shared" si="45"/>
        <v>0</v>
      </c>
      <c r="W416" s="9">
        <f t="shared" si="46"/>
        <v>12.415944</v>
      </c>
    </row>
    <row r="417" spans="1:23">
      <c r="A417" s="2" t="s">
        <v>299</v>
      </c>
      <c r="B417" s="2" t="s">
        <v>300</v>
      </c>
      <c r="C417" s="3">
        <v>14</v>
      </c>
      <c r="D417" s="3">
        <v>1.98</v>
      </c>
      <c r="E417" s="2" t="s">
        <v>327</v>
      </c>
      <c r="F417" s="4">
        <v>39476</v>
      </c>
      <c r="G417" s="3">
        <v>61.6</v>
      </c>
      <c r="H417" s="3">
        <v>2.5</v>
      </c>
      <c r="I417" s="4">
        <v>39483</v>
      </c>
      <c r="J417" s="3">
        <v>67</v>
      </c>
      <c r="K417" s="6"/>
      <c r="L417" s="3">
        <v>7</v>
      </c>
      <c r="M417" s="5">
        <v>5.3999999999999986</v>
      </c>
      <c r="N417" s="6"/>
      <c r="O417" s="5">
        <v>13.86</v>
      </c>
      <c r="P417" s="5">
        <v>771.42857142857122</v>
      </c>
      <c r="Q417" s="5">
        <v>50.903915571428563</v>
      </c>
      <c r="R417" s="8">
        <f t="shared" si="42"/>
        <v>7</v>
      </c>
      <c r="S417" s="9">
        <f t="shared" si="43"/>
        <v>5.3999999999999986</v>
      </c>
      <c r="T417" s="9">
        <v>1.5</v>
      </c>
      <c r="U417" s="9">
        <f t="shared" si="44"/>
        <v>13.86</v>
      </c>
      <c r="V417" s="9">
        <f t="shared" si="45"/>
        <v>771.42857142857122</v>
      </c>
      <c r="W417" s="9">
        <f t="shared" si="46"/>
        <v>50.903915571428563</v>
      </c>
    </row>
    <row r="418" spans="1:23">
      <c r="A418" s="2" t="s">
        <v>299</v>
      </c>
      <c r="B418" s="2" t="s">
        <v>300</v>
      </c>
      <c r="C418" s="3">
        <v>14</v>
      </c>
      <c r="D418" s="3">
        <v>1.98</v>
      </c>
      <c r="E418" s="2" t="s">
        <v>327</v>
      </c>
      <c r="F418" s="4">
        <v>39476</v>
      </c>
      <c r="G418" s="3">
        <v>61.6</v>
      </c>
      <c r="H418" s="3">
        <v>2.5</v>
      </c>
      <c r="I418" s="4">
        <v>39490</v>
      </c>
      <c r="J418" s="3">
        <v>64</v>
      </c>
      <c r="K418" s="3">
        <v>2.5</v>
      </c>
      <c r="L418" s="3">
        <v>14</v>
      </c>
      <c r="M418" s="5">
        <v>2.3999999999999986</v>
      </c>
      <c r="N418" s="5">
        <v>0</v>
      </c>
      <c r="O418" s="5">
        <v>27.72</v>
      </c>
      <c r="P418" s="5">
        <v>171.42857142857133</v>
      </c>
      <c r="Q418" s="5">
        <v>21.070280571428562</v>
      </c>
      <c r="R418" s="8">
        <f t="shared" si="42"/>
        <v>7</v>
      </c>
      <c r="S418" s="9">
        <f t="shared" si="43"/>
        <v>-3</v>
      </c>
      <c r="T418" s="9">
        <v>1.5</v>
      </c>
      <c r="U418" s="9">
        <f t="shared" si="44"/>
        <v>13.86</v>
      </c>
      <c r="V418" s="9">
        <f t="shared" si="45"/>
        <v>-428.57142857142856</v>
      </c>
      <c r="W418" s="9">
        <f t="shared" si="46"/>
        <v>-8.5097194285714277</v>
      </c>
    </row>
    <row r="419" spans="1:23">
      <c r="A419" s="2" t="s">
        <v>299</v>
      </c>
      <c r="B419" s="2" t="s">
        <v>300</v>
      </c>
      <c r="C419" s="3">
        <v>14</v>
      </c>
      <c r="D419" s="3">
        <v>1.98</v>
      </c>
      <c r="E419" s="2" t="s">
        <v>327</v>
      </c>
      <c r="F419" s="4">
        <v>39476</v>
      </c>
      <c r="G419" s="3">
        <v>61.6</v>
      </c>
      <c r="H419" s="3">
        <v>2.5</v>
      </c>
      <c r="I419" s="4">
        <v>39497</v>
      </c>
      <c r="J419" s="3">
        <v>68.599999999999994</v>
      </c>
      <c r="K419" s="3">
        <v>2.5</v>
      </c>
      <c r="L419" s="3">
        <v>21</v>
      </c>
      <c r="M419" s="5">
        <v>6.9999999999999929</v>
      </c>
      <c r="N419" s="5">
        <v>0</v>
      </c>
      <c r="O419" s="5">
        <v>41.58</v>
      </c>
      <c r="P419" s="5">
        <v>333.33333333333297</v>
      </c>
      <c r="Q419" s="5">
        <v>29.441092333333316</v>
      </c>
      <c r="R419" s="8">
        <f t="shared" si="42"/>
        <v>7</v>
      </c>
      <c r="S419" s="9">
        <f t="shared" si="43"/>
        <v>4.5999999999999943</v>
      </c>
      <c r="T419" s="9">
        <v>1.5</v>
      </c>
      <c r="U419" s="9">
        <f t="shared" si="44"/>
        <v>13.86</v>
      </c>
      <c r="V419" s="9">
        <f t="shared" si="45"/>
        <v>657.14285714285631</v>
      </c>
      <c r="W419" s="9">
        <f t="shared" si="46"/>
        <v>45.404901857142818</v>
      </c>
    </row>
    <row r="420" spans="1:23">
      <c r="A420" s="2" t="s">
        <v>299</v>
      </c>
      <c r="B420" s="2" t="s">
        <v>300</v>
      </c>
      <c r="C420" s="3">
        <v>14</v>
      </c>
      <c r="D420" s="3">
        <v>1.98</v>
      </c>
      <c r="E420" s="2" t="s">
        <v>327</v>
      </c>
      <c r="F420" s="4">
        <v>39476</v>
      </c>
      <c r="G420" s="3">
        <v>61.6</v>
      </c>
      <c r="H420" s="3">
        <v>2.5</v>
      </c>
      <c r="I420" s="4">
        <v>39503</v>
      </c>
      <c r="J420" s="3">
        <v>71.2</v>
      </c>
      <c r="K420" s="3">
        <v>2.5</v>
      </c>
      <c r="L420" s="3">
        <v>27</v>
      </c>
      <c r="M420" s="5">
        <v>9.6000000000000014</v>
      </c>
      <c r="N420" s="5">
        <v>0</v>
      </c>
      <c r="O420" s="5">
        <v>53.46</v>
      </c>
      <c r="P420" s="5">
        <v>355.5555555555556</v>
      </c>
      <c r="Q420" s="5">
        <v>30.756464888888893</v>
      </c>
      <c r="R420" s="8">
        <f t="shared" si="42"/>
        <v>6</v>
      </c>
      <c r="S420" s="9">
        <f t="shared" si="43"/>
        <v>2.6000000000000085</v>
      </c>
      <c r="T420" s="9">
        <v>1.5</v>
      </c>
      <c r="U420" s="9">
        <f t="shared" si="44"/>
        <v>11.879999999999999</v>
      </c>
      <c r="V420" s="9">
        <f t="shared" si="45"/>
        <v>433.33333333333474</v>
      </c>
      <c r="W420" s="9">
        <f t="shared" si="46"/>
        <v>34.5909093333334</v>
      </c>
    </row>
    <row r="421" spans="1:23">
      <c r="A421" s="2" t="s">
        <v>299</v>
      </c>
      <c r="B421" s="2" t="s">
        <v>300</v>
      </c>
      <c r="C421" s="3">
        <v>14</v>
      </c>
      <c r="D421" s="3">
        <v>1.98</v>
      </c>
      <c r="E421" s="2" t="s">
        <v>327</v>
      </c>
      <c r="F421" s="4">
        <v>39476</v>
      </c>
      <c r="G421" s="3">
        <v>61.6</v>
      </c>
      <c r="H421" s="3">
        <v>2.5</v>
      </c>
      <c r="I421" s="4">
        <v>39511</v>
      </c>
      <c r="J421" s="3">
        <v>72.599999999999994</v>
      </c>
      <c r="K421" s="6"/>
      <c r="L421" s="3">
        <v>35</v>
      </c>
      <c r="M421" s="5">
        <v>10.999999999999993</v>
      </c>
      <c r="N421" s="6"/>
      <c r="O421" s="5">
        <v>69.3</v>
      </c>
      <c r="P421" s="5">
        <v>314.28571428571405</v>
      </c>
      <c r="Q421" s="5">
        <v>28.8402247142857</v>
      </c>
      <c r="R421" s="8">
        <f t="shared" si="42"/>
        <v>8</v>
      </c>
      <c r="S421" s="9">
        <f t="shared" si="43"/>
        <v>1.3999999999999915</v>
      </c>
      <c r="T421" s="9">
        <v>1.5</v>
      </c>
      <c r="U421" s="9">
        <f t="shared" si="44"/>
        <v>15.84</v>
      </c>
      <c r="V421" s="9">
        <f t="shared" si="45"/>
        <v>174.99999999999892</v>
      </c>
      <c r="W421" s="9">
        <f t="shared" si="46"/>
        <v>21.973438999999942</v>
      </c>
    </row>
    <row r="422" spans="1:23">
      <c r="A422" s="2" t="s">
        <v>299</v>
      </c>
      <c r="B422" s="2" t="s">
        <v>300</v>
      </c>
      <c r="C422" s="3">
        <v>14</v>
      </c>
      <c r="D422" s="3">
        <v>1.98</v>
      </c>
      <c r="E422" s="2" t="s">
        <v>327</v>
      </c>
      <c r="F422" s="4">
        <v>39476</v>
      </c>
      <c r="G422" s="3">
        <v>61.6</v>
      </c>
      <c r="H422" s="3">
        <v>2.5</v>
      </c>
      <c r="I422" s="4">
        <v>39518</v>
      </c>
      <c r="J422" s="3">
        <v>71.400000000000006</v>
      </c>
      <c r="K422" s="3">
        <v>2</v>
      </c>
      <c r="L422" s="3">
        <v>42</v>
      </c>
      <c r="M422" s="5">
        <v>9.8000000000000043</v>
      </c>
      <c r="N422" s="5">
        <v>-0.5</v>
      </c>
      <c r="O422" s="5">
        <v>83.16</v>
      </c>
      <c r="P422" s="5">
        <v>233.33333333333346</v>
      </c>
      <c r="Q422" s="5">
        <v>24.747818333333338</v>
      </c>
      <c r="R422" s="8">
        <f t="shared" si="42"/>
        <v>7</v>
      </c>
      <c r="S422" s="9">
        <f t="shared" si="43"/>
        <v>-1.1999999999999886</v>
      </c>
      <c r="T422" s="9">
        <v>1.5</v>
      </c>
      <c r="U422" s="9">
        <f t="shared" si="44"/>
        <v>13.86</v>
      </c>
      <c r="V422" s="9">
        <f t="shared" si="45"/>
        <v>-171.4285714285698</v>
      </c>
      <c r="W422" s="9">
        <f t="shared" si="46"/>
        <v>4.7930564285715089</v>
      </c>
    </row>
    <row r="423" spans="1:23">
      <c r="A423" s="2" t="s">
        <v>299</v>
      </c>
      <c r="B423" s="2" t="s">
        <v>300</v>
      </c>
      <c r="C423" s="3">
        <v>14</v>
      </c>
      <c r="D423" s="3">
        <v>1.98</v>
      </c>
      <c r="E423" s="2" t="s">
        <v>327</v>
      </c>
      <c r="F423" s="4">
        <v>39476</v>
      </c>
      <c r="G423" s="3">
        <v>61.6</v>
      </c>
      <c r="H423" s="3">
        <v>2.5</v>
      </c>
      <c r="I423" s="4">
        <v>39525</v>
      </c>
      <c r="J423" s="3">
        <v>70.8</v>
      </c>
      <c r="K423" s="3">
        <v>1.75</v>
      </c>
      <c r="L423" s="3">
        <v>49</v>
      </c>
      <c r="M423" s="5">
        <v>9.1999999999999957</v>
      </c>
      <c r="N423" s="5">
        <v>-0.75</v>
      </c>
      <c r="O423" s="5">
        <v>97.02</v>
      </c>
      <c r="P423" s="5">
        <v>187.75510204081624</v>
      </c>
      <c r="Q423" s="5">
        <v>22.450084530612237</v>
      </c>
      <c r="R423" s="8">
        <f t="shared" si="42"/>
        <v>7</v>
      </c>
      <c r="S423" s="9">
        <f t="shared" si="43"/>
        <v>-0.60000000000000853</v>
      </c>
      <c r="T423" s="9">
        <v>1.5</v>
      </c>
      <c r="U423" s="9">
        <f t="shared" si="44"/>
        <v>13.86</v>
      </c>
      <c r="V423" s="9">
        <f t="shared" si="45"/>
        <v>-85.71428571428693</v>
      </c>
      <c r="W423" s="9">
        <f t="shared" si="46"/>
        <v>8.9680437142856526</v>
      </c>
    </row>
    <row r="424" spans="1:23">
      <c r="A424" s="2" t="s">
        <v>299</v>
      </c>
      <c r="B424" s="2" t="s">
        <v>300</v>
      </c>
      <c r="C424" s="3">
        <v>14</v>
      </c>
      <c r="D424" s="3">
        <v>1.98</v>
      </c>
      <c r="E424" s="2" t="s">
        <v>327</v>
      </c>
      <c r="F424" s="4">
        <v>39476</v>
      </c>
      <c r="G424" s="3">
        <v>61.6</v>
      </c>
      <c r="H424" s="3">
        <v>2.5</v>
      </c>
      <c r="I424" s="4">
        <v>39532</v>
      </c>
      <c r="J424" s="3">
        <v>69.2</v>
      </c>
      <c r="K424" s="3">
        <v>2.5</v>
      </c>
      <c r="L424" s="3">
        <v>56</v>
      </c>
      <c r="M424" s="5">
        <v>7.6000000000000014</v>
      </c>
      <c r="N424" s="5">
        <v>0</v>
      </c>
      <c r="O424" s="5">
        <v>110.88</v>
      </c>
      <c r="P424" s="5">
        <v>135.71428571428572</v>
      </c>
      <c r="Q424" s="5">
        <v>19.749200285714288</v>
      </c>
      <c r="R424" s="8">
        <f t="shared" si="42"/>
        <v>7</v>
      </c>
      <c r="S424" s="9">
        <f t="shared" si="43"/>
        <v>-1.5999999999999943</v>
      </c>
      <c r="T424" s="9">
        <v>1.5</v>
      </c>
      <c r="U424" s="9">
        <f t="shared" si="44"/>
        <v>13.86</v>
      </c>
      <c r="V424" s="9">
        <f t="shared" si="45"/>
        <v>-228.57142857142776</v>
      </c>
      <c r="W424" s="9">
        <f t="shared" si="46"/>
        <v>1.7899145714286124</v>
      </c>
    </row>
    <row r="425" spans="1:23">
      <c r="A425" s="2" t="s">
        <v>299</v>
      </c>
      <c r="B425" s="2" t="s">
        <v>300</v>
      </c>
      <c r="C425" s="3">
        <v>14</v>
      </c>
      <c r="D425" s="3">
        <v>1.98</v>
      </c>
      <c r="E425" s="2" t="s">
        <v>328</v>
      </c>
      <c r="F425" s="4">
        <v>39476</v>
      </c>
      <c r="G425" s="3">
        <v>60</v>
      </c>
      <c r="H425" s="3">
        <v>2.5</v>
      </c>
      <c r="I425" s="4">
        <v>39476</v>
      </c>
      <c r="J425" s="3">
        <v>60</v>
      </c>
      <c r="K425" s="3">
        <v>2.5</v>
      </c>
      <c r="L425" s="3">
        <v>0</v>
      </c>
      <c r="M425" s="5">
        <v>0</v>
      </c>
      <c r="N425" s="5">
        <v>0</v>
      </c>
      <c r="O425" s="5">
        <v>0</v>
      </c>
      <c r="P425" s="5">
        <v>0</v>
      </c>
      <c r="Q425" s="5">
        <v>12.145399999999999</v>
      </c>
      <c r="R425" s="8">
        <f t="shared" si="42"/>
        <v>0</v>
      </c>
      <c r="S425" s="9">
        <f t="shared" si="43"/>
        <v>0</v>
      </c>
      <c r="T425" s="9">
        <v>1.5</v>
      </c>
      <c r="U425" s="9">
        <f t="shared" si="44"/>
        <v>0</v>
      </c>
      <c r="V425" s="9">
        <f t="shared" si="45"/>
        <v>0</v>
      </c>
      <c r="W425" s="9">
        <f t="shared" si="46"/>
        <v>12.145399999999999</v>
      </c>
    </row>
    <row r="426" spans="1:23">
      <c r="A426" s="2" t="s">
        <v>299</v>
      </c>
      <c r="B426" s="2" t="s">
        <v>300</v>
      </c>
      <c r="C426" s="3">
        <v>14</v>
      </c>
      <c r="D426" s="3">
        <v>1.98</v>
      </c>
      <c r="E426" s="2" t="s">
        <v>328</v>
      </c>
      <c r="F426" s="4">
        <v>39476</v>
      </c>
      <c r="G426" s="3">
        <v>60</v>
      </c>
      <c r="H426" s="3">
        <v>2.5</v>
      </c>
      <c r="I426" s="4">
        <v>39483</v>
      </c>
      <c r="J426" s="3">
        <v>63</v>
      </c>
      <c r="K426" s="6"/>
      <c r="L426" s="3">
        <v>7</v>
      </c>
      <c r="M426" s="5">
        <v>3</v>
      </c>
      <c r="N426" s="6"/>
      <c r="O426" s="5">
        <v>13.86</v>
      </c>
      <c r="P426" s="5">
        <v>428.57142857142856</v>
      </c>
      <c r="Q426" s="5">
        <v>33.527606428571424</v>
      </c>
      <c r="R426" s="8">
        <f t="shared" si="42"/>
        <v>7</v>
      </c>
      <c r="S426" s="9">
        <f t="shared" si="43"/>
        <v>3</v>
      </c>
      <c r="T426" s="9">
        <v>1.5</v>
      </c>
      <c r="U426" s="9">
        <f t="shared" si="44"/>
        <v>13.86</v>
      </c>
      <c r="V426" s="9">
        <f t="shared" si="45"/>
        <v>428.57142857142856</v>
      </c>
      <c r="W426" s="9">
        <f t="shared" si="46"/>
        <v>33.527606428571424</v>
      </c>
    </row>
    <row r="427" spans="1:23">
      <c r="A427" s="2" t="s">
        <v>299</v>
      </c>
      <c r="B427" s="2" t="s">
        <v>300</v>
      </c>
      <c r="C427" s="3">
        <v>14</v>
      </c>
      <c r="D427" s="3">
        <v>1.98</v>
      </c>
      <c r="E427" s="2" t="s">
        <v>328</v>
      </c>
      <c r="F427" s="4">
        <v>39476</v>
      </c>
      <c r="G427" s="3">
        <v>60</v>
      </c>
      <c r="H427" s="3">
        <v>2.5</v>
      </c>
      <c r="I427" s="4">
        <v>39490</v>
      </c>
      <c r="J427" s="3">
        <v>63.8</v>
      </c>
      <c r="K427" s="3">
        <v>2.25</v>
      </c>
      <c r="L427" s="3">
        <v>14</v>
      </c>
      <c r="M427" s="5">
        <v>3.7999999999999972</v>
      </c>
      <c r="N427" s="5">
        <v>-0.25</v>
      </c>
      <c r="O427" s="5">
        <v>27.72</v>
      </c>
      <c r="P427" s="5">
        <v>271.42857142857122</v>
      </c>
      <c r="Q427" s="5">
        <v>25.848099571428563</v>
      </c>
      <c r="R427" s="8">
        <f t="shared" si="42"/>
        <v>7</v>
      </c>
      <c r="S427" s="9">
        <f t="shared" si="43"/>
        <v>0.79999999999999716</v>
      </c>
      <c r="T427" s="9">
        <v>1.5</v>
      </c>
      <c r="U427" s="9">
        <f t="shared" si="44"/>
        <v>13.86</v>
      </c>
      <c r="V427" s="9">
        <f t="shared" si="45"/>
        <v>114.28571428571388</v>
      </c>
      <c r="W427" s="9">
        <f t="shared" si="46"/>
        <v>18.100956714285694</v>
      </c>
    </row>
    <row r="428" spans="1:23">
      <c r="A428" s="2" t="s">
        <v>299</v>
      </c>
      <c r="B428" s="2" t="s">
        <v>300</v>
      </c>
      <c r="C428" s="3">
        <v>14</v>
      </c>
      <c r="D428" s="3">
        <v>1.98</v>
      </c>
      <c r="E428" s="2" t="s">
        <v>328</v>
      </c>
      <c r="F428" s="4">
        <v>39476</v>
      </c>
      <c r="G428" s="3">
        <v>60</v>
      </c>
      <c r="H428" s="3">
        <v>2.5</v>
      </c>
      <c r="I428" s="4">
        <v>39497</v>
      </c>
      <c r="J428" s="3">
        <v>66.400000000000006</v>
      </c>
      <c r="K428" s="3">
        <v>2.25</v>
      </c>
      <c r="L428" s="3">
        <v>21</v>
      </c>
      <c r="M428" s="5">
        <v>6.4000000000000057</v>
      </c>
      <c r="N428" s="5">
        <v>-0.25</v>
      </c>
      <c r="O428" s="5">
        <v>41.58</v>
      </c>
      <c r="P428" s="5">
        <v>304.76190476190499</v>
      </c>
      <c r="Q428" s="5">
        <v>27.711249904761917</v>
      </c>
      <c r="R428" s="8">
        <f t="shared" si="42"/>
        <v>7</v>
      </c>
      <c r="S428" s="9">
        <f t="shared" si="43"/>
        <v>2.6000000000000085</v>
      </c>
      <c r="T428" s="9">
        <v>1.5</v>
      </c>
      <c r="U428" s="9">
        <f t="shared" si="44"/>
        <v>13.86</v>
      </c>
      <c r="V428" s="9">
        <f t="shared" si="45"/>
        <v>371.42857142857264</v>
      </c>
      <c r="W428" s="9">
        <f t="shared" si="46"/>
        <v>30.997916571428632</v>
      </c>
    </row>
    <row r="429" spans="1:23">
      <c r="A429" s="2" t="s">
        <v>299</v>
      </c>
      <c r="B429" s="2" t="s">
        <v>300</v>
      </c>
      <c r="C429" s="3">
        <v>14</v>
      </c>
      <c r="D429" s="3">
        <v>1.98</v>
      </c>
      <c r="E429" s="2" t="s">
        <v>328</v>
      </c>
      <c r="F429" s="4">
        <v>39476</v>
      </c>
      <c r="G429" s="3">
        <v>60</v>
      </c>
      <c r="H429" s="3">
        <v>2.5</v>
      </c>
      <c r="I429" s="4">
        <v>39503</v>
      </c>
      <c r="J429" s="3">
        <v>66.599999999999994</v>
      </c>
      <c r="K429" s="3">
        <v>2.5</v>
      </c>
      <c r="L429" s="3">
        <v>27</v>
      </c>
      <c r="M429" s="5">
        <v>6.5999999999999943</v>
      </c>
      <c r="N429" s="5">
        <v>0</v>
      </c>
      <c r="O429" s="5">
        <v>53.46</v>
      </c>
      <c r="P429" s="5">
        <v>244.44444444444423</v>
      </c>
      <c r="Q429" s="5">
        <v>24.7545081111111</v>
      </c>
      <c r="R429" s="8">
        <f t="shared" si="42"/>
        <v>6</v>
      </c>
      <c r="S429" s="9">
        <f t="shared" si="43"/>
        <v>0.19999999999998863</v>
      </c>
      <c r="T429" s="9">
        <v>1.5</v>
      </c>
      <c r="U429" s="9">
        <f t="shared" si="44"/>
        <v>11.879999999999999</v>
      </c>
      <c r="V429" s="9">
        <f t="shared" si="45"/>
        <v>33.333333333331439</v>
      </c>
      <c r="W429" s="9">
        <f t="shared" si="46"/>
        <v>14.346730333333239</v>
      </c>
    </row>
    <row r="430" spans="1:23">
      <c r="A430" s="2" t="s">
        <v>299</v>
      </c>
      <c r="B430" s="2" t="s">
        <v>300</v>
      </c>
      <c r="C430" s="3">
        <v>14</v>
      </c>
      <c r="D430" s="3">
        <v>1.98</v>
      </c>
      <c r="E430" s="2" t="s">
        <v>328</v>
      </c>
      <c r="F430" s="4">
        <v>39476</v>
      </c>
      <c r="G430" s="3">
        <v>60</v>
      </c>
      <c r="H430" s="3">
        <v>2.5</v>
      </c>
      <c r="I430" s="4">
        <v>39511</v>
      </c>
      <c r="J430" s="3">
        <v>67.400000000000006</v>
      </c>
      <c r="K430" s="6"/>
      <c r="L430" s="3">
        <v>35</v>
      </c>
      <c r="M430" s="5">
        <v>7.4000000000000057</v>
      </c>
      <c r="N430" s="6"/>
      <c r="O430" s="5">
        <v>69.3</v>
      </c>
      <c r="P430" s="5">
        <v>211.42857142857162</v>
      </c>
      <c r="Q430" s="5">
        <v>23.19446157142858</v>
      </c>
      <c r="R430" s="8">
        <f t="shared" si="42"/>
        <v>8</v>
      </c>
      <c r="S430" s="9">
        <f t="shared" si="43"/>
        <v>0.80000000000001137</v>
      </c>
      <c r="T430" s="9">
        <v>1.5</v>
      </c>
      <c r="U430" s="9">
        <f t="shared" si="44"/>
        <v>15.84</v>
      </c>
      <c r="V430" s="9">
        <f t="shared" si="45"/>
        <v>100.00000000000142</v>
      </c>
      <c r="W430" s="9">
        <f t="shared" si="46"/>
        <v>17.70103300000007</v>
      </c>
    </row>
    <row r="431" spans="1:23">
      <c r="A431" s="2" t="s">
        <v>299</v>
      </c>
      <c r="B431" s="2" t="s">
        <v>300</v>
      </c>
      <c r="C431" s="3">
        <v>14</v>
      </c>
      <c r="D431" s="3">
        <v>1.98</v>
      </c>
      <c r="E431" s="2" t="s">
        <v>328</v>
      </c>
      <c r="F431" s="4">
        <v>39476</v>
      </c>
      <c r="G431" s="3">
        <v>60</v>
      </c>
      <c r="H431" s="3">
        <v>2.5</v>
      </c>
      <c r="I431" s="4">
        <v>39518</v>
      </c>
      <c r="J431" s="3">
        <v>67</v>
      </c>
      <c r="K431" s="3">
        <v>2.5</v>
      </c>
      <c r="L431" s="3">
        <v>42</v>
      </c>
      <c r="M431" s="5">
        <v>7</v>
      </c>
      <c r="N431" s="5">
        <v>0</v>
      </c>
      <c r="O431" s="5">
        <v>83.16</v>
      </c>
      <c r="P431" s="5">
        <v>166.66666666666666</v>
      </c>
      <c r="Q431" s="5">
        <v>20.953881666666664</v>
      </c>
      <c r="R431" s="8">
        <f t="shared" si="42"/>
        <v>7</v>
      </c>
      <c r="S431" s="9">
        <f t="shared" si="43"/>
        <v>-0.40000000000000568</v>
      </c>
      <c r="T431" s="9">
        <v>1.5</v>
      </c>
      <c r="U431" s="9">
        <f t="shared" si="44"/>
        <v>13.86</v>
      </c>
      <c r="V431" s="9">
        <f t="shared" si="45"/>
        <v>-57.142857142857956</v>
      </c>
      <c r="W431" s="9">
        <f t="shared" si="46"/>
        <v>9.9200721428571015</v>
      </c>
    </row>
    <row r="432" spans="1:23">
      <c r="A432" s="2" t="s">
        <v>299</v>
      </c>
      <c r="B432" s="2" t="s">
        <v>300</v>
      </c>
      <c r="C432" s="3">
        <v>14</v>
      </c>
      <c r="D432" s="3">
        <v>1.98</v>
      </c>
      <c r="E432" s="2" t="s">
        <v>328</v>
      </c>
      <c r="F432" s="4">
        <v>39476</v>
      </c>
      <c r="G432" s="3">
        <v>60</v>
      </c>
      <c r="H432" s="3">
        <v>2.5</v>
      </c>
      <c r="I432" s="4">
        <v>39525</v>
      </c>
      <c r="J432" s="3">
        <v>67.400000000000006</v>
      </c>
      <c r="K432" s="3">
        <v>2.5</v>
      </c>
      <c r="L432" s="3">
        <v>49</v>
      </c>
      <c r="M432" s="5">
        <v>7.4000000000000057</v>
      </c>
      <c r="N432" s="5">
        <v>0</v>
      </c>
      <c r="O432" s="5">
        <v>97.02</v>
      </c>
      <c r="P432" s="5">
        <v>151.02040816326542</v>
      </c>
      <c r="Q432" s="5">
        <v>20.216339122448986</v>
      </c>
      <c r="R432" s="8">
        <f t="shared" si="42"/>
        <v>7</v>
      </c>
      <c r="S432" s="9">
        <f t="shared" si="43"/>
        <v>0.40000000000000568</v>
      </c>
      <c r="T432" s="9">
        <v>1.5</v>
      </c>
      <c r="U432" s="9">
        <f t="shared" si="44"/>
        <v>13.86</v>
      </c>
      <c r="V432" s="9">
        <f t="shared" si="45"/>
        <v>57.142857142857956</v>
      </c>
      <c r="W432" s="9">
        <f t="shared" si="46"/>
        <v>15.588175857142897</v>
      </c>
    </row>
    <row r="433" spans="1:23">
      <c r="A433" s="2" t="s">
        <v>299</v>
      </c>
      <c r="B433" s="2" t="s">
        <v>300</v>
      </c>
      <c r="C433" s="3">
        <v>14</v>
      </c>
      <c r="D433" s="3">
        <v>1.98</v>
      </c>
      <c r="E433" s="2" t="s">
        <v>328</v>
      </c>
      <c r="F433" s="4">
        <v>39476</v>
      </c>
      <c r="G433" s="3">
        <v>60</v>
      </c>
      <c r="H433" s="3">
        <v>2.5</v>
      </c>
      <c r="I433" s="4">
        <v>39532</v>
      </c>
      <c r="J433" s="3">
        <v>63.2</v>
      </c>
      <c r="K433" s="3">
        <v>2.5</v>
      </c>
      <c r="L433" s="3">
        <v>56</v>
      </c>
      <c r="M433" s="5">
        <v>3.2000000000000028</v>
      </c>
      <c r="N433" s="5">
        <v>0</v>
      </c>
      <c r="O433" s="5">
        <v>110.88</v>
      </c>
      <c r="P433" s="5">
        <v>57.142857142857196</v>
      </c>
      <c r="Q433" s="5">
        <v>15.23308685714286</v>
      </c>
      <c r="R433" s="8">
        <f t="shared" si="42"/>
        <v>7</v>
      </c>
      <c r="S433" s="9">
        <f t="shared" si="43"/>
        <v>-4.2000000000000028</v>
      </c>
      <c r="T433" s="9">
        <v>1.5</v>
      </c>
      <c r="U433" s="9">
        <f t="shared" si="44"/>
        <v>13.86</v>
      </c>
      <c r="V433" s="9">
        <f t="shared" si="45"/>
        <v>-600.00000000000045</v>
      </c>
      <c r="W433" s="9">
        <f t="shared" si="46"/>
        <v>-17.16405600000002</v>
      </c>
    </row>
    <row r="434" spans="1:23">
      <c r="A434" s="2" t="s">
        <v>299</v>
      </c>
      <c r="B434" s="2" t="s">
        <v>300</v>
      </c>
      <c r="C434" s="3">
        <v>14</v>
      </c>
      <c r="D434" s="3">
        <v>1.98</v>
      </c>
      <c r="E434" s="2" t="s">
        <v>329</v>
      </c>
      <c r="F434" s="4">
        <v>39476</v>
      </c>
      <c r="G434" s="3">
        <v>58</v>
      </c>
      <c r="H434" s="3">
        <v>3</v>
      </c>
      <c r="I434" s="4">
        <v>39476</v>
      </c>
      <c r="J434" s="3">
        <v>58</v>
      </c>
      <c r="K434" s="3">
        <v>3</v>
      </c>
      <c r="L434" s="3">
        <v>0</v>
      </c>
      <c r="M434" s="5">
        <v>0</v>
      </c>
      <c r="N434" s="5">
        <v>0</v>
      </c>
      <c r="O434" s="5">
        <v>0</v>
      </c>
      <c r="P434" s="5">
        <v>0</v>
      </c>
      <c r="Q434" s="5">
        <v>11.807219999999999</v>
      </c>
      <c r="R434" s="8">
        <f t="shared" si="42"/>
        <v>0</v>
      </c>
      <c r="S434" s="9">
        <f t="shared" si="43"/>
        <v>0</v>
      </c>
      <c r="T434" s="9">
        <v>1.5</v>
      </c>
      <c r="U434" s="9">
        <f t="shared" si="44"/>
        <v>0</v>
      </c>
      <c r="V434" s="9">
        <f t="shared" si="45"/>
        <v>0</v>
      </c>
      <c r="W434" s="9">
        <f t="shared" si="46"/>
        <v>11.807219999999999</v>
      </c>
    </row>
    <row r="435" spans="1:23">
      <c r="A435" s="2" t="s">
        <v>299</v>
      </c>
      <c r="B435" s="2" t="s">
        <v>300</v>
      </c>
      <c r="C435" s="3">
        <v>14</v>
      </c>
      <c r="D435" s="3">
        <v>1.98</v>
      </c>
      <c r="E435" s="2" t="s">
        <v>329</v>
      </c>
      <c r="F435" s="4">
        <v>39476</v>
      </c>
      <c r="G435" s="3">
        <v>58</v>
      </c>
      <c r="H435" s="3">
        <v>3</v>
      </c>
      <c r="I435" s="4">
        <v>39483</v>
      </c>
      <c r="J435" s="3">
        <v>62</v>
      </c>
      <c r="K435" s="6"/>
      <c r="L435" s="3">
        <v>7</v>
      </c>
      <c r="M435" s="5">
        <v>4</v>
      </c>
      <c r="N435" s="6"/>
      <c r="O435" s="5">
        <v>13.86</v>
      </c>
      <c r="P435" s="5">
        <v>571.42857142857144</v>
      </c>
      <c r="Q435" s="5">
        <v>40.316828571428566</v>
      </c>
      <c r="R435" s="8">
        <f t="shared" si="42"/>
        <v>7</v>
      </c>
      <c r="S435" s="9">
        <f t="shared" si="43"/>
        <v>4</v>
      </c>
      <c r="T435" s="9">
        <v>1.5</v>
      </c>
      <c r="U435" s="9">
        <f t="shared" si="44"/>
        <v>13.86</v>
      </c>
      <c r="V435" s="9">
        <f t="shared" si="45"/>
        <v>571.42857142857144</v>
      </c>
      <c r="W435" s="9">
        <f t="shared" si="46"/>
        <v>40.316828571428566</v>
      </c>
    </row>
    <row r="436" spans="1:23">
      <c r="A436" s="2" t="s">
        <v>299</v>
      </c>
      <c r="B436" s="2" t="s">
        <v>300</v>
      </c>
      <c r="C436" s="3">
        <v>14</v>
      </c>
      <c r="D436" s="3">
        <v>1.98</v>
      </c>
      <c r="E436" s="2" t="s">
        <v>329</v>
      </c>
      <c r="F436" s="4">
        <v>39476</v>
      </c>
      <c r="G436" s="3">
        <v>58</v>
      </c>
      <c r="H436" s="3">
        <v>3</v>
      </c>
      <c r="I436" s="4">
        <v>39490</v>
      </c>
      <c r="J436" s="3">
        <v>62.8</v>
      </c>
      <c r="K436" s="3">
        <v>3</v>
      </c>
      <c r="L436" s="3">
        <v>14</v>
      </c>
      <c r="M436" s="5">
        <v>4.7999999999999972</v>
      </c>
      <c r="N436" s="5">
        <v>0</v>
      </c>
      <c r="O436" s="5">
        <v>27.72</v>
      </c>
      <c r="P436" s="5">
        <v>342.85714285714266</v>
      </c>
      <c r="Q436" s="5">
        <v>29.115893142857129</v>
      </c>
      <c r="R436" s="8">
        <f t="shared" si="42"/>
        <v>7</v>
      </c>
      <c r="S436" s="9">
        <f t="shared" si="43"/>
        <v>0.79999999999999716</v>
      </c>
      <c r="T436" s="9">
        <v>1.5</v>
      </c>
      <c r="U436" s="9">
        <f t="shared" si="44"/>
        <v>13.86</v>
      </c>
      <c r="V436" s="9">
        <f t="shared" si="45"/>
        <v>114.28571428571388</v>
      </c>
      <c r="W436" s="9">
        <f t="shared" si="46"/>
        <v>17.847321714285691</v>
      </c>
    </row>
    <row r="437" spans="1:23">
      <c r="A437" s="2" t="s">
        <v>299</v>
      </c>
      <c r="B437" s="2" t="s">
        <v>300</v>
      </c>
      <c r="C437" s="3">
        <v>14</v>
      </c>
      <c r="D437" s="3">
        <v>1.98</v>
      </c>
      <c r="E437" s="2" t="s">
        <v>329</v>
      </c>
      <c r="F437" s="4">
        <v>39476</v>
      </c>
      <c r="G437" s="3">
        <v>58</v>
      </c>
      <c r="H437" s="3">
        <v>3</v>
      </c>
      <c r="I437" s="4">
        <v>39497</v>
      </c>
      <c r="J437" s="3">
        <v>61.8</v>
      </c>
      <c r="K437" s="3">
        <v>3</v>
      </c>
      <c r="L437" s="3">
        <v>21</v>
      </c>
      <c r="M437" s="5">
        <v>3.7999999999999972</v>
      </c>
      <c r="N437" s="5">
        <v>0</v>
      </c>
      <c r="O437" s="5">
        <v>41.58</v>
      </c>
      <c r="P437" s="5">
        <v>180.95238095238082</v>
      </c>
      <c r="Q437" s="5">
        <v>21.049443380952372</v>
      </c>
      <c r="R437" s="8">
        <f t="shared" si="42"/>
        <v>7</v>
      </c>
      <c r="S437" s="9">
        <f t="shared" si="43"/>
        <v>-1</v>
      </c>
      <c r="T437" s="9">
        <v>1.5</v>
      </c>
      <c r="U437" s="9">
        <f t="shared" si="44"/>
        <v>13.86</v>
      </c>
      <c r="V437" s="9">
        <f t="shared" si="45"/>
        <v>-142.85714285714286</v>
      </c>
      <c r="W437" s="9">
        <f t="shared" si="46"/>
        <v>5.0856338571428568</v>
      </c>
    </row>
    <row r="438" spans="1:23">
      <c r="A438" s="2" t="s">
        <v>299</v>
      </c>
      <c r="B438" s="2" t="s">
        <v>300</v>
      </c>
      <c r="C438" s="3">
        <v>14</v>
      </c>
      <c r="D438" s="3">
        <v>1.98</v>
      </c>
      <c r="E438" s="2" t="s">
        <v>329</v>
      </c>
      <c r="F438" s="4">
        <v>39476</v>
      </c>
      <c r="G438" s="3">
        <v>58</v>
      </c>
      <c r="H438" s="3">
        <v>3</v>
      </c>
      <c r="I438" s="4">
        <v>39503</v>
      </c>
      <c r="J438" s="3">
        <v>66.2</v>
      </c>
      <c r="K438" s="3">
        <v>3</v>
      </c>
      <c r="L438" s="3">
        <v>27</v>
      </c>
      <c r="M438" s="5">
        <v>8.2000000000000028</v>
      </c>
      <c r="N438" s="5">
        <v>0</v>
      </c>
      <c r="O438" s="5">
        <v>53.46</v>
      </c>
      <c r="P438" s="5">
        <v>303.70370370370381</v>
      </c>
      <c r="Q438" s="5">
        <v>27.4730815925926</v>
      </c>
      <c r="R438" s="8">
        <f t="shared" si="42"/>
        <v>6</v>
      </c>
      <c r="S438" s="9">
        <f t="shared" si="43"/>
        <v>4.4000000000000057</v>
      </c>
      <c r="T438" s="9">
        <v>1.5</v>
      </c>
      <c r="U438" s="9">
        <f t="shared" si="44"/>
        <v>11.879999999999999</v>
      </c>
      <c r="V438" s="9">
        <f t="shared" si="45"/>
        <v>733.33333333333428</v>
      </c>
      <c r="W438" s="9">
        <f t="shared" si="46"/>
        <v>48.65382233333338</v>
      </c>
    </row>
    <row r="439" spans="1:23">
      <c r="A439" s="2" t="s">
        <v>299</v>
      </c>
      <c r="B439" s="2" t="s">
        <v>300</v>
      </c>
      <c r="C439" s="3">
        <v>14</v>
      </c>
      <c r="D439" s="3">
        <v>1.98</v>
      </c>
      <c r="E439" s="2" t="s">
        <v>329</v>
      </c>
      <c r="F439" s="4">
        <v>39476</v>
      </c>
      <c r="G439" s="3">
        <v>58</v>
      </c>
      <c r="H439" s="3">
        <v>3</v>
      </c>
      <c r="I439" s="4">
        <v>39511</v>
      </c>
      <c r="J439" s="3">
        <v>67</v>
      </c>
      <c r="K439" s="6"/>
      <c r="L439" s="3">
        <v>35</v>
      </c>
      <c r="M439" s="5">
        <v>9</v>
      </c>
      <c r="N439" s="6"/>
      <c r="O439" s="5">
        <v>69.3</v>
      </c>
      <c r="P439" s="5">
        <v>257.14285714285711</v>
      </c>
      <c r="Q439" s="5">
        <v>25.245267857142856</v>
      </c>
      <c r="R439" s="8">
        <f t="shared" si="42"/>
        <v>8</v>
      </c>
      <c r="S439" s="9">
        <f t="shared" si="43"/>
        <v>0.79999999999999716</v>
      </c>
      <c r="T439" s="9">
        <v>1.5</v>
      </c>
      <c r="U439" s="9">
        <f t="shared" si="44"/>
        <v>15.84</v>
      </c>
      <c r="V439" s="9">
        <f t="shared" si="45"/>
        <v>99.999999999999645</v>
      </c>
      <c r="W439" s="9">
        <f t="shared" si="46"/>
        <v>17.49812499999998</v>
      </c>
    </row>
    <row r="440" spans="1:23">
      <c r="A440" s="2" t="s">
        <v>299</v>
      </c>
      <c r="B440" s="2" t="s">
        <v>300</v>
      </c>
      <c r="C440" s="3">
        <v>14</v>
      </c>
      <c r="D440" s="3">
        <v>1.98</v>
      </c>
      <c r="E440" s="2" t="s">
        <v>329</v>
      </c>
      <c r="F440" s="4">
        <v>39476</v>
      </c>
      <c r="G440" s="3">
        <v>58</v>
      </c>
      <c r="H440" s="3">
        <v>3</v>
      </c>
      <c r="I440" s="4">
        <v>39518</v>
      </c>
      <c r="J440" s="3">
        <v>65.599999999999994</v>
      </c>
      <c r="K440" s="3">
        <v>3</v>
      </c>
      <c r="L440" s="3">
        <v>42</v>
      </c>
      <c r="M440" s="5">
        <v>7.5999999999999943</v>
      </c>
      <c r="N440" s="5">
        <v>0</v>
      </c>
      <c r="O440" s="5">
        <v>83.16</v>
      </c>
      <c r="P440" s="5">
        <v>180.95238095238082</v>
      </c>
      <c r="Q440" s="5">
        <v>21.370714380952371</v>
      </c>
      <c r="R440" s="8">
        <f t="shared" ref="R440:R503" si="47">IF(I440-F440=0,0,I440-I439)</f>
        <v>7</v>
      </c>
      <c r="S440" s="9">
        <f t="shared" ref="S440:S503" si="48">IF(R440=0,J440-G440,J440-J439)</f>
        <v>-1.4000000000000057</v>
      </c>
      <c r="T440" s="9">
        <v>1.5</v>
      </c>
      <c r="U440" s="9">
        <f t="shared" ref="U440:U503" si="49">D440*R440</f>
        <v>13.86</v>
      </c>
      <c r="V440" s="9">
        <f t="shared" ref="V440:V503" si="50">IF(R440=0,0,(S440/R440*1000))</f>
        <v>-200.00000000000082</v>
      </c>
      <c r="W440" s="9">
        <f t="shared" ref="W440:W503" si="51">IF(R440=0,(((G440)*0.16909+(V440/1000)*49.3)+2),((((G440+J440)/2)*0.16909+(V440/1000)*49.3)+2))</f>
        <v>2.5897619999999595</v>
      </c>
    </row>
    <row r="441" spans="1:23">
      <c r="A441" s="2" t="s">
        <v>299</v>
      </c>
      <c r="B441" s="2" t="s">
        <v>300</v>
      </c>
      <c r="C441" s="3">
        <v>14</v>
      </c>
      <c r="D441" s="3">
        <v>1.98</v>
      </c>
      <c r="E441" s="2" t="s">
        <v>329</v>
      </c>
      <c r="F441" s="4">
        <v>39476</v>
      </c>
      <c r="G441" s="3">
        <v>58</v>
      </c>
      <c r="H441" s="3">
        <v>3</v>
      </c>
      <c r="I441" s="4">
        <v>39525</v>
      </c>
      <c r="J441" s="3">
        <v>63.6</v>
      </c>
      <c r="K441" s="3">
        <v>2.75</v>
      </c>
      <c r="L441" s="3">
        <v>49</v>
      </c>
      <c r="M441" s="5">
        <v>5.6000000000000014</v>
      </c>
      <c r="N441" s="5">
        <v>-0.25</v>
      </c>
      <c r="O441" s="5">
        <v>97.02</v>
      </c>
      <c r="P441" s="5">
        <v>114.28571428571431</v>
      </c>
      <c r="Q441" s="5">
        <v>17.914957714285713</v>
      </c>
      <c r="R441" s="8">
        <f t="shared" si="47"/>
        <v>7</v>
      </c>
      <c r="S441" s="9">
        <f t="shared" si="48"/>
        <v>-1.9999999999999929</v>
      </c>
      <c r="T441" s="9">
        <v>1.5</v>
      </c>
      <c r="U441" s="9">
        <f t="shared" si="49"/>
        <v>13.86</v>
      </c>
      <c r="V441" s="9">
        <f t="shared" si="50"/>
        <v>-285.7142857142847</v>
      </c>
      <c r="W441" s="9">
        <f t="shared" si="51"/>
        <v>-1.8050422857142365</v>
      </c>
    </row>
    <row r="442" spans="1:23">
      <c r="A442" s="2" t="s">
        <v>299</v>
      </c>
      <c r="B442" s="2" t="s">
        <v>300</v>
      </c>
      <c r="C442" s="3">
        <v>14</v>
      </c>
      <c r="D442" s="3">
        <v>1.98</v>
      </c>
      <c r="E442" s="2" t="s">
        <v>329</v>
      </c>
      <c r="F442" s="4">
        <v>39476</v>
      </c>
      <c r="G442" s="3">
        <v>58</v>
      </c>
      <c r="H442" s="3">
        <v>3</v>
      </c>
      <c r="I442" s="4">
        <v>39532</v>
      </c>
      <c r="J442" s="3">
        <v>61.6</v>
      </c>
      <c r="K442" s="3">
        <v>2.25</v>
      </c>
      <c r="L442" s="3">
        <v>56</v>
      </c>
      <c r="M442" s="5">
        <v>3.6000000000000014</v>
      </c>
      <c r="N442" s="5">
        <v>-0.75</v>
      </c>
      <c r="O442" s="5">
        <v>110.88</v>
      </c>
      <c r="P442" s="5">
        <v>64.285714285714306</v>
      </c>
      <c r="Q442" s="5">
        <v>15.280867714285714</v>
      </c>
      <c r="R442" s="8">
        <f t="shared" si="47"/>
        <v>7</v>
      </c>
      <c r="S442" s="9">
        <f t="shared" si="48"/>
        <v>-2</v>
      </c>
      <c r="T442" s="9">
        <v>1.5</v>
      </c>
      <c r="U442" s="9">
        <f t="shared" si="49"/>
        <v>13.86</v>
      </c>
      <c r="V442" s="9">
        <f t="shared" si="50"/>
        <v>-285.71428571428572</v>
      </c>
      <c r="W442" s="9">
        <f t="shared" si="51"/>
        <v>-1.9741322857142851</v>
      </c>
    </row>
    <row r="443" spans="1:23">
      <c r="A443" s="2" t="s">
        <v>299</v>
      </c>
      <c r="B443" s="2" t="s">
        <v>300</v>
      </c>
      <c r="C443" s="3">
        <v>14</v>
      </c>
      <c r="D443" s="3">
        <v>1.98</v>
      </c>
      <c r="E443" s="2" t="s">
        <v>330</v>
      </c>
      <c r="F443" s="4">
        <v>39476</v>
      </c>
      <c r="G443" s="3">
        <v>55.2</v>
      </c>
      <c r="H443" s="3">
        <v>2.5</v>
      </c>
      <c r="I443" s="4">
        <v>39476</v>
      </c>
      <c r="J443" s="3">
        <v>55.2</v>
      </c>
      <c r="K443" s="3">
        <v>2.5</v>
      </c>
      <c r="L443" s="3">
        <v>0</v>
      </c>
      <c r="M443" s="5">
        <v>0</v>
      </c>
      <c r="N443" s="5">
        <v>0</v>
      </c>
      <c r="O443" s="5">
        <v>0</v>
      </c>
      <c r="P443" s="5">
        <v>0</v>
      </c>
      <c r="Q443" s="5">
        <v>11.333767999999999</v>
      </c>
      <c r="R443" s="8">
        <f t="shared" si="47"/>
        <v>0</v>
      </c>
      <c r="S443" s="9">
        <f t="shared" si="48"/>
        <v>0</v>
      </c>
      <c r="T443" s="9">
        <v>1.5</v>
      </c>
      <c r="U443" s="9">
        <f t="shared" si="49"/>
        <v>0</v>
      </c>
      <c r="V443" s="9">
        <f t="shared" si="50"/>
        <v>0</v>
      </c>
      <c r="W443" s="9">
        <f t="shared" si="51"/>
        <v>11.333767999999999</v>
      </c>
    </row>
    <row r="444" spans="1:23">
      <c r="A444" s="2" t="s">
        <v>299</v>
      </c>
      <c r="B444" s="2" t="s">
        <v>300</v>
      </c>
      <c r="C444" s="3">
        <v>14</v>
      </c>
      <c r="D444" s="3">
        <v>1.98</v>
      </c>
      <c r="E444" s="2" t="s">
        <v>330</v>
      </c>
      <c r="F444" s="4">
        <v>39476</v>
      </c>
      <c r="G444" s="3">
        <v>55.2</v>
      </c>
      <c r="H444" s="3">
        <v>2.5</v>
      </c>
      <c r="I444" s="4">
        <v>39483</v>
      </c>
      <c r="J444" s="3">
        <v>62</v>
      </c>
      <c r="K444" s="6"/>
      <c r="L444" s="3">
        <v>7</v>
      </c>
      <c r="M444" s="5">
        <v>6.7999999999999972</v>
      </c>
      <c r="N444" s="6"/>
      <c r="O444" s="5">
        <v>13.86</v>
      </c>
      <c r="P444" s="5">
        <v>971.42857142857099</v>
      </c>
      <c r="Q444" s="5">
        <v>59.800102571428546</v>
      </c>
      <c r="R444" s="8">
        <f t="shared" si="47"/>
        <v>7</v>
      </c>
      <c r="S444" s="9">
        <f t="shared" si="48"/>
        <v>6.7999999999999972</v>
      </c>
      <c r="T444" s="9">
        <v>1.5</v>
      </c>
      <c r="U444" s="9">
        <f t="shared" si="49"/>
        <v>13.86</v>
      </c>
      <c r="V444" s="9">
        <f t="shared" si="50"/>
        <v>971.42857142857099</v>
      </c>
      <c r="W444" s="9">
        <f t="shared" si="51"/>
        <v>59.800102571428546</v>
      </c>
    </row>
    <row r="445" spans="1:23">
      <c r="A445" s="2" t="s">
        <v>299</v>
      </c>
      <c r="B445" s="2" t="s">
        <v>300</v>
      </c>
      <c r="C445" s="3">
        <v>14</v>
      </c>
      <c r="D445" s="3">
        <v>1.98</v>
      </c>
      <c r="E445" s="2" t="s">
        <v>330</v>
      </c>
      <c r="F445" s="4">
        <v>39476</v>
      </c>
      <c r="G445" s="3">
        <v>55.2</v>
      </c>
      <c r="H445" s="3">
        <v>2.5</v>
      </c>
      <c r="I445" s="4">
        <v>39490</v>
      </c>
      <c r="J445" s="3">
        <v>61.4</v>
      </c>
      <c r="K445" s="3">
        <v>2.5</v>
      </c>
      <c r="L445" s="3">
        <v>14</v>
      </c>
      <c r="M445" s="5">
        <v>6.1999999999999957</v>
      </c>
      <c r="N445" s="5">
        <v>0</v>
      </c>
      <c r="O445" s="5">
        <v>27.72</v>
      </c>
      <c r="P445" s="5">
        <v>442.85714285714255</v>
      </c>
      <c r="Q445" s="5">
        <v>33.690804142857125</v>
      </c>
      <c r="R445" s="8">
        <f t="shared" si="47"/>
        <v>7</v>
      </c>
      <c r="S445" s="9">
        <f t="shared" si="48"/>
        <v>-0.60000000000000142</v>
      </c>
      <c r="T445" s="9">
        <v>1.5</v>
      </c>
      <c r="U445" s="9">
        <f t="shared" si="49"/>
        <v>13.86</v>
      </c>
      <c r="V445" s="9">
        <f t="shared" si="50"/>
        <v>-85.714285714285921</v>
      </c>
      <c r="W445" s="9">
        <f t="shared" si="51"/>
        <v>7.6322327142857036</v>
      </c>
    </row>
    <row r="446" spans="1:23">
      <c r="A446" s="2" t="s">
        <v>299</v>
      </c>
      <c r="B446" s="2" t="s">
        <v>300</v>
      </c>
      <c r="C446" s="3">
        <v>14</v>
      </c>
      <c r="D446" s="3">
        <v>1.98</v>
      </c>
      <c r="E446" s="2" t="s">
        <v>330</v>
      </c>
      <c r="F446" s="4">
        <v>39476</v>
      </c>
      <c r="G446" s="3">
        <v>55.2</v>
      </c>
      <c r="H446" s="3">
        <v>2.5</v>
      </c>
      <c r="I446" s="4">
        <v>39497</v>
      </c>
      <c r="J446" s="3">
        <v>60.4</v>
      </c>
      <c r="K446" s="3">
        <v>2.5</v>
      </c>
      <c r="L446" s="3">
        <v>21</v>
      </c>
      <c r="M446" s="5">
        <v>5.1999999999999957</v>
      </c>
      <c r="N446" s="5">
        <v>0</v>
      </c>
      <c r="O446" s="5">
        <v>41.58</v>
      </c>
      <c r="P446" s="5">
        <v>247.61904761904739</v>
      </c>
      <c r="Q446" s="5">
        <v>23.981021047619038</v>
      </c>
      <c r="R446" s="8">
        <f t="shared" si="47"/>
        <v>7</v>
      </c>
      <c r="S446" s="9">
        <f t="shared" si="48"/>
        <v>-1</v>
      </c>
      <c r="T446" s="9">
        <v>1.5</v>
      </c>
      <c r="U446" s="9">
        <f t="shared" si="49"/>
        <v>13.86</v>
      </c>
      <c r="V446" s="9">
        <f t="shared" si="50"/>
        <v>-142.85714285714286</v>
      </c>
      <c r="W446" s="9">
        <f t="shared" si="51"/>
        <v>4.7305448571428572</v>
      </c>
    </row>
    <row r="447" spans="1:23">
      <c r="A447" s="2" t="s">
        <v>299</v>
      </c>
      <c r="B447" s="2" t="s">
        <v>300</v>
      </c>
      <c r="C447" s="3">
        <v>14</v>
      </c>
      <c r="D447" s="3">
        <v>1.98</v>
      </c>
      <c r="E447" s="2" t="s">
        <v>330</v>
      </c>
      <c r="F447" s="4">
        <v>39476</v>
      </c>
      <c r="G447" s="3">
        <v>55.2</v>
      </c>
      <c r="H447" s="3">
        <v>2.5</v>
      </c>
      <c r="I447" s="4">
        <v>39503</v>
      </c>
      <c r="J447" s="3">
        <v>61.8</v>
      </c>
      <c r="K447" s="3">
        <v>2.5</v>
      </c>
      <c r="L447" s="3">
        <v>27</v>
      </c>
      <c r="M447" s="5">
        <v>6.5999999999999943</v>
      </c>
      <c r="N447" s="5">
        <v>0</v>
      </c>
      <c r="O447" s="5">
        <v>53.46</v>
      </c>
      <c r="P447" s="5">
        <v>244.44444444444423</v>
      </c>
      <c r="Q447" s="5">
        <v>23.942876111111097</v>
      </c>
      <c r="R447" s="8">
        <f t="shared" si="47"/>
        <v>6</v>
      </c>
      <c r="S447" s="9">
        <f t="shared" si="48"/>
        <v>1.3999999999999986</v>
      </c>
      <c r="T447" s="9">
        <v>1.5</v>
      </c>
      <c r="U447" s="9">
        <f t="shared" si="49"/>
        <v>11.879999999999999</v>
      </c>
      <c r="V447" s="9">
        <f t="shared" si="50"/>
        <v>233.33333333333309</v>
      </c>
      <c r="W447" s="9">
        <f t="shared" si="51"/>
        <v>23.395098333333323</v>
      </c>
    </row>
    <row r="448" spans="1:23">
      <c r="A448" s="2" t="s">
        <v>299</v>
      </c>
      <c r="B448" s="2" t="s">
        <v>300</v>
      </c>
      <c r="C448" s="3">
        <v>14</v>
      </c>
      <c r="D448" s="3">
        <v>1.98</v>
      </c>
      <c r="E448" s="2" t="s">
        <v>330</v>
      </c>
      <c r="F448" s="4">
        <v>39476</v>
      </c>
      <c r="G448" s="3">
        <v>55.2</v>
      </c>
      <c r="H448" s="3">
        <v>2.5</v>
      </c>
      <c r="I448" s="4">
        <v>39511</v>
      </c>
      <c r="J448" s="3">
        <v>65</v>
      </c>
      <c r="K448" s="6"/>
      <c r="L448" s="3">
        <v>35</v>
      </c>
      <c r="M448" s="5">
        <v>9.7999999999999972</v>
      </c>
      <c r="N448" s="6"/>
      <c r="O448" s="5">
        <v>69.3</v>
      </c>
      <c r="P448" s="5">
        <v>279.99999999999994</v>
      </c>
      <c r="Q448" s="5">
        <v>25.966308999999995</v>
      </c>
      <c r="R448" s="8">
        <f t="shared" si="47"/>
        <v>8</v>
      </c>
      <c r="S448" s="9">
        <f t="shared" si="48"/>
        <v>3.2000000000000028</v>
      </c>
      <c r="T448" s="9">
        <v>1.5</v>
      </c>
      <c r="U448" s="9">
        <f t="shared" si="49"/>
        <v>15.84</v>
      </c>
      <c r="V448" s="9">
        <f t="shared" si="50"/>
        <v>400.00000000000034</v>
      </c>
      <c r="W448" s="9">
        <f t="shared" si="51"/>
        <v>31.882309000000017</v>
      </c>
    </row>
    <row r="449" spans="1:23">
      <c r="A449" s="2" t="s">
        <v>299</v>
      </c>
      <c r="B449" s="2" t="s">
        <v>300</v>
      </c>
      <c r="C449" s="3">
        <v>14</v>
      </c>
      <c r="D449" s="3">
        <v>1.98</v>
      </c>
      <c r="E449" s="2" t="s">
        <v>330</v>
      </c>
      <c r="F449" s="4">
        <v>39476</v>
      </c>
      <c r="G449" s="3">
        <v>55.2</v>
      </c>
      <c r="H449" s="3">
        <v>2.5</v>
      </c>
      <c r="I449" s="4">
        <v>39518</v>
      </c>
      <c r="J449" s="3">
        <v>60</v>
      </c>
      <c r="K449" s="3">
        <v>2.25</v>
      </c>
      <c r="L449" s="3">
        <v>42</v>
      </c>
      <c r="M449" s="5">
        <v>4.7999999999999972</v>
      </c>
      <c r="N449" s="5">
        <v>-0.25</v>
      </c>
      <c r="O449" s="5">
        <v>83.16</v>
      </c>
      <c r="P449" s="5">
        <v>114.28571428571421</v>
      </c>
      <c r="Q449" s="5">
        <v>17.373869714285711</v>
      </c>
      <c r="R449" s="8">
        <f t="shared" si="47"/>
        <v>7</v>
      </c>
      <c r="S449" s="9">
        <f t="shared" si="48"/>
        <v>-5</v>
      </c>
      <c r="T449" s="9">
        <v>1.5</v>
      </c>
      <c r="U449" s="9">
        <f t="shared" si="49"/>
        <v>13.86</v>
      </c>
      <c r="V449" s="9">
        <f t="shared" si="50"/>
        <v>-714.28571428571433</v>
      </c>
      <c r="W449" s="9">
        <f t="shared" si="51"/>
        <v>-23.474701714285715</v>
      </c>
    </row>
    <row r="450" spans="1:23">
      <c r="A450" s="2" t="s">
        <v>299</v>
      </c>
      <c r="B450" s="2" t="s">
        <v>300</v>
      </c>
      <c r="C450" s="3">
        <v>14</v>
      </c>
      <c r="D450" s="3">
        <v>1.98</v>
      </c>
      <c r="E450" s="2" t="s">
        <v>330</v>
      </c>
      <c r="F450" s="4">
        <v>39476</v>
      </c>
      <c r="G450" s="3">
        <v>55.2</v>
      </c>
      <c r="H450" s="3">
        <v>2.5</v>
      </c>
      <c r="I450" s="4">
        <v>39525</v>
      </c>
      <c r="J450" s="3">
        <v>52.4</v>
      </c>
      <c r="K450" s="3">
        <v>2.5</v>
      </c>
      <c r="L450" s="3">
        <v>49</v>
      </c>
      <c r="M450" s="5">
        <v>-2.8000000000000043</v>
      </c>
      <c r="N450" s="5">
        <v>0</v>
      </c>
      <c r="O450" s="5">
        <v>97.02</v>
      </c>
      <c r="P450" s="5">
        <v>-57.142857142857231</v>
      </c>
      <c r="Q450" s="5">
        <v>8.2798991428571362</v>
      </c>
      <c r="R450" s="8">
        <f t="shared" si="47"/>
        <v>7</v>
      </c>
      <c r="S450" s="9">
        <f t="shared" si="48"/>
        <v>-7.6000000000000014</v>
      </c>
      <c r="T450" s="9">
        <v>1.5</v>
      </c>
      <c r="U450" s="9">
        <f t="shared" si="49"/>
        <v>13.86</v>
      </c>
      <c r="V450" s="9">
        <f t="shared" si="50"/>
        <v>-1085.7142857142858</v>
      </c>
      <c r="W450" s="9">
        <f t="shared" si="51"/>
        <v>-42.428672285714285</v>
      </c>
    </row>
    <row r="451" spans="1:23">
      <c r="A451" s="2" t="s">
        <v>299</v>
      </c>
      <c r="B451" s="2" t="s">
        <v>300</v>
      </c>
      <c r="C451" s="3">
        <v>14</v>
      </c>
      <c r="D451" s="3">
        <v>1.98</v>
      </c>
      <c r="E451" s="2" t="s">
        <v>330</v>
      </c>
      <c r="F451" s="4">
        <v>39476</v>
      </c>
      <c r="G451" s="3">
        <v>55.2</v>
      </c>
      <c r="H451" s="3">
        <v>2.5</v>
      </c>
      <c r="I451" s="4">
        <v>39532</v>
      </c>
      <c r="J451" s="3">
        <v>61.2</v>
      </c>
      <c r="K451" s="3">
        <v>2.5</v>
      </c>
      <c r="L451" s="3">
        <v>56</v>
      </c>
      <c r="M451" s="5">
        <v>6</v>
      </c>
      <c r="N451" s="5">
        <v>0</v>
      </c>
      <c r="O451" s="5">
        <v>110.88</v>
      </c>
      <c r="P451" s="5">
        <v>107.14285714285714</v>
      </c>
      <c r="Q451" s="5">
        <v>17.123180857142856</v>
      </c>
      <c r="R451" s="8">
        <f t="shared" si="47"/>
        <v>7</v>
      </c>
      <c r="S451" s="9">
        <f t="shared" si="48"/>
        <v>8.8000000000000043</v>
      </c>
      <c r="T451" s="9">
        <v>1.5</v>
      </c>
      <c r="U451" s="9">
        <f t="shared" si="49"/>
        <v>13.86</v>
      </c>
      <c r="V451" s="9">
        <f t="shared" si="50"/>
        <v>1257.1428571428578</v>
      </c>
      <c r="W451" s="9">
        <f t="shared" si="51"/>
        <v>73.818180857142892</v>
      </c>
    </row>
    <row r="452" spans="1:23">
      <c r="A452" s="2" t="s">
        <v>299</v>
      </c>
      <c r="B452" s="2" t="s">
        <v>300</v>
      </c>
      <c r="C452" s="3">
        <v>14</v>
      </c>
      <c r="D452" s="3">
        <v>1.98</v>
      </c>
      <c r="E452" s="2" t="s">
        <v>331</v>
      </c>
      <c r="F452" s="4">
        <v>39476</v>
      </c>
      <c r="G452" s="3">
        <v>60.6</v>
      </c>
      <c r="H452" s="3">
        <v>2</v>
      </c>
      <c r="I452" s="4">
        <v>39476</v>
      </c>
      <c r="J452" s="3">
        <v>60.6</v>
      </c>
      <c r="K452" s="3">
        <v>2</v>
      </c>
      <c r="L452" s="3">
        <v>0</v>
      </c>
      <c r="M452" s="5">
        <v>0</v>
      </c>
      <c r="N452" s="5">
        <v>0</v>
      </c>
      <c r="O452" s="5">
        <v>0</v>
      </c>
      <c r="P452" s="5">
        <v>0</v>
      </c>
      <c r="Q452" s="5">
        <v>12.246853999999999</v>
      </c>
      <c r="R452" s="8">
        <f t="shared" si="47"/>
        <v>0</v>
      </c>
      <c r="S452" s="9">
        <f t="shared" si="48"/>
        <v>0</v>
      </c>
      <c r="T452" s="9">
        <v>1.5</v>
      </c>
      <c r="U452" s="9">
        <f t="shared" si="49"/>
        <v>0</v>
      </c>
      <c r="V452" s="9">
        <f t="shared" si="50"/>
        <v>0</v>
      </c>
      <c r="W452" s="9">
        <f t="shared" si="51"/>
        <v>12.246853999999999</v>
      </c>
    </row>
    <row r="453" spans="1:23">
      <c r="A453" s="2" t="s">
        <v>299</v>
      </c>
      <c r="B453" s="2" t="s">
        <v>300</v>
      </c>
      <c r="C453" s="3">
        <v>14</v>
      </c>
      <c r="D453" s="3">
        <v>1.98</v>
      </c>
      <c r="E453" s="2" t="s">
        <v>331</v>
      </c>
      <c r="F453" s="4">
        <v>39476</v>
      </c>
      <c r="G453" s="3">
        <v>60.6</v>
      </c>
      <c r="H453" s="3">
        <v>2</v>
      </c>
      <c r="I453" s="4">
        <v>39483</v>
      </c>
      <c r="J453" s="3">
        <v>60.4</v>
      </c>
      <c r="K453" s="6"/>
      <c r="L453" s="3">
        <v>7</v>
      </c>
      <c r="M453" s="5">
        <v>-0.20000000000000284</v>
      </c>
      <c r="N453" s="6"/>
      <c r="O453" s="5">
        <v>13.86</v>
      </c>
      <c r="P453" s="5">
        <v>-28.571428571428978</v>
      </c>
      <c r="Q453" s="5">
        <v>10.82137357142855</v>
      </c>
      <c r="R453" s="8">
        <f t="shared" si="47"/>
        <v>7</v>
      </c>
      <c r="S453" s="9">
        <f t="shared" si="48"/>
        <v>-0.20000000000000284</v>
      </c>
      <c r="T453" s="9">
        <v>1.5</v>
      </c>
      <c r="U453" s="9">
        <f t="shared" si="49"/>
        <v>13.86</v>
      </c>
      <c r="V453" s="9">
        <f t="shared" si="50"/>
        <v>-28.571428571428978</v>
      </c>
      <c r="W453" s="9">
        <f t="shared" si="51"/>
        <v>10.82137357142855</v>
      </c>
    </row>
    <row r="454" spans="1:23">
      <c r="A454" s="2" t="s">
        <v>299</v>
      </c>
      <c r="B454" s="2" t="s">
        <v>300</v>
      </c>
      <c r="C454" s="3">
        <v>14</v>
      </c>
      <c r="D454" s="3">
        <v>1.98</v>
      </c>
      <c r="E454" s="2" t="s">
        <v>331</v>
      </c>
      <c r="F454" s="4">
        <v>39476</v>
      </c>
      <c r="G454" s="3">
        <v>60.6</v>
      </c>
      <c r="H454" s="3">
        <v>2</v>
      </c>
      <c r="I454" s="4">
        <v>39490</v>
      </c>
      <c r="J454" s="3">
        <v>63.8</v>
      </c>
      <c r="K454" s="3">
        <v>2</v>
      </c>
      <c r="L454" s="3">
        <v>14</v>
      </c>
      <c r="M454" s="5">
        <v>3.1999999999999957</v>
      </c>
      <c r="N454" s="5">
        <v>0</v>
      </c>
      <c r="O454" s="5">
        <v>27.72</v>
      </c>
      <c r="P454" s="5">
        <v>228.57142857142827</v>
      </c>
      <c r="Q454" s="5">
        <v>23.785969428571413</v>
      </c>
      <c r="R454" s="8">
        <f t="shared" si="47"/>
        <v>7</v>
      </c>
      <c r="S454" s="9">
        <f t="shared" si="48"/>
        <v>3.3999999999999986</v>
      </c>
      <c r="T454" s="9">
        <v>1.5</v>
      </c>
      <c r="U454" s="9">
        <f t="shared" si="49"/>
        <v>13.86</v>
      </c>
      <c r="V454" s="9">
        <f t="shared" si="50"/>
        <v>485.7142857142855</v>
      </c>
      <c r="W454" s="9">
        <f t="shared" si="51"/>
        <v>36.463112285714274</v>
      </c>
    </row>
    <row r="455" spans="1:23">
      <c r="A455" s="2" t="s">
        <v>299</v>
      </c>
      <c r="B455" s="2" t="s">
        <v>300</v>
      </c>
      <c r="C455" s="3">
        <v>14</v>
      </c>
      <c r="D455" s="3">
        <v>1.98</v>
      </c>
      <c r="E455" s="2" t="s">
        <v>331</v>
      </c>
      <c r="F455" s="4">
        <v>39476</v>
      </c>
      <c r="G455" s="3">
        <v>60.6</v>
      </c>
      <c r="H455" s="3">
        <v>2</v>
      </c>
      <c r="I455" s="4">
        <v>39497</v>
      </c>
      <c r="J455" s="3">
        <v>64</v>
      </c>
      <c r="K455" s="3">
        <v>2</v>
      </c>
      <c r="L455" s="3">
        <v>21</v>
      </c>
      <c r="M455" s="5">
        <v>3.3999999999999986</v>
      </c>
      <c r="N455" s="5">
        <v>0</v>
      </c>
      <c r="O455" s="5">
        <v>41.58</v>
      </c>
      <c r="P455" s="5">
        <v>161.90476190476184</v>
      </c>
      <c r="Q455" s="5">
        <v>20.516211761904756</v>
      </c>
      <c r="R455" s="8">
        <f t="shared" si="47"/>
        <v>7</v>
      </c>
      <c r="S455" s="9">
        <f t="shared" si="48"/>
        <v>0.20000000000000284</v>
      </c>
      <c r="T455" s="9">
        <v>1.5</v>
      </c>
      <c r="U455" s="9">
        <f t="shared" si="49"/>
        <v>13.86</v>
      </c>
      <c r="V455" s="9">
        <f t="shared" si="50"/>
        <v>28.571428571428978</v>
      </c>
      <c r="W455" s="9">
        <f t="shared" si="51"/>
        <v>13.942878428571447</v>
      </c>
    </row>
    <row r="456" spans="1:23">
      <c r="A456" s="2" t="s">
        <v>299</v>
      </c>
      <c r="B456" s="2" t="s">
        <v>300</v>
      </c>
      <c r="C456" s="3">
        <v>14</v>
      </c>
      <c r="D456" s="3">
        <v>1.98</v>
      </c>
      <c r="E456" s="2" t="s">
        <v>331</v>
      </c>
      <c r="F456" s="4">
        <v>39476</v>
      </c>
      <c r="G456" s="3">
        <v>60.6</v>
      </c>
      <c r="H456" s="3">
        <v>2</v>
      </c>
      <c r="I456" s="4">
        <v>39503</v>
      </c>
      <c r="J456" s="3">
        <v>66</v>
      </c>
      <c r="K456" s="3">
        <v>2</v>
      </c>
      <c r="L456" s="3">
        <v>27</v>
      </c>
      <c r="M456" s="5">
        <v>5.3999999999999986</v>
      </c>
      <c r="N456" s="5">
        <v>0</v>
      </c>
      <c r="O456" s="5">
        <v>53.46</v>
      </c>
      <c r="P456" s="5">
        <v>199.99999999999994</v>
      </c>
      <c r="Q456" s="5">
        <v>22.563396999999995</v>
      </c>
      <c r="R456" s="8">
        <f t="shared" si="47"/>
        <v>6</v>
      </c>
      <c r="S456" s="9">
        <f t="shared" si="48"/>
        <v>2</v>
      </c>
      <c r="T456" s="9">
        <v>1.5</v>
      </c>
      <c r="U456" s="9">
        <f t="shared" si="49"/>
        <v>11.879999999999999</v>
      </c>
      <c r="V456" s="9">
        <f t="shared" si="50"/>
        <v>333.33333333333331</v>
      </c>
      <c r="W456" s="9">
        <f t="shared" si="51"/>
        <v>29.136730333333329</v>
      </c>
    </row>
    <row r="457" spans="1:23">
      <c r="A457" s="2" t="s">
        <v>299</v>
      </c>
      <c r="B457" s="2" t="s">
        <v>300</v>
      </c>
      <c r="C457" s="3">
        <v>14</v>
      </c>
      <c r="D457" s="3">
        <v>1.98</v>
      </c>
      <c r="E457" s="2" t="s">
        <v>331</v>
      </c>
      <c r="F457" s="4">
        <v>39476</v>
      </c>
      <c r="G457" s="3">
        <v>60.6</v>
      </c>
      <c r="H457" s="3">
        <v>2</v>
      </c>
      <c r="I457" s="4">
        <v>39511</v>
      </c>
      <c r="J457" s="3">
        <v>66.8</v>
      </c>
      <c r="K457" s="6"/>
      <c r="L457" s="3">
        <v>35</v>
      </c>
      <c r="M457" s="5">
        <v>6.1999999999999957</v>
      </c>
      <c r="N457" s="6"/>
      <c r="O457" s="5">
        <v>69.3</v>
      </c>
      <c r="P457" s="5">
        <v>177.14285714285703</v>
      </c>
      <c r="Q457" s="5">
        <v>21.504175857142847</v>
      </c>
      <c r="R457" s="8">
        <f t="shared" si="47"/>
        <v>8</v>
      </c>
      <c r="S457" s="9">
        <f t="shared" si="48"/>
        <v>0.79999999999999716</v>
      </c>
      <c r="T457" s="9">
        <v>1.5</v>
      </c>
      <c r="U457" s="9">
        <f t="shared" si="49"/>
        <v>15.84</v>
      </c>
      <c r="V457" s="9">
        <f t="shared" si="50"/>
        <v>99.999999999999645</v>
      </c>
      <c r="W457" s="9">
        <f t="shared" si="51"/>
        <v>17.701032999999981</v>
      </c>
    </row>
    <row r="458" spans="1:23">
      <c r="A458" s="2" t="s">
        <v>299</v>
      </c>
      <c r="B458" s="2" t="s">
        <v>300</v>
      </c>
      <c r="C458" s="3">
        <v>14</v>
      </c>
      <c r="D458" s="3">
        <v>1.98</v>
      </c>
      <c r="E458" s="2" t="s">
        <v>331</v>
      </c>
      <c r="F458" s="4">
        <v>39476</v>
      </c>
      <c r="G458" s="3">
        <v>60.6</v>
      </c>
      <c r="H458" s="3">
        <v>2</v>
      </c>
      <c r="I458" s="4">
        <v>39518</v>
      </c>
      <c r="J458" s="3">
        <v>67</v>
      </c>
      <c r="K458" s="3">
        <v>2.5</v>
      </c>
      <c r="L458" s="3">
        <v>42</v>
      </c>
      <c r="M458" s="5">
        <v>6.3999999999999986</v>
      </c>
      <c r="N458" s="5">
        <v>0.5</v>
      </c>
      <c r="O458" s="5">
        <v>83.16</v>
      </c>
      <c r="P458" s="5">
        <v>152.38095238095235</v>
      </c>
      <c r="Q458" s="5">
        <v>20.300322952380949</v>
      </c>
      <c r="R458" s="8">
        <f t="shared" si="47"/>
        <v>7</v>
      </c>
      <c r="S458" s="9">
        <f t="shared" si="48"/>
        <v>0.20000000000000284</v>
      </c>
      <c r="T458" s="9">
        <v>1.5</v>
      </c>
      <c r="U458" s="9">
        <f t="shared" si="49"/>
        <v>13.86</v>
      </c>
      <c r="V458" s="9">
        <f t="shared" si="50"/>
        <v>28.571428571428978</v>
      </c>
      <c r="W458" s="9">
        <f t="shared" si="51"/>
        <v>14.196513428571448</v>
      </c>
    </row>
    <row r="459" spans="1:23">
      <c r="A459" s="2" t="s">
        <v>299</v>
      </c>
      <c r="B459" s="2" t="s">
        <v>300</v>
      </c>
      <c r="C459" s="3">
        <v>14</v>
      </c>
      <c r="D459" s="3">
        <v>1.98</v>
      </c>
      <c r="E459" s="2" t="s">
        <v>331</v>
      </c>
      <c r="F459" s="4">
        <v>39476</v>
      </c>
      <c r="G459" s="3">
        <v>60.6</v>
      </c>
      <c r="H459" s="3">
        <v>2</v>
      </c>
      <c r="I459" s="4">
        <v>39525</v>
      </c>
      <c r="J459" s="3">
        <v>67.2</v>
      </c>
      <c r="K459" s="3">
        <v>3</v>
      </c>
      <c r="L459" s="3">
        <v>49</v>
      </c>
      <c r="M459" s="5">
        <v>6.6000000000000014</v>
      </c>
      <c r="N459" s="5">
        <v>1</v>
      </c>
      <c r="O459" s="5">
        <v>97.02</v>
      </c>
      <c r="P459" s="5">
        <v>134.69387755102045</v>
      </c>
      <c r="Q459" s="5">
        <v>19.445259163265309</v>
      </c>
      <c r="R459" s="8">
        <f t="shared" si="47"/>
        <v>7</v>
      </c>
      <c r="S459" s="9">
        <f t="shared" si="48"/>
        <v>0.20000000000000284</v>
      </c>
      <c r="T459" s="9">
        <v>1.5</v>
      </c>
      <c r="U459" s="9">
        <f t="shared" si="49"/>
        <v>13.86</v>
      </c>
      <c r="V459" s="9">
        <f t="shared" si="50"/>
        <v>28.571428571428978</v>
      </c>
      <c r="W459" s="9">
        <f t="shared" si="51"/>
        <v>14.21342242857145</v>
      </c>
    </row>
    <row r="460" spans="1:23">
      <c r="A460" s="2" t="s">
        <v>299</v>
      </c>
      <c r="B460" s="2" t="s">
        <v>300</v>
      </c>
      <c r="C460" s="3">
        <v>14</v>
      </c>
      <c r="D460" s="3">
        <v>1.98</v>
      </c>
      <c r="E460" s="2" t="s">
        <v>331</v>
      </c>
      <c r="F460" s="4">
        <v>39476</v>
      </c>
      <c r="G460" s="3">
        <v>60.6</v>
      </c>
      <c r="H460" s="3">
        <v>2</v>
      </c>
      <c r="I460" s="4">
        <v>39532</v>
      </c>
      <c r="J460" s="3">
        <v>70.400000000000006</v>
      </c>
      <c r="K460" s="3">
        <v>2</v>
      </c>
      <c r="L460" s="3">
        <v>56</v>
      </c>
      <c r="M460" s="5">
        <v>9.8000000000000043</v>
      </c>
      <c r="N460" s="5">
        <v>0</v>
      </c>
      <c r="O460" s="5">
        <v>110.88</v>
      </c>
      <c r="P460" s="5">
        <v>175.00000000000009</v>
      </c>
      <c r="Q460" s="5">
        <v>21.702895000000002</v>
      </c>
      <c r="R460" s="8">
        <f t="shared" si="47"/>
        <v>7</v>
      </c>
      <c r="S460" s="9">
        <f t="shared" si="48"/>
        <v>3.2000000000000028</v>
      </c>
      <c r="T460" s="9">
        <v>1.5</v>
      </c>
      <c r="U460" s="9">
        <f t="shared" si="49"/>
        <v>13.86</v>
      </c>
      <c r="V460" s="9">
        <f t="shared" si="50"/>
        <v>457.14285714285757</v>
      </c>
      <c r="W460" s="9">
        <f t="shared" si="51"/>
        <v>35.612537857142875</v>
      </c>
    </row>
    <row r="461" spans="1:23">
      <c r="A461" s="2" t="s">
        <v>299</v>
      </c>
      <c r="B461" s="2" t="s">
        <v>300</v>
      </c>
      <c r="C461" s="3">
        <v>14</v>
      </c>
      <c r="D461" s="3">
        <v>1.98</v>
      </c>
      <c r="E461" s="2" t="s">
        <v>332</v>
      </c>
      <c r="F461" s="4">
        <v>39476</v>
      </c>
      <c r="G461" s="3">
        <v>64.400000000000006</v>
      </c>
      <c r="H461" s="3">
        <v>1.75</v>
      </c>
      <c r="I461" s="4">
        <v>39476</v>
      </c>
      <c r="J461" s="3">
        <v>64.400000000000006</v>
      </c>
      <c r="K461" s="3">
        <v>1.75</v>
      </c>
      <c r="L461" s="3">
        <v>0</v>
      </c>
      <c r="M461" s="5">
        <v>0</v>
      </c>
      <c r="N461" s="5">
        <v>0</v>
      </c>
      <c r="O461" s="5">
        <v>0</v>
      </c>
      <c r="P461" s="5">
        <v>0</v>
      </c>
      <c r="Q461" s="5">
        <v>12.889396</v>
      </c>
      <c r="R461" s="8">
        <f t="shared" si="47"/>
        <v>0</v>
      </c>
      <c r="S461" s="9">
        <f t="shared" si="48"/>
        <v>0</v>
      </c>
      <c r="T461" s="9">
        <v>1.5</v>
      </c>
      <c r="U461" s="9">
        <f t="shared" si="49"/>
        <v>0</v>
      </c>
      <c r="V461" s="9">
        <f t="shared" si="50"/>
        <v>0</v>
      </c>
      <c r="W461" s="9">
        <f t="shared" si="51"/>
        <v>12.889396</v>
      </c>
    </row>
    <row r="462" spans="1:23">
      <c r="A462" s="2" t="s">
        <v>299</v>
      </c>
      <c r="B462" s="2" t="s">
        <v>300</v>
      </c>
      <c r="C462" s="3">
        <v>14</v>
      </c>
      <c r="D462" s="3">
        <v>1.98</v>
      </c>
      <c r="E462" s="2" t="s">
        <v>332</v>
      </c>
      <c r="F462" s="4">
        <v>39476</v>
      </c>
      <c r="G462" s="3">
        <v>64.400000000000006</v>
      </c>
      <c r="H462" s="3">
        <v>1.75</v>
      </c>
      <c r="I462" s="4">
        <v>39483</v>
      </c>
      <c r="J462" s="3">
        <v>64.400000000000006</v>
      </c>
      <c r="K462" s="6"/>
      <c r="L462" s="3">
        <v>7</v>
      </c>
      <c r="M462" s="5">
        <v>0</v>
      </c>
      <c r="N462" s="6"/>
      <c r="O462" s="5">
        <v>13.86</v>
      </c>
      <c r="P462" s="5">
        <v>0</v>
      </c>
      <c r="Q462" s="5">
        <v>12.889396</v>
      </c>
      <c r="R462" s="8">
        <f t="shared" si="47"/>
        <v>7</v>
      </c>
      <c r="S462" s="9">
        <f t="shared" si="48"/>
        <v>0</v>
      </c>
      <c r="T462" s="9">
        <v>1.5</v>
      </c>
      <c r="U462" s="9">
        <f t="shared" si="49"/>
        <v>13.86</v>
      </c>
      <c r="V462" s="9">
        <f t="shared" si="50"/>
        <v>0</v>
      </c>
      <c r="W462" s="9">
        <f t="shared" si="51"/>
        <v>12.889396</v>
      </c>
    </row>
    <row r="463" spans="1:23">
      <c r="A463" s="2" t="s">
        <v>299</v>
      </c>
      <c r="B463" s="2" t="s">
        <v>300</v>
      </c>
      <c r="C463" s="3">
        <v>14</v>
      </c>
      <c r="D463" s="3">
        <v>1.98</v>
      </c>
      <c r="E463" s="2" t="s">
        <v>332</v>
      </c>
      <c r="F463" s="4">
        <v>39476</v>
      </c>
      <c r="G463" s="3">
        <v>64.400000000000006</v>
      </c>
      <c r="H463" s="3">
        <v>1.75</v>
      </c>
      <c r="I463" s="4">
        <v>39490</v>
      </c>
      <c r="J463" s="3">
        <v>64.8</v>
      </c>
      <c r="K463" s="3">
        <v>1.75</v>
      </c>
      <c r="L463" s="3">
        <v>14</v>
      </c>
      <c r="M463" s="5">
        <v>0.39999999999999147</v>
      </c>
      <c r="N463" s="5">
        <v>0</v>
      </c>
      <c r="O463" s="5">
        <v>27.72</v>
      </c>
      <c r="P463" s="5">
        <v>28.571428571427962</v>
      </c>
      <c r="Q463" s="5">
        <v>14.331785428571397</v>
      </c>
      <c r="R463" s="8">
        <f t="shared" si="47"/>
        <v>7</v>
      </c>
      <c r="S463" s="9">
        <f t="shared" si="48"/>
        <v>0.39999999999999147</v>
      </c>
      <c r="T463" s="9">
        <v>1.5</v>
      </c>
      <c r="U463" s="9">
        <f t="shared" si="49"/>
        <v>13.86</v>
      </c>
      <c r="V463" s="9">
        <f t="shared" si="50"/>
        <v>57.142857142855924</v>
      </c>
      <c r="W463" s="9">
        <f t="shared" si="51"/>
        <v>15.740356857142796</v>
      </c>
    </row>
    <row r="464" spans="1:23">
      <c r="A464" s="2" t="s">
        <v>299</v>
      </c>
      <c r="B464" s="2" t="s">
        <v>300</v>
      </c>
      <c r="C464" s="3">
        <v>14</v>
      </c>
      <c r="D464" s="3">
        <v>1.98</v>
      </c>
      <c r="E464" s="2" t="s">
        <v>332</v>
      </c>
      <c r="F464" s="4">
        <v>39476</v>
      </c>
      <c r="G464" s="3">
        <v>64.400000000000006</v>
      </c>
      <c r="H464" s="3">
        <v>1.75</v>
      </c>
      <c r="I464" s="4">
        <v>39497</v>
      </c>
      <c r="J464" s="3">
        <v>65.599999999999994</v>
      </c>
      <c r="K464" s="3">
        <v>1.75</v>
      </c>
      <c r="L464" s="3">
        <v>21</v>
      </c>
      <c r="M464" s="5">
        <v>1.1999999999999886</v>
      </c>
      <c r="N464" s="5">
        <v>0</v>
      </c>
      <c r="O464" s="5">
        <v>41.58</v>
      </c>
      <c r="P464" s="5">
        <v>57.142857142856599</v>
      </c>
      <c r="Q464" s="5">
        <v>15.80799285714283</v>
      </c>
      <c r="R464" s="8">
        <f t="shared" si="47"/>
        <v>7</v>
      </c>
      <c r="S464" s="9">
        <f t="shared" si="48"/>
        <v>0.79999999999999716</v>
      </c>
      <c r="T464" s="9">
        <v>1.5</v>
      </c>
      <c r="U464" s="9">
        <f t="shared" si="49"/>
        <v>13.86</v>
      </c>
      <c r="V464" s="9">
        <f t="shared" si="50"/>
        <v>114.28571428571388</v>
      </c>
      <c r="W464" s="9">
        <f t="shared" si="51"/>
        <v>18.625135714285694</v>
      </c>
    </row>
    <row r="465" spans="1:23">
      <c r="A465" s="2" t="s">
        <v>299</v>
      </c>
      <c r="B465" s="2" t="s">
        <v>300</v>
      </c>
      <c r="C465" s="3">
        <v>14</v>
      </c>
      <c r="D465" s="3">
        <v>1.98</v>
      </c>
      <c r="E465" s="2" t="s">
        <v>332</v>
      </c>
      <c r="F465" s="4">
        <v>39476</v>
      </c>
      <c r="G465" s="3">
        <v>64.400000000000006</v>
      </c>
      <c r="H465" s="3">
        <v>1.75</v>
      </c>
      <c r="I465" s="4">
        <v>39503</v>
      </c>
      <c r="J465" s="3">
        <v>71.8</v>
      </c>
      <c r="K465" s="3">
        <v>1.75</v>
      </c>
      <c r="L465" s="3">
        <v>27</v>
      </c>
      <c r="M465" s="5">
        <v>7.3999999999999915</v>
      </c>
      <c r="N465" s="5">
        <v>0</v>
      </c>
      <c r="O465" s="5">
        <v>53.46</v>
      </c>
      <c r="P465" s="5">
        <v>274.07407407407374</v>
      </c>
      <c r="Q465" s="5">
        <v>27.026880851851836</v>
      </c>
      <c r="R465" s="8">
        <f t="shared" si="47"/>
        <v>6</v>
      </c>
      <c r="S465" s="9">
        <f t="shared" si="48"/>
        <v>6.2000000000000028</v>
      </c>
      <c r="T465" s="9">
        <v>1.5</v>
      </c>
      <c r="U465" s="9">
        <f t="shared" si="49"/>
        <v>11.879999999999999</v>
      </c>
      <c r="V465" s="9">
        <f t="shared" si="50"/>
        <v>1033.3333333333339</v>
      </c>
      <c r="W465" s="9">
        <f t="shared" si="51"/>
        <v>64.458362333333355</v>
      </c>
    </row>
    <row r="466" spans="1:23">
      <c r="A466" s="2" t="s">
        <v>299</v>
      </c>
      <c r="B466" s="2" t="s">
        <v>300</v>
      </c>
      <c r="C466" s="3">
        <v>14</v>
      </c>
      <c r="D466" s="3">
        <v>1.98</v>
      </c>
      <c r="E466" s="2" t="s">
        <v>332</v>
      </c>
      <c r="F466" s="4">
        <v>39476</v>
      </c>
      <c r="G466" s="3">
        <v>64.400000000000006</v>
      </c>
      <c r="H466" s="3">
        <v>1.75</v>
      </c>
      <c r="I466" s="4">
        <v>39511</v>
      </c>
      <c r="J466" s="3">
        <v>70.8</v>
      </c>
      <c r="K466" s="6"/>
      <c r="L466" s="3">
        <v>35</v>
      </c>
      <c r="M466" s="5">
        <v>6.3999999999999915</v>
      </c>
      <c r="N466" s="6"/>
      <c r="O466" s="5">
        <v>69.3</v>
      </c>
      <c r="P466" s="5">
        <v>182.85714285714261</v>
      </c>
      <c r="Q466" s="5">
        <v>22.445341142857128</v>
      </c>
      <c r="R466" s="8">
        <f t="shared" si="47"/>
        <v>8</v>
      </c>
      <c r="S466" s="9">
        <f t="shared" si="48"/>
        <v>-1</v>
      </c>
      <c r="T466" s="9">
        <v>1.5</v>
      </c>
      <c r="U466" s="9">
        <f t="shared" si="49"/>
        <v>15.84</v>
      </c>
      <c r="V466" s="9">
        <f t="shared" si="50"/>
        <v>-125</v>
      </c>
      <c r="W466" s="9">
        <f t="shared" si="51"/>
        <v>7.2679839999999984</v>
      </c>
    </row>
    <row r="467" spans="1:23">
      <c r="A467" s="2" t="s">
        <v>299</v>
      </c>
      <c r="B467" s="2" t="s">
        <v>300</v>
      </c>
      <c r="C467" s="3">
        <v>14</v>
      </c>
      <c r="D467" s="3">
        <v>1.98</v>
      </c>
      <c r="E467" s="2" t="s">
        <v>332</v>
      </c>
      <c r="F467" s="4">
        <v>39476</v>
      </c>
      <c r="G467" s="3">
        <v>64.400000000000006</v>
      </c>
      <c r="H467" s="3">
        <v>1.75</v>
      </c>
      <c r="I467" s="4">
        <v>39518</v>
      </c>
      <c r="J467" s="3">
        <v>69.8</v>
      </c>
      <c r="K467" s="3">
        <v>2</v>
      </c>
      <c r="L467" s="3">
        <v>42</v>
      </c>
      <c r="M467" s="5">
        <v>5.3999999999999915</v>
      </c>
      <c r="N467" s="5">
        <v>0.25</v>
      </c>
      <c r="O467" s="5">
        <v>83.16</v>
      </c>
      <c r="P467" s="5">
        <v>128.57142857142836</v>
      </c>
      <c r="Q467" s="5">
        <v>19.684510428571414</v>
      </c>
      <c r="R467" s="8">
        <f t="shared" si="47"/>
        <v>7</v>
      </c>
      <c r="S467" s="9">
        <f t="shared" si="48"/>
        <v>-1</v>
      </c>
      <c r="T467" s="9">
        <v>1.5</v>
      </c>
      <c r="U467" s="9">
        <f t="shared" si="49"/>
        <v>13.86</v>
      </c>
      <c r="V467" s="9">
        <f t="shared" si="50"/>
        <v>-142.85714285714286</v>
      </c>
      <c r="W467" s="9">
        <f t="shared" si="51"/>
        <v>6.303081857142856</v>
      </c>
    </row>
    <row r="468" spans="1:23">
      <c r="A468" s="2" t="s">
        <v>299</v>
      </c>
      <c r="B468" s="2" t="s">
        <v>300</v>
      </c>
      <c r="C468" s="3">
        <v>14</v>
      </c>
      <c r="D468" s="3">
        <v>1.98</v>
      </c>
      <c r="E468" s="2" t="s">
        <v>332</v>
      </c>
      <c r="F468" s="4">
        <v>39476</v>
      </c>
      <c r="G468" s="3">
        <v>64.400000000000006</v>
      </c>
      <c r="H468" s="3">
        <v>1.75</v>
      </c>
      <c r="I468" s="4">
        <v>39525</v>
      </c>
      <c r="J468" s="3">
        <v>70.2</v>
      </c>
      <c r="K468" s="3">
        <v>1.75</v>
      </c>
      <c r="L468" s="3">
        <v>49</v>
      </c>
      <c r="M468" s="5">
        <v>5.7999999999999972</v>
      </c>
      <c r="N468" s="5">
        <v>0</v>
      </c>
      <c r="O468" s="5">
        <v>97.02</v>
      </c>
      <c r="P468" s="5">
        <v>118.36734693877546</v>
      </c>
      <c r="Q468" s="5">
        <v>19.215267204081631</v>
      </c>
      <c r="R468" s="8">
        <f t="shared" si="47"/>
        <v>7</v>
      </c>
      <c r="S468" s="9">
        <f t="shared" si="48"/>
        <v>0.40000000000000568</v>
      </c>
      <c r="T468" s="9">
        <v>1.5</v>
      </c>
      <c r="U468" s="9">
        <f t="shared" si="49"/>
        <v>13.86</v>
      </c>
      <c r="V468" s="9">
        <f t="shared" si="50"/>
        <v>57.142857142857956</v>
      </c>
      <c r="W468" s="9">
        <f t="shared" si="51"/>
        <v>16.196899857142899</v>
      </c>
    </row>
    <row r="469" spans="1:23">
      <c r="A469" s="2" t="s">
        <v>299</v>
      </c>
      <c r="B469" s="2" t="s">
        <v>300</v>
      </c>
      <c r="C469" s="3">
        <v>14</v>
      </c>
      <c r="D469" s="3">
        <v>1.98</v>
      </c>
      <c r="E469" s="2" t="s">
        <v>332</v>
      </c>
      <c r="F469" s="4">
        <v>39476</v>
      </c>
      <c r="G469" s="3">
        <v>64.400000000000006</v>
      </c>
      <c r="H469" s="3">
        <v>1.75</v>
      </c>
      <c r="I469" s="4">
        <v>39532</v>
      </c>
      <c r="J469" s="3">
        <v>70.599999999999994</v>
      </c>
      <c r="K469" s="3">
        <v>1.75</v>
      </c>
      <c r="L469" s="3">
        <v>56</v>
      </c>
      <c r="M469" s="5">
        <v>6.1999999999999886</v>
      </c>
      <c r="N469" s="5">
        <v>0</v>
      </c>
      <c r="O469" s="5">
        <v>110.88</v>
      </c>
      <c r="P469" s="5">
        <v>110.71428571428551</v>
      </c>
      <c r="Q469" s="5">
        <v>18.871789285714275</v>
      </c>
      <c r="R469" s="8">
        <f t="shared" si="47"/>
        <v>7</v>
      </c>
      <c r="S469" s="9">
        <f t="shared" si="48"/>
        <v>0.39999999999999147</v>
      </c>
      <c r="T469" s="9">
        <v>1.5</v>
      </c>
      <c r="U469" s="9">
        <f t="shared" si="49"/>
        <v>13.86</v>
      </c>
      <c r="V469" s="9">
        <f t="shared" si="50"/>
        <v>57.142857142855924</v>
      </c>
      <c r="W469" s="9">
        <f t="shared" si="51"/>
        <v>16.230717857142796</v>
      </c>
    </row>
    <row r="470" spans="1:23">
      <c r="A470" s="2" t="s">
        <v>299</v>
      </c>
      <c r="B470" s="2" t="s">
        <v>300</v>
      </c>
      <c r="C470" s="3">
        <v>14</v>
      </c>
      <c r="D470" s="3">
        <v>1.98</v>
      </c>
      <c r="E470" s="2" t="s">
        <v>333</v>
      </c>
      <c r="F470" s="4">
        <v>39476</v>
      </c>
      <c r="G470" s="3">
        <v>54</v>
      </c>
      <c r="H470" s="3">
        <v>1.75</v>
      </c>
      <c r="I470" s="4">
        <v>39476</v>
      </c>
      <c r="J470" s="3">
        <v>54</v>
      </c>
      <c r="K470" s="3">
        <v>1.75</v>
      </c>
      <c r="L470" s="3">
        <v>0</v>
      </c>
      <c r="M470" s="5">
        <v>0</v>
      </c>
      <c r="N470" s="5">
        <v>0</v>
      </c>
      <c r="O470" s="5">
        <v>0</v>
      </c>
      <c r="P470" s="5">
        <v>0</v>
      </c>
      <c r="Q470" s="5">
        <v>11.13086</v>
      </c>
      <c r="R470" s="8">
        <f t="shared" si="47"/>
        <v>0</v>
      </c>
      <c r="S470" s="9">
        <f t="shared" si="48"/>
        <v>0</v>
      </c>
      <c r="T470" s="9">
        <v>1.5</v>
      </c>
      <c r="U470" s="9">
        <f t="shared" si="49"/>
        <v>0</v>
      </c>
      <c r="V470" s="9">
        <f t="shared" si="50"/>
        <v>0</v>
      </c>
      <c r="W470" s="9">
        <f t="shared" si="51"/>
        <v>11.13086</v>
      </c>
    </row>
    <row r="471" spans="1:23">
      <c r="A471" s="2" t="s">
        <v>299</v>
      </c>
      <c r="B471" s="2" t="s">
        <v>300</v>
      </c>
      <c r="C471" s="3">
        <v>14</v>
      </c>
      <c r="D471" s="3">
        <v>1.98</v>
      </c>
      <c r="E471" s="2" t="s">
        <v>333</v>
      </c>
      <c r="F471" s="4">
        <v>39476</v>
      </c>
      <c r="G471" s="3">
        <v>54</v>
      </c>
      <c r="H471" s="3">
        <v>1.75</v>
      </c>
      <c r="I471" s="4">
        <v>39483</v>
      </c>
      <c r="J471" s="3">
        <v>61</v>
      </c>
      <c r="K471" s="6"/>
      <c r="L471" s="3">
        <v>7</v>
      </c>
      <c r="M471" s="5">
        <v>7</v>
      </c>
      <c r="N471" s="6"/>
      <c r="O471" s="5">
        <v>13.86</v>
      </c>
      <c r="P471" s="5">
        <v>1000</v>
      </c>
      <c r="Q471" s="5">
        <v>61.022674999999992</v>
      </c>
      <c r="R471" s="8">
        <f t="shared" si="47"/>
        <v>7</v>
      </c>
      <c r="S471" s="9">
        <f t="shared" si="48"/>
        <v>7</v>
      </c>
      <c r="T471" s="9">
        <v>1.5</v>
      </c>
      <c r="U471" s="9">
        <f t="shared" si="49"/>
        <v>13.86</v>
      </c>
      <c r="V471" s="9">
        <f t="shared" si="50"/>
        <v>1000</v>
      </c>
      <c r="W471" s="9">
        <f t="shared" si="51"/>
        <v>61.022674999999992</v>
      </c>
    </row>
    <row r="472" spans="1:23">
      <c r="A472" s="2" t="s">
        <v>299</v>
      </c>
      <c r="B472" s="2" t="s">
        <v>300</v>
      </c>
      <c r="C472" s="3">
        <v>14</v>
      </c>
      <c r="D472" s="3">
        <v>1.98</v>
      </c>
      <c r="E472" s="2" t="s">
        <v>333</v>
      </c>
      <c r="F472" s="4">
        <v>39476</v>
      </c>
      <c r="G472" s="3">
        <v>54</v>
      </c>
      <c r="H472" s="3">
        <v>1.75</v>
      </c>
      <c r="I472" s="4">
        <v>39490</v>
      </c>
      <c r="J472" s="3">
        <v>59.2</v>
      </c>
      <c r="K472" s="3">
        <v>1.75</v>
      </c>
      <c r="L472" s="3">
        <v>14</v>
      </c>
      <c r="M472" s="5">
        <v>5.2000000000000028</v>
      </c>
      <c r="N472" s="5">
        <v>0</v>
      </c>
      <c r="O472" s="5">
        <v>27.72</v>
      </c>
      <c r="P472" s="5">
        <v>371.42857142857162</v>
      </c>
      <c r="Q472" s="5">
        <v>29.881922571428579</v>
      </c>
      <c r="R472" s="8">
        <f t="shared" si="47"/>
        <v>7</v>
      </c>
      <c r="S472" s="9">
        <f t="shared" si="48"/>
        <v>-1.7999999999999972</v>
      </c>
      <c r="T472" s="9">
        <v>1.5</v>
      </c>
      <c r="U472" s="9">
        <f t="shared" si="49"/>
        <v>13.86</v>
      </c>
      <c r="V472" s="9">
        <f t="shared" si="50"/>
        <v>-257.14285714285671</v>
      </c>
      <c r="W472" s="9">
        <f t="shared" si="51"/>
        <v>-1.1066488571428366</v>
      </c>
    </row>
    <row r="473" spans="1:23">
      <c r="A473" s="2" t="s">
        <v>299</v>
      </c>
      <c r="B473" s="2" t="s">
        <v>300</v>
      </c>
      <c r="C473" s="3">
        <v>14</v>
      </c>
      <c r="D473" s="3">
        <v>1.98</v>
      </c>
      <c r="E473" s="2" t="s">
        <v>333</v>
      </c>
      <c r="F473" s="4">
        <v>39476</v>
      </c>
      <c r="G473" s="3">
        <v>54</v>
      </c>
      <c r="H473" s="3">
        <v>1.75</v>
      </c>
      <c r="I473" s="4">
        <v>39497</v>
      </c>
      <c r="J473" s="3">
        <v>60.4</v>
      </c>
      <c r="K473" s="3">
        <v>1.75</v>
      </c>
      <c r="L473" s="3">
        <v>21</v>
      </c>
      <c r="M473" s="5">
        <v>6.3999999999999986</v>
      </c>
      <c r="N473" s="5">
        <v>0</v>
      </c>
      <c r="O473" s="5">
        <v>41.58</v>
      </c>
      <c r="P473" s="5">
        <v>304.7619047619047</v>
      </c>
      <c r="Q473" s="5">
        <v>26.696709904761899</v>
      </c>
      <c r="R473" s="8">
        <f t="shared" si="47"/>
        <v>7</v>
      </c>
      <c r="S473" s="9">
        <f t="shared" si="48"/>
        <v>1.1999999999999957</v>
      </c>
      <c r="T473" s="9">
        <v>1.5</v>
      </c>
      <c r="U473" s="9">
        <f t="shared" si="49"/>
        <v>13.86</v>
      </c>
      <c r="V473" s="9">
        <f t="shared" si="50"/>
        <v>171.42857142857082</v>
      </c>
      <c r="W473" s="9">
        <f t="shared" si="51"/>
        <v>20.123376571428544</v>
      </c>
    </row>
    <row r="474" spans="1:23">
      <c r="A474" s="2" t="s">
        <v>299</v>
      </c>
      <c r="B474" s="2" t="s">
        <v>300</v>
      </c>
      <c r="C474" s="3">
        <v>14</v>
      </c>
      <c r="D474" s="3">
        <v>1.98</v>
      </c>
      <c r="E474" s="2" t="s">
        <v>333</v>
      </c>
      <c r="F474" s="4">
        <v>39476</v>
      </c>
      <c r="G474" s="3">
        <v>54</v>
      </c>
      <c r="H474" s="3">
        <v>1.75</v>
      </c>
      <c r="I474" s="4">
        <v>39503</v>
      </c>
      <c r="J474" s="3">
        <v>62.2</v>
      </c>
      <c r="K474" s="3">
        <v>1.75</v>
      </c>
      <c r="L474" s="3">
        <v>27</v>
      </c>
      <c r="M474" s="5">
        <v>8.2000000000000028</v>
      </c>
      <c r="N474" s="5">
        <v>0</v>
      </c>
      <c r="O474" s="5">
        <v>53.46</v>
      </c>
      <c r="P474" s="5">
        <v>303.70370370370381</v>
      </c>
      <c r="Q474" s="5">
        <v>26.796721592592597</v>
      </c>
      <c r="R474" s="8">
        <f t="shared" si="47"/>
        <v>6</v>
      </c>
      <c r="S474" s="9">
        <f t="shared" si="48"/>
        <v>1.8000000000000043</v>
      </c>
      <c r="T474" s="9">
        <v>1.5</v>
      </c>
      <c r="U474" s="9">
        <f t="shared" si="49"/>
        <v>11.879999999999999</v>
      </c>
      <c r="V474" s="9">
        <f t="shared" si="50"/>
        <v>300.00000000000068</v>
      </c>
      <c r="W474" s="9">
        <f t="shared" si="51"/>
        <v>26.61412900000003</v>
      </c>
    </row>
    <row r="475" spans="1:23">
      <c r="A475" s="2" t="s">
        <v>299</v>
      </c>
      <c r="B475" s="2" t="s">
        <v>300</v>
      </c>
      <c r="C475" s="3">
        <v>14</v>
      </c>
      <c r="D475" s="3">
        <v>1.98</v>
      </c>
      <c r="E475" s="2" t="s">
        <v>333</v>
      </c>
      <c r="F475" s="4">
        <v>39476</v>
      </c>
      <c r="G475" s="3">
        <v>54</v>
      </c>
      <c r="H475" s="3">
        <v>1.75</v>
      </c>
      <c r="I475" s="4">
        <v>39511</v>
      </c>
      <c r="J475" s="3">
        <v>64.599999999999994</v>
      </c>
      <c r="K475" s="6"/>
      <c r="L475" s="3">
        <v>35</v>
      </c>
      <c r="M475" s="5">
        <v>10.599999999999994</v>
      </c>
      <c r="N475" s="6"/>
      <c r="O475" s="5">
        <v>69.3</v>
      </c>
      <c r="P475" s="5">
        <v>302.85714285714272</v>
      </c>
      <c r="Q475" s="5">
        <v>26.957894142857135</v>
      </c>
      <c r="R475" s="8">
        <f t="shared" si="47"/>
        <v>8</v>
      </c>
      <c r="S475" s="9">
        <f t="shared" si="48"/>
        <v>2.3999999999999915</v>
      </c>
      <c r="T475" s="9">
        <v>1.5</v>
      </c>
      <c r="U475" s="9">
        <f t="shared" si="49"/>
        <v>15.84</v>
      </c>
      <c r="V475" s="9">
        <f t="shared" si="50"/>
        <v>299.99999999999892</v>
      </c>
      <c r="W475" s="9">
        <f t="shared" si="51"/>
        <v>26.817036999999942</v>
      </c>
    </row>
    <row r="476" spans="1:23">
      <c r="A476" s="2" t="s">
        <v>299</v>
      </c>
      <c r="B476" s="2" t="s">
        <v>300</v>
      </c>
      <c r="C476" s="3">
        <v>14</v>
      </c>
      <c r="D476" s="3">
        <v>1.98</v>
      </c>
      <c r="E476" s="2" t="s">
        <v>333</v>
      </c>
      <c r="F476" s="4">
        <v>39476</v>
      </c>
      <c r="G476" s="3">
        <v>54</v>
      </c>
      <c r="H476" s="3">
        <v>1.75</v>
      </c>
      <c r="I476" s="4">
        <v>39518</v>
      </c>
      <c r="J476" s="3">
        <v>62.4</v>
      </c>
      <c r="K476" s="3">
        <v>2</v>
      </c>
      <c r="L476" s="3">
        <v>42</v>
      </c>
      <c r="M476" s="5">
        <v>8.3999999999999986</v>
      </c>
      <c r="N476" s="5">
        <v>0.25</v>
      </c>
      <c r="O476" s="5">
        <v>83.16</v>
      </c>
      <c r="P476" s="5">
        <v>199.99999999999994</v>
      </c>
      <c r="Q476" s="5">
        <v>21.701037999999997</v>
      </c>
      <c r="R476" s="8">
        <f t="shared" si="47"/>
        <v>7</v>
      </c>
      <c r="S476" s="9">
        <f t="shared" si="48"/>
        <v>-2.1999999999999957</v>
      </c>
      <c r="T476" s="9">
        <v>1.5</v>
      </c>
      <c r="U476" s="9">
        <f t="shared" si="49"/>
        <v>13.86</v>
      </c>
      <c r="V476" s="9">
        <f t="shared" si="50"/>
        <v>-314.28571428571365</v>
      </c>
      <c r="W476" s="9">
        <f t="shared" si="51"/>
        <v>-3.6532477142856834</v>
      </c>
    </row>
    <row r="477" spans="1:23">
      <c r="A477" s="2" t="s">
        <v>299</v>
      </c>
      <c r="B477" s="2" t="s">
        <v>300</v>
      </c>
      <c r="C477" s="3">
        <v>14</v>
      </c>
      <c r="D477" s="3">
        <v>1.98</v>
      </c>
      <c r="E477" s="2" t="s">
        <v>333</v>
      </c>
      <c r="F477" s="4">
        <v>39476</v>
      </c>
      <c r="G477" s="3">
        <v>54</v>
      </c>
      <c r="H477" s="3">
        <v>1.75</v>
      </c>
      <c r="I477" s="4">
        <v>39525</v>
      </c>
      <c r="J477" s="3">
        <v>65.400000000000006</v>
      </c>
      <c r="K477" s="3">
        <v>1.75</v>
      </c>
      <c r="L477" s="3">
        <v>49</v>
      </c>
      <c r="M477" s="5">
        <v>11.400000000000006</v>
      </c>
      <c r="N477" s="5">
        <v>0</v>
      </c>
      <c r="O477" s="5">
        <v>97.02</v>
      </c>
      <c r="P477" s="5">
        <v>232.65306122448993</v>
      </c>
      <c r="Q477" s="5">
        <v>23.564468918367353</v>
      </c>
      <c r="R477" s="8">
        <f t="shared" si="47"/>
        <v>7</v>
      </c>
      <c r="S477" s="9">
        <f t="shared" si="48"/>
        <v>3.0000000000000071</v>
      </c>
      <c r="T477" s="9">
        <v>1.5</v>
      </c>
      <c r="U477" s="9">
        <f t="shared" si="49"/>
        <v>13.86</v>
      </c>
      <c r="V477" s="9">
        <f t="shared" si="50"/>
        <v>428.57142857142958</v>
      </c>
      <c r="W477" s="9">
        <f t="shared" si="51"/>
        <v>33.223244428571476</v>
      </c>
    </row>
    <row r="478" spans="1:23">
      <c r="A478" s="2" t="s">
        <v>299</v>
      </c>
      <c r="B478" s="2" t="s">
        <v>300</v>
      </c>
      <c r="C478" s="3">
        <v>14</v>
      </c>
      <c r="D478" s="3">
        <v>1.98</v>
      </c>
      <c r="E478" s="2" t="s">
        <v>333</v>
      </c>
      <c r="F478" s="4">
        <v>39476</v>
      </c>
      <c r="G478" s="3">
        <v>54</v>
      </c>
      <c r="H478" s="3">
        <v>1.75</v>
      </c>
      <c r="I478" s="4">
        <v>39532</v>
      </c>
      <c r="J478" s="3">
        <v>66.400000000000006</v>
      </c>
      <c r="K478" s="3">
        <v>1.75</v>
      </c>
      <c r="L478" s="3">
        <v>56</v>
      </c>
      <c r="M478" s="5">
        <v>12.400000000000006</v>
      </c>
      <c r="N478" s="5">
        <v>0</v>
      </c>
      <c r="O478" s="5">
        <v>110.88</v>
      </c>
      <c r="P478" s="5">
        <v>221.42857142857153</v>
      </c>
      <c r="Q478" s="5">
        <v>23.095646571428574</v>
      </c>
      <c r="R478" s="8">
        <f t="shared" si="47"/>
        <v>7</v>
      </c>
      <c r="S478" s="9">
        <f t="shared" si="48"/>
        <v>1</v>
      </c>
      <c r="T478" s="9">
        <v>1.5</v>
      </c>
      <c r="U478" s="9">
        <f t="shared" si="49"/>
        <v>13.86</v>
      </c>
      <c r="V478" s="9">
        <f t="shared" si="50"/>
        <v>142.85714285714286</v>
      </c>
      <c r="W478" s="9">
        <f t="shared" si="51"/>
        <v>19.222075142857143</v>
      </c>
    </row>
    <row r="479" spans="1:23">
      <c r="A479" s="2" t="s">
        <v>299</v>
      </c>
      <c r="B479" s="2" t="s">
        <v>300</v>
      </c>
      <c r="C479" s="3">
        <v>14</v>
      </c>
      <c r="D479" s="3">
        <v>1.98</v>
      </c>
      <c r="E479" s="2" t="s">
        <v>334</v>
      </c>
      <c r="F479" s="4">
        <v>39476</v>
      </c>
      <c r="G479" s="3">
        <v>71</v>
      </c>
      <c r="H479" s="3">
        <v>2</v>
      </c>
      <c r="I479" s="4">
        <v>39476</v>
      </c>
      <c r="J479" s="3">
        <v>71</v>
      </c>
      <c r="K479" s="3">
        <v>2</v>
      </c>
      <c r="L479" s="3">
        <v>0</v>
      </c>
      <c r="M479" s="5">
        <v>0</v>
      </c>
      <c r="N479" s="5">
        <v>0</v>
      </c>
      <c r="O479" s="5">
        <v>0</v>
      </c>
      <c r="P479" s="5">
        <v>0</v>
      </c>
      <c r="Q479" s="5">
        <v>14.005389999999998</v>
      </c>
      <c r="R479" s="8">
        <f t="shared" si="47"/>
        <v>0</v>
      </c>
      <c r="S479" s="9">
        <f t="shared" si="48"/>
        <v>0</v>
      </c>
      <c r="T479" s="9">
        <v>1.5</v>
      </c>
      <c r="U479" s="9">
        <f t="shared" si="49"/>
        <v>0</v>
      </c>
      <c r="V479" s="9">
        <f t="shared" si="50"/>
        <v>0</v>
      </c>
      <c r="W479" s="9">
        <f t="shared" si="51"/>
        <v>14.005389999999998</v>
      </c>
    </row>
    <row r="480" spans="1:23">
      <c r="A480" s="2" t="s">
        <v>299</v>
      </c>
      <c r="B480" s="2" t="s">
        <v>300</v>
      </c>
      <c r="C480" s="3">
        <v>14</v>
      </c>
      <c r="D480" s="3">
        <v>1.98</v>
      </c>
      <c r="E480" s="2" t="s">
        <v>334</v>
      </c>
      <c r="F480" s="4">
        <v>39476</v>
      </c>
      <c r="G480" s="3">
        <v>71</v>
      </c>
      <c r="H480" s="3">
        <v>2</v>
      </c>
      <c r="I480" s="4">
        <v>39483</v>
      </c>
      <c r="J480" s="3">
        <v>69.400000000000006</v>
      </c>
      <c r="K480" s="6"/>
      <c r="L480" s="3">
        <v>7</v>
      </c>
      <c r="M480" s="5">
        <v>-1.5999999999999943</v>
      </c>
      <c r="N480" s="6"/>
      <c r="O480" s="5">
        <v>13.86</v>
      </c>
      <c r="P480" s="5">
        <v>-228.57142857142776</v>
      </c>
      <c r="Q480" s="5">
        <v>2.6015465714286119</v>
      </c>
      <c r="R480" s="8">
        <f t="shared" si="47"/>
        <v>7</v>
      </c>
      <c r="S480" s="9">
        <f t="shared" si="48"/>
        <v>-1.5999999999999943</v>
      </c>
      <c r="T480" s="9">
        <v>1.5</v>
      </c>
      <c r="U480" s="9">
        <f t="shared" si="49"/>
        <v>13.86</v>
      </c>
      <c r="V480" s="9">
        <f t="shared" si="50"/>
        <v>-228.57142857142776</v>
      </c>
      <c r="W480" s="9">
        <f t="shared" si="51"/>
        <v>2.6015465714286119</v>
      </c>
    </row>
    <row r="481" spans="1:23">
      <c r="A481" s="2" t="s">
        <v>299</v>
      </c>
      <c r="B481" s="2" t="s">
        <v>300</v>
      </c>
      <c r="C481" s="3">
        <v>14</v>
      </c>
      <c r="D481" s="3">
        <v>1.98</v>
      </c>
      <c r="E481" s="2" t="s">
        <v>334</v>
      </c>
      <c r="F481" s="4">
        <v>39476</v>
      </c>
      <c r="G481" s="3">
        <v>71</v>
      </c>
      <c r="H481" s="3">
        <v>2</v>
      </c>
      <c r="I481" s="4">
        <v>39490</v>
      </c>
      <c r="J481" s="3">
        <v>70</v>
      </c>
      <c r="K481" s="3">
        <v>2.25</v>
      </c>
      <c r="L481" s="3">
        <v>14</v>
      </c>
      <c r="M481" s="5">
        <v>-1</v>
      </c>
      <c r="N481" s="5">
        <v>0.25</v>
      </c>
      <c r="O481" s="5">
        <v>27.72</v>
      </c>
      <c r="P481" s="5">
        <v>-71.428571428571431</v>
      </c>
      <c r="Q481" s="5">
        <v>10.399416428571429</v>
      </c>
      <c r="R481" s="8">
        <f t="shared" si="47"/>
        <v>7</v>
      </c>
      <c r="S481" s="9">
        <f t="shared" si="48"/>
        <v>0.59999999999999432</v>
      </c>
      <c r="T481" s="9">
        <v>1.5</v>
      </c>
      <c r="U481" s="9">
        <f t="shared" si="49"/>
        <v>13.86</v>
      </c>
      <c r="V481" s="9">
        <f t="shared" si="50"/>
        <v>85.714285714284898</v>
      </c>
      <c r="W481" s="9">
        <f t="shared" si="51"/>
        <v>18.146559285714247</v>
      </c>
    </row>
    <row r="482" spans="1:23">
      <c r="A482" s="2" t="s">
        <v>299</v>
      </c>
      <c r="B482" s="2" t="s">
        <v>300</v>
      </c>
      <c r="C482" s="3">
        <v>14</v>
      </c>
      <c r="D482" s="3">
        <v>1.98</v>
      </c>
      <c r="E482" s="2" t="s">
        <v>334</v>
      </c>
      <c r="F482" s="4">
        <v>39476</v>
      </c>
      <c r="G482" s="3">
        <v>71</v>
      </c>
      <c r="H482" s="3">
        <v>2</v>
      </c>
      <c r="I482" s="4">
        <v>39497</v>
      </c>
      <c r="J482" s="3">
        <v>70.599999999999994</v>
      </c>
      <c r="K482" s="3">
        <v>2</v>
      </c>
      <c r="L482" s="3">
        <v>21</v>
      </c>
      <c r="M482" s="5">
        <v>-0.40000000000000568</v>
      </c>
      <c r="N482" s="5">
        <v>0</v>
      </c>
      <c r="O482" s="5">
        <v>41.58</v>
      </c>
      <c r="P482" s="5">
        <v>-19.047619047619321</v>
      </c>
      <c r="Q482" s="5">
        <v>13.032524380952365</v>
      </c>
      <c r="R482" s="8">
        <f t="shared" si="47"/>
        <v>7</v>
      </c>
      <c r="S482" s="9">
        <f t="shared" si="48"/>
        <v>0.59999999999999432</v>
      </c>
      <c r="T482" s="9">
        <v>1.5</v>
      </c>
      <c r="U482" s="9">
        <f t="shared" si="49"/>
        <v>13.86</v>
      </c>
      <c r="V482" s="9">
        <f t="shared" si="50"/>
        <v>85.714285714284898</v>
      </c>
      <c r="W482" s="9">
        <f t="shared" si="51"/>
        <v>18.197286285714242</v>
      </c>
    </row>
    <row r="483" spans="1:23">
      <c r="A483" s="2" t="s">
        <v>299</v>
      </c>
      <c r="B483" s="2" t="s">
        <v>300</v>
      </c>
      <c r="C483" s="3">
        <v>14</v>
      </c>
      <c r="D483" s="3">
        <v>1.98</v>
      </c>
      <c r="E483" s="2" t="s">
        <v>334</v>
      </c>
      <c r="F483" s="4">
        <v>39476</v>
      </c>
      <c r="G483" s="3">
        <v>71</v>
      </c>
      <c r="H483" s="3">
        <v>2</v>
      </c>
      <c r="I483" s="4">
        <v>39503</v>
      </c>
      <c r="J483" s="3">
        <v>71.8</v>
      </c>
      <c r="K483" s="3">
        <v>2</v>
      </c>
      <c r="L483" s="3">
        <v>27</v>
      </c>
      <c r="M483" s="5">
        <v>0.79999999999999716</v>
      </c>
      <c r="N483" s="5">
        <v>0</v>
      </c>
      <c r="O483" s="5">
        <v>53.46</v>
      </c>
      <c r="P483" s="5">
        <v>29.629629629629523</v>
      </c>
      <c r="Q483" s="5">
        <v>15.533766740740736</v>
      </c>
      <c r="R483" s="8">
        <f t="shared" si="47"/>
        <v>6</v>
      </c>
      <c r="S483" s="9">
        <f t="shared" si="48"/>
        <v>1.2000000000000028</v>
      </c>
      <c r="T483" s="9">
        <v>1.5</v>
      </c>
      <c r="U483" s="9">
        <f t="shared" si="49"/>
        <v>11.879999999999999</v>
      </c>
      <c r="V483" s="9">
        <f t="shared" si="50"/>
        <v>200.00000000000048</v>
      </c>
      <c r="W483" s="9">
        <f t="shared" si="51"/>
        <v>23.933026000000023</v>
      </c>
    </row>
    <row r="484" spans="1:23">
      <c r="A484" s="2" t="s">
        <v>299</v>
      </c>
      <c r="B484" s="2" t="s">
        <v>300</v>
      </c>
      <c r="C484" s="3">
        <v>14</v>
      </c>
      <c r="D484" s="3">
        <v>1.98</v>
      </c>
      <c r="E484" s="2" t="s">
        <v>334</v>
      </c>
      <c r="F484" s="4">
        <v>39476</v>
      </c>
      <c r="G484" s="3">
        <v>71</v>
      </c>
      <c r="H484" s="3">
        <v>2</v>
      </c>
      <c r="I484" s="4">
        <v>39511</v>
      </c>
      <c r="J484" s="3">
        <v>71</v>
      </c>
      <c r="K484" s="6"/>
      <c r="L484" s="3">
        <v>35</v>
      </c>
      <c r="M484" s="5">
        <v>0</v>
      </c>
      <c r="N484" s="6"/>
      <c r="O484" s="5">
        <v>69.3</v>
      </c>
      <c r="P484" s="5">
        <v>0</v>
      </c>
      <c r="Q484" s="5">
        <v>14.005389999999998</v>
      </c>
      <c r="R484" s="8">
        <f t="shared" si="47"/>
        <v>8</v>
      </c>
      <c r="S484" s="9">
        <f t="shared" si="48"/>
        <v>-0.79999999999999716</v>
      </c>
      <c r="T484" s="9">
        <v>1.5</v>
      </c>
      <c r="U484" s="9">
        <f t="shared" si="49"/>
        <v>15.84</v>
      </c>
      <c r="V484" s="9">
        <f t="shared" si="50"/>
        <v>-99.999999999999645</v>
      </c>
      <c r="W484" s="9">
        <f t="shared" si="51"/>
        <v>9.0753900000000165</v>
      </c>
    </row>
    <row r="485" spans="1:23">
      <c r="A485" s="2" t="s">
        <v>299</v>
      </c>
      <c r="B485" s="2" t="s">
        <v>300</v>
      </c>
      <c r="C485" s="3">
        <v>14</v>
      </c>
      <c r="D485" s="3">
        <v>1.98</v>
      </c>
      <c r="E485" s="2" t="s">
        <v>334</v>
      </c>
      <c r="F485" s="4">
        <v>39476</v>
      </c>
      <c r="G485" s="3">
        <v>71</v>
      </c>
      <c r="H485" s="3">
        <v>2</v>
      </c>
      <c r="I485" s="4">
        <v>39518</v>
      </c>
      <c r="J485" s="3">
        <v>72.8</v>
      </c>
      <c r="K485" s="3">
        <v>2.25</v>
      </c>
      <c r="L485" s="3">
        <v>42</v>
      </c>
      <c r="M485" s="5">
        <v>1.7999999999999972</v>
      </c>
      <c r="N485" s="5">
        <v>0.25</v>
      </c>
      <c r="O485" s="5">
        <v>83.16</v>
      </c>
      <c r="P485" s="5">
        <v>42.85714285714279</v>
      </c>
      <c r="Q485" s="5">
        <v>16.270428142857142</v>
      </c>
      <c r="R485" s="8">
        <f t="shared" si="47"/>
        <v>7</v>
      </c>
      <c r="S485" s="9">
        <f t="shared" si="48"/>
        <v>1.7999999999999972</v>
      </c>
      <c r="T485" s="9">
        <v>1.5</v>
      </c>
      <c r="U485" s="9">
        <f t="shared" si="49"/>
        <v>13.86</v>
      </c>
      <c r="V485" s="9">
        <f t="shared" si="50"/>
        <v>257.14285714285671</v>
      </c>
      <c r="W485" s="9">
        <f t="shared" si="51"/>
        <v>26.834713857142837</v>
      </c>
    </row>
    <row r="486" spans="1:23">
      <c r="A486" s="2" t="s">
        <v>299</v>
      </c>
      <c r="B486" s="2" t="s">
        <v>300</v>
      </c>
      <c r="C486" s="3">
        <v>14</v>
      </c>
      <c r="D486" s="3">
        <v>1.98</v>
      </c>
      <c r="E486" s="2" t="s">
        <v>334</v>
      </c>
      <c r="F486" s="4">
        <v>39476</v>
      </c>
      <c r="G486" s="3">
        <v>71</v>
      </c>
      <c r="H486" s="3">
        <v>2</v>
      </c>
      <c r="I486" s="4">
        <v>39525</v>
      </c>
      <c r="J486" s="3">
        <v>72</v>
      </c>
      <c r="K486" s="3">
        <v>2.25</v>
      </c>
      <c r="L486" s="3">
        <v>49</v>
      </c>
      <c r="M486" s="5">
        <v>1</v>
      </c>
      <c r="N486" s="5">
        <v>0.25</v>
      </c>
      <c r="O486" s="5">
        <v>97.02</v>
      </c>
      <c r="P486" s="5">
        <v>20.408163265306122</v>
      </c>
      <c r="Q486" s="5">
        <v>15.09605744897959</v>
      </c>
      <c r="R486" s="8">
        <f t="shared" si="47"/>
        <v>7</v>
      </c>
      <c r="S486" s="9">
        <f t="shared" si="48"/>
        <v>-0.79999999999999716</v>
      </c>
      <c r="T486" s="9">
        <v>1.5</v>
      </c>
      <c r="U486" s="9">
        <f t="shared" si="49"/>
        <v>13.86</v>
      </c>
      <c r="V486" s="9">
        <f t="shared" si="50"/>
        <v>-114.28571428571388</v>
      </c>
      <c r="W486" s="9">
        <f t="shared" si="51"/>
        <v>8.4556492857143049</v>
      </c>
    </row>
    <row r="487" spans="1:23">
      <c r="A487" s="2" t="s">
        <v>299</v>
      </c>
      <c r="B487" s="2" t="s">
        <v>300</v>
      </c>
      <c r="C487" s="3">
        <v>14</v>
      </c>
      <c r="D487" s="3">
        <v>1.98</v>
      </c>
      <c r="E487" s="2" t="s">
        <v>334</v>
      </c>
      <c r="F487" s="4">
        <v>39476</v>
      </c>
      <c r="G487" s="3">
        <v>71</v>
      </c>
      <c r="H487" s="3">
        <v>2</v>
      </c>
      <c r="I487" s="4">
        <v>39532</v>
      </c>
      <c r="J487" s="3">
        <v>66.400000000000006</v>
      </c>
      <c r="K487" s="3">
        <v>2</v>
      </c>
      <c r="L487" s="3">
        <v>56</v>
      </c>
      <c r="M487" s="5">
        <v>-4.5999999999999943</v>
      </c>
      <c r="N487" s="5">
        <v>0</v>
      </c>
      <c r="O487" s="5">
        <v>110.88</v>
      </c>
      <c r="P487" s="5">
        <v>-82.142857142857039</v>
      </c>
      <c r="Q487" s="5">
        <v>9.5668401428571492</v>
      </c>
      <c r="R487" s="8">
        <f t="shared" si="47"/>
        <v>7</v>
      </c>
      <c r="S487" s="9">
        <f t="shared" si="48"/>
        <v>-5.5999999999999943</v>
      </c>
      <c r="T487" s="9">
        <v>1.5</v>
      </c>
      <c r="U487" s="9">
        <f t="shared" si="49"/>
        <v>13.86</v>
      </c>
      <c r="V487" s="9">
        <f t="shared" si="50"/>
        <v>-799.9999999999992</v>
      </c>
      <c r="W487" s="9">
        <f t="shared" si="51"/>
        <v>-25.823516999999953</v>
      </c>
    </row>
    <row r="488" spans="1:23">
      <c r="A488" s="2" t="s">
        <v>335</v>
      </c>
      <c r="B488" s="2" t="s">
        <v>336</v>
      </c>
      <c r="C488" s="3">
        <v>29</v>
      </c>
      <c r="D488" s="3">
        <v>3.96</v>
      </c>
      <c r="E488" s="2" t="s">
        <v>337</v>
      </c>
      <c r="F488" s="4">
        <v>39476</v>
      </c>
      <c r="G488" s="3">
        <v>50.8</v>
      </c>
      <c r="H488" s="3">
        <v>1.75</v>
      </c>
      <c r="I488" s="4">
        <v>39476</v>
      </c>
      <c r="J488" s="3">
        <v>50.8</v>
      </c>
      <c r="K488" s="3">
        <v>1.75</v>
      </c>
      <c r="L488" s="3">
        <v>0</v>
      </c>
      <c r="M488" s="5">
        <v>0</v>
      </c>
      <c r="N488" s="5">
        <v>0</v>
      </c>
      <c r="O488" s="5">
        <v>0</v>
      </c>
      <c r="P488" s="5">
        <v>0</v>
      </c>
      <c r="Q488" s="5">
        <v>10.589771999999998</v>
      </c>
      <c r="R488" s="8">
        <f t="shared" si="47"/>
        <v>0</v>
      </c>
      <c r="S488" s="9">
        <f t="shared" si="48"/>
        <v>0</v>
      </c>
      <c r="T488" s="9">
        <v>1.5</v>
      </c>
      <c r="U488" s="9">
        <f t="shared" si="49"/>
        <v>0</v>
      </c>
      <c r="V488" s="9">
        <f t="shared" si="50"/>
        <v>0</v>
      </c>
      <c r="W488" s="9">
        <f t="shared" si="51"/>
        <v>10.589771999999998</v>
      </c>
    </row>
    <row r="489" spans="1:23">
      <c r="A489" s="2" t="s">
        <v>335</v>
      </c>
      <c r="B489" s="2" t="s">
        <v>336</v>
      </c>
      <c r="C489" s="3">
        <v>29</v>
      </c>
      <c r="D489" s="3">
        <v>3.96</v>
      </c>
      <c r="E489" s="2" t="s">
        <v>337</v>
      </c>
      <c r="F489" s="4">
        <v>39476</v>
      </c>
      <c r="G489" s="3">
        <v>50.8</v>
      </c>
      <c r="H489" s="3">
        <v>1.75</v>
      </c>
      <c r="I489" s="4">
        <v>39483</v>
      </c>
      <c r="J489" s="3">
        <v>56.4</v>
      </c>
      <c r="K489" s="6"/>
      <c r="L489" s="3">
        <v>7</v>
      </c>
      <c r="M489" s="5">
        <v>5.6000000000000014</v>
      </c>
      <c r="N489" s="6"/>
      <c r="O489" s="5">
        <v>27.72</v>
      </c>
      <c r="P489" s="5">
        <v>800.00000000000011</v>
      </c>
      <c r="Q489" s="5">
        <v>50.503224000000003</v>
      </c>
      <c r="R489" s="8">
        <f t="shared" si="47"/>
        <v>7</v>
      </c>
      <c r="S489" s="9">
        <f t="shared" si="48"/>
        <v>5.6000000000000014</v>
      </c>
      <c r="T489" s="9">
        <v>1.5</v>
      </c>
      <c r="U489" s="9">
        <f t="shared" si="49"/>
        <v>27.72</v>
      </c>
      <c r="V489" s="9">
        <f t="shared" si="50"/>
        <v>800.00000000000011</v>
      </c>
      <c r="W489" s="9">
        <f t="shared" si="51"/>
        <v>50.503224000000003</v>
      </c>
    </row>
    <row r="490" spans="1:23">
      <c r="A490" s="2" t="s">
        <v>335</v>
      </c>
      <c r="B490" s="2" t="s">
        <v>336</v>
      </c>
      <c r="C490" s="3">
        <v>29</v>
      </c>
      <c r="D490" s="3">
        <v>3.96</v>
      </c>
      <c r="E490" s="2" t="s">
        <v>337</v>
      </c>
      <c r="F490" s="4">
        <v>39476</v>
      </c>
      <c r="G490" s="3">
        <v>50.8</v>
      </c>
      <c r="H490" s="3">
        <v>1.75</v>
      </c>
      <c r="I490" s="4">
        <v>39490</v>
      </c>
      <c r="J490" s="3">
        <v>57.2</v>
      </c>
      <c r="K490" s="3">
        <v>1.75</v>
      </c>
      <c r="L490" s="3">
        <v>14</v>
      </c>
      <c r="M490" s="5">
        <v>6.4000000000000057</v>
      </c>
      <c r="N490" s="5">
        <v>0</v>
      </c>
      <c r="O490" s="5">
        <v>55.44</v>
      </c>
      <c r="P490" s="5">
        <v>457.14285714285757</v>
      </c>
      <c r="Q490" s="5">
        <v>33.668002857142881</v>
      </c>
      <c r="R490" s="8">
        <f t="shared" si="47"/>
        <v>7</v>
      </c>
      <c r="S490" s="9">
        <f t="shared" si="48"/>
        <v>0.80000000000000426</v>
      </c>
      <c r="T490" s="9">
        <v>1.5</v>
      </c>
      <c r="U490" s="9">
        <f t="shared" si="49"/>
        <v>27.72</v>
      </c>
      <c r="V490" s="9">
        <f t="shared" si="50"/>
        <v>114.28571428571489</v>
      </c>
      <c r="W490" s="9">
        <f t="shared" si="51"/>
        <v>16.765145714285744</v>
      </c>
    </row>
    <row r="491" spans="1:23">
      <c r="A491" s="2" t="s">
        <v>335</v>
      </c>
      <c r="B491" s="2" t="s">
        <v>336</v>
      </c>
      <c r="C491" s="3">
        <v>29</v>
      </c>
      <c r="D491" s="3">
        <v>3.96</v>
      </c>
      <c r="E491" s="2" t="s">
        <v>337</v>
      </c>
      <c r="F491" s="4">
        <v>39476</v>
      </c>
      <c r="G491" s="3">
        <v>50.8</v>
      </c>
      <c r="H491" s="3">
        <v>1.75</v>
      </c>
      <c r="I491" s="4">
        <v>39497</v>
      </c>
      <c r="J491" s="3">
        <v>53.4</v>
      </c>
      <c r="K491" s="3">
        <v>1.75</v>
      </c>
      <c r="L491" s="3">
        <v>21</v>
      </c>
      <c r="M491" s="5">
        <v>2.6000000000000014</v>
      </c>
      <c r="N491" s="5">
        <v>0</v>
      </c>
      <c r="O491" s="5">
        <v>83.16</v>
      </c>
      <c r="P491" s="5">
        <v>123.80952380952388</v>
      </c>
      <c r="Q491" s="5">
        <v>16.913398523809526</v>
      </c>
      <c r="R491" s="8">
        <f t="shared" si="47"/>
        <v>7</v>
      </c>
      <c r="S491" s="9">
        <f t="shared" si="48"/>
        <v>-3.8000000000000043</v>
      </c>
      <c r="T491" s="9">
        <v>1.5</v>
      </c>
      <c r="U491" s="9">
        <f t="shared" si="49"/>
        <v>27.72</v>
      </c>
      <c r="V491" s="9">
        <f t="shared" si="50"/>
        <v>-542.85714285714346</v>
      </c>
      <c r="W491" s="9">
        <f t="shared" si="51"/>
        <v>-15.953268142857173</v>
      </c>
    </row>
    <row r="492" spans="1:23">
      <c r="A492" s="2" t="s">
        <v>335</v>
      </c>
      <c r="B492" s="2" t="s">
        <v>336</v>
      </c>
      <c r="C492" s="3">
        <v>29</v>
      </c>
      <c r="D492" s="3">
        <v>3.96</v>
      </c>
      <c r="E492" s="2" t="s">
        <v>337</v>
      </c>
      <c r="F492" s="4">
        <v>39476</v>
      </c>
      <c r="G492" s="3">
        <v>50.8</v>
      </c>
      <c r="H492" s="3">
        <v>1.75</v>
      </c>
      <c r="I492" s="4">
        <v>39503</v>
      </c>
      <c r="J492" s="3">
        <v>54.2</v>
      </c>
      <c r="K492" s="3">
        <v>1.75</v>
      </c>
      <c r="L492" s="3">
        <v>27</v>
      </c>
      <c r="M492" s="5">
        <v>3.4000000000000057</v>
      </c>
      <c r="N492" s="5">
        <v>0</v>
      </c>
      <c r="O492" s="5">
        <v>106.92</v>
      </c>
      <c r="P492" s="5">
        <v>125.92592592592614</v>
      </c>
      <c r="Q492" s="5">
        <v>17.085373148148157</v>
      </c>
      <c r="R492" s="8">
        <f t="shared" si="47"/>
        <v>6</v>
      </c>
      <c r="S492" s="9">
        <f t="shared" si="48"/>
        <v>0.80000000000000426</v>
      </c>
      <c r="T492" s="9">
        <v>1.5</v>
      </c>
      <c r="U492" s="9">
        <f t="shared" si="49"/>
        <v>23.759999999999998</v>
      </c>
      <c r="V492" s="9">
        <f t="shared" si="50"/>
        <v>133.33333333333405</v>
      </c>
      <c r="W492" s="9">
        <f t="shared" si="51"/>
        <v>17.450558333333369</v>
      </c>
    </row>
    <row r="493" spans="1:23">
      <c r="A493" s="2" t="s">
        <v>335</v>
      </c>
      <c r="B493" s="2" t="s">
        <v>336</v>
      </c>
      <c r="C493" s="3">
        <v>29</v>
      </c>
      <c r="D493" s="3">
        <v>3.96</v>
      </c>
      <c r="E493" s="2" t="s">
        <v>338</v>
      </c>
      <c r="F493" s="4">
        <v>39476</v>
      </c>
      <c r="G493" s="3">
        <v>59.6</v>
      </c>
      <c r="H493" s="3">
        <v>1.75</v>
      </c>
      <c r="I493" s="4">
        <v>39476</v>
      </c>
      <c r="J493" s="3">
        <v>59.6</v>
      </c>
      <c r="K493" s="3">
        <v>1.75</v>
      </c>
      <c r="L493" s="3">
        <v>0</v>
      </c>
      <c r="M493" s="5">
        <v>0</v>
      </c>
      <c r="N493" s="5">
        <v>0</v>
      </c>
      <c r="O493" s="5">
        <v>0</v>
      </c>
      <c r="P493" s="5">
        <v>0</v>
      </c>
      <c r="Q493" s="5">
        <v>12.077764</v>
      </c>
      <c r="R493" s="8">
        <f t="shared" si="47"/>
        <v>0</v>
      </c>
      <c r="S493" s="9">
        <f t="shared" si="48"/>
        <v>0</v>
      </c>
      <c r="T493" s="9">
        <v>1.5</v>
      </c>
      <c r="U493" s="9">
        <f t="shared" si="49"/>
        <v>0</v>
      </c>
      <c r="V493" s="9">
        <f t="shared" si="50"/>
        <v>0</v>
      </c>
      <c r="W493" s="9">
        <f t="shared" si="51"/>
        <v>12.077764</v>
      </c>
    </row>
    <row r="494" spans="1:23">
      <c r="A494" s="2" t="s">
        <v>335</v>
      </c>
      <c r="B494" s="2" t="s">
        <v>336</v>
      </c>
      <c r="C494" s="3">
        <v>29</v>
      </c>
      <c r="D494" s="3">
        <v>3.96</v>
      </c>
      <c r="E494" s="2" t="s">
        <v>338</v>
      </c>
      <c r="F494" s="4">
        <v>39476</v>
      </c>
      <c r="G494" s="3">
        <v>59.6</v>
      </c>
      <c r="H494" s="3">
        <v>1.75</v>
      </c>
      <c r="I494" s="4">
        <v>39483</v>
      </c>
      <c r="J494" s="3">
        <v>64.599999999999994</v>
      </c>
      <c r="K494" s="6"/>
      <c r="L494" s="3">
        <v>7</v>
      </c>
      <c r="M494" s="5">
        <v>4.9999999999999929</v>
      </c>
      <c r="N494" s="6"/>
      <c r="O494" s="5">
        <v>27.72</v>
      </c>
      <c r="P494" s="5">
        <v>714.28571428571331</v>
      </c>
      <c r="Q494" s="5">
        <v>47.714774714285667</v>
      </c>
      <c r="R494" s="8">
        <f t="shared" si="47"/>
        <v>7</v>
      </c>
      <c r="S494" s="9">
        <f t="shared" si="48"/>
        <v>4.9999999999999929</v>
      </c>
      <c r="T494" s="9">
        <v>1.5</v>
      </c>
      <c r="U494" s="9">
        <f t="shared" si="49"/>
        <v>27.72</v>
      </c>
      <c r="V494" s="9">
        <f t="shared" si="50"/>
        <v>714.28571428571331</v>
      </c>
      <c r="W494" s="9">
        <f t="shared" si="51"/>
        <v>47.714774714285667</v>
      </c>
    </row>
    <row r="495" spans="1:23">
      <c r="A495" s="2" t="s">
        <v>335</v>
      </c>
      <c r="B495" s="2" t="s">
        <v>336</v>
      </c>
      <c r="C495" s="3">
        <v>29</v>
      </c>
      <c r="D495" s="3">
        <v>3.96</v>
      </c>
      <c r="E495" s="2" t="s">
        <v>338</v>
      </c>
      <c r="F495" s="4">
        <v>39476</v>
      </c>
      <c r="G495" s="3">
        <v>59.6</v>
      </c>
      <c r="H495" s="3">
        <v>1.75</v>
      </c>
      <c r="I495" s="4">
        <v>39490</v>
      </c>
      <c r="J495" s="3">
        <v>66.8</v>
      </c>
      <c r="K495" s="3">
        <v>1.75</v>
      </c>
      <c r="L495" s="3">
        <v>14</v>
      </c>
      <c r="M495" s="5">
        <v>7.1999999999999957</v>
      </c>
      <c r="N495" s="5">
        <v>0</v>
      </c>
      <c r="O495" s="5">
        <v>55.44</v>
      </c>
      <c r="P495" s="5">
        <v>514.28571428571399</v>
      </c>
      <c r="Q495" s="5">
        <v>38.040773714285699</v>
      </c>
      <c r="R495" s="8">
        <f t="shared" si="47"/>
        <v>7</v>
      </c>
      <c r="S495" s="9">
        <f t="shared" si="48"/>
        <v>2.2000000000000028</v>
      </c>
      <c r="T495" s="9">
        <v>1.5</v>
      </c>
      <c r="U495" s="9">
        <f t="shared" si="49"/>
        <v>27.72</v>
      </c>
      <c r="V495" s="9">
        <f t="shared" si="50"/>
        <v>314.28571428571468</v>
      </c>
      <c r="W495" s="9">
        <f t="shared" si="51"/>
        <v>28.180773714285735</v>
      </c>
    </row>
    <row r="496" spans="1:23">
      <c r="A496" s="2" t="s">
        <v>335</v>
      </c>
      <c r="B496" s="2" t="s">
        <v>336</v>
      </c>
      <c r="C496" s="3">
        <v>29</v>
      </c>
      <c r="D496" s="3">
        <v>3.96</v>
      </c>
      <c r="E496" s="2" t="s">
        <v>338</v>
      </c>
      <c r="F496" s="4">
        <v>39476</v>
      </c>
      <c r="G496" s="3">
        <v>59.6</v>
      </c>
      <c r="H496" s="3">
        <v>1.75</v>
      </c>
      <c r="I496" s="4">
        <v>39497</v>
      </c>
      <c r="J496" s="3">
        <v>62.2</v>
      </c>
      <c r="K496" s="3">
        <v>1.75</v>
      </c>
      <c r="L496" s="3">
        <v>21</v>
      </c>
      <c r="M496" s="5">
        <v>2.6000000000000014</v>
      </c>
      <c r="N496" s="5">
        <v>0</v>
      </c>
      <c r="O496" s="5">
        <v>83.16</v>
      </c>
      <c r="P496" s="5">
        <v>123.80952380952388</v>
      </c>
      <c r="Q496" s="5">
        <v>18.401390523809528</v>
      </c>
      <c r="R496" s="8">
        <f t="shared" si="47"/>
        <v>7</v>
      </c>
      <c r="S496" s="9">
        <f t="shared" si="48"/>
        <v>-4.5999999999999943</v>
      </c>
      <c r="T496" s="9">
        <v>1.5</v>
      </c>
      <c r="U496" s="9">
        <f t="shared" si="49"/>
        <v>27.72</v>
      </c>
      <c r="V496" s="9">
        <f t="shared" si="50"/>
        <v>-657.14285714285631</v>
      </c>
      <c r="W496" s="9">
        <f t="shared" si="51"/>
        <v>-20.099561857142817</v>
      </c>
    </row>
    <row r="497" spans="1:23">
      <c r="A497" s="2" t="s">
        <v>335</v>
      </c>
      <c r="B497" s="2" t="s">
        <v>336</v>
      </c>
      <c r="C497" s="3">
        <v>29</v>
      </c>
      <c r="D497" s="3">
        <v>3.96</v>
      </c>
      <c r="E497" s="2" t="s">
        <v>338</v>
      </c>
      <c r="F497" s="4">
        <v>39476</v>
      </c>
      <c r="G497" s="3">
        <v>59.6</v>
      </c>
      <c r="H497" s="3">
        <v>1.75</v>
      </c>
      <c r="I497" s="4">
        <v>39503</v>
      </c>
      <c r="J497" s="3">
        <v>63.4</v>
      </c>
      <c r="K497" s="3">
        <v>1.75</v>
      </c>
      <c r="L497" s="3">
        <v>27</v>
      </c>
      <c r="M497" s="5">
        <v>3.7999999999999972</v>
      </c>
      <c r="N497" s="5">
        <v>0</v>
      </c>
      <c r="O497" s="5">
        <v>106.92</v>
      </c>
      <c r="P497" s="5">
        <v>140.74074074074065</v>
      </c>
      <c r="Q497" s="5">
        <v>19.337553518518511</v>
      </c>
      <c r="R497" s="8">
        <f t="shared" si="47"/>
        <v>6</v>
      </c>
      <c r="S497" s="9">
        <f t="shared" si="48"/>
        <v>1.1999999999999957</v>
      </c>
      <c r="T497" s="9">
        <v>1.5</v>
      </c>
      <c r="U497" s="9">
        <f t="shared" si="49"/>
        <v>23.759999999999998</v>
      </c>
      <c r="V497" s="9">
        <f t="shared" si="50"/>
        <v>199.99999999999929</v>
      </c>
      <c r="W497" s="9">
        <f t="shared" si="51"/>
        <v>22.259034999999962</v>
      </c>
    </row>
    <row r="498" spans="1:23">
      <c r="A498" s="2" t="s">
        <v>335</v>
      </c>
      <c r="B498" s="2" t="s">
        <v>336</v>
      </c>
      <c r="C498" s="3">
        <v>29</v>
      </c>
      <c r="D498" s="3">
        <v>3.96</v>
      </c>
      <c r="E498" s="2" t="s">
        <v>339</v>
      </c>
      <c r="F498" s="4">
        <v>39476</v>
      </c>
      <c r="G498" s="3">
        <v>53.8</v>
      </c>
      <c r="H498" s="3">
        <v>2</v>
      </c>
      <c r="I498" s="4">
        <v>39476</v>
      </c>
      <c r="J498" s="3">
        <v>53.8</v>
      </c>
      <c r="K498" s="3">
        <v>2</v>
      </c>
      <c r="L498" s="3">
        <v>0</v>
      </c>
      <c r="M498" s="5">
        <v>0</v>
      </c>
      <c r="N498" s="5">
        <v>0</v>
      </c>
      <c r="O498" s="5">
        <v>0</v>
      </c>
      <c r="P498" s="5">
        <v>0</v>
      </c>
      <c r="Q498" s="5">
        <v>11.097041999999998</v>
      </c>
      <c r="R498" s="8">
        <f t="shared" si="47"/>
        <v>0</v>
      </c>
      <c r="S498" s="9">
        <f t="shared" si="48"/>
        <v>0</v>
      </c>
      <c r="T498" s="9">
        <v>1.5</v>
      </c>
      <c r="U498" s="9">
        <f t="shared" si="49"/>
        <v>0</v>
      </c>
      <c r="V498" s="9">
        <f t="shared" si="50"/>
        <v>0</v>
      </c>
      <c r="W498" s="9">
        <f t="shared" si="51"/>
        <v>11.097041999999998</v>
      </c>
    </row>
    <row r="499" spans="1:23">
      <c r="A499" s="2" t="s">
        <v>335</v>
      </c>
      <c r="B499" s="2" t="s">
        <v>336</v>
      </c>
      <c r="C499" s="3">
        <v>29</v>
      </c>
      <c r="D499" s="3">
        <v>3.96</v>
      </c>
      <c r="E499" s="2" t="s">
        <v>339</v>
      </c>
      <c r="F499" s="4">
        <v>39476</v>
      </c>
      <c r="G499" s="3">
        <v>53.8</v>
      </c>
      <c r="H499" s="3">
        <v>2</v>
      </c>
      <c r="I499" s="4">
        <v>39483</v>
      </c>
      <c r="J499" s="3">
        <v>58.6</v>
      </c>
      <c r="K499" s="6"/>
      <c r="L499" s="3">
        <v>7</v>
      </c>
      <c r="M499" s="5">
        <v>4.8000000000000043</v>
      </c>
      <c r="N499" s="6"/>
      <c r="O499" s="5">
        <v>27.72</v>
      </c>
      <c r="P499" s="5">
        <v>685.71428571428623</v>
      </c>
      <c r="Q499" s="5">
        <v>45.308572285714305</v>
      </c>
      <c r="R499" s="8">
        <f t="shared" si="47"/>
        <v>7</v>
      </c>
      <c r="S499" s="9">
        <f t="shared" si="48"/>
        <v>4.8000000000000043</v>
      </c>
      <c r="T499" s="9">
        <v>1.5</v>
      </c>
      <c r="U499" s="9">
        <f t="shared" si="49"/>
        <v>27.72</v>
      </c>
      <c r="V499" s="9">
        <f t="shared" si="50"/>
        <v>685.71428571428623</v>
      </c>
      <c r="W499" s="9">
        <f t="shared" si="51"/>
        <v>45.308572285714305</v>
      </c>
    </row>
    <row r="500" spans="1:23">
      <c r="A500" s="2" t="s">
        <v>335</v>
      </c>
      <c r="B500" s="2" t="s">
        <v>336</v>
      </c>
      <c r="C500" s="3">
        <v>29</v>
      </c>
      <c r="D500" s="3">
        <v>3.96</v>
      </c>
      <c r="E500" s="2" t="s">
        <v>339</v>
      </c>
      <c r="F500" s="4">
        <v>39476</v>
      </c>
      <c r="G500" s="3">
        <v>53.8</v>
      </c>
      <c r="H500" s="3">
        <v>2</v>
      </c>
      <c r="I500" s="4">
        <v>39490</v>
      </c>
      <c r="J500" s="3">
        <v>57.4</v>
      </c>
      <c r="K500" s="3">
        <v>2.25</v>
      </c>
      <c r="L500" s="3">
        <v>14</v>
      </c>
      <c r="M500" s="5">
        <v>3.6000000000000014</v>
      </c>
      <c r="N500" s="5">
        <v>0.25</v>
      </c>
      <c r="O500" s="5">
        <v>55.44</v>
      </c>
      <c r="P500" s="5">
        <v>257.14285714285722</v>
      </c>
      <c r="Q500" s="5">
        <v>24.078546857142861</v>
      </c>
      <c r="R500" s="8">
        <f t="shared" si="47"/>
        <v>7</v>
      </c>
      <c r="S500" s="9">
        <f t="shared" si="48"/>
        <v>-1.2000000000000028</v>
      </c>
      <c r="T500" s="9">
        <v>1.5</v>
      </c>
      <c r="U500" s="9">
        <f t="shared" si="49"/>
        <v>27.72</v>
      </c>
      <c r="V500" s="9">
        <f t="shared" si="50"/>
        <v>-171.42857142857184</v>
      </c>
      <c r="W500" s="9">
        <f t="shared" si="51"/>
        <v>2.9499754285714062</v>
      </c>
    </row>
    <row r="501" spans="1:23">
      <c r="A501" s="2" t="s">
        <v>335</v>
      </c>
      <c r="B501" s="2" t="s">
        <v>336</v>
      </c>
      <c r="C501" s="3">
        <v>29</v>
      </c>
      <c r="D501" s="3">
        <v>3.96</v>
      </c>
      <c r="E501" s="2" t="s">
        <v>339</v>
      </c>
      <c r="F501" s="4">
        <v>39476</v>
      </c>
      <c r="G501" s="3">
        <v>53.8</v>
      </c>
      <c r="H501" s="3">
        <v>2</v>
      </c>
      <c r="I501" s="4">
        <v>39497</v>
      </c>
      <c r="J501" s="3">
        <v>63</v>
      </c>
      <c r="K501" s="3">
        <v>2</v>
      </c>
      <c r="L501" s="3">
        <v>21</v>
      </c>
      <c r="M501" s="5">
        <v>9.2000000000000028</v>
      </c>
      <c r="N501" s="5">
        <v>0</v>
      </c>
      <c r="O501" s="5">
        <v>83.16</v>
      </c>
      <c r="P501" s="5">
        <v>438.09523809523819</v>
      </c>
      <c r="Q501" s="5">
        <v>33.472951238095241</v>
      </c>
      <c r="R501" s="8">
        <f t="shared" si="47"/>
        <v>7</v>
      </c>
      <c r="S501" s="9">
        <f t="shared" si="48"/>
        <v>5.6000000000000014</v>
      </c>
      <c r="T501" s="9">
        <v>1.5</v>
      </c>
      <c r="U501" s="9">
        <f t="shared" si="49"/>
        <v>27.72</v>
      </c>
      <c r="V501" s="9">
        <f t="shared" si="50"/>
        <v>800.00000000000011</v>
      </c>
      <c r="W501" s="9">
        <f t="shared" si="51"/>
        <v>51.314856000000006</v>
      </c>
    </row>
    <row r="502" spans="1:23">
      <c r="A502" s="2" t="s">
        <v>335</v>
      </c>
      <c r="B502" s="2" t="s">
        <v>336</v>
      </c>
      <c r="C502" s="3">
        <v>29</v>
      </c>
      <c r="D502" s="3">
        <v>3.96</v>
      </c>
      <c r="E502" s="2" t="s">
        <v>339</v>
      </c>
      <c r="F502" s="4">
        <v>39476</v>
      </c>
      <c r="G502" s="3">
        <v>53.8</v>
      </c>
      <c r="H502" s="3">
        <v>2</v>
      </c>
      <c r="I502" s="4">
        <v>39503</v>
      </c>
      <c r="J502" s="3">
        <v>59</v>
      </c>
      <c r="K502" s="3">
        <v>2</v>
      </c>
      <c r="L502" s="3">
        <v>27</v>
      </c>
      <c r="M502" s="5">
        <v>5.2000000000000028</v>
      </c>
      <c r="N502" s="5">
        <v>0</v>
      </c>
      <c r="O502" s="5">
        <v>106.92</v>
      </c>
      <c r="P502" s="5">
        <v>192.59259259259269</v>
      </c>
      <c r="Q502" s="5">
        <v>21.03149081481482</v>
      </c>
      <c r="R502" s="8">
        <f t="shared" si="47"/>
        <v>6</v>
      </c>
      <c r="S502" s="9">
        <f t="shared" si="48"/>
        <v>-4</v>
      </c>
      <c r="T502" s="9">
        <v>1.5</v>
      </c>
      <c r="U502" s="9">
        <f t="shared" si="49"/>
        <v>23.759999999999998</v>
      </c>
      <c r="V502" s="9">
        <f t="shared" si="50"/>
        <v>-666.66666666666663</v>
      </c>
      <c r="W502" s="9">
        <f t="shared" si="51"/>
        <v>-21.32999066666666</v>
      </c>
    </row>
    <row r="503" spans="1:23">
      <c r="A503" s="2" t="s">
        <v>335</v>
      </c>
      <c r="B503" s="2" t="s">
        <v>336</v>
      </c>
      <c r="C503" s="3">
        <v>29</v>
      </c>
      <c r="D503" s="3">
        <v>3.96</v>
      </c>
      <c r="E503" s="2" t="s">
        <v>340</v>
      </c>
      <c r="F503" s="4">
        <v>39476</v>
      </c>
      <c r="G503" s="3">
        <v>61.4</v>
      </c>
      <c r="H503" s="3">
        <v>2.5</v>
      </c>
      <c r="I503" s="4">
        <v>39476</v>
      </c>
      <c r="J503" s="3">
        <v>61.4</v>
      </c>
      <c r="K503" s="3">
        <v>2.5</v>
      </c>
      <c r="L503" s="3">
        <v>0</v>
      </c>
      <c r="M503" s="5">
        <v>0</v>
      </c>
      <c r="N503" s="5">
        <v>0</v>
      </c>
      <c r="O503" s="5">
        <v>0</v>
      </c>
      <c r="P503" s="5">
        <v>0</v>
      </c>
      <c r="Q503" s="5">
        <v>12.382126</v>
      </c>
      <c r="R503" s="8">
        <f t="shared" si="47"/>
        <v>0</v>
      </c>
      <c r="S503" s="9">
        <f t="shared" si="48"/>
        <v>0</v>
      </c>
      <c r="T503" s="9">
        <v>1.5</v>
      </c>
      <c r="U503" s="9">
        <f t="shared" si="49"/>
        <v>0</v>
      </c>
      <c r="V503" s="9">
        <f t="shared" si="50"/>
        <v>0</v>
      </c>
      <c r="W503" s="9">
        <f t="shared" si="51"/>
        <v>12.382126</v>
      </c>
    </row>
    <row r="504" spans="1:23">
      <c r="A504" s="2" t="s">
        <v>335</v>
      </c>
      <c r="B504" s="2" t="s">
        <v>336</v>
      </c>
      <c r="C504" s="3">
        <v>29</v>
      </c>
      <c r="D504" s="3">
        <v>3.96</v>
      </c>
      <c r="E504" s="2" t="s">
        <v>340</v>
      </c>
      <c r="F504" s="4">
        <v>39476</v>
      </c>
      <c r="G504" s="3">
        <v>61.4</v>
      </c>
      <c r="H504" s="3">
        <v>2.5</v>
      </c>
      <c r="I504" s="4">
        <v>39483</v>
      </c>
      <c r="J504" s="3">
        <v>66</v>
      </c>
      <c r="K504" s="6"/>
      <c r="L504" s="3">
        <v>7</v>
      </c>
      <c r="M504" s="5">
        <v>4.6000000000000014</v>
      </c>
      <c r="N504" s="6"/>
      <c r="O504" s="5">
        <v>27.72</v>
      </c>
      <c r="P504" s="5">
        <v>657.14285714285734</v>
      </c>
      <c r="Q504" s="5">
        <v>45.16817585714287</v>
      </c>
      <c r="R504" s="8">
        <f t="shared" ref="R504:R567" si="52">IF(I504-F504=0,0,I504-I503)</f>
        <v>7</v>
      </c>
      <c r="S504" s="9">
        <f t="shared" ref="S504:S567" si="53">IF(R504=0,J504-G504,J504-J503)</f>
        <v>4.6000000000000014</v>
      </c>
      <c r="T504" s="9">
        <v>1.5</v>
      </c>
      <c r="U504" s="9">
        <f t="shared" ref="U504:U567" si="54">D504*R504</f>
        <v>27.72</v>
      </c>
      <c r="V504" s="9">
        <f t="shared" ref="V504:V567" si="55">IF(R504=0,0,(S504/R504*1000))</f>
        <v>657.14285714285734</v>
      </c>
      <c r="W504" s="9">
        <f t="shared" ref="W504:W567" si="56">IF(R504=0,(((G504)*0.16909+(V504/1000)*49.3)+2),((((G504+J504)/2)*0.16909+(V504/1000)*49.3)+2))</f>
        <v>45.16817585714287</v>
      </c>
    </row>
    <row r="505" spans="1:23">
      <c r="A505" s="2" t="s">
        <v>335</v>
      </c>
      <c r="B505" s="2" t="s">
        <v>336</v>
      </c>
      <c r="C505" s="3">
        <v>29</v>
      </c>
      <c r="D505" s="3">
        <v>3.96</v>
      </c>
      <c r="E505" s="2" t="s">
        <v>340</v>
      </c>
      <c r="F505" s="4">
        <v>39476</v>
      </c>
      <c r="G505" s="3">
        <v>61.4</v>
      </c>
      <c r="H505" s="3">
        <v>2.5</v>
      </c>
      <c r="I505" s="4">
        <v>39490</v>
      </c>
      <c r="J505" s="3">
        <v>65.400000000000006</v>
      </c>
      <c r="K505" s="3">
        <v>2.5</v>
      </c>
      <c r="L505" s="3">
        <v>14</v>
      </c>
      <c r="M505" s="5">
        <v>4.0000000000000071</v>
      </c>
      <c r="N505" s="5">
        <v>0</v>
      </c>
      <c r="O505" s="5">
        <v>55.44</v>
      </c>
      <c r="P505" s="5">
        <v>285.71428571428618</v>
      </c>
      <c r="Q505" s="5">
        <v>26.806020285714311</v>
      </c>
      <c r="R505" s="8">
        <f t="shared" si="52"/>
        <v>7</v>
      </c>
      <c r="S505" s="9">
        <f t="shared" si="53"/>
        <v>-0.59999999999999432</v>
      </c>
      <c r="T505" s="9">
        <v>1.5</v>
      </c>
      <c r="U505" s="9">
        <f t="shared" si="54"/>
        <v>27.72</v>
      </c>
      <c r="V505" s="9">
        <f t="shared" si="55"/>
        <v>-85.714285714284898</v>
      </c>
      <c r="W505" s="9">
        <f t="shared" si="56"/>
        <v>8.4945917142857557</v>
      </c>
    </row>
    <row r="506" spans="1:23">
      <c r="A506" s="2" t="s">
        <v>335</v>
      </c>
      <c r="B506" s="2" t="s">
        <v>336</v>
      </c>
      <c r="C506" s="3">
        <v>29</v>
      </c>
      <c r="D506" s="3">
        <v>3.96</v>
      </c>
      <c r="E506" s="2" t="s">
        <v>340</v>
      </c>
      <c r="F506" s="4">
        <v>39476</v>
      </c>
      <c r="G506" s="3">
        <v>61.4</v>
      </c>
      <c r="H506" s="3">
        <v>2.5</v>
      </c>
      <c r="I506" s="4">
        <v>39497</v>
      </c>
      <c r="J506" s="3">
        <v>66.2</v>
      </c>
      <c r="K506" s="3">
        <v>2.5</v>
      </c>
      <c r="L506" s="3">
        <v>21</v>
      </c>
      <c r="M506" s="5">
        <v>4.8000000000000043</v>
      </c>
      <c r="N506" s="5">
        <v>0</v>
      </c>
      <c r="O506" s="5">
        <v>83.16</v>
      </c>
      <c r="P506" s="5">
        <v>228.57142857142878</v>
      </c>
      <c r="Q506" s="5">
        <v>24.056513428571439</v>
      </c>
      <c r="R506" s="8">
        <f t="shared" si="52"/>
        <v>7</v>
      </c>
      <c r="S506" s="9">
        <f t="shared" si="53"/>
        <v>0.79999999999999716</v>
      </c>
      <c r="T506" s="9">
        <v>1.5</v>
      </c>
      <c r="U506" s="9">
        <f t="shared" si="54"/>
        <v>27.72</v>
      </c>
      <c r="V506" s="9">
        <f t="shared" si="55"/>
        <v>114.28571428571388</v>
      </c>
      <c r="W506" s="9">
        <f t="shared" si="56"/>
        <v>18.422227714285693</v>
      </c>
    </row>
    <row r="507" spans="1:23">
      <c r="A507" s="2" t="s">
        <v>335</v>
      </c>
      <c r="B507" s="2" t="s">
        <v>336</v>
      </c>
      <c r="C507" s="3">
        <v>29</v>
      </c>
      <c r="D507" s="3">
        <v>3.96</v>
      </c>
      <c r="E507" s="2" t="s">
        <v>340</v>
      </c>
      <c r="F507" s="4">
        <v>39476</v>
      </c>
      <c r="G507" s="3">
        <v>61.4</v>
      </c>
      <c r="H507" s="3">
        <v>2.5</v>
      </c>
      <c r="I507" s="4">
        <v>39503</v>
      </c>
      <c r="J507" s="3">
        <v>65.599999999999994</v>
      </c>
      <c r="K507" s="3">
        <v>2.5</v>
      </c>
      <c r="L507" s="3">
        <v>27</v>
      </c>
      <c r="M507" s="5">
        <v>4.1999999999999957</v>
      </c>
      <c r="N507" s="5">
        <v>0</v>
      </c>
      <c r="O507" s="5">
        <v>106.92</v>
      </c>
      <c r="P507" s="5">
        <v>155.5555555555554</v>
      </c>
      <c r="Q507" s="5">
        <v>20.406103888888879</v>
      </c>
      <c r="R507" s="8">
        <f t="shared" si="52"/>
        <v>6</v>
      </c>
      <c r="S507" s="9">
        <f t="shared" si="53"/>
        <v>-0.60000000000000853</v>
      </c>
      <c r="T507" s="9">
        <v>1.5</v>
      </c>
      <c r="U507" s="9">
        <f t="shared" si="54"/>
        <v>23.759999999999998</v>
      </c>
      <c r="V507" s="9">
        <f t="shared" si="55"/>
        <v>-100.00000000000142</v>
      </c>
      <c r="W507" s="9">
        <f t="shared" si="56"/>
        <v>7.8072149999999292</v>
      </c>
    </row>
    <row r="508" spans="1:23">
      <c r="A508" s="2" t="s">
        <v>335</v>
      </c>
      <c r="B508" s="2" t="s">
        <v>336</v>
      </c>
      <c r="C508" s="3">
        <v>29</v>
      </c>
      <c r="D508" s="3">
        <v>3.96</v>
      </c>
      <c r="E508" s="2" t="s">
        <v>341</v>
      </c>
      <c r="F508" s="4">
        <v>39476</v>
      </c>
      <c r="G508" s="3">
        <v>55</v>
      </c>
      <c r="H508" s="3">
        <v>1.5</v>
      </c>
      <c r="I508" s="4">
        <v>39476</v>
      </c>
      <c r="J508" s="3">
        <v>55</v>
      </c>
      <c r="K508" s="3">
        <v>1.5</v>
      </c>
      <c r="L508" s="3">
        <v>0</v>
      </c>
      <c r="M508" s="5">
        <v>0</v>
      </c>
      <c r="N508" s="5">
        <v>0</v>
      </c>
      <c r="O508" s="5">
        <v>0</v>
      </c>
      <c r="P508" s="5">
        <v>0</v>
      </c>
      <c r="Q508" s="5">
        <v>11.299949999999999</v>
      </c>
      <c r="R508" s="8">
        <f t="shared" si="52"/>
        <v>0</v>
      </c>
      <c r="S508" s="9">
        <f t="shared" si="53"/>
        <v>0</v>
      </c>
      <c r="T508" s="9">
        <v>1.5</v>
      </c>
      <c r="U508" s="9">
        <f t="shared" si="54"/>
        <v>0</v>
      </c>
      <c r="V508" s="9">
        <f t="shared" si="55"/>
        <v>0</v>
      </c>
      <c r="W508" s="9">
        <f t="shared" si="56"/>
        <v>11.299949999999999</v>
      </c>
    </row>
    <row r="509" spans="1:23">
      <c r="A509" s="2" t="s">
        <v>335</v>
      </c>
      <c r="B509" s="2" t="s">
        <v>336</v>
      </c>
      <c r="C509" s="3">
        <v>29</v>
      </c>
      <c r="D509" s="3">
        <v>3.96</v>
      </c>
      <c r="E509" s="2" t="s">
        <v>341</v>
      </c>
      <c r="F509" s="4">
        <v>39476</v>
      </c>
      <c r="G509" s="3">
        <v>55</v>
      </c>
      <c r="H509" s="3">
        <v>1.5</v>
      </c>
      <c r="I509" s="4">
        <v>39483</v>
      </c>
      <c r="J509" s="3">
        <v>60.2</v>
      </c>
      <c r="K509" s="6"/>
      <c r="L509" s="3">
        <v>7</v>
      </c>
      <c r="M509" s="5">
        <v>5.2000000000000028</v>
      </c>
      <c r="N509" s="6"/>
      <c r="O509" s="5">
        <v>27.72</v>
      </c>
      <c r="P509" s="5">
        <v>742.85714285714323</v>
      </c>
      <c r="Q509" s="5">
        <v>48.362441142857158</v>
      </c>
      <c r="R509" s="8">
        <f t="shared" si="52"/>
        <v>7</v>
      </c>
      <c r="S509" s="9">
        <f t="shared" si="53"/>
        <v>5.2000000000000028</v>
      </c>
      <c r="T509" s="9">
        <v>1.5</v>
      </c>
      <c r="U509" s="9">
        <f t="shared" si="54"/>
        <v>27.72</v>
      </c>
      <c r="V509" s="9">
        <f t="shared" si="55"/>
        <v>742.85714285714323</v>
      </c>
      <c r="W509" s="9">
        <f t="shared" si="56"/>
        <v>48.362441142857158</v>
      </c>
    </row>
    <row r="510" spans="1:23">
      <c r="A510" s="2" t="s">
        <v>335</v>
      </c>
      <c r="B510" s="2" t="s">
        <v>336</v>
      </c>
      <c r="C510" s="3">
        <v>29</v>
      </c>
      <c r="D510" s="3">
        <v>3.96</v>
      </c>
      <c r="E510" s="2" t="s">
        <v>341</v>
      </c>
      <c r="F510" s="4">
        <v>39476</v>
      </c>
      <c r="G510" s="3">
        <v>55</v>
      </c>
      <c r="H510" s="3">
        <v>1.5</v>
      </c>
      <c r="I510" s="4">
        <v>39490</v>
      </c>
      <c r="J510" s="3">
        <v>63.6</v>
      </c>
      <c r="K510" s="3">
        <v>1.5</v>
      </c>
      <c r="L510" s="3">
        <v>14</v>
      </c>
      <c r="M510" s="5">
        <v>8.6000000000000014</v>
      </c>
      <c r="N510" s="5">
        <v>0</v>
      </c>
      <c r="O510" s="5">
        <v>55.44</v>
      </c>
      <c r="P510" s="5">
        <v>614.28571428571445</v>
      </c>
      <c r="Q510" s="5">
        <v>42.311322714285716</v>
      </c>
      <c r="R510" s="8">
        <f t="shared" si="52"/>
        <v>7</v>
      </c>
      <c r="S510" s="9">
        <f t="shared" si="53"/>
        <v>3.3999999999999986</v>
      </c>
      <c r="T510" s="9">
        <v>1.5</v>
      </c>
      <c r="U510" s="9">
        <f t="shared" si="54"/>
        <v>27.72</v>
      </c>
      <c r="V510" s="9">
        <f t="shared" si="55"/>
        <v>485.7142857142855</v>
      </c>
      <c r="W510" s="9">
        <f t="shared" si="56"/>
        <v>35.972751285714274</v>
      </c>
    </row>
    <row r="511" spans="1:23">
      <c r="A511" s="2" t="s">
        <v>335</v>
      </c>
      <c r="B511" s="2" t="s">
        <v>336</v>
      </c>
      <c r="C511" s="3">
        <v>29</v>
      </c>
      <c r="D511" s="3">
        <v>3.96</v>
      </c>
      <c r="E511" s="2" t="s">
        <v>341</v>
      </c>
      <c r="F511" s="4">
        <v>39476</v>
      </c>
      <c r="G511" s="3">
        <v>55</v>
      </c>
      <c r="H511" s="3">
        <v>1.5</v>
      </c>
      <c r="I511" s="4">
        <v>39497</v>
      </c>
      <c r="J511" s="3">
        <v>61</v>
      </c>
      <c r="K511" s="3">
        <v>1.5</v>
      </c>
      <c r="L511" s="3">
        <v>21</v>
      </c>
      <c r="M511" s="5">
        <v>6</v>
      </c>
      <c r="N511" s="5">
        <v>0</v>
      </c>
      <c r="O511" s="5">
        <v>83.16</v>
      </c>
      <c r="P511" s="5">
        <v>285.71428571428572</v>
      </c>
      <c r="Q511" s="5">
        <v>25.892934285714283</v>
      </c>
      <c r="R511" s="8">
        <f t="shared" si="52"/>
        <v>7</v>
      </c>
      <c r="S511" s="9">
        <f t="shared" si="53"/>
        <v>-2.6000000000000014</v>
      </c>
      <c r="T511" s="9">
        <v>1.5</v>
      </c>
      <c r="U511" s="9">
        <f t="shared" si="54"/>
        <v>27.72</v>
      </c>
      <c r="V511" s="9">
        <f t="shared" si="55"/>
        <v>-371.42857142857162</v>
      </c>
      <c r="W511" s="9">
        <f t="shared" si="56"/>
        <v>-6.5042085714285793</v>
      </c>
    </row>
    <row r="512" spans="1:23">
      <c r="A512" s="2" t="s">
        <v>335</v>
      </c>
      <c r="B512" s="2" t="s">
        <v>336</v>
      </c>
      <c r="C512" s="3">
        <v>29</v>
      </c>
      <c r="D512" s="3">
        <v>3.96</v>
      </c>
      <c r="E512" s="2" t="s">
        <v>341</v>
      </c>
      <c r="F512" s="4">
        <v>39476</v>
      </c>
      <c r="G512" s="3">
        <v>55</v>
      </c>
      <c r="H512" s="3">
        <v>1.5</v>
      </c>
      <c r="I512" s="4">
        <v>39503</v>
      </c>
      <c r="J512" s="3">
        <v>63.2</v>
      </c>
      <c r="K512" s="3">
        <v>1.5</v>
      </c>
      <c r="L512" s="3">
        <v>27</v>
      </c>
      <c r="M512" s="5">
        <v>8.2000000000000028</v>
      </c>
      <c r="N512" s="5">
        <v>0</v>
      </c>
      <c r="O512" s="5">
        <v>106.92</v>
      </c>
      <c r="P512" s="5">
        <v>303.70370370370381</v>
      </c>
      <c r="Q512" s="5">
        <v>26.965811592592598</v>
      </c>
      <c r="R512" s="8">
        <f t="shared" si="52"/>
        <v>6</v>
      </c>
      <c r="S512" s="9">
        <f t="shared" si="53"/>
        <v>2.2000000000000028</v>
      </c>
      <c r="T512" s="9">
        <v>1.5</v>
      </c>
      <c r="U512" s="9">
        <f t="shared" si="54"/>
        <v>23.759999999999998</v>
      </c>
      <c r="V512" s="9">
        <f t="shared" si="55"/>
        <v>366.66666666666714</v>
      </c>
      <c r="W512" s="9">
        <f t="shared" si="56"/>
        <v>30.069885666666689</v>
      </c>
    </row>
    <row r="513" spans="1:23">
      <c r="A513" s="2" t="s">
        <v>335</v>
      </c>
      <c r="B513" s="2" t="s">
        <v>336</v>
      </c>
      <c r="C513" s="3">
        <v>29</v>
      </c>
      <c r="D513" s="3">
        <v>3.96</v>
      </c>
      <c r="E513" s="2" t="s">
        <v>342</v>
      </c>
      <c r="F513" s="4">
        <v>39476</v>
      </c>
      <c r="G513" s="3">
        <v>61</v>
      </c>
      <c r="H513" s="3">
        <v>2.5</v>
      </c>
      <c r="I513" s="4">
        <v>39476</v>
      </c>
      <c r="J513" s="3">
        <v>61</v>
      </c>
      <c r="K513" s="3">
        <v>2.5</v>
      </c>
      <c r="L513" s="3">
        <v>0</v>
      </c>
      <c r="M513" s="5">
        <v>0</v>
      </c>
      <c r="N513" s="5">
        <v>0</v>
      </c>
      <c r="O513" s="5">
        <v>0</v>
      </c>
      <c r="P513" s="5">
        <v>0</v>
      </c>
      <c r="Q513" s="5">
        <v>12.314489999999999</v>
      </c>
      <c r="R513" s="8">
        <f t="shared" si="52"/>
        <v>0</v>
      </c>
      <c r="S513" s="9">
        <f t="shared" si="53"/>
        <v>0</v>
      </c>
      <c r="T513" s="9">
        <v>1.5</v>
      </c>
      <c r="U513" s="9">
        <f t="shared" si="54"/>
        <v>0</v>
      </c>
      <c r="V513" s="9">
        <f t="shared" si="55"/>
        <v>0</v>
      </c>
      <c r="W513" s="9">
        <f t="shared" si="56"/>
        <v>12.314489999999999</v>
      </c>
    </row>
    <row r="514" spans="1:23">
      <c r="A514" s="2" t="s">
        <v>335</v>
      </c>
      <c r="B514" s="2" t="s">
        <v>336</v>
      </c>
      <c r="C514" s="3">
        <v>29</v>
      </c>
      <c r="D514" s="3">
        <v>3.96</v>
      </c>
      <c r="E514" s="2" t="s">
        <v>342</v>
      </c>
      <c r="F514" s="4">
        <v>39476</v>
      </c>
      <c r="G514" s="3">
        <v>61</v>
      </c>
      <c r="H514" s="3">
        <v>2.5</v>
      </c>
      <c r="I514" s="4">
        <v>39483</v>
      </c>
      <c r="J514" s="3">
        <v>62.2</v>
      </c>
      <c r="K514" s="6"/>
      <c r="L514" s="3">
        <v>7</v>
      </c>
      <c r="M514" s="5">
        <v>1.2000000000000028</v>
      </c>
      <c r="N514" s="6"/>
      <c r="O514" s="5">
        <v>27.72</v>
      </c>
      <c r="P514" s="5">
        <v>171.42857142857184</v>
      </c>
      <c r="Q514" s="5">
        <v>20.867372571428589</v>
      </c>
      <c r="R514" s="8">
        <f t="shared" si="52"/>
        <v>7</v>
      </c>
      <c r="S514" s="9">
        <f t="shared" si="53"/>
        <v>1.2000000000000028</v>
      </c>
      <c r="T514" s="9">
        <v>1.5</v>
      </c>
      <c r="U514" s="9">
        <f t="shared" si="54"/>
        <v>27.72</v>
      </c>
      <c r="V514" s="9">
        <f t="shared" si="55"/>
        <v>171.42857142857184</v>
      </c>
      <c r="W514" s="9">
        <f t="shared" si="56"/>
        <v>20.867372571428589</v>
      </c>
    </row>
    <row r="515" spans="1:23">
      <c r="A515" s="2" t="s">
        <v>335</v>
      </c>
      <c r="B515" s="2" t="s">
        <v>336</v>
      </c>
      <c r="C515" s="3">
        <v>29</v>
      </c>
      <c r="D515" s="3">
        <v>3.96</v>
      </c>
      <c r="E515" s="2" t="s">
        <v>342</v>
      </c>
      <c r="F515" s="4">
        <v>39476</v>
      </c>
      <c r="G515" s="3">
        <v>61</v>
      </c>
      <c r="H515" s="3">
        <v>2.5</v>
      </c>
      <c r="I515" s="4">
        <v>39490</v>
      </c>
      <c r="J515" s="3">
        <v>66.2</v>
      </c>
      <c r="K515" s="3">
        <v>2.5</v>
      </c>
      <c r="L515" s="3">
        <v>14</v>
      </c>
      <c r="M515" s="5">
        <v>5.2000000000000028</v>
      </c>
      <c r="N515" s="5">
        <v>0</v>
      </c>
      <c r="O515" s="5">
        <v>55.44</v>
      </c>
      <c r="P515" s="5">
        <v>371.42857142857162</v>
      </c>
      <c r="Q515" s="5">
        <v>31.065552571428576</v>
      </c>
      <c r="R515" s="8">
        <f t="shared" si="52"/>
        <v>7</v>
      </c>
      <c r="S515" s="9">
        <f t="shared" si="53"/>
        <v>4</v>
      </c>
      <c r="T515" s="9">
        <v>1.5</v>
      </c>
      <c r="U515" s="9">
        <f t="shared" si="54"/>
        <v>27.72</v>
      </c>
      <c r="V515" s="9">
        <f t="shared" si="55"/>
        <v>571.42857142857144</v>
      </c>
      <c r="W515" s="9">
        <f t="shared" si="56"/>
        <v>40.925552571428568</v>
      </c>
    </row>
    <row r="516" spans="1:23">
      <c r="A516" s="2" t="s">
        <v>335</v>
      </c>
      <c r="B516" s="2" t="s">
        <v>336</v>
      </c>
      <c r="C516" s="3">
        <v>29</v>
      </c>
      <c r="D516" s="3">
        <v>3.96</v>
      </c>
      <c r="E516" s="2" t="s">
        <v>342</v>
      </c>
      <c r="F516" s="4">
        <v>39476</v>
      </c>
      <c r="G516" s="3">
        <v>61</v>
      </c>
      <c r="H516" s="3">
        <v>2.5</v>
      </c>
      <c r="I516" s="4">
        <v>39497</v>
      </c>
      <c r="J516" s="3">
        <v>62.8</v>
      </c>
      <c r="K516" s="3">
        <v>2.5</v>
      </c>
      <c r="L516" s="3">
        <v>21</v>
      </c>
      <c r="M516" s="5">
        <v>1.7999999999999972</v>
      </c>
      <c r="N516" s="5">
        <v>0</v>
      </c>
      <c r="O516" s="5">
        <v>83.16</v>
      </c>
      <c r="P516" s="5">
        <v>85.71428571428558</v>
      </c>
      <c r="Q516" s="5">
        <v>16.69238528571428</v>
      </c>
      <c r="R516" s="8">
        <f t="shared" si="52"/>
        <v>7</v>
      </c>
      <c r="S516" s="9">
        <f t="shared" si="53"/>
        <v>-3.4000000000000057</v>
      </c>
      <c r="T516" s="9">
        <v>1.5</v>
      </c>
      <c r="U516" s="9">
        <f t="shared" si="54"/>
        <v>27.72</v>
      </c>
      <c r="V516" s="9">
        <f t="shared" si="55"/>
        <v>-485.71428571428652</v>
      </c>
      <c r="W516" s="9">
        <f t="shared" si="56"/>
        <v>-11.479043285714324</v>
      </c>
    </row>
    <row r="517" spans="1:23">
      <c r="A517" s="2" t="s">
        <v>335</v>
      </c>
      <c r="B517" s="2" t="s">
        <v>336</v>
      </c>
      <c r="C517" s="3">
        <v>29</v>
      </c>
      <c r="D517" s="3">
        <v>3.96</v>
      </c>
      <c r="E517" s="2" t="s">
        <v>342</v>
      </c>
      <c r="F517" s="4">
        <v>39476</v>
      </c>
      <c r="G517" s="3">
        <v>61</v>
      </c>
      <c r="H517" s="3">
        <v>2.5</v>
      </c>
      <c r="I517" s="4">
        <v>39503</v>
      </c>
      <c r="J517" s="3">
        <v>62.4</v>
      </c>
      <c r="K517" s="3">
        <v>2.5</v>
      </c>
      <c r="L517" s="3">
        <v>27</v>
      </c>
      <c r="M517" s="5">
        <v>1.3999999999999986</v>
      </c>
      <c r="N517" s="5">
        <v>0</v>
      </c>
      <c r="O517" s="5">
        <v>106.92</v>
      </c>
      <c r="P517" s="5">
        <v>51.851851851851805</v>
      </c>
      <c r="Q517" s="5">
        <v>14.989149296296294</v>
      </c>
      <c r="R517" s="8">
        <f t="shared" si="52"/>
        <v>6</v>
      </c>
      <c r="S517" s="9">
        <f t="shared" si="53"/>
        <v>-0.39999999999999858</v>
      </c>
      <c r="T517" s="9">
        <v>1.5</v>
      </c>
      <c r="U517" s="9">
        <f t="shared" si="54"/>
        <v>23.759999999999998</v>
      </c>
      <c r="V517" s="9">
        <f t="shared" si="55"/>
        <v>-66.66666666666643</v>
      </c>
      <c r="W517" s="9">
        <f t="shared" si="56"/>
        <v>9.1461863333333451</v>
      </c>
    </row>
    <row r="518" spans="1:23">
      <c r="A518" s="2" t="s">
        <v>335</v>
      </c>
      <c r="B518" s="2" t="s">
        <v>336</v>
      </c>
      <c r="C518" s="3">
        <v>29</v>
      </c>
      <c r="D518" s="3">
        <v>3.96</v>
      </c>
      <c r="E518" s="2" t="s">
        <v>343</v>
      </c>
      <c r="F518" s="4">
        <v>39476</v>
      </c>
      <c r="G518" s="3">
        <v>51.6</v>
      </c>
      <c r="H518" s="3">
        <v>2.25</v>
      </c>
      <c r="I518" s="4">
        <v>39476</v>
      </c>
      <c r="J518" s="3">
        <v>51.6</v>
      </c>
      <c r="K518" s="3">
        <v>2.25</v>
      </c>
      <c r="L518" s="3">
        <v>0</v>
      </c>
      <c r="M518" s="5">
        <v>0</v>
      </c>
      <c r="N518" s="5">
        <v>0</v>
      </c>
      <c r="O518" s="5">
        <v>0</v>
      </c>
      <c r="P518" s="5">
        <v>0</v>
      </c>
      <c r="Q518" s="5">
        <v>10.725044</v>
      </c>
      <c r="R518" s="8">
        <f t="shared" si="52"/>
        <v>0</v>
      </c>
      <c r="S518" s="9">
        <f t="shared" si="53"/>
        <v>0</v>
      </c>
      <c r="T518" s="9">
        <v>1.5</v>
      </c>
      <c r="U518" s="9">
        <f t="shared" si="54"/>
        <v>0</v>
      </c>
      <c r="V518" s="9">
        <f t="shared" si="55"/>
        <v>0</v>
      </c>
      <c r="W518" s="9">
        <f t="shared" si="56"/>
        <v>10.725044</v>
      </c>
    </row>
    <row r="519" spans="1:23">
      <c r="A519" s="2" t="s">
        <v>335</v>
      </c>
      <c r="B519" s="2" t="s">
        <v>336</v>
      </c>
      <c r="C519" s="3">
        <v>29</v>
      </c>
      <c r="D519" s="3">
        <v>3.96</v>
      </c>
      <c r="E519" s="2" t="s">
        <v>343</v>
      </c>
      <c r="F519" s="4">
        <v>39476</v>
      </c>
      <c r="G519" s="3">
        <v>51.6</v>
      </c>
      <c r="H519" s="3">
        <v>2.25</v>
      </c>
      <c r="I519" s="4">
        <v>39483</v>
      </c>
      <c r="J519" s="3">
        <v>55.4</v>
      </c>
      <c r="K519" s="6"/>
      <c r="L519" s="3">
        <v>7</v>
      </c>
      <c r="M519" s="5">
        <v>3.7999999999999972</v>
      </c>
      <c r="N519" s="6"/>
      <c r="O519" s="5">
        <v>27.72</v>
      </c>
      <c r="P519" s="5">
        <v>542.85714285714243</v>
      </c>
      <c r="Q519" s="5">
        <v>37.809172142857122</v>
      </c>
      <c r="R519" s="8">
        <f t="shared" si="52"/>
        <v>7</v>
      </c>
      <c r="S519" s="9">
        <f t="shared" si="53"/>
        <v>3.7999999999999972</v>
      </c>
      <c r="T519" s="9">
        <v>1.5</v>
      </c>
      <c r="U519" s="9">
        <f t="shared" si="54"/>
        <v>27.72</v>
      </c>
      <c r="V519" s="9">
        <f t="shared" si="55"/>
        <v>542.85714285714243</v>
      </c>
      <c r="W519" s="9">
        <f t="shared" si="56"/>
        <v>37.809172142857122</v>
      </c>
    </row>
    <row r="520" spans="1:23">
      <c r="A520" s="2" t="s">
        <v>335</v>
      </c>
      <c r="B520" s="2" t="s">
        <v>336</v>
      </c>
      <c r="C520" s="3">
        <v>29</v>
      </c>
      <c r="D520" s="3">
        <v>3.96</v>
      </c>
      <c r="E520" s="2" t="s">
        <v>343</v>
      </c>
      <c r="F520" s="4">
        <v>39476</v>
      </c>
      <c r="G520" s="3">
        <v>51.6</v>
      </c>
      <c r="H520" s="3">
        <v>2.25</v>
      </c>
      <c r="I520" s="4">
        <v>39490</v>
      </c>
      <c r="J520" s="3">
        <v>58.6</v>
      </c>
      <c r="K520" s="3">
        <v>2.25</v>
      </c>
      <c r="L520" s="3">
        <v>14</v>
      </c>
      <c r="M520" s="5">
        <v>7</v>
      </c>
      <c r="N520" s="5">
        <v>0</v>
      </c>
      <c r="O520" s="5">
        <v>55.44</v>
      </c>
      <c r="P520" s="5">
        <v>500</v>
      </c>
      <c r="Q520" s="5">
        <v>35.966858999999999</v>
      </c>
      <c r="R520" s="8">
        <f t="shared" si="52"/>
        <v>7</v>
      </c>
      <c r="S520" s="9">
        <f t="shared" si="53"/>
        <v>3.2000000000000028</v>
      </c>
      <c r="T520" s="9">
        <v>1.5</v>
      </c>
      <c r="U520" s="9">
        <f t="shared" si="54"/>
        <v>27.72</v>
      </c>
      <c r="V520" s="9">
        <f t="shared" si="55"/>
        <v>457.14285714285757</v>
      </c>
      <c r="W520" s="9">
        <f t="shared" si="56"/>
        <v>33.854001857142876</v>
      </c>
    </row>
    <row r="521" spans="1:23">
      <c r="A521" s="2" t="s">
        <v>335</v>
      </c>
      <c r="B521" s="2" t="s">
        <v>336</v>
      </c>
      <c r="C521" s="3">
        <v>29</v>
      </c>
      <c r="D521" s="3">
        <v>3.96</v>
      </c>
      <c r="E521" s="2" t="s">
        <v>343</v>
      </c>
      <c r="F521" s="4">
        <v>39476</v>
      </c>
      <c r="G521" s="3">
        <v>51.6</v>
      </c>
      <c r="H521" s="3">
        <v>2.25</v>
      </c>
      <c r="I521" s="4">
        <v>39497</v>
      </c>
      <c r="J521" s="3">
        <v>55.8</v>
      </c>
      <c r="K521" s="3">
        <v>2.25</v>
      </c>
      <c r="L521" s="3">
        <v>21</v>
      </c>
      <c r="M521" s="5">
        <v>4.1999999999999957</v>
      </c>
      <c r="N521" s="5">
        <v>0</v>
      </c>
      <c r="O521" s="5">
        <v>83.16</v>
      </c>
      <c r="P521" s="5">
        <v>199.9999999999998</v>
      </c>
      <c r="Q521" s="5">
        <v>20.940132999999989</v>
      </c>
      <c r="R521" s="8">
        <f t="shared" si="52"/>
        <v>7</v>
      </c>
      <c r="S521" s="9">
        <f t="shared" si="53"/>
        <v>-2.8000000000000043</v>
      </c>
      <c r="T521" s="9">
        <v>1.5</v>
      </c>
      <c r="U521" s="9">
        <f t="shared" si="54"/>
        <v>27.72</v>
      </c>
      <c r="V521" s="9">
        <f t="shared" si="55"/>
        <v>-400.00000000000063</v>
      </c>
      <c r="W521" s="9">
        <f t="shared" si="56"/>
        <v>-8.6398670000000308</v>
      </c>
    </row>
    <row r="522" spans="1:23">
      <c r="A522" s="2" t="s">
        <v>335</v>
      </c>
      <c r="B522" s="2" t="s">
        <v>336</v>
      </c>
      <c r="C522" s="3">
        <v>29</v>
      </c>
      <c r="D522" s="3">
        <v>3.96</v>
      </c>
      <c r="E522" s="2" t="s">
        <v>343</v>
      </c>
      <c r="F522" s="4">
        <v>39476</v>
      </c>
      <c r="G522" s="3">
        <v>51.6</v>
      </c>
      <c r="H522" s="3">
        <v>2.25</v>
      </c>
      <c r="I522" s="4">
        <v>39503</v>
      </c>
      <c r="J522" s="3">
        <v>55.2</v>
      </c>
      <c r="K522" s="3">
        <v>2.25</v>
      </c>
      <c r="L522" s="3">
        <v>27</v>
      </c>
      <c r="M522" s="5">
        <v>3.6000000000000014</v>
      </c>
      <c r="N522" s="5">
        <v>0</v>
      </c>
      <c r="O522" s="5">
        <v>106.92</v>
      </c>
      <c r="P522" s="5">
        <v>133.3333333333334</v>
      </c>
      <c r="Q522" s="5">
        <v>17.602739333333336</v>
      </c>
      <c r="R522" s="8">
        <f t="shared" si="52"/>
        <v>6</v>
      </c>
      <c r="S522" s="9">
        <f t="shared" si="53"/>
        <v>-0.59999999999999432</v>
      </c>
      <c r="T522" s="9">
        <v>1.5</v>
      </c>
      <c r="U522" s="9">
        <f t="shared" si="54"/>
        <v>23.759999999999998</v>
      </c>
      <c r="V522" s="9">
        <f t="shared" si="55"/>
        <v>-99.999999999999048</v>
      </c>
      <c r="W522" s="9">
        <f t="shared" si="56"/>
        <v>6.0994060000000472</v>
      </c>
    </row>
    <row r="523" spans="1:23">
      <c r="A523" s="2" t="s">
        <v>335</v>
      </c>
      <c r="B523" s="2" t="s">
        <v>336</v>
      </c>
      <c r="C523" s="3">
        <v>29</v>
      </c>
      <c r="D523" s="3">
        <v>3.96</v>
      </c>
      <c r="E523" s="2" t="s">
        <v>344</v>
      </c>
      <c r="F523" s="4">
        <v>39476</v>
      </c>
      <c r="G523" s="3">
        <v>60.2</v>
      </c>
      <c r="H523" s="3">
        <v>1.75</v>
      </c>
      <c r="I523" s="4">
        <v>39476</v>
      </c>
      <c r="J523" s="3">
        <v>60.2</v>
      </c>
      <c r="K523" s="3">
        <v>1.75</v>
      </c>
      <c r="L523" s="3">
        <v>0</v>
      </c>
      <c r="M523" s="5">
        <v>0</v>
      </c>
      <c r="N523" s="5">
        <v>0</v>
      </c>
      <c r="O523" s="5">
        <v>0</v>
      </c>
      <c r="P523" s="5">
        <v>0</v>
      </c>
      <c r="Q523" s="5">
        <v>12.179218000000001</v>
      </c>
      <c r="R523" s="8">
        <f t="shared" si="52"/>
        <v>0</v>
      </c>
      <c r="S523" s="9">
        <f t="shared" si="53"/>
        <v>0</v>
      </c>
      <c r="T523" s="9">
        <v>1.5</v>
      </c>
      <c r="U523" s="9">
        <f t="shared" si="54"/>
        <v>0</v>
      </c>
      <c r="V523" s="9">
        <f t="shared" si="55"/>
        <v>0</v>
      </c>
      <c r="W523" s="9">
        <f t="shared" si="56"/>
        <v>12.179218000000001</v>
      </c>
    </row>
    <row r="524" spans="1:23">
      <c r="A524" s="2" t="s">
        <v>335</v>
      </c>
      <c r="B524" s="2" t="s">
        <v>336</v>
      </c>
      <c r="C524" s="3">
        <v>29</v>
      </c>
      <c r="D524" s="3">
        <v>3.96</v>
      </c>
      <c r="E524" s="2" t="s">
        <v>344</v>
      </c>
      <c r="F524" s="4">
        <v>39476</v>
      </c>
      <c r="G524" s="3">
        <v>60.2</v>
      </c>
      <c r="H524" s="3">
        <v>1.75</v>
      </c>
      <c r="I524" s="4">
        <v>39483</v>
      </c>
      <c r="J524" s="3">
        <v>66.8</v>
      </c>
      <c r="K524" s="6"/>
      <c r="L524" s="3">
        <v>7</v>
      </c>
      <c r="M524" s="5">
        <v>6.5999999999999943</v>
      </c>
      <c r="N524" s="6"/>
      <c r="O524" s="5">
        <v>27.72</v>
      </c>
      <c r="P524" s="5">
        <v>942.85714285714209</v>
      </c>
      <c r="Q524" s="5">
        <v>59.220072142857099</v>
      </c>
      <c r="R524" s="8">
        <f t="shared" si="52"/>
        <v>7</v>
      </c>
      <c r="S524" s="9">
        <f t="shared" si="53"/>
        <v>6.5999999999999943</v>
      </c>
      <c r="T524" s="9">
        <v>1.5</v>
      </c>
      <c r="U524" s="9">
        <f t="shared" si="54"/>
        <v>27.72</v>
      </c>
      <c r="V524" s="9">
        <f t="shared" si="55"/>
        <v>942.85714285714209</v>
      </c>
      <c r="W524" s="9">
        <f t="shared" si="56"/>
        <v>59.220072142857099</v>
      </c>
    </row>
    <row r="525" spans="1:23">
      <c r="A525" s="2" t="s">
        <v>335</v>
      </c>
      <c r="B525" s="2" t="s">
        <v>336</v>
      </c>
      <c r="C525" s="3">
        <v>29</v>
      </c>
      <c r="D525" s="3">
        <v>3.96</v>
      </c>
      <c r="E525" s="2" t="s">
        <v>344</v>
      </c>
      <c r="F525" s="4">
        <v>39476</v>
      </c>
      <c r="G525" s="3">
        <v>60.2</v>
      </c>
      <c r="H525" s="3">
        <v>1.75</v>
      </c>
      <c r="I525" s="4">
        <v>39490</v>
      </c>
      <c r="J525" s="3">
        <v>70.400000000000006</v>
      </c>
      <c r="K525" s="3">
        <v>1.75</v>
      </c>
      <c r="L525" s="3">
        <v>14</v>
      </c>
      <c r="M525" s="5">
        <v>10.200000000000003</v>
      </c>
      <c r="N525" s="5">
        <v>0</v>
      </c>
      <c r="O525" s="5">
        <v>55.44</v>
      </c>
      <c r="P525" s="5">
        <v>728.57142857142878</v>
      </c>
      <c r="Q525" s="5">
        <v>48.960148428571436</v>
      </c>
      <c r="R525" s="8">
        <f t="shared" si="52"/>
        <v>7</v>
      </c>
      <c r="S525" s="9">
        <f t="shared" si="53"/>
        <v>3.6000000000000085</v>
      </c>
      <c r="T525" s="9">
        <v>1.5</v>
      </c>
      <c r="U525" s="9">
        <f t="shared" si="54"/>
        <v>27.72</v>
      </c>
      <c r="V525" s="9">
        <f t="shared" si="55"/>
        <v>514.28571428571547</v>
      </c>
      <c r="W525" s="9">
        <f t="shared" si="56"/>
        <v>38.395862714285769</v>
      </c>
    </row>
    <row r="526" spans="1:23">
      <c r="A526" s="2" t="s">
        <v>335</v>
      </c>
      <c r="B526" s="2" t="s">
        <v>336</v>
      </c>
      <c r="C526" s="3">
        <v>29</v>
      </c>
      <c r="D526" s="3">
        <v>3.96</v>
      </c>
      <c r="E526" s="2" t="s">
        <v>344</v>
      </c>
      <c r="F526" s="4">
        <v>39476</v>
      </c>
      <c r="G526" s="3">
        <v>60.2</v>
      </c>
      <c r="H526" s="3">
        <v>1.75</v>
      </c>
      <c r="I526" s="4">
        <v>39497</v>
      </c>
      <c r="J526" s="3">
        <v>64.2</v>
      </c>
      <c r="K526" s="3">
        <v>1.75</v>
      </c>
      <c r="L526" s="3">
        <v>21</v>
      </c>
      <c r="M526" s="5">
        <v>4</v>
      </c>
      <c r="N526" s="5">
        <v>0</v>
      </c>
      <c r="O526" s="5">
        <v>83.16</v>
      </c>
      <c r="P526" s="5">
        <v>190.47619047619045</v>
      </c>
      <c r="Q526" s="5">
        <v>21.907874190476189</v>
      </c>
      <c r="R526" s="8">
        <f t="shared" si="52"/>
        <v>7</v>
      </c>
      <c r="S526" s="9">
        <f t="shared" si="53"/>
        <v>-6.2000000000000028</v>
      </c>
      <c r="T526" s="9">
        <v>1.5</v>
      </c>
      <c r="U526" s="9">
        <f t="shared" si="54"/>
        <v>27.72</v>
      </c>
      <c r="V526" s="9">
        <f t="shared" si="55"/>
        <v>-885.71428571428612</v>
      </c>
      <c r="W526" s="9">
        <f t="shared" si="56"/>
        <v>-31.148316285714301</v>
      </c>
    </row>
    <row r="527" spans="1:23">
      <c r="A527" s="2" t="s">
        <v>335</v>
      </c>
      <c r="B527" s="2" t="s">
        <v>336</v>
      </c>
      <c r="C527" s="3">
        <v>29</v>
      </c>
      <c r="D527" s="3">
        <v>3.96</v>
      </c>
      <c r="E527" s="2" t="s">
        <v>344</v>
      </c>
      <c r="F527" s="4">
        <v>39476</v>
      </c>
      <c r="G527" s="3">
        <v>60.2</v>
      </c>
      <c r="H527" s="3">
        <v>1.75</v>
      </c>
      <c r="I527" s="4">
        <v>39503</v>
      </c>
      <c r="J527" s="3">
        <v>62.4</v>
      </c>
      <c r="K527" s="3">
        <v>1.75</v>
      </c>
      <c r="L527" s="3">
        <v>27</v>
      </c>
      <c r="M527" s="5">
        <v>2.1999999999999957</v>
      </c>
      <c r="N527" s="5">
        <v>0</v>
      </c>
      <c r="O527" s="5">
        <v>106.92</v>
      </c>
      <c r="P527" s="5">
        <v>81.481481481481325</v>
      </c>
      <c r="Q527" s="5">
        <v>16.382254037037029</v>
      </c>
      <c r="R527" s="8">
        <f t="shared" si="52"/>
        <v>6</v>
      </c>
      <c r="S527" s="9">
        <f t="shared" si="53"/>
        <v>-1.8000000000000043</v>
      </c>
      <c r="T527" s="9">
        <v>1.5</v>
      </c>
      <c r="U527" s="9">
        <f t="shared" si="54"/>
        <v>23.759999999999998</v>
      </c>
      <c r="V527" s="9">
        <f t="shared" si="55"/>
        <v>-300.00000000000068</v>
      </c>
      <c r="W527" s="9">
        <f t="shared" si="56"/>
        <v>-2.4247830000000317</v>
      </c>
    </row>
    <row r="528" spans="1:23">
      <c r="A528" s="2" t="s">
        <v>335</v>
      </c>
      <c r="B528" s="2" t="s">
        <v>336</v>
      </c>
      <c r="C528" s="3">
        <v>29</v>
      </c>
      <c r="D528" s="3">
        <v>3.96</v>
      </c>
      <c r="E528" s="2" t="s">
        <v>345</v>
      </c>
      <c r="F528" s="4">
        <v>39476</v>
      </c>
      <c r="G528" s="3">
        <v>51.6</v>
      </c>
      <c r="H528" s="3">
        <v>1.75</v>
      </c>
      <c r="I528" s="4">
        <v>39476</v>
      </c>
      <c r="J528" s="3">
        <v>51.6</v>
      </c>
      <c r="K528" s="3">
        <v>1.75</v>
      </c>
      <c r="L528" s="3">
        <v>0</v>
      </c>
      <c r="M528" s="5">
        <v>0</v>
      </c>
      <c r="N528" s="5">
        <v>0</v>
      </c>
      <c r="O528" s="5">
        <v>0</v>
      </c>
      <c r="P528" s="5">
        <v>0</v>
      </c>
      <c r="Q528" s="5">
        <v>10.725044</v>
      </c>
      <c r="R528" s="8">
        <f t="shared" si="52"/>
        <v>0</v>
      </c>
      <c r="S528" s="9">
        <f t="shared" si="53"/>
        <v>0</v>
      </c>
      <c r="T528" s="9">
        <v>1.5</v>
      </c>
      <c r="U528" s="9">
        <f t="shared" si="54"/>
        <v>0</v>
      </c>
      <c r="V528" s="9">
        <f t="shared" si="55"/>
        <v>0</v>
      </c>
      <c r="W528" s="9">
        <f t="shared" si="56"/>
        <v>10.725044</v>
      </c>
    </row>
    <row r="529" spans="1:23">
      <c r="A529" s="2" t="s">
        <v>335</v>
      </c>
      <c r="B529" s="2" t="s">
        <v>336</v>
      </c>
      <c r="C529" s="3">
        <v>29</v>
      </c>
      <c r="D529" s="3">
        <v>3.96</v>
      </c>
      <c r="E529" s="2" t="s">
        <v>345</v>
      </c>
      <c r="F529" s="4">
        <v>39476</v>
      </c>
      <c r="G529" s="3">
        <v>51.6</v>
      </c>
      <c r="H529" s="3">
        <v>1.75</v>
      </c>
      <c r="I529" s="4">
        <v>39483</v>
      </c>
      <c r="J529" s="3">
        <v>56.8</v>
      </c>
      <c r="K529" s="6"/>
      <c r="L529" s="3">
        <v>7</v>
      </c>
      <c r="M529" s="5">
        <v>5.1999999999999957</v>
      </c>
      <c r="N529" s="6"/>
      <c r="O529" s="5">
        <v>27.72</v>
      </c>
      <c r="P529" s="5">
        <v>742.85714285714221</v>
      </c>
      <c r="Q529" s="5">
        <v>47.787535142857109</v>
      </c>
      <c r="R529" s="8">
        <f t="shared" si="52"/>
        <v>7</v>
      </c>
      <c r="S529" s="9">
        <f t="shared" si="53"/>
        <v>5.1999999999999957</v>
      </c>
      <c r="T529" s="9">
        <v>1.5</v>
      </c>
      <c r="U529" s="9">
        <f t="shared" si="54"/>
        <v>27.72</v>
      </c>
      <c r="V529" s="9">
        <f t="shared" si="55"/>
        <v>742.85714285714221</v>
      </c>
      <c r="W529" s="9">
        <f t="shared" si="56"/>
        <v>47.787535142857109</v>
      </c>
    </row>
    <row r="530" spans="1:23">
      <c r="A530" s="2" t="s">
        <v>335</v>
      </c>
      <c r="B530" s="2" t="s">
        <v>336</v>
      </c>
      <c r="C530" s="3">
        <v>29</v>
      </c>
      <c r="D530" s="3">
        <v>3.96</v>
      </c>
      <c r="E530" s="2" t="s">
        <v>345</v>
      </c>
      <c r="F530" s="4">
        <v>39476</v>
      </c>
      <c r="G530" s="3">
        <v>51.6</v>
      </c>
      <c r="H530" s="3">
        <v>1.75</v>
      </c>
      <c r="I530" s="4">
        <v>39490</v>
      </c>
      <c r="J530" s="3">
        <v>58.6</v>
      </c>
      <c r="K530" s="3">
        <v>2</v>
      </c>
      <c r="L530" s="3">
        <v>14</v>
      </c>
      <c r="M530" s="5">
        <v>7</v>
      </c>
      <c r="N530" s="5">
        <v>0.25</v>
      </c>
      <c r="O530" s="5">
        <v>55.44</v>
      </c>
      <c r="P530" s="5">
        <v>500</v>
      </c>
      <c r="Q530" s="5">
        <v>35.966858999999999</v>
      </c>
      <c r="R530" s="8">
        <f t="shared" si="52"/>
        <v>7</v>
      </c>
      <c r="S530" s="9">
        <f t="shared" si="53"/>
        <v>1.8000000000000043</v>
      </c>
      <c r="T530" s="9">
        <v>1.5</v>
      </c>
      <c r="U530" s="9">
        <f t="shared" si="54"/>
        <v>27.72</v>
      </c>
      <c r="V530" s="9">
        <f t="shared" si="55"/>
        <v>257.14285714285774</v>
      </c>
      <c r="W530" s="9">
        <f t="shared" si="56"/>
        <v>23.994001857142884</v>
      </c>
    </row>
    <row r="531" spans="1:23">
      <c r="A531" s="2" t="s">
        <v>335</v>
      </c>
      <c r="B531" s="2" t="s">
        <v>336</v>
      </c>
      <c r="C531" s="3">
        <v>29</v>
      </c>
      <c r="D531" s="3">
        <v>3.96</v>
      </c>
      <c r="E531" s="2" t="s">
        <v>345</v>
      </c>
      <c r="F531" s="4">
        <v>39476</v>
      </c>
      <c r="G531" s="3">
        <v>51.6</v>
      </c>
      <c r="H531" s="3">
        <v>1.75</v>
      </c>
      <c r="I531" s="4">
        <v>39497</v>
      </c>
      <c r="J531" s="3">
        <v>55.6</v>
      </c>
      <c r="K531" s="3">
        <v>1.75</v>
      </c>
      <c r="L531" s="3">
        <v>21</v>
      </c>
      <c r="M531" s="5">
        <v>4</v>
      </c>
      <c r="N531" s="5">
        <v>0</v>
      </c>
      <c r="O531" s="5">
        <v>83.16</v>
      </c>
      <c r="P531" s="5">
        <v>190.47619047619045</v>
      </c>
      <c r="Q531" s="5">
        <v>20.453700190476191</v>
      </c>
      <c r="R531" s="8">
        <f t="shared" si="52"/>
        <v>7</v>
      </c>
      <c r="S531" s="9">
        <f t="shared" si="53"/>
        <v>-3</v>
      </c>
      <c r="T531" s="9">
        <v>1.5</v>
      </c>
      <c r="U531" s="9">
        <f t="shared" si="54"/>
        <v>27.72</v>
      </c>
      <c r="V531" s="9">
        <f t="shared" si="55"/>
        <v>-428.57142857142856</v>
      </c>
      <c r="W531" s="9">
        <f t="shared" si="56"/>
        <v>-10.065347428571426</v>
      </c>
    </row>
    <row r="532" spans="1:23">
      <c r="A532" s="2" t="s">
        <v>335</v>
      </c>
      <c r="B532" s="2" t="s">
        <v>336</v>
      </c>
      <c r="C532" s="3">
        <v>29</v>
      </c>
      <c r="D532" s="3">
        <v>3.96</v>
      </c>
      <c r="E532" s="2" t="s">
        <v>345</v>
      </c>
      <c r="F532" s="4">
        <v>39476</v>
      </c>
      <c r="G532" s="3">
        <v>51.6</v>
      </c>
      <c r="H532" s="3">
        <v>1.75</v>
      </c>
      <c r="I532" s="4">
        <v>39503</v>
      </c>
      <c r="J532" s="3">
        <v>52.4</v>
      </c>
      <c r="K532" s="3">
        <v>1.75</v>
      </c>
      <c r="L532" s="3">
        <v>27</v>
      </c>
      <c r="M532" s="5">
        <v>0.79999999999999716</v>
      </c>
      <c r="N532" s="5">
        <v>0</v>
      </c>
      <c r="O532" s="5">
        <v>106.92</v>
      </c>
      <c r="P532" s="5">
        <v>29.629629629629523</v>
      </c>
      <c r="Q532" s="5">
        <v>12.253420740740735</v>
      </c>
      <c r="R532" s="8">
        <f t="shared" si="52"/>
        <v>6</v>
      </c>
      <c r="S532" s="9">
        <f t="shared" si="53"/>
        <v>-3.2000000000000028</v>
      </c>
      <c r="T532" s="9">
        <v>1.5</v>
      </c>
      <c r="U532" s="9">
        <f t="shared" si="54"/>
        <v>23.759999999999998</v>
      </c>
      <c r="V532" s="9">
        <f t="shared" si="55"/>
        <v>-533.33333333333383</v>
      </c>
      <c r="W532" s="9">
        <f t="shared" si="56"/>
        <v>-15.500653333333361</v>
      </c>
    </row>
    <row r="533" spans="1:23">
      <c r="A533" s="2" t="s">
        <v>335</v>
      </c>
      <c r="B533" s="2" t="s">
        <v>336</v>
      </c>
      <c r="C533" s="3">
        <v>29</v>
      </c>
      <c r="D533" s="3">
        <v>3.96</v>
      </c>
      <c r="E533" s="2" t="s">
        <v>346</v>
      </c>
      <c r="F533" s="4">
        <v>39476</v>
      </c>
      <c r="G533" s="3">
        <v>60.2</v>
      </c>
      <c r="H533" s="3">
        <v>1.75</v>
      </c>
      <c r="I533" s="4">
        <v>39476</v>
      </c>
      <c r="J533" s="3">
        <v>60.2</v>
      </c>
      <c r="K533" s="3">
        <v>1.75</v>
      </c>
      <c r="L533" s="3">
        <v>0</v>
      </c>
      <c r="M533" s="5">
        <v>0</v>
      </c>
      <c r="N533" s="5">
        <v>0</v>
      </c>
      <c r="O533" s="5">
        <v>0</v>
      </c>
      <c r="P533" s="5">
        <v>0</v>
      </c>
      <c r="Q533" s="5">
        <v>12.179218000000001</v>
      </c>
      <c r="R533" s="8">
        <f t="shared" si="52"/>
        <v>0</v>
      </c>
      <c r="S533" s="9">
        <f t="shared" si="53"/>
        <v>0</v>
      </c>
      <c r="T533" s="9">
        <v>1.5</v>
      </c>
      <c r="U533" s="9">
        <f t="shared" si="54"/>
        <v>0</v>
      </c>
      <c r="V533" s="9">
        <f t="shared" si="55"/>
        <v>0</v>
      </c>
      <c r="W533" s="9">
        <f t="shared" si="56"/>
        <v>12.179218000000001</v>
      </c>
    </row>
    <row r="534" spans="1:23">
      <c r="A534" s="2" t="s">
        <v>335</v>
      </c>
      <c r="B534" s="2" t="s">
        <v>336</v>
      </c>
      <c r="C534" s="3">
        <v>29</v>
      </c>
      <c r="D534" s="3">
        <v>3.96</v>
      </c>
      <c r="E534" s="2" t="s">
        <v>346</v>
      </c>
      <c r="F534" s="4">
        <v>39476</v>
      </c>
      <c r="G534" s="3">
        <v>60.2</v>
      </c>
      <c r="H534" s="3">
        <v>1.75</v>
      </c>
      <c r="I534" s="4">
        <v>39483</v>
      </c>
      <c r="J534" s="3">
        <v>65.599999999999994</v>
      </c>
      <c r="K534" s="6"/>
      <c r="L534" s="3">
        <v>7</v>
      </c>
      <c r="M534" s="5">
        <v>5.3999999999999915</v>
      </c>
      <c r="N534" s="6"/>
      <c r="O534" s="5">
        <v>27.72</v>
      </c>
      <c r="P534" s="5">
        <v>771.42857142857019</v>
      </c>
      <c r="Q534" s="5">
        <v>50.667189571428509</v>
      </c>
      <c r="R534" s="8">
        <f t="shared" si="52"/>
        <v>7</v>
      </c>
      <c r="S534" s="9">
        <f t="shared" si="53"/>
        <v>5.3999999999999915</v>
      </c>
      <c r="T534" s="9">
        <v>1.5</v>
      </c>
      <c r="U534" s="9">
        <f t="shared" si="54"/>
        <v>27.72</v>
      </c>
      <c r="V534" s="9">
        <f t="shared" si="55"/>
        <v>771.42857142857019</v>
      </c>
      <c r="W534" s="9">
        <f t="shared" si="56"/>
        <v>50.667189571428509</v>
      </c>
    </row>
    <row r="535" spans="1:23">
      <c r="A535" s="2" t="s">
        <v>335</v>
      </c>
      <c r="B535" s="2" t="s">
        <v>336</v>
      </c>
      <c r="C535" s="3">
        <v>29</v>
      </c>
      <c r="D535" s="3">
        <v>3.96</v>
      </c>
      <c r="E535" s="2" t="s">
        <v>346</v>
      </c>
      <c r="F535" s="4">
        <v>39476</v>
      </c>
      <c r="G535" s="3">
        <v>60.2</v>
      </c>
      <c r="H535" s="3">
        <v>1.75</v>
      </c>
      <c r="I535" s="4">
        <v>39490</v>
      </c>
      <c r="J535" s="3">
        <v>65.400000000000006</v>
      </c>
      <c r="K535" s="3">
        <v>1.75</v>
      </c>
      <c r="L535" s="3">
        <v>14</v>
      </c>
      <c r="M535" s="5">
        <v>5.2000000000000028</v>
      </c>
      <c r="N535" s="5">
        <v>0</v>
      </c>
      <c r="O535" s="5">
        <v>55.44</v>
      </c>
      <c r="P535" s="5">
        <v>371.42857142857162</v>
      </c>
      <c r="Q535" s="5">
        <v>30.930280571428579</v>
      </c>
      <c r="R535" s="8">
        <f t="shared" si="52"/>
        <v>7</v>
      </c>
      <c r="S535" s="9">
        <f t="shared" si="53"/>
        <v>-0.19999999999998863</v>
      </c>
      <c r="T535" s="9">
        <v>1.5</v>
      </c>
      <c r="U535" s="9">
        <f t="shared" si="54"/>
        <v>27.72</v>
      </c>
      <c r="V535" s="9">
        <f t="shared" si="55"/>
        <v>-28.571428571426946</v>
      </c>
      <c r="W535" s="9">
        <f t="shared" si="56"/>
        <v>11.210280571428651</v>
      </c>
    </row>
    <row r="536" spans="1:23">
      <c r="A536" s="2" t="s">
        <v>335</v>
      </c>
      <c r="B536" s="2" t="s">
        <v>336</v>
      </c>
      <c r="C536" s="3">
        <v>29</v>
      </c>
      <c r="D536" s="3">
        <v>3.96</v>
      </c>
      <c r="E536" s="2" t="s">
        <v>346</v>
      </c>
      <c r="F536" s="4">
        <v>39476</v>
      </c>
      <c r="G536" s="3">
        <v>60.2</v>
      </c>
      <c r="H536" s="3">
        <v>1.75</v>
      </c>
      <c r="I536" s="4">
        <v>39497</v>
      </c>
      <c r="J536" s="3">
        <v>69</v>
      </c>
      <c r="K536" s="3">
        <v>1.75</v>
      </c>
      <c r="L536" s="3">
        <v>21</v>
      </c>
      <c r="M536" s="5">
        <v>8.7999999999999972</v>
      </c>
      <c r="N536" s="5">
        <v>0</v>
      </c>
      <c r="O536" s="5">
        <v>83.16</v>
      </c>
      <c r="P536" s="5">
        <v>419.04761904761887</v>
      </c>
      <c r="Q536" s="5">
        <v>33.582261619047607</v>
      </c>
      <c r="R536" s="8">
        <f t="shared" si="52"/>
        <v>7</v>
      </c>
      <c r="S536" s="9">
        <f t="shared" si="53"/>
        <v>3.5999999999999943</v>
      </c>
      <c r="T536" s="9">
        <v>1.5</v>
      </c>
      <c r="U536" s="9">
        <f t="shared" si="54"/>
        <v>27.72</v>
      </c>
      <c r="V536" s="9">
        <f t="shared" si="55"/>
        <v>514.28571428571342</v>
      </c>
      <c r="W536" s="9">
        <f t="shared" si="56"/>
        <v>38.277499714285668</v>
      </c>
    </row>
    <row r="537" spans="1:23">
      <c r="A537" s="2" t="s">
        <v>335</v>
      </c>
      <c r="B537" s="2" t="s">
        <v>336</v>
      </c>
      <c r="C537" s="3">
        <v>29</v>
      </c>
      <c r="D537" s="3">
        <v>3.96</v>
      </c>
      <c r="E537" s="2" t="s">
        <v>346</v>
      </c>
      <c r="F537" s="4">
        <v>39476</v>
      </c>
      <c r="G537" s="3">
        <v>60.2</v>
      </c>
      <c r="H537" s="3">
        <v>1.75</v>
      </c>
      <c r="I537" s="4">
        <v>39503</v>
      </c>
      <c r="J537" s="3">
        <v>66</v>
      </c>
      <c r="K537" s="3">
        <v>1.75</v>
      </c>
      <c r="L537" s="3">
        <v>27</v>
      </c>
      <c r="M537" s="5">
        <v>5.7999999999999972</v>
      </c>
      <c r="N537" s="5">
        <v>0</v>
      </c>
      <c r="O537" s="5">
        <v>106.92</v>
      </c>
      <c r="P537" s="5">
        <v>214.8148148148147</v>
      </c>
      <c r="Q537" s="5">
        <v>23.259949370370364</v>
      </c>
      <c r="R537" s="8">
        <f t="shared" si="52"/>
        <v>6</v>
      </c>
      <c r="S537" s="9">
        <f t="shared" si="53"/>
        <v>-3</v>
      </c>
      <c r="T537" s="9">
        <v>1.5</v>
      </c>
      <c r="U537" s="9">
        <f t="shared" si="54"/>
        <v>23.759999999999998</v>
      </c>
      <c r="V537" s="9">
        <f t="shared" si="55"/>
        <v>-500</v>
      </c>
      <c r="W537" s="9">
        <f t="shared" si="56"/>
        <v>-11.980421</v>
      </c>
    </row>
    <row r="538" spans="1:23">
      <c r="A538" s="2" t="s">
        <v>335</v>
      </c>
      <c r="B538" s="2" t="s">
        <v>336</v>
      </c>
      <c r="C538" s="3">
        <v>29</v>
      </c>
      <c r="D538" s="3">
        <v>3.96</v>
      </c>
      <c r="E538" s="2" t="s">
        <v>347</v>
      </c>
      <c r="F538" s="4">
        <v>39476</v>
      </c>
      <c r="G538" s="3">
        <v>54.6</v>
      </c>
      <c r="H538" s="3">
        <v>2.25</v>
      </c>
      <c r="I538" s="4">
        <v>39476</v>
      </c>
      <c r="J538" s="3">
        <v>54.6</v>
      </c>
      <c r="K538" s="3">
        <v>2.25</v>
      </c>
      <c r="L538" s="3">
        <v>0</v>
      </c>
      <c r="M538" s="5">
        <v>0</v>
      </c>
      <c r="N538" s="5">
        <v>0</v>
      </c>
      <c r="O538" s="5">
        <v>0</v>
      </c>
      <c r="P538" s="5">
        <v>0</v>
      </c>
      <c r="Q538" s="5">
        <v>11.232314000000001</v>
      </c>
      <c r="R538" s="8">
        <f t="shared" si="52"/>
        <v>0</v>
      </c>
      <c r="S538" s="9">
        <f t="shared" si="53"/>
        <v>0</v>
      </c>
      <c r="T538" s="9">
        <v>1.5</v>
      </c>
      <c r="U538" s="9">
        <f t="shared" si="54"/>
        <v>0</v>
      </c>
      <c r="V538" s="9">
        <f t="shared" si="55"/>
        <v>0</v>
      </c>
      <c r="W538" s="9">
        <f t="shared" si="56"/>
        <v>11.232314000000001</v>
      </c>
    </row>
    <row r="539" spans="1:23">
      <c r="A539" s="2" t="s">
        <v>335</v>
      </c>
      <c r="B539" s="2" t="s">
        <v>336</v>
      </c>
      <c r="C539" s="3">
        <v>29</v>
      </c>
      <c r="D539" s="3">
        <v>3.96</v>
      </c>
      <c r="E539" s="2" t="s">
        <v>347</v>
      </c>
      <c r="F539" s="4">
        <v>39476</v>
      </c>
      <c r="G539" s="3">
        <v>54.6</v>
      </c>
      <c r="H539" s="3">
        <v>2.25</v>
      </c>
      <c r="I539" s="4">
        <v>39483</v>
      </c>
      <c r="J539" s="3">
        <v>62</v>
      </c>
      <c r="K539" s="6"/>
      <c r="L539" s="3">
        <v>7</v>
      </c>
      <c r="M539" s="5">
        <v>7.3999999999999986</v>
      </c>
      <c r="N539" s="6"/>
      <c r="O539" s="5">
        <v>27.72</v>
      </c>
      <c r="P539" s="5">
        <v>1057.1428571428569</v>
      </c>
      <c r="Q539" s="5">
        <v>63.975089857142848</v>
      </c>
      <c r="R539" s="8">
        <f t="shared" si="52"/>
        <v>7</v>
      </c>
      <c r="S539" s="9">
        <f t="shared" si="53"/>
        <v>7.3999999999999986</v>
      </c>
      <c r="T539" s="9">
        <v>1.5</v>
      </c>
      <c r="U539" s="9">
        <f t="shared" si="54"/>
        <v>27.72</v>
      </c>
      <c r="V539" s="9">
        <f t="shared" si="55"/>
        <v>1057.1428571428569</v>
      </c>
      <c r="W539" s="9">
        <f t="shared" si="56"/>
        <v>63.975089857142848</v>
      </c>
    </row>
    <row r="540" spans="1:23">
      <c r="A540" s="2" t="s">
        <v>335</v>
      </c>
      <c r="B540" s="2" t="s">
        <v>336</v>
      </c>
      <c r="C540" s="3">
        <v>29</v>
      </c>
      <c r="D540" s="3">
        <v>3.96</v>
      </c>
      <c r="E540" s="2" t="s">
        <v>347</v>
      </c>
      <c r="F540" s="4">
        <v>39476</v>
      </c>
      <c r="G540" s="3">
        <v>54.6</v>
      </c>
      <c r="H540" s="3">
        <v>2.25</v>
      </c>
      <c r="I540" s="4">
        <v>39490</v>
      </c>
      <c r="J540" s="3">
        <v>58.6</v>
      </c>
      <c r="K540" s="3">
        <v>2.25</v>
      </c>
      <c r="L540" s="3">
        <v>14</v>
      </c>
      <c r="M540" s="5">
        <v>4</v>
      </c>
      <c r="N540" s="5">
        <v>0</v>
      </c>
      <c r="O540" s="5">
        <v>55.44</v>
      </c>
      <c r="P540" s="5">
        <v>285.71428571428572</v>
      </c>
      <c r="Q540" s="5">
        <v>25.656208285714285</v>
      </c>
      <c r="R540" s="8">
        <f t="shared" si="52"/>
        <v>7</v>
      </c>
      <c r="S540" s="9">
        <f t="shared" si="53"/>
        <v>-3.3999999999999986</v>
      </c>
      <c r="T540" s="9">
        <v>1.5</v>
      </c>
      <c r="U540" s="9">
        <f t="shared" si="54"/>
        <v>27.72</v>
      </c>
      <c r="V540" s="9">
        <f t="shared" si="55"/>
        <v>-485.7142857142855</v>
      </c>
      <c r="W540" s="9">
        <f t="shared" si="56"/>
        <v>-12.375220285714274</v>
      </c>
    </row>
    <row r="541" spans="1:23">
      <c r="A541" s="2" t="s">
        <v>335</v>
      </c>
      <c r="B541" s="2" t="s">
        <v>336</v>
      </c>
      <c r="C541" s="3">
        <v>29</v>
      </c>
      <c r="D541" s="3">
        <v>3.96</v>
      </c>
      <c r="E541" s="2" t="s">
        <v>347</v>
      </c>
      <c r="F541" s="4">
        <v>39476</v>
      </c>
      <c r="G541" s="3">
        <v>54.6</v>
      </c>
      <c r="H541" s="3">
        <v>2.25</v>
      </c>
      <c r="I541" s="4">
        <v>39497</v>
      </c>
      <c r="J541" s="3">
        <v>57.4</v>
      </c>
      <c r="K541" s="3">
        <v>2.25</v>
      </c>
      <c r="L541" s="3">
        <v>21</v>
      </c>
      <c r="M541" s="5">
        <v>2.7999999999999972</v>
      </c>
      <c r="N541" s="5">
        <v>0</v>
      </c>
      <c r="O541" s="5">
        <v>83.16</v>
      </c>
      <c r="P541" s="5">
        <v>133.3333333333332</v>
      </c>
      <c r="Q541" s="5">
        <v>18.042373333333327</v>
      </c>
      <c r="R541" s="8">
        <f t="shared" si="52"/>
        <v>7</v>
      </c>
      <c r="S541" s="9">
        <f t="shared" si="53"/>
        <v>-1.2000000000000028</v>
      </c>
      <c r="T541" s="9">
        <v>1.5</v>
      </c>
      <c r="U541" s="9">
        <f t="shared" si="54"/>
        <v>27.72</v>
      </c>
      <c r="V541" s="9">
        <f t="shared" si="55"/>
        <v>-171.42857142857184</v>
      </c>
      <c r="W541" s="9">
        <f t="shared" si="56"/>
        <v>3.0176114285714082</v>
      </c>
    </row>
    <row r="542" spans="1:23">
      <c r="A542" s="2" t="s">
        <v>335</v>
      </c>
      <c r="B542" s="2" t="s">
        <v>336</v>
      </c>
      <c r="C542" s="3">
        <v>29</v>
      </c>
      <c r="D542" s="3">
        <v>3.96</v>
      </c>
      <c r="E542" s="2" t="s">
        <v>347</v>
      </c>
      <c r="F542" s="4">
        <v>39476</v>
      </c>
      <c r="G542" s="3">
        <v>54.6</v>
      </c>
      <c r="H542" s="3">
        <v>2.25</v>
      </c>
      <c r="I542" s="4">
        <v>39503</v>
      </c>
      <c r="J542" s="3">
        <v>57.4</v>
      </c>
      <c r="K542" s="3">
        <v>2.25</v>
      </c>
      <c r="L542" s="3">
        <v>27</v>
      </c>
      <c r="M542" s="5">
        <v>2.7999999999999972</v>
      </c>
      <c r="N542" s="5">
        <v>0</v>
      </c>
      <c r="O542" s="5">
        <v>106.92</v>
      </c>
      <c r="P542" s="5">
        <v>103.70370370370361</v>
      </c>
      <c r="Q542" s="5">
        <v>16.581632592592587</v>
      </c>
      <c r="R542" s="8">
        <f t="shared" si="52"/>
        <v>6</v>
      </c>
      <c r="S542" s="9">
        <f t="shared" si="53"/>
        <v>0</v>
      </c>
      <c r="T542" s="9">
        <v>1.5</v>
      </c>
      <c r="U542" s="9">
        <f t="shared" si="54"/>
        <v>23.759999999999998</v>
      </c>
      <c r="V542" s="9">
        <f t="shared" si="55"/>
        <v>0</v>
      </c>
      <c r="W542" s="9">
        <f t="shared" si="56"/>
        <v>11.46904</v>
      </c>
    </row>
    <row r="543" spans="1:23">
      <c r="A543" s="2" t="s">
        <v>335</v>
      </c>
      <c r="B543" s="2" t="s">
        <v>336</v>
      </c>
      <c r="C543" s="3">
        <v>29</v>
      </c>
      <c r="D543" s="3">
        <v>3.96</v>
      </c>
      <c r="E543" s="2" t="s">
        <v>348</v>
      </c>
      <c r="F543" s="4">
        <v>39476</v>
      </c>
      <c r="G543" s="3">
        <v>64.599999999999994</v>
      </c>
      <c r="H543" s="3">
        <v>2.5</v>
      </c>
      <c r="I543" s="4">
        <v>39476</v>
      </c>
      <c r="J543" s="3">
        <v>64.599999999999994</v>
      </c>
      <c r="K543" s="3">
        <v>2.5</v>
      </c>
      <c r="L543" s="3">
        <v>0</v>
      </c>
      <c r="M543" s="5">
        <v>0</v>
      </c>
      <c r="N543" s="5">
        <v>0</v>
      </c>
      <c r="O543" s="5">
        <v>0</v>
      </c>
      <c r="P543" s="5">
        <v>0</v>
      </c>
      <c r="Q543" s="5">
        <v>12.923213999999998</v>
      </c>
      <c r="R543" s="8">
        <f t="shared" si="52"/>
        <v>0</v>
      </c>
      <c r="S543" s="9">
        <f t="shared" si="53"/>
        <v>0</v>
      </c>
      <c r="T543" s="9">
        <v>1.5</v>
      </c>
      <c r="U543" s="9">
        <f t="shared" si="54"/>
        <v>0</v>
      </c>
      <c r="V543" s="9">
        <f t="shared" si="55"/>
        <v>0</v>
      </c>
      <c r="W543" s="9">
        <f t="shared" si="56"/>
        <v>12.923213999999998</v>
      </c>
    </row>
    <row r="544" spans="1:23">
      <c r="A544" s="2" t="s">
        <v>335</v>
      </c>
      <c r="B544" s="2" t="s">
        <v>336</v>
      </c>
      <c r="C544" s="3">
        <v>29</v>
      </c>
      <c r="D544" s="3">
        <v>3.96</v>
      </c>
      <c r="E544" s="2" t="s">
        <v>348</v>
      </c>
      <c r="F544" s="4">
        <v>39476</v>
      </c>
      <c r="G544" s="3">
        <v>64.599999999999994</v>
      </c>
      <c r="H544" s="3">
        <v>2.5</v>
      </c>
      <c r="I544" s="4">
        <v>39483</v>
      </c>
      <c r="J544" s="3">
        <v>70.599999999999994</v>
      </c>
      <c r="K544" s="6"/>
      <c r="L544" s="3">
        <v>7</v>
      </c>
      <c r="M544" s="5">
        <v>6</v>
      </c>
      <c r="N544" s="6"/>
      <c r="O544" s="5">
        <v>27.72</v>
      </c>
      <c r="P544" s="5">
        <v>857.14285714285711</v>
      </c>
      <c r="Q544" s="5">
        <v>55.687626857142853</v>
      </c>
      <c r="R544" s="8">
        <f t="shared" si="52"/>
        <v>7</v>
      </c>
      <c r="S544" s="9">
        <f t="shared" si="53"/>
        <v>6</v>
      </c>
      <c r="T544" s="9">
        <v>1.5</v>
      </c>
      <c r="U544" s="9">
        <f t="shared" si="54"/>
        <v>27.72</v>
      </c>
      <c r="V544" s="9">
        <f t="shared" si="55"/>
        <v>857.14285714285711</v>
      </c>
      <c r="W544" s="9">
        <f t="shared" si="56"/>
        <v>55.687626857142853</v>
      </c>
    </row>
    <row r="545" spans="1:23">
      <c r="A545" s="2" t="s">
        <v>335</v>
      </c>
      <c r="B545" s="2" t="s">
        <v>336</v>
      </c>
      <c r="C545" s="3">
        <v>29</v>
      </c>
      <c r="D545" s="3">
        <v>3.96</v>
      </c>
      <c r="E545" s="2" t="s">
        <v>348</v>
      </c>
      <c r="F545" s="4">
        <v>39476</v>
      </c>
      <c r="G545" s="3">
        <v>64.599999999999994</v>
      </c>
      <c r="H545" s="3">
        <v>2.5</v>
      </c>
      <c r="I545" s="4">
        <v>39490</v>
      </c>
      <c r="J545" s="3">
        <v>71</v>
      </c>
      <c r="K545" s="3">
        <v>2.5</v>
      </c>
      <c r="L545" s="3">
        <v>14</v>
      </c>
      <c r="M545" s="5">
        <v>6.4000000000000057</v>
      </c>
      <c r="N545" s="5">
        <v>0</v>
      </c>
      <c r="O545" s="5">
        <v>55.44</v>
      </c>
      <c r="P545" s="5">
        <v>457.14285714285757</v>
      </c>
      <c r="Q545" s="5">
        <v>36.001444857142879</v>
      </c>
      <c r="R545" s="8">
        <f t="shared" si="52"/>
        <v>7</v>
      </c>
      <c r="S545" s="9">
        <f t="shared" si="53"/>
        <v>0.40000000000000568</v>
      </c>
      <c r="T545" s="9">
        <v>1.5</v>
      </c>
      <c r="U545" s="9">
        <f t="shared" si="54"/>
        <v>27.72</v>
      </c>
      <c r="V545" s="9">
        <f t="shared" si="55"/>
        <v>57.142857142857956</v>
      </c>
      <c r="W545" s="9">
        <f t="shared" si="56"/>
        <v>16.281444857142894</v>
      </c>
    </row>
    <row r="546" spans="1:23">
      <c r="A546" s="2" t="s">
        <v>335</v>
      </c>
      <c r="B546" s="2" t="s">
        <v>336</v>
      </c>
      <c r="C546" s="3">
        <v>29</v>
      </c>
      <c r="D546" s="3">
        <v>3.96</v>
      </c>
      <c r="E546" s="2" t="s">
        <v>348</v>
      </c>
      <c r="F546" s="4">
        <v>39476</v>
      </c>
      <c r="G546" s="3">
        <v>64.599999999999994</v>
      </c>
      <c r="H546" s="3">
        <v>2.5</v>
      </c>
      <c r="I546" s="4">
        <v>39497</v>
      </c>
      <c r="J546" s="3">
        <v>71.8</v>
      </c>
      <c r="K546" s="3">
        <v>2.5</v>
      </c>
      <c r="L546" s="3">
        <v>21</v>
      </c>
      <c r="M546" s="5">
        <v>7.2000000000000028</v>
      </c>
      <c r="N546" s="5">
        <v>0</v>
      </c>
      <c r="O546" s="5">
        <v>83.16</v>
      </c>
      <c r="P546" s="5">
        <v>342.85714285714295</v>
      </c>
      <c r="Q546" s="5">
        <v>30.434795142857144</v>
      </c>
      <c r="R546" s="8">
        <f t="shared" si="52"/>
        <v>7</v>
      </c>
      <c r="S546" s="9">
        <f t="shared" si="53"/>
        <v>0.79999999999999716</v>
      </c>
      <c r="T546" s="9">
        <v>1.5</v>
      </c>
      <c r="U546" s="9">
        <f t="shared" si="54"/>
        <v>27.72</v>
      </c>
      <c r="V546" s="9">
        <f t="shared" si="55"/>
        <v>114.28571428571388</v>
      </c>
      <c r="W546" s="9">
        <f t="shared" si="56"/>
        <v>19.166223714285692</v>
      </c>
    </row>
    <row r="547" spans="1:23">
      <c r="A547" s="2" t="s">
        <v>335</v>
      </c>
      <c r="B547" s="2" t="s">
        <v>336</v>
      </c>
      <c r="C547" s="3">
        <v>29</v>
      </c>
      <c r="D547" s="3">
        <v>3.96</v>
      </c>
      <c r="E547" s="2" t="s">
        <v>348</v>
      </c>
      <c r="F547" s="4">
        <v>39476</v>
      </c>
      <c r="G547" s="3">
        <v>64.599999999999994</v>
      </c>
      <c r="H547" s="3">
        <v>2.5</v>
      </c>
      <c r="I547" s="4">
        <v>39503</v>
      </c>
      <c r="J547" s="3">
        <v>72.2</v>
      </c>
      <c r="K547" s="3">
        <v>2.5</v>
      </c>
      <c r="L547" s="3">
        <v>27</v>
      </c>
      <c r="M547" s="5">
        <v>7.6000000000000085</v>
      </c>
      <c r="N547" s="5">
        <v>0</v>
      </c>
      <c r="O547" s="5">
        <v>106.92</v>
      </c>
      <c r="P547" s="5">
        <v>281.48148148148175</v>
      </c>
      <c r="Q547" s="5">
        <v>27.442793037037049</v>
      </c>
      <c r="R547" s="8">
        <f t="shared" si="52"/>
        <v>6</v>
      </c>
      <c r="S547" s="9">
        <f t="shared" si="53"/>
        <v>0.40000000000000568</v>
      </c>
      <c r="T547" s="9">
        <v>1.5</v>
      </c>
      <c r="U547" s="9">
        <f t="shared" si="54"/>
        <v>23.759999999999998</v>
      </c>
      <c r="V547" s="9">
        <f t="shared" si="55"/>
        <v>66.666666666667609</v>
      </c>
      <c r="W547" s="9">
        <f t="shared" si="56"/>
        <v>16.852422666666712</v>
      </c>
    </row>
    <row r="548" spans="1:23">
      <c r="A548" s="2" t="s">
        <v>335</v>
      </c>
      <c r="B548" s="2" t="s">
        <v>336</v>
      </c>
      <c r="C548" s="3">
        <v>29</v>
      </c>
      <c r="D548" s="3">
        <v>3.96</v>
      </c>
      <c r="E548" s="2" t="s">
        <v>349</v>
      </c>
      <c r="F548" s="4">
        <v>39476</v>
      </c>
      <c r="G548" s="3">
        <v>62.8</v>
      </c>
      <c r="H548" s="3">
        <v>2.5</v>
      </c>
      <c r="I548" s="4">
        <v>39476</v>
      </c>
      <c r="J548" s="3">
        <v>62.8</v>
      </c>
      <c r="K548" s="3">
        <v>2.5</v>
      </c>
      <c r="L548" s="3">
        <v>0</v>
      </c>
      <c r="M548" s="5">
        <v>0</v>
      </c>
      <c r="N548" s="5">
        <v>0</v>
      </c>
      <c r="O548" s="5">
        <v>0</v>
      </c>
      <c r="P548" s="5">
        <v>0</v>
      </c>
      <c r="Q548" s="5">
        <v>12.618851999999999</v>
      </c>
      <c r="R548" s="8">
        <f t="shared" si="52"/>
        <v>0</v>
      </c>
      <c r="S548" s="9">
        <f t="shared" si="53"/>
        <v>0</v>
      </c>
      <c r="T548" s="9">
        <v>1.5</v>
      </c>
      <c r="U548" s="9">
        <f t="shared" si="54"/>
        <v>0</v>
      </c>
      <c r="V548" s="9">
        <f t="shared" si="55"/>
        <v>0</v>
      </c>
      <c r="W548" s="9">
        <f t="shared" si="56"/>
        <v>12.618851999999999</v>
      </c>
    </row>
    <row r="549" spans="1:23">
      <c r="A549" s="2" t="s">
        <v>335</v>
      </c>
      <c r="B549" s="2" t="s">
        <v>336</v>
      </c>
      <c r="C549" s="3">
        <v>29</v>
      </c>
      <c r="D549" s="3">
        <v>3.96</v>
      </c>
      <c r="E549" s="2" t="s">
        <v>349</v>
      </c>
      <c r="F549" s="4">
        <v>39476</v>
      </c>
      <c r="G549" s="3">
        <v>62.8</v>
      </c>
      <c r="H549" s="3">
        <v>2.5</v>
      </c>
      <c r="I549" s="4">
        <v>39483</v>
      </c>
      <c r="J549" s="3">
        <v>69.400000000000006</v>
      </c>
      <c r="K549" s="6"/>
      <c r="L549" s="3">
        <v>7</v>
      </c>
      <c r="M549" s="5">
        <v>6.6000000000000085</v>
      </c>
      <c r="N549" s="6"/>
      <c r="O549" s="5">
        <v>27.72</v>
      </c>
      <c r="P549" s="5">
        <v>942.85714285714403</v>
      </c>
      <c r="Q549" s="5">
        <v>59.659706142857196</v>
      </c>
      <c r="R549" s="8">
        <f t="shared" si="52"/>
        <v>7</v>
      </c>
      <c r="S549" s="9">
        <f t="shared" si="53"/>
        <v>6.6000000000000085</v>
      </c>
      <c r="T549" s="9">
        <v>1.5</v>
      </c>
      <c r="U549" s="9">
        <f t="shared" si="54"/>
        <v>27.72</v>
      </c>
      <c r="V549" s="9">
        <f t="shared" si="55"/>
        <v>942.85714285714403</v>
      </c>
      <c r="W549" s="9">
        <f t="shared" si="56"/>
        <v>59.659706142857196</v>
      </c>
    </row>
    <row r="550" spans="1:23">
      <c r="A550" s="2" t="s">
        <v>335</v>
      </c>
      <c r="B550" s="2" t="s">
        <v>336</v>
      </c>
      <c r="C550" s="3">
        <v>29</v>
      </c>
      <c r="D550" s="3">
        <v>3.96</v>
      </c>
      <c r="E550" s="2" t="s">
        <v>349</v>
      </c>
      <c r="F550" s="4">
        <v>39476</v>
      </c>
      <c r="G550" s="3">
        <v>62.8</v>
      </c>
      <c r="H550" s="3">
        <v>2.5</v>
      </c>
      <c r="I550" s="4">
        <v>39490</v>
      </c>
      <c r="J550" s="3">
        <v>71.8</v>
      </c>
      <c r="K550" s="3">
        <v>2.5</v>
      </c>
      <c r="L550" s="3">
        <v>14</v>
      </c>
      <c r="M550" s="5">
        <v>9</v>
      </c>
      <c r="N550" s="5">
        <v>0</v>
      </c>
      <c r="O550" s="5">
        <v>55.44</v>
      </c>
      <c r="P550" s="5">
        <v>642.85714285714289</v>
      </c>
      <c r="Q550" s="5">
        <v>45.072614142857141</v>
      </c>
      <c r="R550" s="8">
        <f t="shared" si="52"/>
        <v>7</v>
      </c>
      <c r="S550" s="9">
        <f t="shared" si="53"/>
        <v>2.3999999999999915</v>
      </c>
      <c r="T550" s="9">
        <v>1.5</v>
      </c>
      <c r="U550" s="9">
        <f t="shared" si="54"/>
        <v>27.72</v>
      </c>
      <c r="V550" s="9">
        <f t="shared" si="55"/>
        <v>342.85714285714164</v>
      </c>
      <c r="W550" s="9">
        <f t="shared" si="56"/>
        <v>30.282614142857085</v>
      </c>
    </row>
    <row r="551" spans="1:23">
      <c r="A551" s="2" t="s">
        <v>335</v>
      </c>
      <c r="B551" s="2" t="s">
        <v>336</v>
      </c>
      <c r="C551" s="3">
        <v>29</v>
      </c>
      <c r="D551" s="3">
        <v>3.96</v>
      </c>
      <c r="E551" s="2" t="s">
        <v>349</v>
      </c>
      <c r="F551" s="4">
        <v>39476</v>
      </c>
      <c r="G551" s="3">
        <v>62.8</v>
      </c>
      <c r="H551" s="3">
        <v>2.5</v>
      </c>
      <c r="I551" s="4">
        <v>39497</v>
      </c>
      <c r="J551" s="3">
        <v>70</v>
      </c>
      <c r="K551" s="3">
        <v>2.5</v>
      </c>
      <c r="L551" s="3">
        <v>21</v>
      </c>
      <c r="M551" s="5">
        <v>7.2000000000000028</v>
      </c>
      <c r="N551" s="5">
        <v>0</v>
      </c>
      <c r="O551" s="5">
        <v>83.16</v>
      </c>
      <c r="P551" s="5">
        <v>342.85714285714295</v>
      </c>
      <c r="Q551" s="5">
        <v>30.13043314285715</v>
      </c>
      <c r="R551" s="8">
        <f t="shared" si="52"/>
        <v>7</v>
      </c>
      <c r="S551" s="9">
        <f t="shared" si="53"/>
        <v>-1.7999999999999972</v>
      </c>
      <c r="T551" s="9">
        <v>1.5</v>
      </c>
      <c r="U551" s="9">
        <f t="shared" si="54"/>
        <v>27.72</v>
      </c>
      <c r="V551" s="9">
        <f t="shared" si="55"/>
        <v>-257.14285714285671</v>
      </c>
      <c r="W551" s="9">
        <f t="shared" si="56"/>
        <v>0.55043314285716427</v>
      </c>
    </row>
    <row r="552" spans="1:23">
      <c r="A552" s="2" t="s">
        <v>335</v>
      </c>
      <c r="B552" s="2" t="s">
        <v>336</v>
      </c>
      <c r="C552" s="3">
        <v>29</v>
      </c>
      <c r="D552" s="3">
        <v>3.96</v>
      </c>
      <c r="E552" s="2" t="s">
        <v>349</v>
      </c>
      <c r="F552" s="4">
        <v>39476</v>
      </c>
      <c r="G552" s="3">
        <v>62.8</v>
      </c>
      <c r="H552" s="3">
        <v>2.5</v>
      </c>
      <c r="I552" s="4">
        <v>39503</v>
      </c>
      <c r="J552" s="3">
        <v>71</v>
      </c>
      <c r="K552" s="3">
        <v>2.5</v>
      </c>
      <c r="L552" s="3">
        <v>27</v>
      </c>
      <c r="M552" s="5">
        <v>8.2000000000000028</v>
      </c>
      <c r="N552" s="5">
        <v>0</v>
      </c>
      <c r="O552" s="5">
        <v>106.92</v>
      </c>
      <c r="P552" s="5">
        <v>303.70370370370381</v>
      </c>
      <c r="Q552" s="5">
        <v>28.284713592592595</v>
      </c>
      <c r="R552" s="8">
        <f t="shared" si="52"/>
        <v>6</v>
      </c>
      <c r="S552" s="9">
        <f t="shared" si="53"/>
        <v>1</v>
      </c>
      <c r="T552" s="9">
        <v>1.5</v>
      </c>
      <c r="U552" s="9">
        <f t="shared" si="54"/>
        <v>23.759999999999998</v>
      </c>
      <c r="V552" s="9">
        <f t="shared" si="55"/>
        <v>166.66666666666666</v>
      </c>
      <c r="W552" s="9">
        <f t="shared" si="56"/>
        <v>21.528787666666666</v>
      </c>
    </row>
    <row r="553" spans="1:23">
      <c r="A553" s="2" t="s">
        <v>335</v>
      </c>
      <c r="B553" s="2" t="s">
        <v>336</v>
      </c>
      <c r="C553" s="3">
        <v>29</v>
      </c>
      <c r="D553" s="3">
        <v>3.96</v>
      </c>
      <c r="E553" s="2" t="s">
        <v>350</v>
      </c>
      <c r="F553" s="4">
        <v>39476</v>
      </c>
      <c r="G553" s="3">
        <v>50.2</v>
      </c>
      <c r="H553" s="3">
        <v>1.5</v>
      </c>
      <c r="I553" s="4">
        <v>39476</v>
      </c>
      <c r="J553" s="3">
        <v>50.2</v>
      </c>
      <c r="K553" s="3">
        <v>1.5</v>
      </c>
      <c r="L553" s="3">
        <v>0</v>
      </c>
      <c r="M553" s="5">
        <v>0</v>
      </c>
      <c r="N553" s="5">
        <v>0</v>
      </c>
      <c r="O553" s="5">
        <v>0</v>
      </c>
      <c r="P553" s="5">
        <v>0</v>
      </c>
      <c r="Q553" s="5">
        <v>10.488318</v>
      </c>
      <c r="R553" s="8">
        <f t="shared" si="52"/>
        <v>0</v>
      </c>
      <c r="S553" s="9">
        <f t="shared" si="53"/>
        <v>0</v>
      </c>
      <c r="T553" s="9">
        <v>1.5</v>
      </c>
      <c r="U553" s="9">
        <f t="shared" si="54"/>
        <v>0</v>
      </c>
      <c r="V553" s="9">
        <f t="shared" si="55"/>
        <v>0</v>
      </c>
      <c r="W553" s="9">
        <f t="shared" si="56"/>
        <v>10.488318</v>
      </c>
    </row>
    <row r="554" spans="1:23">
      <c r="A554" s="2" t="s">
        <v>335</v>
      </c>
      <c r="B554" s="2" t="s">
        <v>336</v>
      </c>
      <c r="C554" s="3">
        <v>29</v>
      </c>
      <c r="D554" s="3">
        <v>3.96</v>
      </c>
      <c r="E554" s="2" t="s">
        <v>350</v>
      </c>
      <c r="F554" s="4">
        <v>39476</v>
      </c>
      <c r="G554" s="3">
        <v>50.2</v>
      </c>
      <c r="H554" s="3">
        <v>1.5</v>
      </c>
      <c r="I554" s="4">
        <v>39483</v>
      </c>
      <c r="J554" s="3">
        <v>52.8</v>
      </c>
      <c r="K554" s="6"/>
      <c r="L554" s="3">
        <v>7</v>
      </c>
      <c r="M554" s="5">
        <v>2.5999999999999943</v>
      </c>
      <c r="N554" s="6"/>
      <c r="O554" s="5">
        <v>27.72</v>
      </c>
      <c r="P554" s="5">
        <v>371.42857142857059</v>
      </c>
      <c r="Q554" s="5">
        <v>29.019563571428527</v>
      </c>
      <c r="R554" s="8">
        <f t="shared" si="52"/>
        <v>7</v>
      </c>
      <c r="S554" s="9">
        <f t="shared" si="53"/>
        <v>2.5999999999999943</v>
      </c>
      <c r="T554" s="9">
        <v>1.5</v>
      </c>
      <c r="U554" s="9">
        <f t="shared" si="54"/>
        <v>27.72</v>
      </c>
      <c r="V554" s="9">
        <f t="shared" si="55"/>
        <v>371.42857142857059</v>
      </c>
      <c r="W554" s="9">
        <f t="shared" si="56"/>
        <v>29.019563571428527</v>
      </c>
    </row>
    <row r="555" spans="1:23">
      <c r="A555" s="2" t="s">
        <v>335</v>
      </c>
      <c r="B555" s="2" t="s">
        <v>336</v>
      </c>
      <c r="C555" s="3">
        <v>29</v>
      </c>
      <c r="D555" s="3">
        <v>3.96</v>
      </c>
      <c r="E555" s="2" t="s">
        <v>350</v>
      </c>
      <c r="F555" s="4">
        <v>39476</v>
      </c>
      <c r="G555" s="3">
        <v>50.2</v>
      </c>
      <c r="H555" s="3">
        <v>1.5</v>
      </c>
      <c r="I555" s="4">
        <v>39490</v>
      </c>
      <c r="J555" s="3">
        <v>58</v>
      </c>
      <c r="K555" s="3">
        <v>1.5</v>
      </c>
      <c r="L555" s="3">
        <v>14</v>
      </c>
      <c r="M555" s="5">
        <v>7.7999999999999972</v>
      </c>
      <c r="N555" s="5">
        <v>0</v>
      </c>
      <c r="O555" s="5">
        <v>55.44</v>
      </c>
      <c r="P555" s="5">
        <v>557.14285714285688</v>
      </c>
      <c r="Q555" s="5">
        <v>38.614911857142843</v>
      </c>
      <c r="R555" s="8">
        <f t="shared" si="52"/>
        <v>7</v>
      </c>
      <c r="S555" s="9">
        <f t="shared" si="53"/>
        <v>5.2000000000000028</v>
      </c>
      <c r="T555" s="9">
        <v>1.5</v>
      </c>
      <c r="U555" s="9">
        <f t="shared" si="54"/>
        <v>27.72</v>
      </c>
      <c r="V555" s="9">
        <f t="shared" si="55"/>
        <v>742.85714285714323</v>
      </c>
      <c r="W555" s="9">
        <f t="shared" si="56"/>
        <v>47.770626142857154</v>
      </c>
    </row>
    <row r="556" spans="1:23">
      <c r="A556" s="2" t="s">
        <v>335</v>
      </c>
      <c r="B556" s="2" t="s">
        <v>336</v>
      </c>
      <c r="C556" s="3">
        <v>29</v>
      </c>
      <c r="D556" s="3">
        <v>3.96</v>
      </c>
      <c r="E556" s="2" t="s">
        <v>350</v>
      </c>
      <c r="F556" s="4">
        <v>39476</v>
      </c>
      <c r="G556" s="3">
        <v>50.2</v>
      </c>
      <c r="H556" s="3">
        <v>1.5</v>
      </c>
      <c r="I556" s="4">
        <v>39497</v>
      </c>
      <c r="J556" s="3">
        <v>55.4</v>
      </c>
      <c r="K556" s="3">
        <v>1.5</v>
      </c>
      <c r="L556" s="3">
        <v>21</v>
      </c>
      <c r="M556" s="5">
        <v>5.1999999999999957</v>
      </c>
      <c r="N556" s="5">
        <v>0</v>
      </c>
      <c r="O556" s="5">
        <v>83.16</v>
      </c>
      <c r="P556" s="5">
        <v>247.61904761904739</v>
      </c>
      <c r="Q556" s="5">
        <v>23.135571047619038</v>
      </c>
      <c r="R556" s="8">
        <f t="shared" si="52"/>
        <v>7</v>
      </c>
      <c r="S556" s="9">
        <f t="shared" si="53"/>
        <v>-2.6000000000000014</v>
      </c>
      <c r="T556" s="9">
        <v>1.5</v>
      </c>
      <c r="U556" s="9">
        <f t="shared" si="54"/>
        <v>27.72</v>
      </c>
      <c r="V556" s="9">
        <f t="shared" si="55"/>
        <v>-371.42857142857162</v>
      </c>
      <c r="W556" s="9">
        <f t="shared" si="56"/>
        <v>-7.383476571428579</v>
      </c>
    </row>
    <row r="557" spans="1:23">
      <c r="A557" s="2" t="s">
        <v>335</v>
      </c>
      <c r="B557" s="2" t="s">
        <v>336</v>
      </c>
      <c r="C557" s="3">
        <v>29</v>
      </c>
      <c r="D557" s="3">
        <v>3.96</v>
      </c>
      <c r="E557" s="2" t="s">
        <v>350</v>
      </c>
      <c r="F557" s="4">
        <v>39476</v>
      </c>
      <c r="G557" s="3">
        <v>50.2</v>
      </c>
      <c r="H557" s="3">
        <v>1.5</v>
      </c>
      <c r="I557" s="4">
        <v>39503</v>
      </c>
      <c r="J557" s="3">
        <v>54.6</v>
      </c>
      <c r="K557" s="3">
        <v>1.5</v>
      </c>
      <c r="L557" s="3">
        <v>27</v>
      </c>
      <c r="M557" s="5">
        <v>4.3999999999999986</v>
      </c>
      <c r="N557" s="5">
        <v>0</v>
      </c>
      <c r="O557" s="5">
        <v>106.92</v>
      </c>
      <c r="P557" s="5">
        <v>162.96296296296293</v>
      </c>
      <c r="Q557" s="5">
        <v>18.894390074074074</v>
      </c>
      <c r="R557" s="8">
        <f t="shared" si="52"/>
        <v>6</v>
      </c>
      <c r="S557" s="9">
        <f t="shared" si="53"/>
        <v>-0.79999999999999716</v>
      </c>
      <c r="T557" s="9">
        <v>1.5</v>
      </c>
      <c r="U557" s="9">
        <f t="shared" si="54"/>
        <v>23.759999999999998</v>
      </c>
      <c r="V557" s="9">
        <f t="shared" si="55"/>
        <v>-133.33333333333286</v>
      </c>
      <c r="W557" s="9">
        <f t="shared" si="56"/>
        <v>4.2869826666666917</v>
      </c>
    </row>
    <row r="558" spans="1:23">
      <c r="A558" s="2" t="s">
        <v>335</v>
      </c>
      <c r="B558" s="2" t="s">
        <v>336</v>
      </c>
      <c r="C558" s="3">
        <v>29</v>
      </c>
      <c r="D558" s="3">
        <v>3.96</v>
      </c>
      <c r="E558" s="2" t="s">
        <v>351</v>
      </c>
      <c r="F558" s="4">
        <v>39476</v>
      </c>
      <c r="G558" s="3">
        <v>60.8</v>
      </c>
      <c r="H558" s="3">
        <v>2.25</v>
      </c>
      <c r="I558" s="4">
        <v>39476</v>
      </c>
      <c r="J558" s="3">
        <v>60.8</v>
      </c>
      <c r="K558" s="3">
        <v>2.25</v>
      </c>
      <c r="L558" s="3">
        <v>0</v>
      </c>
      <c r="M558" s="5">
        <v>0</v>
      </c>
      <c r="N558" s="5">
        <v>0</v>
      </c>
      <c r="O558" s="5">
        <v>0</v>
      </c>
      <c r="P558" s="5">
        <v>0</v>
      </c>
      <c r="Q558" s="5">
        <v>12.280671999999999</v>
      </c>
      <c r="R558" s="8">
        <f t="shared" si="52"/>
        <v>0</v>
      </c>
      <c r="S558" s="9">
        <f t="shared" si="53"/>
        <v>0</v>
      </c>
      <c r="T558" s="9">
        <v>1.5</v>
      </c>
      <c r="U558" s="9">
        <f t="shared" si="54"/>
        <v>0</v>
      </c>
      <c r="V558" s="9">
        <f t="shared" si="55"/>
        <v>0</v>
      </c>
      <c r="W558" s="9">
        <f t="shared" si="56"/>
        <v>12.280671999999999</v>
      </c>
    </row>
    <row r="559" spans="1:23">
      <c r="A559" s="2" t="s">
        <v>335</v>
      </c>
      <c r="B559" s="2" t="s">
        <v>336</v>
      </c>
      <c r="C559" s="3">
        <v>29</v>
      </c>
      <c r="D559" s="3">
        <v>3.96</v>
      </c>
      <c r="E559" s="2" t="s">
        <v>351</v>
      </c>
      <c r="F559" s="4">
        <v>39476</v>
      </c>
      <c r="G559" s="3">
        <v>60.8</v>
      </c>
      <c r="H559" s="3">
        <v>2.25</v>
      </c>
      <c r="I559" s="4">
        <v>39483</v>
      </c>
      <c r="J559" s="3">
        <v>68.2</v>
      </c>
      <c r="K559" s="6"/>
      <c r="L559" s="3">
        <v>7</v>
      </c>
      <c r="M559" s="5">
        <v>7.4000000000000057</v>
      </c>
      <c r="N559" s="6"/>
      <c r="O559" s="5">
        <v>27.72</v>
      </c>
      <c r="P559" s="5">
        <v>1057.142857142858</v>
      </c>
      <c r="Q559" s="5">
        <v>65.023447857142898</v>
      </c>
      <c r="R559" s="8">
        <f t="shared" si="52"/>
        <v>7</v>
      </c>
      <c r="S559" s="9">
        <f t="shared" si="53"/>
        <v>7.4000000000000057</v>
      </c>
      <c r="T559" s="9">
        <v>1.5</v>
      </c>
      <c r="U559" s="9">
        <f t="shared" si="54"/>
        <v>27.72</v>
      </c>
      <c r="V559" s="9">
        <f t="shared" si="55"/>
        <v>1057.142857142858</v>
      </c>
      <c r="W559" s="9">
        <f t="shared" si="56"/>
        <v>65.023447857142898</v>
      </c>
    </row>
    <row r="560" spans="1:23">
      <c r="A560" s="2" t="s">
        <v>335</v>
      </c>
      <c r="B560" s="2" t="s">
        <v>336</v>
      </c>
      <c r="C560" s="3">
        <v>29</v>
      </c>
      <c r="D560" s="3">
        <v>3.96</v>
      </c>
      <c r="E560" s="2" t="s">
        <v>351</v>
      </c>
      <c r="F560" s="4">
        <v>39476</v>
      </c>
      <c r="G560" s="3">
        <v>60.8</v>
      </c>
      <c r="H560" s="3">
        <v>2.25</v>
      </c>
      <c r="I560" s="4">
        <v>39490</v>
      </c>
      <c r="J560" s="3">
        <v>73.599999999999994</v>
      </c>
      <c r="K560" s="3">
        <v>2.25</v>
      </c>
      <c r="L560" s="3">
        <v>14</v>
      </c>
      <c r="M560" s="5">
        <v>12.799999999999997</v>
      </c>
      <c r="N560" s="5">
        <v>0</v>
      </c>
      <c r="O560" s="5">
        <v>55.44</v>
      </c>
      <c r="P560" s="5">
        <v>914.28571428571399</v>
      </c>
      <c r="Q560" s="5">
        <v>58.4371337142857</v>
      </c>
      <c r="R560" s="8">
        <f t="shared" si="52"/>
        <v>7</v>
      </c>
      <c r="S560" s="9">
        <f t="shared" si="53"/>
        <v>5.3999999999999915</v>
      </c>
      <c r="T560" s="9">
        <v>1.5</v>
      </c>
      <c r="U560" s="9">
        <f t="shared" si="54"/>
        <v>27.72</v>
      </c>
      <c r="V560" s="9">
        <f t="shared" si="55"/>
        <v>771.42857142857019</v>
      </c>
      <c r="W560" s="9">
        <f t="shared" si="56"/>
        <v>51.394276571428513</v>
      </c>
    </row>
    <row r="561" spans="1:23">
      <c r="A561" s="2" t="s">
        <v>335</v>
      </c>
      <c r="B561" s="2" t="s">
        <v>336</v>
      </c>
      <c r="C561" s="3">
        <v>29</v>
      </c>
      <c r="D561" s="3">
        <v>3.96</v>
      </c>
      <c r="E561" s="2" t="s">
        <v>351</v>
      </c>
      <c r="F561" s="4">
        <v>39476</v>
      </c>
      <c r="G561" s="3">
        <v>60.8</v>
      </c>
      <c r="H561" s="3">
        <v>2.25</v>
      </c>
      <c r="I561" s="4">
        <v>39497</v>
      </c>
      <c r="J561" s="3">
        <v>70</v>
      </c>
      <c r="K561" s="3">
        <v>2.25</v>
      </c>
      <c r="L561" s="3">
        <v>21</v>
      </c>
      <c r="M561" s="5">
        <v>9.2000000000000028</v>
      </c>
      <c r="N561" s="5">
        <v>0</v>
      </c>
      <c r="O561" s="5">
        <v>83.16</v>
      </c>
      <c r="P561" s="5">
        <v>438.09523809523819</v>
      </c>
      <c r="Q561" s="5">
        <v>34.656581238095242</v>
      </c>
      <c r="R561" s="8">
        <f t="shared" si="52"/>
        <v>7</v>
      </c>
      <c r="S561" s="9">
        <f t="shared" si="53"/>
        <v>-3.5999999999999943</v>
      </c>
      <c r="T561" s="9">
        <v>1.5</v>
      </c>
      <c r="U561" s="9">
        <f t="shared" si="54"/>
        <v>27.72</v>
      </c>
      <c r="V561" s="9">
        <f t="shared" si="55"/>
        <v>-514.28571428571342</v>
      </c>
      <c r="W561" s="9">
        <f t="shared" si="56"/>
        <v>-12.295799714285673</v>
      </c>
    </row>
    <row r="562" spans="1:23">
      <c r="A562" s="2" t="s">
        <v>335</v>
      </c>
      <c r="B562" s="2" t="s">
        <v>336</v>
      </c>
      <c r="C562" s="3">
        <v>29</v>
      </c>
      <c r="D562" s="3">
        <v>3.96</v>
      </c>
      <c r="E562" s="2" t="s">
        <v>351</v>
      </c>
      <c r="F562" s="4">
        <v>39476</v>
      </c>
      <c r="G562" s="3">
        <v>60.8</v>
      </c>
      <c r="H562" s="3">
        <v>2.25</v>
      </c>
      <c r="I562" s="4">
        <v>39503</v>
      </c>
      <c r="J562" s="3">
        <v>70.599999999999994</v>
      </c>
      <c r="K562" s="3">
        <v>2.25</v>
      </c>
      <c r="L562" s="3">
        <v>27</v>
      </c>
      <c r="M562" s="5">
        <v>9.7999999999999972</v>
      </c>
      <c r="N562" s="5">
        <v>0</v>
      </c>
      <c r="O562" s="5">
        <v>106.92</v>
      </c>
      <c r="P562" s="5">
        <v>362.96296296296288</v>
      </c>
      <c r="Q562" s="5">
        <v>31.003287074074066</v>
      </c>
      <c r="R562" s="8">
        <f t="shared" si="52"/>
        <v>6</v>
      </c>
      <c r="S562" s="9">
        <f t="shared" si="53"/>
        <v>0.59999999999999432</v>
      </c>
      <c r="T562" s="9">
        <v>1.5</v>
      </c>
      <c r="U562" s="9">
        <f t="shared" si="54"/>
        <v>23.759999999999998</v>
      </c>
      <c r="V562" s="9">
        <f t="shared" si="55"/>
        <v>99.999999999999048</v>
      </c>
      <c r="W562" s="9">
        <f t="shared" si="56"/>
        <v>18.03921299999995</v>
      </c>
    </row>
    <row r="563" spans="1:23">
      <c r="A563" s="2" t="s">
        <v>335</v>
      </c>
      <c r="B563" s="2" t="s">
        <v>336</v>
      </c>
      <c r="C563" s="3">
        <v>29</v>
      </c>
      <c r="D563" s="3">
        <v>3.96</v>
      </c>
      <c r="E563" s="2" t="s">
        <v>352</v>
      </c>
      <c r="F563" s="4">
        <v>39476</v>
      </c>
      <c r="G563" s="3">
        <v>57.6</v>
      </c>
      <c r="H563" s="3">
        <v>3</v>
      </c>
      <c r="I563" s="4">
        <v>39476</v>
      </c>
      <c r="J563" s="3">
        <v>57.6</v>
      </c>
      <c r="K563" s="3">
        <v>3</v>
      </c>
      <c r="L563" s="3">
        <v>0</v>
      </c>
      <c r="M563" s="5">
        <v>0</v>
      </c>
      <c r="N563" s="5">
        <v>0</v>
      </c>
      <c r="O563" s="5">
        <v>0</v>
      </c>
      <c r="P563" s="5">
        <v>0</v>
      </c>
      <c r="Q563" s="5">
        <v>11.739583999999999</v>
      </c>
      <c r="R563" s="8">
        <f t="shared" si="52"/>
        <v>0</v>
      </c>
      <c r="S563" s="9">
        <f t="shared" si="53"/>
        <v>0</v>
      </c>
      <c r="T563" s="9">
        <v>1.5</v>
      </c>
      <c r="U563" s="9">
        <f t="shared" si="54"/>
        <v>0</v>
      </c>
      <c r="V563" s="9">
        <f t="shared" si="55"/>
        <v>0</v>
      </c>
      <c r="W563" s="9">
        <f t="shared" si="56"/>
        <v>11.739583999999999</v>
      </c>
    </row>
    <row r="564" spans="1:23">
      <c r="A564" s="2" t="s">
        <v>335</v>
      </c>
      <c r="B564" s="2" t="s">
        <v>336</v>
      </c>
      <c r="C564" s="3">
        <v>29</v>
      </c>
      <c r="D564" s="3">
        <v>3.96</v>
      </c>
      <c r="E564" s="2" t="s">
        <v>352</v>
      </c>
      <c r="F564" s="4">
        <v>39476</v>
      </c>
      <c r="G564" s="3">
        <v>57.6</v>
      </c>
      <c r="H564" s="3">
        <v>3</v>
      </c>
      <c r="I564" s="4">
        <v>39483</v>
      </c>
      <c r="J564" s="3">
        <v>63.4</v>
      </c>
      <c r="K564" s="6"/>
      <c r="L564" s="3">
        <v>7</v>
      </c>
      <c r="M564" s="5">
        <v>5.7999999999999972</v>
      </c>
      <c r="N564" s="6"/>
      <c r="O564" s="5">
        <v>27.72</v>
      </c>
      <c r="P564" s="5">
        <v>828.57142857142821</v>
      </c>
      <c r="Q564" s="5">
        <v>53.078516428571405</v>
      </c>
      <c r="R564" s="8">
        <f t="shared" si="52"/>
        <v>7</v>
      </c>
      <c r="S564" s="9">
        <f t="shared" si="53"/>
        <v>5.7999999999999972</v>
      </c>
      <c r="T564" s="9">
        <v>1.5</v>
      </c>
      <c r="U564" s="9">
        <f t="shared" si="54"/>
        <v>27.72</v>
      </c>
      <c r="V564" s="9">
        <f t="shared" si="55"/>
        <v>828.57142857142821</v>
      </c>
      <c r="W564" s="9">
        <f t="shared" si="56"/>
        <v>53.078516428571405</v>
      </c>
    </row>
    <row r="565" spans="1:23">
      <c r="A565" s="2" t="s">
        <v>335</v>
      </c>
      <c r="B565" s="2" t="s">
        <v>336</v>
      </c>
      <c r="C565" s="3">
        <v>29</v>
      </c>
      <c r="D565" s="3">
        <v>3.96</v>
      </c>
      <c r="E565" s="2" t="s">
        <v>352</v>
      </c>
      <c r="F565" s="4">
        <v>39476</v>
      </c>
      <c r="G565" s="3">
        <v>57.6</v>
      </c>
      <c r="H565" s="3">
        <v>3</v>
      </c>
      <c r="I565" s="4">
        <v>39490</v>
      </c>
      <c r="J565" s="3">
        <v>67.400000000000006</v>
      </c>
      <c r="K565" s="3">
        <v>3</v>
      </c>
      <c r="L565" s="3">
        <v>14</v>
      </c>
      <c r="M565" s="5">
        <v>9.8000000000000043</v>
      </c>
      <c r="N565" s="5">
        <v>0</v>
      </c>
      <c r="O565" s="5">
        <v>55.44</v>
      </c>
      <c r="P565" s="5">
        <v>700.00000000000034</v>
      </c>
      <c r="Q565" s="5">
        <v>47.078125000000014</v>
      </c>
      <c r="R565" s="8">
        <f t="shared" si="52"/>
        <v>7</v>
      </c>
      <c r="S565" s="9">
        <f t="shared" si="53"/>
        <v>4.0000000000000071</v>
      </c>
      <c r="T565" s="9">
        <v>1.5</v>
      </c>
      <c r="U565" s="9">
        <f t="shared" si="54"/>
        <v>27.72</v>
      </c>
      <c r="V565" s="9">
        <f t="shared" si="55"/>
        <v>571.42857142857235</v>
      </c>
      <c r="W565" s="9">
        <f t="shared" si="56"/>
        <v>40.739553571428615</v>
      </c>
    </row>
    <row r="566" spans="1:23">
      <c r="A566" s="2" t="s">
        <v>335</v>
      </c>
      <c r="B566" s="2" t="s">
        <v>336</v>
      </c>
      <c r="C566" s="3">
        <v>29</v>
      </c>
      <c r="D566" s="3">
        <v>3.96</v>
      </c>
      <c r="E566" s="2" t="s">
        <v>352</v>
      </c>
      <c r="F566" s="4">
        <v>39476</v>
      </c>
      <c r="G566" s="3">
        <v>57.6</v>
      </c>
      <c r="H566" s="3">
        <v>3</v>
      </c>
      <c r="I566" s="4">
        <v>39497</v>
      </c>
      <c r="J566" s="3">
        <v>67.599999999999994</v>
      </c>
      <c r="K566" s="3">
        <v>3</v>
      </c>
      <c r="L566" s="3">
        <v>21</v>
      </c>
      <c r="M566" s="5">
        <v>9.9999999999999929</v>
      </c>
      <c r="N566" s="5">
        <v>0</v>
      </c>
      <c r="O566" s="5">
        <v>83.16</v>
      </c>
      <c r="P566" s="5">
        <v>476.19047619047581</v>
      </c>
      <c r="Q566" s="5">
        <v>36.061224476190453</v>
      </c>
      <c r="R566" s="8">
        <f t="shared" si="52"/>
        <v>7</v>
      </c>
      <c r="S566" s="9">
        <f t="shared" si="53"/>
        <v>0.19999999999998863</v>
      </c>
      <c r="T566" s="9">
        <v>1.5</v>
      </c>
      <c r="U566" s="9">
        <f t="shared" si="54"/>
        <v>27.72</v>
      </c>
      <c r="V566" s="9">
        <f t="shared" si="55"/>
        <v>28.571428571426946</v>
      </c>
      <c r="W566" s="9">
        <f t="shared" si="56"/>
        <v>13.993605428571346</v>
      </c>
    </row>
    <row r="567" spans="1:23">
      <c r="A567" s="2" t="s">
        <v>335</v>
      </c>
      <c r="B567" s="2" t="s">
        <v>336</v>
      </c>
      <c r="C567" s="3">
        <v>29</v>
      </c>
      <c r="D567" s="3">
        <v>3.96</v>
      </c>
      <c r="E567" s="2" t="s">
        <v>352</v>
      </c>
      <c r="F567" s="4">
        <v>39476</v>
      </c>
      <c r="G567" s="3">
        <v>57.6</v>
      </c>
      <c r="H567" s="3">
        <v>3</v>
      </c>
      <c r="I567" s="4">
        <v>39503</v>
      </c>
      <c r="J567" s="3">
        <v>64.8</v>
      </c>
      <c r="K567" s="3">
        <v>3</v>
      </c>
      <c r="L567" s="3">
        <v>27</v>
      </c>
      <c r="M567" s="5">
        <v>7.1999999999999957</v>
      </c>
      <c r="N567" s="5">
        <v>0</v>
      </c>
      <c r="O567" s="5">
        <v>106.92</v>
      </c>
      <c r="P567" s="5">
        <v>266.66666666666652</v>
      </c>
      <c r="Q567" s="5">
        <v>25.494974666666657</v>
      </c>
      <c r="R567" s="8">
        <f t="shared" si="52"/>
        <v>6</v>
      </c>
      <c r="S567" s="9">
        <f t="shared" si="53"/>
        <v>-2.7999999999999972</v>
      </c>
      <c r="T567" s="9">
        <v>1.5</v>
      </c>
      <c r="U567" s="9">
        <f t="shared" si="54"/>
        <v>23.759999999999998</v>
      </c>
      <c r="V567" s="9">
        <f t="shared" si="55"/>
        <v>-466.66666666666617</v>
      </c>
      <c r="W567" s="9">
        <f t="shared" si="56"/>
        <v>-10.658358666666643</v>
      </c>
    </row>
    <row r="568" spans="1:23">
      <c r="A568" s="2" t="s">
        <v>335</v>
      </c>
      <c r="B568" s="2" t="s">
        <v>336</v>
      </c>
      <c r="C568" s="3">
        <v>29</v>
      </c>
      <c r="D568" s="3">
        <v>3.96</v>
      </c>
      <c r="E568" s="2" t="s">
        <v>353</v>
      </c>
      <c r="F568" s="4">
        <v>39476</v>
      </c>
      <c r="G568" s="3">
        <v>68.8</v>
      </c>
      <c r="H568" s="3">
        <v>3.5</v>
      </c>
      <c r="I568" s="4">
        <v>39476</v>
      </c>
      <c r="J568" s="3">
        <v>68.8</v>
      </c>
      <c r="K568" s="3">
        <v>3.5</v>
      </c>
      <c r="L568" s="3">
        <v>0</v>
      </c>
      <c r="M568" s="5">
        <v>0</v>
      </c>
      <c r="N568" s="5">
        <v>0</v>
      </c>
      <c r="O568" s="5">
        <v>0</v>
      </c>
      <c r="P568" s="5">
        <v>0</v>
      </c>
      <c r="Q568" s="5">
        <v>13.633391999999999</v>
      </c>
      <c r="R568" s="8">
        <f t="shared" ref="R568:R631" si="57">IF(I568-F568=0,0,I568-I567)</f>
        <v>0</v>
      </c>
      <c r="S568" s="9">
        <f t="shared" ref="S568:S631" si="58">IF(R568=0,J568-G568,J568-J567)</f>
        <v>0</v>
      </c>
      <c r="T568" s="9">
        <v>1.5</v>
      </c>
      <c r="U568" s="9">
        <f t="shared" ref="U568:U631" si="59">D568*R568</f>
        <v>0</v>
      </c>
      <c r="V568" s="9">
        <f t="shared" ref="V568:V631" si="60">IF(R568=0,0,(S568/R568*1000))</f>
        <v>0</v>
      </c>
      <c r="W568" s="9">
        <f t="shared" ref="W568:W631" si="61">IF(R568=0,(((G568)*0.16909+(V568/1000)*49.3)+2),((((G568+J568)/2)*0.16909+(V568/1000)*49.3)+2))</f>
        <v>13.633391999999999</v>
      </c>
    </row>
    <row r="569" spans="1:23">
      <c r="A569" s="2" t="s">
        <v>335</v>
      </c>
      <c r="B569" s="2" t="s">
        <v>336</v>
      </c>
      <c r="C569" s="3">
        <v>29</v>
      </c>
      <c r="D569" s="3">
        <v>3.96</v>
      </c>
      <c r="E569" s="2" t="s">
        <v>353</v>
      </c>
      <c r="F569" s="4">
        <v>39476</v>
      </c>
      <c r="G569" s="3">
        <v>68.8</v>
      </c>
      <c r="H569" s="3">
        <v>3.5</v>
      </c>
      <c r="I569" s="4">
        <v>39483</v>
      </c>
      <c r="J569" s="3">
        <v>69.8</v>
      </c>
      <c r="K569" s="6"/>
      <c r="L569" s="3">
        <v>7</v>
      </c>
      <c r="M569" s="5">
        <v>1</v>
      </c>
      <c r="N569" s="6"/>
      <c r="O569" s="5">
        <v>27.72</v>
      </c>
      <c r="P569" s="5">
        <v>142.85714285714286</v>
      </c>
      <c r="Q569" s="5">
        <v>20.76079414285714</v>
      </c>
      <c r="R569" s="8">
        <f t="shared" si="57"/>
        <v>7</v>
      </c>
      <c r="S569" s="9">
        <f t="shared" si="58"/>
        <v>1</v>
      </c>
      <c r="T569" s="9">
        <v>1.5</v>
      </c>
      <c r="U569" s="9">
        <f t="shared" si="59"/>
        <v>27.72</v>
      </c>
      <c r="V569" s="9">
        <f t="shared" si="60"/>
        <v>142.85714285714286</v>
      </c>
      <c r="W569" s="9">
        <f t="shared" si="61"/>
        <v>20.76079414285714</v>
      </c>
    </row>
    <row r="570" spans="1:23">
      <c r="A570" s="2" t="s">
        <v>335</v>
      </c>
      <c r="B570" s="2" t="s">
        <v>336</v>
      </c>
      <c r="C570" s="3">
        <v>29</v>
      </c>
      <c r="D570" s="3">
        <v>3.96</v>
      </c>
      <c r="E570" s="2" t="s">
        <v>353</v>
      </c>
      <c r="F570" s="4">
        <v>39476</v>
      </c>
      <c r="G570" s="3">
        <v>68.8</v>
      </c>
      <c r="H570" s="3">
        <v>3.5</v>
      </c>
      <c r="I570" s="4">
        <v>39490</v>
      </c>
      <c r="J570" s="3">
        <v>70.2</v>
      </c>
      <c r="K570" s="3">
        <v>3.5</v>
      </c>
      <c r="L570" s="3">
        <v>14</v>
      </c>
      <c r="M570" s="5">
        <v>1.4000000000000057</v>
      </c>
      <c r="N570" s="5">
        <v>0</v>
      </c>
      <c r="O570" s="5">
        <v>55.44</v>
      </c>
      <c r="P570" s="5">
        <v>100.00000000000041</v>
      </c>
      <c r="Q570" s="5">
        <v>18.68175500000002</v>
      </c>
      <c r="R570" s="8">
        <f t="shared" si="57"/>
        <v>7</v>
      </c>
      <c r="S570" s="9">
        <f t="shared" si="58"/>
        <v>0.40000000000000568</v>
      </c>
      <c r="T570" s="9">
        <v>1.5</v>
      </c>
      <c r="U570" s="9">
        <f t="shared" si="59"/>
        <v>27.72</v>
      </c>
      <c r="V570" s="9">
        <f t="shared" si="60"/>
        <v>57.142857142857956</v>
      </c>
      <c r="W570" s="9">
        <f t="shared" si="61"/>
        <v>16.568897857142897</v>
      </c>
    </row>
    <row r="571" spans="1:23">
      <c r="A571" s="2" t="s">
        <v>335</v>
      </c>
      <c r="B571" s="2" t="s">
        <v>336</v>
      </c>
      <c r="C571" s="3">
        <v>29</v>
      </c>
      <c r="D571" s="3">
        <v>3.96</v>
      </c>
      <c r="E571" s="2" t="s">
        <v>353</v>
      </c>
      <c r="F571" s="4">
        <v>39476</v>
      </c>
      <c r="G571" s="3">
        <v>68.8</v>
      </c>
      <c r="H571" s="3">
        <v>3.5</v>
      </c>
      <c r="I571" s="4">
        <v>39497</v>
      </c>
      <c r="J571" s="3">
        <v>76</v>
      </c>
      <c r="K571" s="3">
        <v>3.5</v>
      </c>
      <c r="L571" s="3">
        <v>21</v>
      </c>
      <c r="M571" s="5">
        <v>7.2000000000000028</v>
      </c>
      <c r="N571" s="5">
        <v>0</v>
      </c>
      <c r="O571" s="5">
        <v>83.16</v>
      </c>
      <c r="P571" s="5">
        <v>342.85714285714295</v>
      </c>
      <c r="Q571" s="5">
        <v>31.144973142857147</v>
      </c>
      <c r="R571" s="8">
        <f t="shared" si="57"/>
        <v>7</v>
      </c>
      <c r="S571" s="9">
        <f t="shared" si="58"/>
        <v>5.7999999999999972</v>
      </c>
      <c r="T571" s="9">
        <v>1.5</v>
      </c>
      <c r="U571" s="9">
        <f t="shared" si="59"/>
        <v>27.72</v>
      </c>
      <c r="V571" s="9">
        <f t="shared" si="60"/>
        <v>828.57142857142821</v>
      </c>
      <c r="W571" s="9">
        <f t="shared" si="61"/>
        <v>55.090687428571407</v>
      </c>
    </row>
    <row r="572" spans="1:23">
      <c r="A572" s="2" t="s">
        <v>335</v>
      </c>
      <c r="B572" s="2" t="s">
        <v>336</v>
      </c>
      <c r="C572" s="3">
        <v>29</v>
      </c>
      <c r="D572" s="3">
        <v>3.96</v>
      </c>
      <c r="E572" s="2" t="s">
        <v>353</v>
      </c>
      <c r="F572" s="4">
        <v>39476</v>
      </c>
      <c r="G572" s="3">
        <v>68.8</v>
      </c>
      <c r="H572" s="3">
        <v>3.5</v>
      </c>
      <c r="I572" s="4">
        <v>39503</v>
      </c>
      <c r="J572" s="3">
        <v>70</v>
      </c>
      <c r="K572" s="3">
        <v>3.5</v>
      </c>
      <c r="L572" s="3">
        <v>27</v>
      </c>
      <c r="M572" s="5">
        <v>1.2000000000000028</v>
      </c>
      <c r="N572" s="5">
        <v>0</v>
      </c>
      <c r="O572" s="5">
        <v>106.92</v>
      </c>
      <c r="P572" s="5">
        <v>44.444444444444549</v>
      </c>
      <c r="Q572" s="5">
        <v>15.925957111111117</v>
      </c>
      <c r="R572" s="8">
        <f t="shared" si="57"/>
        <v>6</v>
      </c>
      <c r="S572" s="9">
        <f t="shared" si="58"/>
        <v>-6</v>
      </c>
      <c r="T572" s="9">
        <v>1.5</v>
      </c>
      <c r="U572" s="9">
        <f t="shared" si="59"/>
        <v>23.759999999999998</v>
      </c>
      <c r="V572" s="9">
        <f t="shared" si="60"/>
        <v>-1000</v>
      </c>
      <c r="W572" s="9">
        <f t="shared" si="61"/>
        <v>-35.565153999999993</v>
      </c>
    </row>
    <row r="573" spans="1:23">
      <c r="A573" s="2" t="s">
        <v>335</v>
      </c>
      <c r="B573" s="2" t="s">
        <v>336</v>
      </c>
      <c r="C573" s="3">
        <v>29</v>
      </c>
      <c r="D573" s="3">
        <v>3.96</v>
      </c>
      <c r="E573" s="2" t="s">
        <v>354</v>
      </c>
      <c r="F573" s="4">
        <v>39476</v>
      </c>
      <c r="G573" s="3">
        <v>57.6</v>
      </c>
      <c r="H573" s="3">
        <v>2.25</v>
      </c>
      <c r="I573" s="4">
        <v>39476</v>
      </c>
      <c r="J573" s="3">
        <v>57.6</v>
      </c>
      <c r="K573" s="3">
        <v>2.25</v>
      </c>
      <c r="L573" s="3">
        <v>0</v>
      </c>
      <c r="M573" s="5">
        <v>0</v>
      </c>
      <c r="N573" s="5">
        <v>0</v>
      </c>
      <c r="O573" s="5">
        <v>0</v>
      </c>
      <c r="P573" s="5">
        <v>0</v>
      </c>
      <c r="Q573" s="5">
        <v>11.739583999999999</v>
      </c>
      <c r="R573" s="8">
        <f t="shared" si="57"/>
        <v>0</v>
      </c>
      <c r="S573" s="9">
        <f t="shared" si="58"/>
        <v>0</v>
      </c>
      <c r="T573" s="9">
        <v>1.5</v>
      </c>
      <c r="U573" s="9">
        <f t="shared" si="59"/>
        <v>0</v>
      </c>
      <c r="V573" s="9">
        <f t="shared" si="60"/>
        <v>0</v>
      </c>
      <c r="W573" s="9">
        <f t="shared" si="61"/>
        <v>11.739583999999999</v>
      </c>
    </row>
    <row r="574" spans="1:23">
      <c r="A574" s="2" t="s">
        <v>335</v>
      </c>
      <c r="B574" s="2" t="s">
        <v>336</v>
      </c>
      <c r="C574" s="3">
        <v>29</v>
      </c>
      <c r="D574" s="3">
        <v>3.96</v>
      </c>
      <c r="E574" s="2" t="s">
        <v>354</v>
      </c>
      <c r="F574" s="4">
        <v>39476</v>
      </c>
      <c r="G574" s="3">
        <v>57.6</v>
      </c>
      <c r="H574" s="3">
        <v>2.25</v>
      </c>
      <c r="I574" s="4">
        <v>39483</v>
      </c>
      <c r="J574" s="3">
        <v>66</v>
      </c>
      <c r="K574" s="6"/>
      <c r="L574" s="3">
        <v>7</v>
      </c>
      <c r="M574" s="5">
        <v>8.3999999999999986</v>
      </c>
      <c r="N574" s="6"/>
      <c r="O574" s="5">
        <v>27.72</v>
      </c>
      <c r="P574" s="5">
        <v>1199.9999999999998</v>
      </c>
      <c r="Q574" s="5">
        <v>71.609761999999989</v>
      </c>
      <c r="R574" s="8">
        <f t="shared" si="57"/>
        <v>7</v>
      </c>
      <c r="S574" s="9">
        <f t="shared" si="58"/>
        <v>8.3999999999999986</v>
      </c>
      <c r="T574" s="9">
        <v>1.5</v>
      </c>
      <c r="U574" s="9">
        <f t="shared" si="59"/>
        <v>27.72</v>
      </c>
      <c r="V574" s="9">
        <f t="shared" si="60"/>
        <v>1199.9999999999998</v>
      </c>
      <c r="W574" s="9">
        <f t="shared" si="61"/>
        <v>71.609761999999989</v>
      </c>
    </row>
    <row r="575" spans="1:23">
      <c r="A575" s="2" t="s">
        <v>335</v>
      </c>
      <c r="B575" s="2" t="s">
        <v>336</v>
      </c>
      <c r="C575" s="3">
        <v>29</v>
      </c>
      <c r="D575" s="3">
        <v>3.96</v>
      </c>
      <c r="E575" s="2" t="s">
        <v>354</v>
      </c>
      <c r="F575" s="4">
        <v>39476</v>
      </c>
      <c r="G575" s="3">
        <v>57.6</v>
      </c>
      <c r="H575" s="3">
        <v>2.25</v>
      </c>
      <c r="I575" s="4">
        <v>39490</v>
      </c>
      <c r="J575" s="3">
        <v>69.400000000000006</v>
      </c>
      <c r="K575" s="3">
        <v>2.25</v>
      </c>
      <c r="L575" s="3">
        <v>14</v>
      </c>
      <c r="M575" s="5">
        <v>11.800000000000004</v>
      </c>
      <c r="N575" s="5">
        <v>0</v>
      </c>
      <c r="O575" s="5">
        <v>55.44</v>
      </c>
      <c r="P575" s="5">
        <v>842.85714285714323</v>
      </c>
      <c r="Q575" s="5">
        <v>54.290072142857156</v>
      </c>
      <c r="R575" s="8">
        <f t="shared" si="57"/>
        <v>7</v>
      </c>
      <c r="S575" s="9">
        <f t="shared" si="58"/>
        <v>3.4000000000000057</v>
      </c>
      <c r="T575" s="9">
        <v>1.5</v>
      </c>
      <c r="U575" s="9">
        <f t="shared" si="59"/>
        <v>27.72</v>
      </c>
      <c r="V575" s="9">
        <f t="shared" si="60"/>
        <v>485.71428571428652</v>
      </c>
      <c r="W575" s="9">
        <f t="shared" si="61"/>
        <v>36.682929285714323</v>
      </c>
    </row>
    <row r="576" spans="1:23">
      <c r="A576" s="2" t="s">
        <v>335</v>
      </c>
      <c r="B576" s="2" t="s">
        <v>336</v>
      </c>
      <c r="C576" s="3">
        <v>29</v>
      </c>
      <c r="D576" s="3">
        <v>3.96</v>
      </c>
      <c r="E576" s="2" t="s">
        <v>354</v>
      </c>
      <c r="F576" s="4">
        <v>39476</v>
      </c>
      <c r="G576" s="3">
        <v>57.6</v>
      </c>
      <c r="H576" s="3">
        <v>2.25</v>
      </c>
      <c r="I576" s="4">
        <v>39497</v>
      </c>
      <c r="J576" s="3">
        <v>67.400000000000006</v>
      </c>
      <c r="K576" s="3">
        <v>2.25</v>
      </c>
      <c r="L576" s="3">
        <v>21</v>
      </c>
      <c r="M576" s="5">
        <v>9.8000000000000043</v>
      </c>
      <c r="N576" s="5">
        <v>0</v>
      </c>
      <c r="O576" s="5">
        <v>83.16</v>
      </c>
      <c r="P576" s="5">
        <v>466.66666666666691</v>
      </c>
      <c r="Q576" s="5">
        <v>35.574791666666677</v>
      </c>
      <c r="R576" s="8">
        <f t="shared" si="57"/>
        <v>7</v>
      </c>
      <c r="S576" s="9">
        <f t="shared" si="58"/>
        <v>-2</v>
      </c>
      <c r="T576" s="9">
        <v>1.5</v>
      </c>
      <c r="U576" s="9">
        <f t="shared" si="59"/>
        <v>27.72</v>
      </c>
      <c r="V576" s="9">
        <f t="shared" si="60"/>
        <v>-285.71428571428572</v>
      </c>
      <c r="W576" s="9">
        <f t="shared" si="61"/>
        <v>-1.5175892857142834</v>
      </c>
    </row>
    <row r="577" spans="1:23">
      <c r="A577" s="2" t="s">
        <v>335</v>
      </c>
      <c r="B577" s="2" t="s">
        <v>336</v>
      </c>
      <c r="C577" s="3">
        <v>29</v>
      </c>
      <c r="D577" s="3">
        <v>3.96</v>
      </c>
      <c r="E577" s="2" t="s">
        <v>354</v>
      </c>
      <c r="F577" s="4">
        <v>39476</v>
      </c>
      <c r="G577" s="3">
        <v>57.6</v>
      </c>
      <c r="H577" s="3">
        <v>2.25</v>
      </c>
      <c r="I577" s="4">
        <v>39503</v>
      </c>
      <c r="J577" s="3">
        <v>69.400000000000006</v>
      </c>
      <c r="K577" s="3">
        <v>2.25</v>
      </c>
      <c r="L577" s="3">
        <v>27</v>
      </c>
      <c r="M577" s="5">
        <v>11.800000000000004</v>
      </c>
      <c r="N577" s="5">
        <v>0</v>
      </c>
      <c r="O577" s="5">
        <v>106.92</v>
      </c>
      <c r="P577" s="5">
        <v>437.03703703703718</v>
      </c>
      <c r="Q577" s="5">
        <v>34.283140925925935</v>
      </c>
      <c r="R577" s="8">
        <f t="shared" si="57"/>
        <v>6</v>
      </c>
      <c r="S577" s="9">
        <f t="shared" si="58"/>
        <v>2</v>
      </c>
      <c r="T577" s="9">
        <v>1.5</v>
      </c>
      <c r="U577" s="9">
        <f t="shared" si="59"/>
        <v>23.759999999999998</v>
      </c>
      <c r="V577" s="9">
        <f t="shared" si="60"/>
        <v>333.33333333333331</v>
      </c>
      <c r="W577" s="9">
        <f t="shared" si="61"/>
        <v>29.170548333333329</v>
      </c>
    </row>
    <row r="578" spans="1:23">
      <c r="A578" s="2" t="s">
        <v>335</v>
      </c>
      <c r="B578" s="2" t="s">
        <v>336</v>
      </c>
      <c r="C578" s="3">
        <v>29</v>
      </c>
      <c r="D578" s="3">
        <v>3.96</v>
      </c>
      <c r="E578" s="2" t="s">
        <v>355</v>
      </c>
      <c r="F578" s="4">
        <v>39476</v>
      </c>
      <c r="G578" s="3">
        <v>55.4</v>
      </c>
      <c r="H578" s="3">
        <v>1.75</v>
      </c>
      <c r="I578" s="4">
        <v>39476</v>
      </c>
      <c r="J578" s="3">
        <v>55.4</v>
      </c>
      <c r="K578" s="3">
        <v>1.75</v>
      </c>
      <c r="L578" s="3">
        <v>0</v>
      </c>
      <c r="M578" s="5">
        <v>0</v>
      </c>
      <c r="N578" s="5">
        <v>0</v>
      </c>
      <c r="O578" s="5">
        <v>0</v>
      </c>
      <c r="P578" s="5">
        <v>0</v>
      </c>
      <c r="Q578" s="5">
        <v>11.367585999999999</v>
      </c>
      <c r="R578" s="8">
        <f t="shared" si="57"/>
        <v>0</v>
      </c>
      <c r="S578" s="9">
        <f t="shared" si="58"/>
        <v>0</v>
      </c>
      <c r="T578" s="9">
        <v>1.5</v>
      </c>
      <c r="U578" s="9">
        <f t="shared" si="59"/>
        <v>0</v>
      </c>
      <c r="V578" s="9">
        <f t="shared" si="60"/>
        <v>0</v>
      </c>
      <c r="W578" s="9">
        <f t="shared" si="61"/>
        <v>11.367585999999999</v>
      </c>
    </row>
    <row r="579" spans="1:23">
      <c r="A579" s="2" t="s">
        <v>335</v>
      </c>
      <c r="B579" s="2" t="s">
        <v>336</v>
      </c>
      <c r="C579" s="3">
        <v>29</v>
      </c>
      <c r="D579" s="3">
        <v>3.96</v>
      </c>
      <c r="E579" s="2" t="s">
        <v>355</v>
      </c>
      <c r="F579" s="4">
        <v>39476</v>
      </c>
      <c r="G579" s="3">
        <v>55.4</v>
      </c>
      <c r="H579" s="3">
        <v>1.75</v>
      </c>
      <c r="I579" s="4">
        <v>39483</v>
      </c>
      <c r="J579" s="3">
        <v>62.8</v>
      </c>
      <c r="K579" s="6"/>
      <c r="L579" s="3">
        <v>7</v>
      </c>
      <c r="M579" s="5">
        <v>7.3999999999999986</v>
      </c>
      <c r="N579" s="6"/>
      <c r="O579" s="5">
        <v>27.72</v>
      </c>
      <c r="P579" s="5">
        <v>1057.1428571428569</v>
      </c>
      <c r="Q579" s="5">
        <v>64.110361857142834</v>
      </c>
      <c r="R579" s="8">
        <f t="shared" si="57"/>
        <v>7</v>
      </c>
      <c r="S579" s="9">
        <f t="shared" si="58"/>
        <v>7.3999999999999986</v>
      </c>
      <c r="T579" s="9">
        <v>1.5</v>
      </c>
      <c r="U579" s="9">
        <f t="shared" si="59"/>
        <v>27.72</v>
      </c>
      <c r="V579" s="9">
        <f t="shared" si="60"/>
        <v>1057.1428571428569</v>
      </c>
      <c r="W579" s="9">
        <f t="shared" si="61"/>
        <v>64.110361857142834</v>
      </c>
    </row>
    <row r="580" spans="1:23">
      <c r="A580" s="2" t="s">
        <v>335</v>
      </c>
      <c r="B580" s="2" t="s">
        <v>336</v>
      </c>
      <c r="C580" s="3">
        <v>29</v>
      </c>
      <c r="D580" s="3">
        <v>3.96</v>
      </c>
      <c r="E580" s="2" t="s">
        <v>355</v>
      </c>
      <c r="F580" s="4">
        <v>39476</v>
      </c>
      <c r="G580" s="3">
        <v>55.4</v>
      </c>
      <c r="H580" s="3">
        <v>1.75</v>
      </c>
      <c r="I580" s="4">
        <v>39490</v>
      </c>
      <c r="J580" s="3">
        <v>64.8</v>
      </c>
      <c r="K580" s="3">
        <v>1.75</v>
      </c>
      <c r="L580" s="3">
        <v>14</v>
      </c>
      <c r="M580" s="5">
        <v>9.3999999999999986</v>
      </c>
      <c r="N580" s="5">
        <v>0</v>
      </c>
      <c r="O580" s="5">
        <v>55.44</v>
      </c>
      <c r="P580" s="5">
        <v>671.42857142857133</v>
      </c>
      <c r="Q580" s="5">
        <v>45.263737571428564</v>
      </c>
      <c r="R580" s="8">
        <f t="shared" si="57"/>
        <v>7</v>
      </c>
      <c r="S580" s="9">
        <f t="shared" si="58"/>
        <v>2</v>
      </c>
      <c r="T580" s="9">
        <v>1.5</v>
      </c>
      <c r="U580" s="9">
        <f t="shared" si="59"/>
        <v>27.72</v>
      </c>
      <c r="V580" s="9">
        <f t="shared" si="60"/>
        <v>285.71428571428572</v>
      </c>
      <c r="W580" s="9">
        <f t="shared" si="61"/>
        <v>26.248023285714282</v>
      </c>
    </row>
    <row r="581" spans="1:23">
      <c r="A581" s="2" t="s">
        <v>335</v>
      </c>
      <c r="B581" s="2" t="s">
        <v>336</v>
      </c>
      <c r="C581" s="3">
        <v>29</v>
      </c>
      <c r="D581" s="3">
        <v>3.96</v>
      </c>
      <c r="E581" s="2" t="s">
        <v>355</v>
      </c>
      <c r="F581" s="4">
        <v>39476</v>
      </c>
      <c r="G581" s="3">
        <v>55.4</v>
      </c>
      <c r="H581" s="3">
        <v>1.75</v>
      </c>
      <c r="I581" s="4">
        <v>39497</v>
      </c>
      <c r="J581" s="3">
        <v>61.4</v>
      </c>
      <c r="K581" s="3">
        <v>1.75</v>
      </c>
      <c r="L581" s="3">
        <v>21</v>
      </c>
      <c r="M581" s="5">
        <v>6</v>
      </c>
      <c r="N581" s="5">
        <v>0</v>
      </c>
      <c r="O581" s="5">
        <v>83.16</v>
      </c>
      <c r="P581" s="5">
        <v>285.71428571428572</v>
      </c>
      <c r="Q581" s="5">
        <v>25.960570285714283</v>
      </c>
      <c r="R581" s="8">
        <f t="shared" si="57"/>
        <v>7</v>
      </c>
      <c r="S581" s="9">
        <f t="shared" si="58"/>
        <v>-3.3999999999999986</v>
      </c>
      <c r="T581" s="9">
        <v>1.5</v>
      </c>
      <c r="U581" s="9">
        <f t="shared" si="59"/>
        <v>27.72</v>
      </c>
      <c r="V581" s="9">
        <f t="shared" si="60"/>
        <v>-485.7142857142855</v>
      </c>
      <c r="W581" s="9">
        <f t="shared" si="61"/>
        <v>-12.070858285714275</v>
      </c>
    </row>
    <row r="582" spans="1:23">
      <c r="A582" s="2" t="s">
        <v>335</v>
      </c>
      <c r="B582" s="2" t="s">
        <v>336</v>
      </c>
      <c r="C582" s="3">
        <v>29</v>
      </c>
      <c r="D582" s="3">
        <v>3.96</v>
      </c>
      <c r="E582" s="2" t="s">
        <v>355</v>
      </c>
      <c r="F582" s="4">
        <v>39476</v>
      </c>
      <c r="G582" s="3">
        <v>55.4</v>
      </c>
      <c r="H582" s="3">
        <v>1.75</v>
      </c>
      <c r="I582" s="4">
        <v>39503</v>
      </c>
      <c r="J582" s="3">
        <v>63.6</v>
      </c>
      <c r="K582" s="3">
        <v>1.75</v>
      </c>
      <c r="L582" s="3">
        <v>27</v>
      </c>
      <c r="M582" s="5">
        <v>8.2000000000000028</v>
      </c>
      <c r="N582" s="5">
        <v>0</v>
      </c>
      <c r="O582" s="5">
        <v>106.92</v>
      </c>
      <c r="P582" s="5">
        <v>303.70370370370381</v>
      </c>
      <c r="Q582" s="5">
        <v>27.033447592592598</v>
      </c>
      <c r="R582" s="8">
        <f t="shared" si="57"/>
        <v>6</v>
      </c>
      <c r="S582" s="9">
        <f t="shared" si="58"/>
        <v>2.2000000000000028</v>
      </c>
      <c r="T582" s="9">
        <v>1.5</v>
      </c>
      <c r="U582" s="9">
        <f t="shared" si="59"/>
        <v>23.759999999999998</v>
      </c>
      <c r="V582" s="9">
        <f t="shared" si="60"/>
        <v>366.66666666666714</v>
      </c>
      <c r="W582" s="9">
        <f t="shared" si="61"/>
        <v>30.137521666666689</v>
      </c>
    </row>
    <row r="583" spans="1:23">
      <c r="A583" s="2" t="s">
        <v>335</v>
      </c>
      <c r="B583" s="2" t="s">
        <v>336</v>
      </c>
      <c r="C583" s="3">
        <v>29</v>
      </c>
      <c r="D583" s="3">
        <v>3.96</v>
      </c>
      <c r="E583" s="2" t="s">
        <v>356</v>
      </c>
      <c r="F583" s="4">
        <v>39476</v>
      </c>
      <c r="G583" s="3">
        <v>53.8</v>
      </c>
      <c r="H583" s="3">
        <v>2.25</v>
      </c>
      <c r="I583" s="4">
        <v>39476</v>
      </c>
      <c r="J583" s="3">
        <v>53.8</v>
      </c>
      <c r="K583" s="3">
        <v>2.25</v>
      </c>
      <c r="L583" s="3">
        <v>0</v>
      </c>
      <c r="M583" s="5">
        <v>0</v>
      </c>
      <c r="N583" s="5">
        <v>0</v>
      </c>
      <c r="O583" s="5">
        <v>0</v>
      </c>
      <c r="P583" s="5">
        <v>0</v>
      </c>
      <c r="Q583" s="5">
        <v>11.097041999999998</v>
      </c>
      <c r="R583" s="8">
        <f t="shared" si="57"/>
        <v>0</v>
      </c>
      <c r="S583" s="9">
        <f t="shared" si="58"/>
        <v>0</v>
      </c>
      <c r="T583" s="9">
        <v>1.5</v>
      </c>
      <c r="U583" s="9">
        <f t="shared" si="59"/>
        <v>0</v>
      </c>
      <c r="V583" s="9">
        <f t="shared" si="60"/>
        <v>0</v>
      </c>
      <c r="W583" s="9">
        <f t="shared" si="61"/>
        <v>11.097041999999998</v>
      </c>
    </row>
    <row r="584" spans="1:23">
      <c r="A584" s="2" t="s">
        <v>335</v>
      </c>
      <c r="B584" s="2" t="s">
        <v>336</v>
      </c>
      <c r="C584" s="3">
        <v>29</v>
      </c>
      <c r="D584" s="3">
        <v>3.96</v>
      </c>
      <c r="E584" s="2" t="s">
        <v>356</v>
      </c>
      <c r="F584" s="4">
        <v>39476</v>
      </c>
      <c r="G584" s="3">
        <v>53.8</v>
      </c>
      <c r="H584" s="3">
        <v>2.25</v>
      </c>
      <c r="I584" s="4">
        <v>39483</v>
      </c>
      <c r="J584" s="3">
        <v>58</v>
      </c>
      <c r="K584" s="6"/>
      <c r="L584" s="3">
        <v>7</v>
      </c>
      <c r="M584" s="5">
        <v>4.2000000000000028</v>
      </c>
      <c r="N584" s="6"/>
      <c r="O584" s="5">
        <v>27.72</v>
      </c>
      <c r="P584" s="5">
        <v>600.00000000000045</v>
      </c>
      <c r="Q584" s="5">
        <v>41.032131000000021</v>
      </c>
      <c r="R584" s="8">
        <f t="shared" si="57"/>
        <v>7</v>
      </c>
      <c r="S584" s="9">
        <f t="shared" si="58"/>
        <v>4.2000000000000028</v>
      </c>
      <c r="T584" s="9">
        <v>1.5</v>
      </c>
      <c r="U584" s="9">
        <f t="shared" si="59"/>
        <v>27.72</v>
      </c>
      <c r="V584" s="9">
        <f t="shared" si="60"/>
        <v>600.00000000000045</v>
      </c>
      <c r="W584" s="9">
        <f t="shared" si="61"/>
        <v>41.032131000000021</v>
      </c>
    </row>
    <row r="585" spans="1:23">
      <c r="A585" s="2" t="s">
        <v>335</v>
      </c>
      <c r="B585" s="2" t="s">
        <v>336</v>
      </c>
      <c r="C585" s="3">
        <v>29</v>
      </c>
      <c r="D585" s="3">
        <v>3.96</v>
      </c>
      <c r="E585" s="2" t="s">
        <v>356</v>
      </c>
      <c r="F585" s="4">
        <v>39476</v>
      </c>
      <c r="G585" s="3">
        <v>53.8</v>
      </c>
      <c r="H585" s="3">
        <v>2.25</v>
      </c>
      <c r="I585" s="4">
        <v>39490</v>
      </c>
      <c r="J585" s="3">
        <v>63.4</v>
      </c>
      <c r="K585" s="3">
        <v>2.25</v>
      </c>
      <c r="L585" s="3">
        <v>14</v>
      </c>
      <c r="M585" s="5">
        <v>9.6000000000000014</v>
      </c>
      <c r="N585" s="5">
        <v>0</v>
      </c>
      <c r="O585" s="5">
        <v>55.44</v>
      </c>
      <c r="P585" s="5">
        <v>685.71428571428578</v>
      </c>
      <c r="Q585" s="5">
        <v>45.714388285714286</v>
      </c>
      <c r="R585" s="8">
        <f t="shared" si="57"/>
        <v>7</v>
      </c>
      <c r="S585" s="9">
        <f t="shared" si="58"/>
        <v>5.3999999999999986</v>
      </c>
      <c r="T585" s="9">
        <v>1.5</v>
      </c>
      <c r="U585" s="9">
        <f t="shared" si="59"/>
        <v>27.72</v>
      </c>
      <c r="V585" s="9">
        <f t="shared" si="60"/>
        <v>771.42857142857122</v>
      </c>
      <c r="W585" s="9">
        <f t="shared" si="61"/>
        <v>49.940102571428561</v>
      </c>
    </row>
    <row r="586" spans="1:23">
      <c r="A586" s="2" t="s">
        <v>335</v>
      </c>
      <c r="B586" s="2" t="s">
        <v>336</v>
      </c>
      <c r="C586" s="3">
        <v>29</v>
      </c>
      <c r="D586" s="3">
        <v>3.96</v>
      </c>
      <c r="E586" s="2" t="s">
        <v>356</v>
      </c>
      <c r="F586" s="4">
        <v>39476</v>
      </c>
      <c r="G586" s="3">
        <v>53.8</v>
      </c>
      <c r="H586" s="3">
        <v>2.25</v>
      </c>
      <c r="I586" s="4">
        <v>39497</v>
      </c>
      <c r="J586" s="3">
        <v>61</v>
      </c>
      <c r="K586" s="3">
        <v>2.25</v>
      </c>
      <c r="L586" s="3">
        <v>21</v>
      </c>
      <c r="M586" s="5">
        <v>7.2000000000000028</v>
      </c>
      <c r="N586" s="5">
        <v>0</v>
      </c>
      <c r="O586" s="5">
        <v>83.16</v>
      </c>
      <c r="P586" s="5">
        <v>342.85714285714295</v>
      </c>
      <c r="Q586" s="5">
        <v>28.608623142857148</v>
      </c>
      <c r="R586" s="8">
        <f t="shared" si="57"/>
        <v>7</v>
      </c>
      <c r="S586" s="9">
        <f t="shared" si="58"/>
        <v>-2.3999999999999986</v>
      </c>
      <c r="T586" s="9">
        <v>1.5</v>
      </c>
      <c r="U586" s="9">
        <f t="shared" si="59"/>
        <v>27.72</v>
      </c>
      <c r="V586" s="9">
        <f t="shared" si="60"/>
        <v>-342.85714285714266</v>
      </c>
      <c r="W586" s="9">
        <f t="shared" si="61"/>
        <v>-5.1970911428571309</v>
      </c>
    </row>
    <row r="587" spans="1:23">
      <c r="A587" s="2" t="s">
        <v>335</v>
      </c>
      <c r="B587" s="2" t="s">
        <v>336</v>
      </c>
      <c r="C587" s="3">
        <v>29</v>
      </c>
      <c r="D587" s="3">
        <v>3.96</v>
      </c>
      <c r="E587" s="2" t="s">
        <v>356</v>
      </c>
      <c r="F587" s="4">
        <v>39476</v>
      </c>
      <c r="G587" s="3">
        <v>53.8</v>
      </c>
      <c r="H587" s="3">
        <v>2.25</v>
      </c>
      <c r="I587" s="4">
        <v>39503</v>
      </c>
      <c r="J587" s="3">
        <v>62.8</v>
      </c>
      <c r="K587" s="3">
        <v>2.25</v>
      </c>
      <c r="L587" s="3">
        <v>27</v>
      </c>
      <c r="M587" s="5">
        <v>9</v>
      </c>
      <c r="N587" s="5">
        <v>0</v>
      </c>
      <c r="O587" s="5">
        <v>106.92</v>
      </c>
      <c r="P587" s="5">
        <v>333.33333333333331</v>
      </c>
      <c r="Q587" s="5">
        <v>28.291280333333329</v>
      </c>
      <c r="R587" s="8">
        <f t="shared" si="57"/>
        <v>6</v>
      </c>
      <c r="S587" s="9">
        <f t="shared" si="58"/>
        <v>1.7999999999999972</v>
      </c>
      <c r="T587" s="9">
        <v>1.5</v>
      </c>
      <c r="U587" s="9">
        <f t="shared" si="59"/>
        <v>23.759999999999998</v>
      </c>
      <c r="V587" s="9">
        <f t="shared" si="60"/>
        <v>299.99999999999955</v>
      </c>
      <c r="W587" s="9">
        <f t="shared" si="61"/>
        <v>26.647946999999974</v>
      </c>
    </row>
    <row r="588" spans="1:23">
      <c r="A588" s="2" t="s">
        <v>335</v>
      </c>
      <c r="B588" s="2" t="s">
        <v>336</v>
      </c>
      <c r="C588" s="3">
        <v>29</v>
      </c>
      <c r="D588" s="3">
        <v>3.96</v>
      </c>
      <c r="E588" s="2" t="s">
        <v>357</v>
      </c>
      <c r="F588" s="4">
        <v>39476</v>
      </c>
      <c r="G588" s="3">
        <v>59.2</v>
      </c>
      <c r="H588" s="3">
        <v>2.25</v>
      </c>
      <c r="I588" s="4">
        <v>39476</v>
      </c>
      <c r="J588" s="3">
        <v>59.2</v>
      </c>
      <c r="K588" s="3">
        <v>2.25</v>
      </c>
      <c r="L588" s="3">
        <v>0</v>
      </c>
      <c r="M588" s="5">
        <v>0</v>
      </c>
      <c r="N588" s="5">
        <v>0</v>
      </c>
      <c r="O588" s="5">
        <v>0</v>
      </c>
      <c r="P588" s="5">
        <v>0</v>
      </c>
      <c r="Q588" s="5">
        <v>12.010128</v>
      </c>
      <c r="R588" s="8">
        <f t="shared" si="57"/>
        <v>0</v>
      </c>
      <c r="S588" s="9">
        <f t="shared" si="58"/>
        <v>0</v>
      </c>
      <c r="T588" s="9">
        <v>1.5</v>
      </c>
      <c r="U588" s="9">
        <f t="shared" si="59"/>
        <v>0</v>
      </c>
      <c r="V588" s="9">
        <f t="shared" si="60"/>
        <v>0</v>
      </c>
      <c r="W588" s="9">
        <f t="shared" si="61"/>
        <v>12.010128</v>
      </c>
    </row>
    <row r="589" spans="1:23">
      <c r="A589" s="2" t="s">
        <v>335</v>
      </c>
      <c r="B589" s="2" t="s">
        <v>336</v>
      </c>
      <c r="C589" s="3">
        <v>29</v>
      </c>
      <c r="D589" s="3">
        <v>3.96</v>
      </c>
      <c r="E589" s="2" t="s">
        <v>357</v>
      </c>
      <c r="F589" s="4">
        <v>39476</v>
      </c>
      <c r="G589" s="3">
        <v>59.2</v>
      </c>
      <c r="H589" s="3">
        <v>2.25</v>
      </c>
      <c r="I589" s="4">
        <v>39483</v>
      </c>
      <c r="J589" s="3">
        <v>61.6</v>
      </c>
      <c r="K589" s="6"/>
      <c r="L589" s="3">
        <v>7</v>
      </c>
      <c r="M589" s="5">
        <v>2.3999999999999986</v>
      </c>
      <c r="N589" s="6"/>
      <c r="O589" s="5">
        <v>27.72</v>
      </c>
      <c r="P589" s="5">
        <v>342.85714285714266</v>
      </c>
      <c r="Q589" s="5">
        <v>29.115893142857132</v>
      </c>
      <c r="R589" s="8">
        <f t="shared" si="57"/>
        <v>7</v>
      </c>
      <c r="S589" s="9">
        <f t="shared" si="58"/>
        <v>2.3999999999999986</v>
      </c>
      <c r="T589" s="9">
        <v>1.5</v>
      </c>
      <c r="U589" s="9">
        <f t="shared" si="59"/>
        <v>27.72</v>
      </c>
      <c r="V589" s="9">
        <f t="shared" si="60"/>
        <v>342.85714285714266</v>
      </c>
      <c r="W589" s="9">
        <f t="shared" si="61"/>
        <v>29.115893142857132</v>
      </c>
    </row>
    <row r="590" spans="1:23">
      <c r="A590" s="2" t="s">
        <v>335</v>
      </c>
      <c r="B590" s="2" t="s">
        <v>336</v>
      </c>
      <c r="C590" s="3">
        <v>29</v>
      </c>
      <c r="D590" s="3">
        <v>3.96</v>
      </c>
      <c r="E590" s="2" t="s">
        <v>357</v>
      </c>
      <c r="F590" s="4">
        <v>39476</v>
      </c>
      <c r="G590" s="3">
        <v>59.2</v>
      </c>
      <c r="H590" s="3">
        <v>2.25</v>
      </c>
      <c r="I590" s="4">
        <v>39490</v>
      </c>
      <c r="J590" s="3">
        <v>66.400000000000006</v>
      </c>
      <c r="K590" s="3">
        <v>2.5</v>
      </c>
      <c r="L590" s="3">
        <v>14</v>
      </c>
      <c r="M590" s="5">
        <v>7.2000000000000028</v>
      </c>
      <c r="N590" s="5">
        <v>0.25</v>
      </c>
      <c r="O590" s="5">
        <v>55.44</v>
      </c>
      <c r="P590" s="5">
        <v>514.28571428571445</v>
      </c>
      <c r="Q590" s="5">
        <v>37.973137714285727</v>
      </c>
      <c r="R590" s="8">
        <f t="shared" si="57"/>
        <v>7</v>
      </c>
      <c r="S590" s="9">
        <f t="shared" si="58"/>
        <v>4.8000000000000043</v>
      </c>
      <c r="T590" s="9">
        <v>1.5</v>
      </c>
      <c r="U590" s="9">
        <f t="shared" si="59"/>
        <v>27.72</v>
      </c>
      <c r="V590" s="9">
        <f t="shared" si="60"/>
        <v>685.71428571428623</v>
      </c>
      <c r="W590" s="9">
        <f t="shared" si="61"/>
        <v>46.424566285714306</v>
      </c>
    </row>
    <row r="591" spans="1:23">
      <c r="A591" s="2" t="s">
        <v>335</v>
      </c>
      <c r="B591" s="2" t="s">
        <v>336</v>
      </c>
      <c r="C591" s="3">
        <v>29</v>
      </c>
      <c r="D591" s="3">
        <v>3.96</v>
      </c>
      <c r="E591" s="2" t="s">
        <v>357</v>
      </c>
      <c r="F591" s="4">
        <v>39476</v>
      </c>
      <c r="G591" s="3">
        <v>59.2</v>
      </c>
      <c r="H591" s="3">
        <v>2.25</v>
      </c>
      <c r="I591" s="4">
        <v>39497</v>
      </c>
      <c r="J591" s="3">
        <v>63.8</v>
      </c>
      <c r="K591" s="3">
        <v>1.75</v>
      </c>
      <c r="L591" s="3">
        <v>21</v>
      </c>
      <c r="M591" s="5">
        <v>4.5999999999999943</v>
      </c>
      <c r="N591" s="5">
        <v>-0.5</v>
      </c>
      <c r="O591" s="5">
        <v>83.16</v>
      </c>
      <c r="P591" s="5">
        <v>219.04761904761878</v>
      </c>
      <c r="Q591" s="5">
        <v>23.198082619047604</v>
      </c>
      <c r="R591" s="8">
        <f t="shared" si="57"/>
        <v>7</v>
      </c>
      <c r="S591" s="9">
        <f t="shared" si="58"/>
        <v>-2.6000000000000085</v>
      </c>
      <c r="T591" s="9">
        <v>1.5</v>
      </c>
      <c r="U591" s="9">
        <f t="shared" si="59"/>
        <v>27.72</v>
      </c>
      <c r="V591" s="9">
        <f t="shared" si="60"/>
        <v>-371.42857142857264</v>
      </c>
      <c r="W591" s="9">
        <f t="shared" si="61"/>
        <v>-5.9123935714286322</v>
      </c>
    </row>
    <row r="592" spans="1:23">
      <c r="A592" s="2" t="s">
        <v>335</v>
      </c>
      <c r="B592" s="2" t="s">
        <v>336</v>
      </c>
      <c r="C592" s="3">
        <v>29</v>
      </c>
      <c r="D592" s="3">
        <v>3.96</v>
      </c>
      <c r="E592" s="2" t="s">
        <v>357</v>
      </c>
      <c r="F592" s="4">
        <v>39476</v>
      </c>
      <c r="G592" s="3">
        <v>59.2</v>
      </c>
      <c r="H592" s="3">
        <v>2.25</v>
      </c>
      <c r="I592" s="4">
        <v>39503</v>
      </c>
      <c r="J592" s="3">
        <v>63.4</v>
      </c>
      <c r="K592" s="3">
        <v>1.75</v>
      </c>
      <c r="L592" s="3">
        <v>27</v>
      </c>
      <c r="M592" s="5">
        <v>4.1999999999999957</v>
      </c>
      <c r="N592" s="5">
        <v>-0.5</v>
      </c>
      <c r="O592" s="5">
        <v>106.92</v>
      </c>
      <c r="P592" s="5">
        <v>155.5555555555554</v>
      </c>
      <c r="Q592" s="5">
        <v>20.034105888888881</v>
      </c>
      <c r="R592" s="8">
        <f t="shared" si="57"/>
        <v>6</v>
      </c>
      <c r="S592" s="9">
        <f t="shared" si="58"/>
        <v>-0.39999999999999858</v>
      </c>
      <c r="T592" s="9">
        <v>1.5</v>
      </c>
      <c r="U592" s="9">
        <f t="shared" si="59"/>
        <v>23.759999999999998</v>
      </c>
      <c r="V592" s="9">
        <f t="shared" si="60"/>
        <v>-66.66666666666643</v>
      </c>
      <c r="W592" s="9">
        <f t="shared" si="61"/>
        <v>9.0785503333333448</v>
      </c>
    </row>
    <row r="593" spans="1:23">
      <c r="A593" s="2" t="s">
        <v>335</v>
      </c>
      <c r="B593" s="2" t="s">
        <v>336</v>
      </c>
      <c r="C593" s="3">
        <v>29</v>
      </c>
      <c r="D593" s="3">
        <v>3.96</v>
      </c>
      <c r="E593" s="2" t="s">
        <v>358</v>
      </c>
      <c r="F593" s="4">
        <v>39476</v>
      </c>
      <c r="G593" s="3">
        <v>58</v>
      </c>
      <c r="H593" s="3">
        <v>1.75</v>
      </c>
      <c r="I593" s="4">
        <v>39476</v>
      </c>
      <c r="J593" s="3">
        <v>58</v>
      </c>
      <c r="K593" s="3">
        <v>1.75</v>
      </c>
      <c r="L593" s="3">
        <v>0</v>
      </c>
      <c r="M593" s="5">
        <v>0</v>
      </c>
      <c r="N593" s="5">
        <v>0</v>
      </c>
      <c r="O593" s="5">
        <v>0</v>
      </c>
      <c r="P593" s="5">
        <v>0</v>
      </c>
      <c r="Q593" s="5">
        <v>11.807219999999999</v>
      </c>
      <c r="R593" s="8">
        <f t="shared" si="57"/>
        <v>0</v>
      </c>
      <c r="S593" s="9">
        <f t="shared" si="58"/>
        <v>0</v>
      </c>
      <c r="T593" s="9">
        <v>1.5</v>
      </c>
      <c r="U593" s="9">
        <f t="shared" si="59"/>
        <v>0</v>
      </c>
      <c r="V593" s="9">
        <f t="shared" si="60"/>
        <v>0</v>
      </c>
      <c r="W593" s="9">
        <f t="shared" si="61"/>
        <v>11.807219999999999</v>
      </c>
    </row>
    <row r="594" spans="1:23">
      <c r="A594" s="2" t="s">
        <v>335</v>
      </c>
      <c r="B594" s="2" t="s">
        <v>336</v>
      </c>
      <c r="C594" s="3">
        <v>29</v>
      </c>
      <c r="D594" s="3">
        <v>3.96</v>
      </c>
      <c r="E594" s="2" t="s">
        <v>358</v>
      </c>
      <c r="F594" s="4">
        <v>39476</v>
      </c>
      <c r="G594" s="3">
        <v>58</v>
      </c>
      <c r="H594" s="3">
        <v>1.75</v>
      </c>
      <c r="I594" s="4">
        <v>39483</v>
      </c>
      <c r="J594" s="3">
        <v>70.599999999999994</v>
      </c>
      <c r="K594" s="6"/>
      <c r="L594" s="3">
        <v>7</v>
      </c>
      <c r="M594" s="5">
        <v>12.599999999999994</v>
      </c>
      <c r="N594" s="6"/>
      <c r="O594" s="5">
        <v>27.72</v>
      </c>
      <c r="P594" s="5">
        <v>1799.9999999999991</v>
      </c>
      <c r="Q594" s="5">
        <v>101.61248699999996</v>
      </c>
      <c r="R594" s="8">
        <f t="shared" si="57"/>
        <v>7</v>
      </c>
      <c r="S594" s="9">
        <f t="shared" si="58"/>
        <v>12.599999999999994</v>
      </c>
      <c r="T594" s="9">
        <v>1.5</v>
      </c>
      <c r="U594" s="9">
        <f t="shared" si="59"/>
        <v>27.72</v>
      </c>
      <c r="V594" s="9">
        <f t="shared" si="60"/>
        <v>1799.9999999999991</v>
      </c>
      <c r="W594" s="9">
        <f t="shared" si="61"/>
        <v>101.61248699999996</v>
      </c>
    </row>
    <row r="595" spans="1:23">
      <c r="A595" s="2" t="s">
        <v>335</v>
      </c>
      <c r="B595" s="2" t="s">
        <v>336</v>
      </c>
      <c r="C595" s="3">
        <v>29</v>
      </c>
      <c r="D595" s="3">
        <v>3.96</v>
      </c>
      <c r="E595" s="2" t="s">
        <v>358</v>
      </c>
      <c r="F595" s="4">
        <v>39476</v>
      </c>
      <c r="G595" s="3">
        <v>58</v>
      </c>
      <c r="H595" s="3">
        <v>1.75</v>
      </c>
      <c r="I595" s="4">
        <v>39490</v>
      </c>
      <c r="J595" s="3">
        <v>65.599999999999994</v>
      </c>
      <c r="K595" s="3">
        <v>1.75</v>
      </c>
      <c r="L595" s="3">
        <v>14</v>
      </c>
      <c r="M595" s="5">
        <v>7.5999999999999943</v>
      </c>
      <c r="N595" s="5">
        <v>0</v>
      </c>
      <c r="O595" s="5">
        <v>55.44</v>
      </c>
      <c r="P595" s="5">
        <v>542.85714285714243</v>
      </c>
      <c r="Q595" s="5">
        <v>39.212619142857122</v>
      </c>
      <c r="R595" s="8">
        <f t="shared" si="57"/>
        <v>7</v>
      </c>
      <c r="S595" s="9">
        <f t="shared" si="58"/>
        <v>-5</v>
      </c>
      <c r="T595" s="9">
        <v>1.5</v>
      </c>
      <c r="U595" s="9">
        <f t="shared" si="59"/>
        <v>27.72</v>
      </c>
      <c r="V595" s="9">
        <f t="shared" si="60"/>
        <v>-714.28571428571433</v>
      </c>
      <c r="W595" s="9">
        <f t="shared" si="61"/>
        <v>-22.764523714285716</v>
      </c>
    </row>
    <row r="596" spans="1:23">
      <c r="A596" s="2" t="s">
        <v>335</v>
      </c>
      <c r="B596" s="2" t="s">
        <v>336</v>
      </c>
      <c r="C596" s="3">
        <v>29</v>
      </c>
      <c r="D596" s="3">
        <v>3.96</v>
      </c>
      <c r="E596" s="2" t="s">
        <v>358</v>
      </c>
      <c r="F596" s="4">
        <v>39476</v>
      </c>
      <c r="G596" s="3">
        <v>58</v>
      </c>
      <c r="H596" s="3">
        <v>1.75</v>
      </c>
      <c r="I596" s="4">
        <v>39497</v>
      </c>
      <c r="J596" s="3">
        <v>71.599999999999994</v>
      </c>
      <c r="K596" s="3">
        <v>3</v>
      </c>
      <c r="L596" s="3">
        <v>21</v>
      </c>
      <c r="M596" s="5">
        <v>13.599999999999994</v>
      </c>
      <c r="N596" s="5">
        <v>1.25</v>
      </c>
      <c r="O596" s="5">
        <v>83.16</v>
      </c>
      <c r="P596" s="5">
        <v>647.61904761904736</v>
      </c>
      <c r="Q596" s="5">
        <v>44.88465104761903</v>
      </c>
      <c r="R596" s="8">
        <f t="shared" si="57"/>
        <v>7</v>
      </c>
      <c r="S596" s="9">
        <f t="shared" si="58"/>
        <v>6</v>
      </c>
      <c r="T596" s="9">
        <v>1.5</v>
      </c>
      <c r="U596" s="9">
        <f t="shared" si="59"/>
        <v>27.72</v>
      </c>
      <c r="V596" s="9">
        <f t="shared" si="60"/>
        <v>857.14285714285711</v>
      </c>
      <c r="W596" s="9">
        <f t="shared" si="61"/>
        <v>55.214174857142851</v>
      </c>
    </row>
    <row r="597" spans="1:23">
      <c r="A597" s="2" t="s">
        <v>335</v>
      </c>
      <c r="B597" s="2" t="s">
        <v>336</v>
      </c>
      <c r="C597" s="3">
        <v>29</v>
      </c>
      <c r="D597" s="3">
        <v>3.96</v>
      </c>
      <c r="E597" s="2" t="s">
        <v>358</v>
      </c>
      <c r="F597" s="4">
        <v>39476</v>
      </c>
      <c r="G597" s="3">
        <v>58</v>
      </c>
      <c r="H597" s="3">
        <v>1.75</v>
      </c>
      <c r="I597" s="4">
        <v>39503</v>
      </c>
      <c r="J597" s="3">
        <v>69.599999999999994</v>
      </c>
      <c r="K597" s="3">
        <v>3</v>
      </c>
      <c r="L597" s="3">
        <v>27</v>
      </c>
      <c r="M597" s="5">
        <v>11.599999999999994</v>
      </c>
      <c r="N597" s="5">
        <v>1.25</v>
      </c>
      <c r="O597" s="5">
        <v>106.92</v>
      </c>
      <c r="P597" s="5">
        <v>429.62962962962939</v>
      </c>
      <c r="Q597" s="5">
        <v>33.968682740740725</v>
      </c>
      <c r="R597" s="8">
        <f t="shared" si="57"/>
        <v>6</v>
      </c>
      <c r="S597" s="9">
        <f t="shared" si="58"/>
        <v>-2</v>
      </c>
      <c r="T597" s="9">
        <v>1.5</v>
      </c>
      <c r="U597" s="9">
        <f t="shared" si="59"/>
        <v>23.759999999999998</v>
      </c>
      <c r="V597" s="9">
        <f t="shared" si="60"/>
        <v>-333.33333333333331</v>
      </c>
      <c r="W597" s="9">
        <f t="shared" si="61"/>
        <v>-3.6453913333333308</v>
      </c>
    </row>
    <row r="598" spans="1:23">
      <c r="A598" s="2" t="s">
        <v>335</v>
      </c>
      <c r="B598" s="2" t="s">
        <v>336</v>
      </c>
      <c r="C598" s="3">
        <v>29</v>
      </c>
      <c r="D598" s="3">
        <v>3.96</v>
      </c>
      <c r="E598" s="2" t="s">
        <v>359</v>
      </c>
      <c r="F598" s="4">
        <v>39476</v>
      </c>
      <c r="G598" s="3">
        <v>68</v>
      </c>
      <c r="H598" s="3">
        <v>3</v>
      </c>
      <c r="I598" s="4">
        <v>39476</v>
      </c>
      <c r="J598" s="3">
        <v>68</v>
      </c>
      <c r="K598" s="3">
        <v>3</v>
      </c>
      <c r="L598" s="3">
        <v>0</v>
      </c>
      <c r="M598" s="5">
        <v>0</v>
      </c>
      <c r="N598" s="5">
        <v>0</v>
      </c>
      <c r="O598" s="5">
        <v>0</v>
      </c>
      <c r="P598" s="5">
        <v>0</v>
      </c>
      <c r="Q598" s="5">
        <v>13.49812</v>
      </c>
      <c r="R598" s="8">
        <f t="shared" si="57"/>
        <v>0</v>
      </c>
      <c r="S598" s="9">
        <f t="shared" si="58"/>
        <v>0</v>
      </c>
      <c r="T598" s="9">
        <v>1.5</v>
      </c>
      <c r="U598" s="9">
        <f t="shared" si="59"/>
        <v>0</v>
      </c>
      <c r="V598" s="9">
        <f t="shared" si="60"/>
        <v>0</v>
      </c>
      <c r="W598" s="9">
        <f t="shared" si="61"/>
        <v>13.49812</v>
      </c>
    </row>
    <row r="599" spans="1:23">
      <c r="A599" s="2" t="s">
        <v>335</v>
      </c>
      <c r="B599" s="2" t="s">
        <v>336</v>
      </c>
      <c r="C599" s="3">
        <v>29</v>
      </c>
      <c r="D599" s="3">
        <v>3.96</v>
      </c>
      <c r="E599" s="2" t="s">
        <v>359</v>
      </c>
      <c r="F599" s="4">
        <v>39476</v>
      </c>
      <c r="G599" s="3">
        <v>68</v>
      </c>
      <c r="H599" s="3">
        <v>3</v>
      </c>
      <c r="I599" s="4">
        <v>39483</v>
      </c>
      <c r="J599" s="3">
        <v>71.8</v>
      </c>
      <c r="K599" s="6"/>
      <c r="L599" s="3">
        <v>7</v>
      </c>
      <c r="M599" s="5">
        <v>3.7999999999999972</v>
      </c>
      <c r="N599" s="6"/>
      <c r="O599" s="5">
        <v>27.72</v>
      </c>
      <c r="P599" s="5">
        <v>542.85714285714243</v>
      </c>
      <c r="Q599" s="5">
        <v>40.582248142857125</v>
      </c>
      <c r="R599" s="8">
        <f t="shared" si="57"/>
        <v>7</v>
      </c>
      <c r="S599" s="9">
        <f t="shared" si="58"/>
        <v>3.7999999999999972</v>
      </c>
      <c r="T599" s="9">
        <v>1.5</v>
      </c>
      <c r="U599" s="9">
        <f t="shared" si="59"/>
        <v>27.72</v>
      </c>
      <c r="V599" s="9">
        <f t="shared" si="60"/>
        <v>542.85714285714243</v>
      </c>
      <c r="W599" s="9">
        <f t="shared" si="61"/>
        <v>40.582248142857125</v>
      </c>
    </row>
    <row r="600" spans="1:23">
      <c r="A600" s="2" t="s">
        <v>335</v>
      </c>
      <c r="B600" s="2" t="s">
        <v>336</v>
      </c>
      <c r="C600" s="3">
        <v>29</v>
      </c>
      <c r="D600" s="3">
        <v>3.96</v>
      </c>
      <c r="E600" s="2" t="s">
        <v>359</v>
      </c>
      <c r="F600" s="4">
        <v>39476</v>
      </c>
      <c r="G600" s="3">
        <v>68</v>
      </c>
      <c r="H600" s="3">
        <v>3</v>
      </c>
      <c r="I600" s="4">
        <v>39490</v>
      </c>
      <c r="J600" s="3">
        <v>75.2</v>
      </c>
      <c r="K600" s="3">
        <v>3</v>
      </c>
      <c r="L600" s="3">
        <v>14</v>
      </c>
      <c r="M600" s="5">
        <v>7.2000000000000028</v>
      </c>
      <c r="N600" s="5">
        <v>0</v>
      </c>
      <c r="O600" s="5">
        <v>55.44</v>
      </c>
      <c r="P600" s="5">
        <v>514.28571428571445</v>
      </c>
      <c r="Q600" s="5">
        <v>39.461129714285718</v>
      </c>
      <c r="R600" s="8">
        <f t="shared" si="57"/>
        <v>7</v>
      </c>
      <c r="S600" s="9">
        <f t="shared" si="58"/>
        <v>3.4000000000000057</v>
      </c>
      <c r="T600" s="9">
        <v>1.5</v>
      </c>
      <c r="U600" s="9">
        <f t="shared" si="59"/>
        <v>27.72</v>
      </c>
      <c r="V600" s="9">
        <f t="shared" si="60"/>
        <v>485.71428571428652</v>
      </c>
      <c r="W600" s="9">
        <f t="shared" si="61"/>
        <v>38.052558285714326</v>
      </c>
    </row>
    <row r="601" spans="1:23">
      <c r="A601" s="2" t="s">
        <v>335</v>
      </c>
      <c r="B601" s="2" t="s">
        <v>336</v>
      </c>
      <c r="C601" s="3">
        <v>29</v>
      </c>
      <c r="D601" s="3">
        <v>3.96</v>
      </c>
      <c r="E601" s="2" t="s">
        <v>359</v>
      </c>
      <c r="F601" s="4">
        <v>39476</v>
      </c>
      <c r="G601" s="3">
        <v>68</v>
      </c>
      <c r="H601" s="3">
        <v>3</v>
      </c>
      <c r="I601" s="4">
        <v>39497</v>
      </c>
      <c r="J601" s="3">
        <v>69</v>
      </c>
      <c r="K601" s="3">
        <v>3</v>
      </c>
      <c r="L601" s="3">
        <v>21</v>
      </c>
      <c r="M601" s="5">
        <v>1</v>
      </c>
      <c r="N601" s="5">
        <v>0</v>
      </c>
      <c r="O601" s="5">
        <v>83.16</v>
      </c>
      <c r="P601" s="5">
        <v>47.619047619047613</v>
      </c>
      <c r="Q601" s="5">
        <v>15.930284047619047</v>
      </c>
      <c r="R601" s="8">
        <f t="shared" si="57"/>
        <v>7</v>
      </c>
      <c r="S601" s="9">
        <f t="shared" si="58"/>
        <v>-6.2000000000000028</v>
      </c>
      <c r="T601" s="9">
        <v>1.5</v>
      </c>
      <c r="U601" s="9">
        <f t="shared" si="59"/>
        <v>27.72</v>
      </c>
      <c r="V601" s="9">
        <f t="shared" si="60"/>
        <v>-885.71428571428612</v>
      </c>
      <c r="W601" s="9">
        <f t="shared" si="61"/>
        <v>-30.083049285714303</v>
      </c>
    </row>
    <row r="602" spans="1:23">
      <c r="A602" s="2" t="s">
        <v>335</v>
      </c>
      <c r="B602" s="2" t="s">
        <v>336</v>
      </c>
      <c r="C602" s="3">
        <v>29</v>
      </c>
      <c r="D602" s="3">
        <v>3.96</v>
      </c>
      <c r="E602" s="2" t="s">
        <v>359</v>
      </c>
      <c r="F602" s="4">
        <v>39476</v>
      </c>
      <c r="G602" s="3">
        <v>68</v>
      </c>
      <c r="H602" s="3">
        <v>3</v>
      </c>
      <c r="I602" s="4">
        <v>39503</v>
      </c>
      <c r="J602" s="3">
        <v>70.400000000000006</v>
      </c>
      <c r="K602" s="3">
        <v>3</v>
      </c>
      <c r="L602" s="3">
        <v>27</v>
      </c>
      <c r="M602" s="5">
        <v>2.4000000000000057</v>
      </c>
      <c r="N602" s="5">
        <v>0</v>
      </c>
      <c r="O602" s="5">
        <v>106.92</v>
      </c>
      <c r="P602" s="5">
        <v>88.888888888889099</v>
      </c>
      <c r="Q602" s="5">
        <v>18.083250222222233</v>
      </c>
      <c r="R602" s="8">
        <f t="shared" si="57"/>
        <v>6</v>
      </c>
      <c r="S602" s="9">
        <f t="shared" si="58"/>
        <v>1.4000000000000057</v>
      </c>
      <c r="T602" s="9">
        <v>1.5</v>
      </c>
      <c r="U602" s="9">
        <f t="shared" si="59"/>
        <v>23.759999999999998</v>
      </c>
      <c r="V602" s="9">
        <f t="shared" si="60"/>
        <v>233.33333333333428</v>
      </c>
      <c r="W602" s="9">
        <f t="shared" si="61"/>
        <v>25.204361333333381</v>
      </c>
    </row>
    <row r="603" spans="1:23">
      <c r="A603" s="2" t="s">
        <v>335</v>
      </c>
      <c r="B603" s="2" t="s">
        <v>336</v>
      </c>
      <c r="C603" s="3">
        <v>29</v>
      </c>
      <c r="D603" s="3">
        <v>3.96</v>
      </c>
      <c r="E603" s="2" t="s">
        <v>360</v>
      </c>
      <c r="F603" s="4">
        <v>39476</v>
      </c>
      <c r="G603" s="3">
        <v>64.599999999999994</v>
      </c>
      <c r="H603" s="3">
        <v>3</v>
      </c>
      <c r="I603" s="4">
        <v>39476</v>
      </c>
      <c r="J603" s="3">
        <v>64.599999999999994</v>
      </c>
      <c r="K603" s="3">
        <v>3</v>
      </c>
      <c r="L603" s="3">
        <v>0</v>
      </c>
      <c r="M603" s="5">
        <v>0</v>
      </c>
      <c r="N603" s="5">
        <v>0</v>
      </c>
      <c r="O603" s="5">
        <v>0</v>
      </c>
      <c r="P603" s="5">
        <v>0</v>
      </c>
      <c r="Q603" s="5">
        <v>12.923213999999998</v>
      </c>
      <c r="R603" s="8">
        <f t="shared" si="57"/>
        <v>0</v>
      </c>
      <c r="S603" s="9">
        <f t="shared" si="58"/>
        <v>0</v>
      </c>
      <c r="T603" s="9">
        <v>1.5</v>
      </c>
      <c r="U603" s="9">
        <f t="shared" si="59"/>
        <v>0</v>
      </c>
      <c r="V603" s="9">
        <f t="shared" si="60"/>
        <v>0</v>
      </c>
      <c r="W603" s="9">
        <f t="shared" si="61"/>
        <v>12.923213999999998</v>
      </c>
    </row>
    <row r="604" spans="1:23">
      <c r="A604" s="2" t="s">
        <v>335</v>
      </c>
      <c r="B604" s="2" t="s">
        <v>336</v>
      </c>
      <c r="C604" s="3">
        <v>29</v>
      </c>
      <c r="D604" s="3">
        <v>3.96</v>
      </c>
      <c r="E604" s="2" t="s">
        <v>360</v>
      </c>
      <c r="F604" s="4">
        <v>39476</v>
      </c>
      <c r="G604" s="3">
        <v>64.599999999999994</v>
      </c>
      <c r="H604" s="3">
        <v>3</v>
      </c>
      <c r="I604" s="4">
        <v>39483</v>
      </c>
      <c r="J604" s="3">
        <v>62.8</v>
      </c>
      <c r="K604" s="6"/>
      <c r="L604" s="3">
        <v>7</v>
      </c>
      <c r="M604" s="5">
        <v>-1.7999999999999972</v>
      </c>
      <c r="N604" s="6"/>
      <c r="O604" s="5">
        <v>27.72</v>
      </c>
      <c r="P604" s="5">
        <v>-257.14285714285671</v>
      </c>
      <c r="Q604" s="5">
        <v>9.3890142857162573E-2</v>
      </c>
      <c r="R604" s="8">
        <f t="shared" si="57"/>
        <v>7</v>
      </c>
      <c r="S604" s="9">
        <f t="shared" si="58"/>
        <v>-1.7999999999999972</v>
      </c>
      <c r="T604" s="9">
        <v>1.5</v>
      </c>
      <c r="U604" s="9">
        <f t="shared" si="59"/>
        <v>27.72</v>
      </c>
      <c r="V604" s="9">
        <f t="shared" si="60"/>
        <v>-257.14285714285671</v>
      </c>
      <c r="W604" s="9">
        <f t="shared" si="61"/>
        <v>9.3890142857162573E-2</v>
      </c>
    </row>
    <row r="605" spans="1:23">
      <c r="A605" s="2" t="s">
        <v>335</v>
      </c>
      <c r="B605" s="2" t="s">
        <v>336</v>
      </c>
      <c r="C605" s="3">
        <v>29</v>
      </c>
      <c r="D605" s="3">
        <v>3.96</v>
      </c>
      <c r="E605" s="2" t="s">
        <v>360</v>
      </c>
      <c r="F605" s="4">
        <v>39476</v>
      </c>
      <c r="G605" s="3">
        <v>64.599999999999994</v>
      </c>
      <c r="H605" s="3">
        <v>3</v>
      </c>
      <c r="I605" s="4">
        <v>39490</v>
      </c>
      <c r="J605" s="3">
        <v>70.8</v>
      </c>
      <c r="K605" s="3">
        <v>3</v>
      </c>
      <c r="L605" s="3">
        <v>14</v>
      </c>
      <c r="M605" s="5">
        <v>6.2000000000000028</v>
      </c>
      <c r="N605" s="5">
        <v>0</v>
      </c>
      <c r="O605" s="5">
        <v>55.44</v>
      </c>
      <c r="P605" s="5">
        <v>442.85714285714306</v>
      </c>
      <c r="Q605" s="5">
        <v>35.280250142857149</v>
      </c>
      <c r="R605" s="8">
        <f t="shared" si="57"/>
        <v>7</v>
      </c>
      <c r="S605" s="9">
        <f t="shared" si="58"/>
        <v>8</v>
      </c>
      <c r="T605" s="9">
        <v>1.5</v>
      </c>
      <c r="U605" s="9">
        <f t="shared" si="59"/>
        <v>27.72</v>
      </c>
      <c r="V605" s="9">
        <f t="shared" si="60"/>
        <v>1142.8571428571429</v>
      </c>
      <c r="W605" s="9">
        <f t="shared" si="61"/>
        <v>69.790250142857133</v>
      </c>
    </row>
    <row r="606" spans="1:23">
      <c r="A606" s="2" t="s">
        <v>335</v>
      </c>
      <c r="B606" s="2" t="s">
        <v>336</v>
      </c>
      <c r="C606" s="3">
        <v>29</v>
      </c>
      <c r="D606" s="3">
        <v>3.96</v>
      </c>
      <c r="E606" s="2" t="s">
        <v>360</v>
      </c>
      <c r="F606" s="4">
        <v>39476</v>
      </c>
      <c r="G606" s="3">
        <v>64.599999999999994</v>
      </c>
      <c r="H606" s="3">
        <v>3</v>
      </c>
      <c r="I606" s="4">
        <v>39497</v>
      </c>
      <c r="J606" s="3">
        <v>63</v>
      </c>
      <c r="K606" s="3">
        <v>2.5</v>
      </c>
      <c r="L606" s="3">
        <v>21</v>
      </c>
      <c r="M606" s="5">
        <v>-1.5999999999999943</v>
      </c>
      <c r="N606" s="5">
        <v>-0.5</v>
      </c>
      <c r="O606" s="5">
        <v>83.16</v>
      </c>
      <c r="P606" s="5">
        <v>-76.19047619047592</v>
      </c>
      <c r="Q606" s="5">
        <v>9.0317515238095361</v>
      </c>
      <c r="R606" s="8">
        <f t="shared" si="57"/>
        <v>7</v>
      </c>
      <c r="S606" s="9">
        <f t="shared" si="58"/>
        <v>-7.7999999999999972</v>
      </c>
      <c r="T606" s="9">
        <v>1.5</v>
      </c>
      <c r="U606" s="9">
        <f t="shared" si="59"/>
        <v>27.72</v>
      </c>
      <c r="V606" s="9">
        <f t="shared" si="60"/>
        <v>-1114.2857142857138</v>
      </c>
      <c r="W606" s="9">
        <f t="shared" si="61"/>
        <v>-42.146343714285678</v>
      </c>
    </row>
    <row r="607" spans="1:23">
      <c r="A607" s="2" t="s">
        <v>335</v>
      </c>
      <c r="B607" s="2" t="s">
        <v>336</v>
      </c>
      <c r="C607" s="3">
        <v>29</v>
      </c>
      <c r="D607" s="3">
        <v>3.96</v>
      </c>
      <c r="E607" s="2" t="s">
        <v>360</v>
      </c>
      <c r="F607" s="4">
        <v>39476</v>
      </c>
      <c r="G607" s="3">
        <v>64.599999999999994</v>
      </c>
      <c r="H607" s="3">
        <v>3</v>
      </c>
      <c r="I607" s="4">
        <v>39503</v>
      </c>
      <c r="J607" s="3">
        <v>62.8</v>
      </c>
      <c r="K607" s="3">
        <v>2.5</v>
      </c>
      <c r="L607" s="3">
        <v>27</v>
      </c>
      <c r="M607" s="5">
        <v>-1.7999999999999972</v>
      </c>
      <c r="N607" s="5">
        <v>-0.5</v>
      </c>
      <c r="O607" s="5">
        <v>106.92</v>
      </c>
      <c r="P607" s="5">
        <v>-66.666666666666558</v>
      </c>
      <c r="Q607" s="5">
        <v>9.4843663333333375</v>
      </c>
      <c r="R607" s="8">
        <f t="shared" si="57"/>
        <v>6</v>
      </c>
      <c r="S607" s="9">
        <f t="shared" si="58"/>
        <v>-0.20000000000000284</v>
      </c>
      <c r="T607" s="9">
        <v>1.5</v>
      </c>
      <c r="U607" s="9">
        <f t="shared" si="59"/>
        <v>23.759999999999998</v>
      </c>
      <c r="V607" s="9">
        <f t="shared" si="60"/>
        <v>-33.333333333333805</v>
      </c>
      <c r="W607" s="9">
        <f t="shared" si="61"/>
        <v>11.127699666666643</v>
      </c>
    </row>
    <row r="608" spans="1:23">
      <c r="A608" s="2" t="s">
        <v>335</v>
      </c>
      <c r="B608" s="2" t="s">
        <v>336</v>
      </c>
      <c r="C608" s="3">
        <v>29</v>
      </c>
      <c r="D608" s="3">
        <v>3.96</v>
      </c>
      <c r="E608" s="2" t="s">
        <v>361</v>
      </c>
      <c r="F608" s="4">
        <v>39476</v>
      </c>
      <c r="G608" s="3">
        <v>56</v>
      </c>
      <c r="H608" s="3">
        <v>2</v>
      </c>
      <c r="I608" s="4">
        <v>39476</v>
      </c>
      <c r="J608" s="3">
        <v>56</v>
      </c>
      <c r="K608" s="3">
        <v>2</v>
      </c>
      <c r="L608" s="3">
        <v>0</v>
      </c>
      <c r="M608" s="5">
        <v>0</v>
      </c>
      <c r="N608" s="5">
        <v>0</v>
      </c>
      <c r="O608" s="5">
        <v>0</v>
      </c>
      <c r="P608" s="5">
        <v>0</v>
      </c>
      <c r="Q608" s="5">
        <v>11.46904</v>
      </c>
      <c r="R608" s="8">
        <f t="shared" si="57"/>
        <v>0</v>
      </c>
      <c r="S608" s="9">
        <f t="shared" si="58"/>
        <v>0</v>
      </c>
      <c r="T608" s="9">
        <v>1.5</v>
      </c>
      <c r="U608" s="9">
        <f t="shared" si="59"/>
        <v>0</v>
      </c>
      <c r="V608" s="9">
        <f t="shared" si="60"/>
        <v>0</v>
      </c>
      <c r="W608" s="9">
        <f t="shared" si="61"/>
        <v>11.46904</v>
      </c>
    </row>
    <row r="609" spans="1:23">
      <c r="A609" s="2" t="s">
        <v>335</v>
      </c>
      <c r="B609" s="2" t="s">
        <v>336</v>
      </c>
      <c r="C609" s="3">
        <v>29</v>
      </c>
      <c r="D609" s="3">
        <v>3.96</v>
      </c>
      <c r="E609" s="2" t="s">
        <v>361</v>
      </c>
      <c r="F609" s="4">
        <v>39476</v>
      </c>
      <c r="G609" s="3">
        <v>56</v>
      </c>
      <c r="H609" s="3">
        <v>2</v>
      </c>
      <c r="I609" s="4">
        <v>39483</v>
      </c>
      <c r="J609" s="3">
        <v>55.8</v>
      </c>
      <c r="K609" s="6"/>
      <c r="L609" s="3">
        <v>7</v>
      </c>
      <c r="M609" s="5">
        <v>-0.20000000000000284</v>
      </c>
      <c r="N609" s="6"/>
      <c r="O609" s="5">
        <v>27.72</v>
      </c>
      <c r="P609" s="5">
        <v>-28.571428571428978</v>
      </c>
      <c r="Q609" s="5">
        <v>10.043559571428551</v>
      </c>
      <c r="R609" s="8">
        <f t="shared" si="57"/>
        <v>7</v>
      </c>
      <c r="S609" s="9">
        <f t="shared" si="58"/>
        <v>-0.20000000000000284</v>
      </c>
      <c r="T609" s="9">
        <v>1.5</v>
      </c>
      <c r="U609" s="9">
        <f t="shared" si="59"/>
        <v>27.72</v>
      </c>
      <c r="V609" s="9">
        <f t="shared" si="60"/>
        <v>-28.571428571428978</v>
      </c>
      <c r="W609" s="9">
        <f t="shared" si="61"/>
        <v>10.043559571428551</v>
      </c>
    </row>
    <row r="610" spans="1:23">
      <c r="A610" s="2" t="s">
        <v>335</v>
      </c>
      <c r="B610" s="2" t="s">
        <v>336</v>
      </c>
      <c r="C610" s="3">
        <v>29</v>
      </c>
      <c r="D610" s="3">
        <v>3.96</v>
      </c>
      <c r="E610" s="2" t="s">
        <v>361</v>
      </c>
      <c r="F610" s="4">
        <v>39476</v>
      </c>
      <c r="G610" s="3">
        <v>56</v>
      </c>
      <c r="H610" s="3">
        <v>2</v>
      </c>
      <c r="I610" s="4">
        <v>39490</v>
      </c>
      <c r="J610" s="3">
        <v>59</v>
      </c>
      <c r="K610" s="3">
        <v>2.25</v>
      </c>
      <c r="L610" s="3">
        <v>14</v>
      </c>
      <c r="M610" s="5">
        <v>3</v>
      </c>
      <c r="N610" s="5">
        <v>0.25</v>
      </c>
      <c r="O610" s="5">
        <v>55.44</v>
      </c>
      <c r="P610" s="5">
        <v>214.28571428571428</v>
      </c>
      <c r="Q610" s="5">
        <v>22.286960714285712</v>
      </c>
      <c r="R610" s="8">
        <f t="shared" si="57"/>
        <v>7</v>
      </c>
      <c r="S610" s="9">
        <f t="shared" si="58"/>
        <v>3.2000000000000028</v>
      </c>
      <c r="T610" s="9">
        <v>1.5</v>
      </c>
      <c r="U610" s="9">
        <f t="shared" si="59"/>
        <v>27.72</v>
      </c>
      <c r="V610" s="9">
        <f t="shared" si="60"/>
        <v>457.14285714285757</v>
      </c>
      <c r="W610" s="9">
        <f t="shared" si="61"/>
        <v>34.259817857142878</v>
      </c>
    </row>
    <row r="611" spans="1:23">
      <c r="A611" s="2" t="s">
        <v>335</v>
      </c>
      <c r="B611" s="2" t="s">
        <v>336</v>
      </c>
      <c r="C611" s="3">
        <v>29</v>
      </c>
      <c r="D611" s="3">
        <v>3.96</v>
      </c>
      <c r="E611" s="2" t="s">
        <v>361</v>
      </c>
      <c r="F611" s="4">
        <v>39476</v>
      </c>
      <c r="G611" s="3">
        <v>56</v>
      </c>
      <c r="H611" s="3">
        <v>2</v>
      </c>
      <c r="I611" s="4">
        <v>39497</v>
      </c>
      <c r="J611" s="3">
        <v>57.2</v>
      </c>
      <c r="K611" s="3">
        <v>2</v>
      </c>
      <c r="L611" s="3">
        <v>21</v>
      </c>
      <c r="M611" s="5">
        <v>1.2000000000000028</v>
      </c>
      <c r="N611" s="5">
        <v>0</v>
      </c>
      <c r="O611" s="5">
        <v>83.16</v>
      </c>
      <c r="P611" s="5">
        <v>57.142857142857281</v>
      </c>
      <c r="Q611" s="5">
        <v>14.387636857142864</v>
      </c>
      <c r="R611" s="8">
        <f t="shared" si="57"/>
        <v>7</v>
      </c>
      <c r="S611" s="9">
        <f t="shared" si="58"/>
        <v>-1.7999999999999972</v>
      </c>
      <c r="T611" s="9">
        <v>1.5</v>
      </c>
      <c r="U611" s="9">
        <f t="shared" si="59"/>
        <v>27.72</v>
      </c>
      <c r="V611" s="9">
        <f t="shared" si="60"/>
        <v>-257.14285714285671</v>
      </c>
      <c r="W611" s="9">
        <f t="shared" si="61"/>
        <v>-1.1066488571428366</v>
      </c>
    </row>
    <row r="612" spans="1:23">
      <c r="A612" s="2" t="s">
        <v>335</v>
      </c>
      <c r="B612" s="2" t="s">
        <v>336</v>
      </c>
      <c r="C612" s="3">
        <v>29</v>
      </c>
      <c r="D612" s="3">
        <v>3.96</v>
      </c>
      <c r="E612" s="2" t="s">
        <v>361</v>
      </c>
      <c r="F612" s="4">
        <v>39476</v>
      </c>
      <c r="G612" s="3">
        <v>56</v>
      </c>
      <c r="H612" s="3">
        <v>2</v>
      </c>
      <c r="I612" s="4">
        <v>39503</v>
      </c>
      <c r="J612" s="3">
        <v>58.2</v>
      </c>
      <c r="K612" s="3">
        <v>2</v>
      </c>
      <c r="L612" s="3">
        <v>27</v>
      </c>
      <c r="M612" s="5">
        <v>2.2000000000000028</v>
      </c>
      <c r="N612" s="5">
        <v>0</v>
      </c>
      <c r="O612" s="5">
        <v>106.92</v>
      </c>
      <c r="P612" s="5">
        <v>81.48148148148158</v>
      </c>
      <c r="Q612" s="5">
        <v>15.672076037037042</v>
      </c>
      <c r="R612" s="8">
        <f t="shared" si="57"/>
        <v>6</v>
      </c>
      <c r="S612" s="9">
        <f t="shared" si="58"/>
        <v>1</v>
      </c>
      <c r="T612" s="9">
        <v>1.5</v>
      </c>
      <c r="U612" s="9">
        <f t="shared" si="59"/>
        <v>23.759999999999998</v>
      </c>
      <c r="V612" s="9">
        <f t="shared" si="60"/>
        <v>166.66666666666666</v>
      </c>
      <c r="W612" s="9">
        <f t="shared" si="61"/>
        <v>19.871705666666664</v>
      </c>
    </row>
    <row r="613" spans="1:23">
      <c r="A613" s="2" t="s">
        <v>335</v>
      </c>
      <c r="B613" s="2" t="s">
        <v>336</v>
      </c>
      <c r="C613" s="3">
        <v>29</v>
      </c>
      <c r="D613" s="3">
        <v>3.96</v>
      </c>
      <c r="E613" s="2" t="s">
        <v>362</v>
      </c>
      <c r="F613" s="4">
        <v>39476</v>
      </c>
      <c r="G613" s="3">
        <v>62.8</v>
      </c>
      <c r="H613" s="3">
        <v>2</v>
      </c>
      <c r="I613" s="4">
        <v>39476</v>
      </c>
      <c r="J613" s="3">
        <v>62.8</v>
      </c>
      <c r="K613" s="3">
        <v>2</v>
      </c>
      <c r="L613" s="3">
        <v>0</v>
      </c>
      <c r="M613" s="5">
        <v>0</v>
      </c>
      <c r="N613" s="5">
        <v>0</v>
      </c>
      <c r="O613" s="5">
        <v>0</v>
      </c>
      <c r="P613" s="5">
        <v>0</v>
      </c>
      <c r="Q613" s="5">
        <v>12.618851999999999</v>
      </c>
      <c r="R613" s="8">
        <f t="shared" si="57"/>
        <v>0</v>
      </c>
      <c r="S613" s="9">
        <f t="shared" si="58"/>
        <v>0</v>
      </c>
      <c r="T613" s="9">
        <v>1.5</v>
      </c>
      <c r="U613" s="9">
        <f t="shared" si="59"/>
        <v>0</v>
      </c>
      <c r="V613" s="9">
        <f t="shared" si="60"/>
        <v>0</v>
      </c>
      <c r="W613" s="9">
        <f t="shared" si="61"/>
        <v>12.618851999999999</v>
      </c>
    </row>
    <row r="614" spans="1:23">
      <c r="A614" s="2" t="s">
        <v>335</v>
      </c>
      <c r="B614" s="2" t="s">
        <v>336</v>
      </c>
      <c r="C614" s="3">
        <v>29</v>
      </c>
      <c r="D614" s="3">
        <v>3.96</v>
      </c>
      <c r="E614" s="2" t="s">
        <v>362</v>
      </c>
      <c r="F614" s="4">
        <v>39476</v>
      </c>
      <c r="G614" s="3">
        <v>62.8</v>
      </c>
      <c r="H614" s="3">
        <v>2</v>
      </c>
      <c r="I614" s="4">
        <v>39483</v>
      </c>
      <c r="J614" s="3">
        <v>66</v>
      </c>
      <c r="K614" s="6"/>
      <c r="L614" s="3">
        <v>7</v>
      </c>
      <c r="M614" s="5">
        <v>3.2000000000000028</v>
      </c>
      <c r="N614" s="6"/>
      <c r="O614" s="5">
        <v>27.72</v>
      </c>
      <c r="P614" s="5">
        <v>457.14285714285757</v>
      </c>
      <c r="Q614" s="5">
        <v>35.42653885714288</v>
      </c>
      <c r="R614" s="8">
        <f t="shared" si="57"/>
        <v>7</v>
      </c>
      <c r="S614" s="9">
        <f t="shared" si="58"/>
        <v>3.2000000000000028</v>
      </c>
      <c r="T614" s="9">
        <v>1.5</v>
      </c>
      <c r="U614" s="9">
        <f t="shared" si="59"/>
        <v>27.72</v>
      </c>
      <c r="V614" s="9">
        <f t="shared" si="60"/>
        <v>457.14285714285757</v>
      </c>
      <c r="W614" s="9">
        <f t="shared" si="61"/>
        <v>35.42653885714288</v>
      </c>
    </row>
    <row r="615" spans="1:23">
      <c r="A615" s="2" t="s">
        <v>335</v>
      </c>
      <c r="B615" s="2" t="s">
        <v>336</v>
      </c>
      <c r="C615" s="3">
        <v>29</v>
      </c>
      <c r="D615" s="3">
        <v>3.96</v>
      </c>
      <c r="E615" s="2" t="s">
        <v>362</v>
      </c>
      <c r="F615" s="4">
        <v>39476</v>
      </c>
      <c r="G615" s="3">
        <v>62.8</v>
      </c>
      <c r="H615" s="3">
        <v>2</v>
      </c>
      <c r="I615" s="4">
        <v>39490</v>
      </c>
      <c r="J615" s="3">
        <v>68.599999999999994</v>
      </c>
      <c r="K615" s="3">
        <v>2</v>
      </c>
      <c r="L615" s="3">
        <v>14</v>
      </c>
      <c r="M615" s="5">
        <v>5.7999999999999972</v>
      </c>
      <c r="N615" s="5">
        <v>0</v>
      </c>
      <c r="O615" s="5">
        <v>55.44</v>
      </c>
      <c r="P615" s="5">
        <v>414.28571428571411</v>
      </c>
      <c r="Q615" s="5">
        <v>33.533498714285699</v>
      </c>
      <c r="R615" s="8">
        <f t="shared" si="57"/>
        <v>7</v>
      </c>
      <c r="S615" s="9">
        <f t="shared" si="58"/>
        <v>2.5999999999999943</v>
      </c>
      <c r="T615" s="9">
        <v>1.5</v>
      </c>
      <c r="U615" s="9">
        <f t="shared" si="59"/>
        <v>27.72</v>
      </c>
      <c r="V615" s="9">
        <f t="shared" si="60"/>
        <v>371.42857142857059</v>
      </c>
      <c r="W615" s="9">
        <f t="shared" si="61"/>
        <v>31.420641571428526</v>
      </c>
    </row>
    <row r="616" spans="1:23">
      <c r="A616" s="2" t="s">
        <v>335</v>
      </c>
      <c r="B616" s="2" t="s">
        <v>336</v>
      </c>
      <c r="C616" s="3">
        <v>29</v>
      </c>
      <c r="D616" s="3">
        <v>3.96</v>
      </c>
      <c r="E616" s="2" t="s">
        <v>362</v>
      </c>
      <c r="F616" s="4">
        <v>39476</v>
      </c>
      <c r="G616" s="3">
        <v>62.8</v>
      </c>
      <c r="H616" s="3">
        <v>2</v>
      </c>
      <c r="I616" s="4">
        <v>39497</v>
      </c>
      <c r="J616" s="3">
        <v>66.2</v>
      </c>
      <c r="K616" s="3">
        <v>2</v>
      </c>
      <c r="L616" s="3">
        <v>21</v>
      </c>
      <c r="M616" s="5">
        <v>3.4000000000000057</v>
      </c>
      <c r="N616" s="5">
        <v>0</v>
      </c>
      <c r="O616" s="5">
        <v>83.16</v>
      </c>
      <c r="P616" s="5">
        <v>161.90476190476215</v>
      </c>
      <c r="Q616" s="5">
        <v>20.888209761904776</v>
      </c>
      <c r="R616" s="8">
        <f t="shared" si="57"/>
        <v>7</v>
      </c>
      <c r="S616" s="9">
        <f t="shared" si="58"/>
        <v>-2.3999999999999915</v>
      </c>
      <c r="T616" s="9">
        <v>1.5</v>
      </c>
      <c r="U616" s="9">
        <f t="shared" si="59"/>
        <v>27.72</v>
      </c>
      <c r="V616" s="9">
        <f t="shared" si="60"/>
        <v>-342.85714285714164</v>
      </c>
      <c r="W616" s="9">
        <f t="shared" si="61"/>
        <v>-3.9965521428570838</v>
      </c>
    </row>
    <row r="617" spans="1:23">
      <c r="A617" s="2" t="s">
        <v>335</v>
      </c>
      <c r="B617" s="2" t="s">
        <v>336</v>
      </c>
      <c r="C617" s="3">
        <v>29</v>
      </c>
      <c r="D617" s="3">
        <v>3.96</v>
      </c>
      <c r="E617" s="2" t="s">
        <v>362</v>
      </c>
      <c r="F617" s="4">
        <v>39476</v>
      </c>
      <c r="G617" s="3">
        <v>62.8</v>
      </c>
      <c r="H617" s="3">
        <v>2</v>
      </c>
      <c r="I617" s="4">
        <v>39503</v>
      </c>
      <c r="J617" s="3">
        <v>65</v>
      </c>
      <c r="K617" s="3">
        <v>2</v>
      </c>
      <c r="L617" s="3">
        <v>27</v>
      </c>
      <c r="M617" s="5">
        <v>2.2000000000000028</v>
      </c>
      <c r="N617" s="5">
        <v>0</v>
      </c>
      <c r="O617" s="5">
        <v>106.92</v>
      </c>
      <c r="P617" s="5">
        <v>81.48148148148158</v>
      </c>
      <c r="Q617" s="5">
        <v>16.821888037037041</v>
      </c>
      <c r="R617" s="8">
        <f t="shared" si="57"/>
        <v>6</v>
      </c>
      <c r="S617" s="9">
        <f t="shared" si="58"/>
        <v>-1.2000000000000028</v>
      </c>
      <c r="T617" s="9">
        <v>1.5</v>
      </c>
      <c r="U617" s="9">
        <f t="shared" si="59"/>
        <v>23.759999999999998</v>
      </c>
      <c r="V617" s="9">
        <f t="shared" si="60"/>
        <v>-200.00000000000048</v>
      </c>
      <c r="W617" s="9">
        <f t="shared" si="61"/>
        <v>2.9448509999999768</v>
      </c>
    </row>
    <row r="618" spans="1:23">
      <c r="A618" s="2" t="s">
        <v>335</v>
      </c>
      <c r="B618" s="2" t="s">
        <v>336</v>
      </c>
      <c r="C618" s="3">
        <v>29</v>
      </c>
      <c r="D618" s="3">
        <v>3.96</v>
      </c>
      <c r="E618" s="2" t="s">
        <v>363</v>
      </c>
      <c r="F618" s="4">
        <v>39476</v>
      </c>
      <c r="G618" s="3">
        <v>59</v>
      </c>
      <c r="H618" s="3">
        <v>2.25</v>
      </c>
      <c r="I618" s="4">
        <v>39476</v>
      </c>
      <c r="J618" s="3">
        <v>59</v>
      </c>
      <c r="K618" s="3">
        <v>2.25</v>
      </c>
      <c r="L618" s="3">
        <v>0</v>
      </c>
      <c r="M618" s="5">
        <v>0</v>
      </c>
      <c r="N618" s="5">
        <v>0</v>
      </c>
      <c r="O618" s="5">
        <v>0</v>
      </c>
      <c r="P618" s="5">
        <v>0</v>
      </c>
      <c r="Q618" s="5">
        <v>11.97631</v>
      </c>
      <c r="R618" s="8">
        <f t="shared" si="57"/>
        <v>0</v>
      </c>
      <c r="S618" s="9">
        <f t="shared" si="58"/>
        <v>0</v>
      </c>
      <c r="T618" s="9">
        <v>1.5</v>
      </c>
      <c r="U618" s="9">
        <f t="shared" si="59"/>
        <v>0</v>
      </c>
      <c r="V618" s="9">
        <f t="shared" si="60"/>
        <v>0</v>
      </c>
      <c r="W618" s="9">
        <f t="shared" si="61"/>
        <v>11.97631</v>
      </c>
    </row>
    <row r="619" spans="1:23">
      <c r="A619" s="2" t="s">
        <v>335</v>
      </c>
      <c r="B619" s="2" t="s">
        <v>336</v>
      </c>
      <c r="C619" s="3">
        <v>29</v>
      </c>
      <c r="D619" s="3">
        <v>3.96</v>
      </c>
      <c r="E619" s="2" t="s">
        <v>363</v>
      </c>
      <c r="F619" s="4">
        <v>39476</v>
      </c>
      <c r="G619" s="3">
        <v>59</v>
      </c>
      <c r="H619" s="3">
        <v>2.25</v>
      </c>
      <c r="I619" s="4">
        <v>39483</v>
      </c>
      <c r="J619" s="3">
        <v>63.6</v>
      </c>
      <c r="K619" s="6"/>
      <c r="L619" s="3">
        <v>7</v>
      </c>
      <c r="M619" s="5">
        <v>4.6000000000000014</v>
      </c>
      <c r="N619" s="6"/>
      <c r="O619" s="5">
        <v>27.72</v>
      </c>
      <c r="P619" s="5">
        <v>657.14285714285734</v>
      </c>
      <c r="Q619" s="5">
        <v>44.762359857142869</v>
      </c>
      <c r="R619" s="8">
        <f t="shared" si="57"/>
        <v>7</v>
      </c>
      <c r="S619" s="9">
        <f t="shared" si="58"/>
        <v>4.6000000000000014</v>
      </c>
      <c r="T619" s="9">
        <v>1.5</v>
      </c>
      <c r="U619" s="9">
        <f t="shared" si="59"/>
        <v>27.72</v>
      </c>
      <c r="V619" s="9">
        <f t="shared" si="60"/>
        <v>657.14285714285734</v>
      </c>
      <c r="W619" s="9">
        <f t="shared" si="61"/>
        <v>44.762359857142869</v>
      </c>
    </row>
    <row r="620" spans="1:23">
      <c r="A620" s="2" t="s">
        <v>335</v>
      </c>
      <c r="B620" s="2" t="s">
        <v>336</v>
      </c>
      <c r="C620" s="3">
        <v>29</v>
      </c>
      <c r="D620" s="3">
        <v>3.96</v>
      </c>
      <c r="E620" s="2" t="s">
        <v>363</v>
      </c>
      <c r="F620" s="4">
        <v>39476</v>
      </c>
      <c r="G620" s="3">
        <v>59</v>
      </c>
      <c r="H620" s="3">
        <v>2.25</v>
      </c>
      <c r="I620" s="4">
        <v>39490</v>
      </c>
      <c r="J620" s="3">
        <v>71.400000000000006</v>
      </c>
      <c r="K620" s="3">
        <v>2.25</v>
      </c>
      <c r="L620" s="3">
        <v>14</v>
      </c>
      <c r="M620" s="5">
        <v>12.400000000000006</v>
      </c>
      <c r="N620" s="5">
        <v>0</v>
      </c>
      <c r="O620" s="5">
        <v>55.44</v>
      </c>
      <c r="P620" s="5">
        <v>885.71428571428612</v>
      </c>
      <c r="Q620" s="5">
        <v>56.6903822857143</v>
      </c>
      <c r="R620" s="8">
        <f t="shared" si="57"/>
        <v>7</v>
      </c>
      <c r="S620" s="9">
        <f t="shared" si="58"/>
        <v>7.8000000000000043</v>
      </c>
      <c r="T620" s="9">
        <v>1.5</v>
      </c>
      <c r="U620" s="9">
        <f t="shared" si="59"/>
        <v>27.72</v>
      </c>
      <c r="V620" s="9">
        <f t="shared" si="60"/>
        <v>1114.2857142857149</v>
      </c>
      <c r="W620" s="9">
        <f t="shared" si="61"/>
        <v>67.958953714285741</v>
      </c>
    </row>
    <row r="621" spans="1:23">
      <c r="A621" s="2" t="s">
        <v>335</v>
      </c>
      <c r="B621" s="2" t="s">
        <v>336</v>
      </c>
      <c r="C621" s="3">
        <v>29</v>
      </c>
      <c r="D621" s="3">
        <v>3.96</v>
      </c>
      <c r="E621" s="2" t="s">
        <v>363</v>
      </c>
      <c r="F621" s="4">
        <v>39476</v>
      </c>
      <c r="G621" s="3">
        <v>59</v>
      </c>
      <c r="H621" s="3">
        <v>2.25</v>
      </c>
      <c r="I621" s="4">
        <v>39497</v>
      </c>
      <c r="J621" s="3">
        <v>64.400000000000006</v>
      </c>
      <c r="K621" s="3">
        <v>2.25</v>
      </c>
      <c r="L621" s="3">
        <v>21</v>
      </c>
      <c r="M621" s="5">
        <v>5.4000000000000057</v>
      </c>
      <c r="N621" s="5">
        <v>0</v>
      </c>
      <c r="O621" s="5">
        <v>83.16</v>
      </c>
      <c r="P621" s="5">
        <v>257.14285714285739</v>
      </c>
      <c r="Q621" s="5">
        <v>25.10999585714287</v>
      </c>
      <c r="R621" s="8">
        <f t="shared" si="57"/>
        <v>7</v>
      </c>
      <c r="S621" s="9">
        <f t="shared" si="58"/>
        <v>-7</v>
      </c>
      <c r="T621" s="9">
        <v>1.5</v>
      </c>
      <c r="U621" s="9">
        <f t="shared" si="59"/>
        <v>27.72</v>
      </c>
      <c r="V621" s="9">
        <f t="shared" si="60"/>
        <v>-1000</v>
      </c>
      <c r="W621" s="9">
        <f t="shared" si="61"/>
        <v>-36.867146999999996</v>
      </c>
    </row>
    <row r="622" spans="1:23">
      <c r="A622" s="2" t="s">
        <v>335</v>
      </c>
      <c r="B622" s="2" t="s">
        <v>336</v>
      </c>
      <c r="C622" s="3">
        <v>29</v>
      </c>
      <c r="D622" s="3">
        <v>3.96</v>
      </c>
      <c r="E622" s="2" t="s">
        <v>363</v>
      </c>
      <c r="F622" s="4">
        <v>39476</v>
      </c>
      <c r="G622" s="3">
        <v>59</v>
      </c>
      <c r="H622" s="3">
        <v>2.25</v>
      </c>
      <c r="I622" s="4">
        <v>39503</v>
      </c>
      <c r="J622" s="3">
        <v>64.400000000000006</v>
      </c>
      <c r="K622" s="3">
        <v>1.75</v>
      </c>
      <c r="L622" s="3">
        <v>27</v>
      </c>
      <c r="M622" s="5">
        <v>5.4000000000000057</v>
      </c>
      <c r="N622" s="5">
        <v>-0.5</v>
      </c>
      <c r="O622" s="5">
        <v>106.92</v>
      </c>
      <c r="P622" s="5">
        <v>200.0000000000002</v>
      </c>
      <c r="Q622" s="5">
        <v>22.292853000000008</v>
      </c>
      <c r="R622" s="8">
        <f t="shared" si="57"/>
        <v>6</v>
      </c>
      <c r="S622" s="9">
        <f t="shared" si="58"/>
        <v>0</v>
      </c>
      <c r="T622" s="9">
        <v>1.5</v>
      </c>
      <c r="U622" s="9">
        <f t="shared" si="59"/>
        <v>23.759999999999998</v>
      </c>
      <c r="V622" s="9">
        <f t="shared" si="60"/>
        <v>0</v>
      </c>
      <c r="W622" s="9">
        <f t="shared" si="61"/>
        <v>12.432853</v>
      </c>
    </row>
    <row r="623" spans="1:23">
      <c r="A623" s="2" t="s">
        <v>335</v>
      </c>
      <c r="B623" s="2" t="s">
        <v>336</v>
      </c>
      <c r="C623" s="3">
        <v>29</v>
      </c>
      <c r="D623" s="3">
        <v>3.96</v>
      </c>
      <c r="E623" s="2" t="s">
        <v>364</v>
      </c>
      <c r="F623" s="4">
        <v>39476</v>
      </c>
      <c r="G623" s="3">
        <v>56.4</v>
      </c>
      <c r="H623" s="3">
        <v>2</v>
      </c>
      <c r="I623" s="4">
        <v>39476</v>
      </c>
      <c r="J623" s="3">
        <v>56.4</v>
      </c>
      <c r="K623" s="3">
        <v>2</v>
      </c>
      <c r="L623" s="3">
        <v>0</v>
      </c>
      <c r="M623" s="5">
        <v>0</v>
      </c>
      <c r="N623" s="5">
        <v>0</v>
      </c>
      <c r="O623" s="5">
        <v>0</v>
      </c>
      <c r="P623" s="5">
        <v>0</v>
      </c>
      <c r="Q623" s="5">
        <v>11.536676</v>
      </c>
      <c r="R623" s="8">
        <f t="shared" si="57"/>
        <v>0</v>
      </c>
      <c r="S623" s="9">
        <f t="shared" si="58"/>
        <v>0</v>
      </c>
      <c r="T623" s="9">
        <v>1.5</v>
      </c>
      <c r="U623" s="9">
        <f t="shared" si="59"/>
        <v>0</v>
      </c>
      <c r="V623" s="9">
        <f t="shared" si="60"/>
        <v>0</v>
      </c>
      <c r="W623" s="9">
        <f t="shared" si="61"/>
        <v>11.536676</v>
      </c>
    </row>
    <row r="624" spans="1:23">
      <c r="A624" s="2" t="s">
        <v>335</v>
      </c>
      <c r="B624" s="2" t="s">
        <v>336</v>
      </c>
      <c r="C624" s="3">
        <v>29</v>
      </c>
      <c r="D624" s="3">
        <v>3.96</v>
      </c>
      <c r="E624" s="2" t="s">
        <v>364</v>
      </c>
      <c r="F624" s="4">
        <v>39476</v>
      </c>
      <c r="G624" s="3">
        <v>56.4</v>
      </c>
      <c r="H624" s="3">
        <v>2</v>
      </c>
      <c r="I624" s="4">
        <v>39483</v>
      </c>
      <c r="J624" s="3">
        <v>61</v>
      </c>
      <c r="K624" s="6"/>
      <c r="L624" s="3">
        <v>7</v>
      </c>
      <c r="M624" s="5">
        <v>4.6000000000000014</v>
      </c>
      <c r="N624" s="6"/>
      <c r="O624" s="5">
        <v>27.72</v>
      </c>
      <c r="P624" s="5">
        <v>657.14285714285734</v>
      </c>
      <c r="Q624" s="5">
        <v>44.322725857142871</v>
      </c>
      <c r="R624" s="8">
        <f t="shared" si="57"/>
        <v>7</v>
      </c>
      <c r="S624" s="9">
        <f t="shared" si="58"/>
        <v>4.6000000000000014</v>
      </c>
      <c r="T624" s="9">
        <v>1.5</v>
      </c>
      <c r="U624" s="9">
        <f t="shared" si="59"/>
        <v>27.72</v>
      </c>
      <c r="V624" s="9">
        <f t="shared" si="60"/>
        <v>657.14285714285734</v>
      </c>
      <c r="W624" s="9">
        <f t="shared" si="61"/>
        <v>44.322725857142871</v>
      </c>
    </row>
    <row r="625" spans="1:23">
      <c r="A625" s="2" t="s">
        <v>335</v>
      </c>
      <c r="B625" s="2" t="s">
        <v>336</v>
      </c>
      <c r="C625" s="3">
        <v>29</v>
      </c>
      <c r="D625" s="3">
        <v>3.96</v>
      </c>
      <c r="E625" s="2" t="s">
        <v>364</v>
      </c>
      <c r="F625" s="4">
        <v>39476</v>
      </c>
      <c r="G625" s="3">
        <v>56.4</v>
      </c>
      <c r="H625" s="3">
        <v>2</v>
      </c>
      <c r="I625" s="4">
        <v>39490</v>
      </c>
      <c r="J625" s="3">
        <v>63.6</v>
      </c>
      <c r="K625" s="3">
        <v>2</v>
      </c>
      <c r="L625" s="3">
        <v>14</v>
      </c>
      <c r="M625" s="5">
        <v>7.2000000000000028</v>
      </c>
      <c r="N625" s="5">
        <v>0</v>
      </c>
      <c r="O625" s="5">
        <v>55.44</v>
      </c>
      <c r="P625" s="5">
        <v>514.28571428571445</v>
      </c>
      <c r="Q625" s="5">
        <v>37.499685714285718</v>
      </c>
      <c r="R625" s="8">
        <f t="shared" si="57"/>
        <v>7</v>
      </c>
      <c r="S625" s="9">
        <f t="shared" si="58"/>
        <v>2.6000000000000014</v>
      </c>
      <c r="T625" s="9">
        <v>1.5</v>
      </c>
      <c r="U625" s="9">
        <f t="shared" si="59"/>
        <v>27.72</v>
      </c>
      <c r="V625" s="9">
        <f t="shared" si="60"/>
        <v>371.42857142857162</v>
      </c>
      <c r="W625" s="9">
        <f t="shared" si="61"/>
        <v>30.456828571428577</v>
      </c>
    </row>
    <row r="626" spans="1:23">
      <c r="A626" s="2" t="s">
        <v>335</v>
      </c>
      <c r="B626" s="2" t="s">
        <v>336</v>
      </c>
      <c r="C626" s="3">
        <v>29</v>
      </c>
      <c r="D626" s="3">
        <v>3.96</v>
      </c>
      <c r="E626" s="2" t="s">
        <v>364</v>
      </c>
      <c r="F626" s="4">
        <v>39476</v>
      </c>
      <c r="G626" s="3">
        <v>56.4</v>
      </c>
      <c r="H626" s="3">
        <v>2</v>
      </c>
      <c r="I626" s="4">
        <v>39497</v>
      </c>
      <c r="J626" s="3">
        <v>65.400000000000006</v>
      </c>
      <c r="K626" s="3">
        <v>2</v>
      </c>
      <c r="L626" s="3">
        <v>21</v>
      </c>
      <c r="M626" s="5">
        <v>9.0000000000000071</v>
      </c>
      <c r="N626" s="5">
        <v>0</v>
      </c>
      <c r="O626" s="5">
        <v>83.16</v>
      </c>
      <c r="P626" s="5">
        <v>428.57142857142895</v>
      </c>
      <c r="Q626" s="5">
        <v>33.426152428571442</v>
      </c>
      <c r="R626" s="8">
        <f t="shared" si="57"/>
        <v>7</v>
      </c>
      <c r="S626" s="9">
        <f t="shared" si="58"/>
        <v>1.8000000000000043</v>
      </c>
      <c r="T626" s="9">
        <v>1.5</v>
      </c>
      <c r="U626" s="9">
        <f t="shared" si="59"/>
        <v>27.72</v>
      </c>
      <c r="V626" s="9">
        <f t="shared" si="60"/>
        <v>257.14285714285774</v>
      </c>
      <c r="W626" s="9">
        <f t="shared" si="61"/>
        <v>24.974723857142884</v>
      </c>
    </row>
    <row r="627" spans="1:23">
      <c r="A627" s="2" t="s">
        <v>335</v>
      </c>
      <c r="B627" s="2" t="s">
        <v>336</v>
      </c>
      <c r="C627" s="3">
        <v>29</v>
      </c>
      <c r="D627" s="3">
        <v>3.96</v>
      </c>
      <c r="E627" s="2" t="s">
        <v>364</v>
      </c>
      <c r="F627" s="4">
        <v>39476</v>
      </c>
      <c r="G627" s="3">
        <v>56.4</v>
      </c>
      <c r="H627" s="3">
        <v>2</v>
      </c>
      <c r="I627" s="4">
        <v>39503</v>
      </c>
      <c r="J627" s="3">
        <v>67</v>
      </c>
      <c r="K627" s="3">
        <v>2</v>
      </c>
      <c r="L627" s="3">
        <v>27</v>
      </c>
      <c r="M627" s="5">
        <v>10.600000000000001</v>
      </c>
      <c r="N627" s="5">
        <v>0</v>
      </c>
      <c r="O627" s="5">
        <v>106.92</v>
      </c>
      <c r="P627" s="5">
        <v>392.59259259259267</v>
      </c>
      <c r="Q627" s="5">
        <v>31.787667814814817</v>
      </c>
      <c r="R627" s="8">
        <f t="shared" si="57"/>
        <v>6</v>
      </c>
      <c r="S627" s="9">
        <f t="shared" si="58"/>
        <v>1.5999999999999943</v>
      </c>
      <c r="T627" s="9">
        <v>1.5</v>
      </c>
      <c r="U627" s="9">
        <f t="shared" si="59"/>
        <v>23.759999999999998</v>
      </c>
      <c r="V627" s="9">
        <f t="shared" si="60"/>
        <v>266.66666666666572</v>
      </c>
      <c r="W627" s="9">
        <f t="shared" si="61"/>
        <v>25.57951966666662</v>
      </c>
    </row>
    <row r="628" spans="1:23">
      <c r="A628" s="2" t="s">
        <v>335</v>
      </c>
      <c r="B628" s="2" t="s">
        <v>336</v>
      </c>
      <c r="C628" s="3">
        <v>29</v>
      </c>
      <c r="D628" s="3">
        <v>3.96</v>
      </c>
      <c r="E628" s="2" t="s">
        <v>365</v>
      </c>
      <c r="F628" s="4">
        <v>39476</v>
      </c>
      <c r="G628" s="3">
        <v>58</v>
      </c>
      <c r="H628" s="3">
        <v>2.25</v>
      </c>
      <c r="I628" s="4">
        <v>39476</v>
      </c>
      <c r="J628" s="3">
        <v>58</v>
      </c>
      <c r="K628" s="3">
        <v>2.25</v>
      </c>
      <c r="L628" s="3">
        <v>0</v>
      </c>
      <c r="M628" s="5">
        <v>0</v>
      </c>
      <c r="N628" s="5">
        <v>0</v>
      </c>
      <c r="O628" s="5">
        <v>0</v>
      </c>
      <c r="P628" s="5">
        <v>0</v>
      </c>
      <c r="Q628" s="5">
        <v>11.807219999999999</v>
      </c>
      <c r="R628" s="8">
        <f t="shared" si="57"/>
        <v>0</v>
      </c>
      <c r="S628" s="9">
        <f t="shared" si="58"/>
        <v>0</v>
      </c>
      <c r="T628" s="9">
        <v>1.5</v>
      </c>
      <c r="U628" s="9">
        <f t="shared" si="59"/>
        <v>0</v>
      </c>
      <c r="V628" s="9">
        <f t="shared" si="60"/>
        <v>0</v>
      </c>
      <c r="W628" s="9">
        <f t="shared" si="61"/>
        <v>11.807219999999999</v>
      </c>
    </row>
    <row r="629" spans="1:23">
      <c r="A629" s="2" t="s">
        <v>335</v>
      </c>
      <c r="B629" s="2" t="s">
        <v>336</v>
      </c>
      <c r="C629" s="3">
        <v>29</v>
      </c>
      <c r="D629" s="3">
        <v>3.96</v>
      </c>
      <c r="E629" s="2" t="s">
        <v>365</v>
      </c>
      <c r="F629" s="4">
        <v>39476</v>
      </c>
      <c r="G629" s="3">
        <v>58</v>
      </c>
      <c r="H629" s="3">
        <v>2.25</v>
      </c>
      <c r="I629" s="4">
        <v>39483</v>
      </c>
      <c r="J629" s="3">
        <v>62.4</v>
      </c>
      <c r="K629" s="6"/>
      <c r="L629" s="3">
        <v>7</v>
      </c>
      <c r="M629" s="5">
        <v>4.3999999999999986</v>
      </c>
      <c r="N629" s="6"/>
      <c r="O629" s="5">
        <v>27.72</v>
      </c>
      <c r="P629" s="5">
        <v>628.57142857142833</v>
      </c>
      <c r="Q629" s="5">
        <v>43.167789428571417</v>
      </c>
      <c r="R629" s="8">
        <f t="shared" si="57"/>
        <v>7</v>
      </c>
      <c r="S629" s="9">
        <f t="shared" si="58"/>
        <v>4.3999999999999986</v>
      </c>
      <c r="T629" s="9">
        <v>1.5</v>
      </c>
      <c r="U629" s="9">
        <f t="shared" si="59"/>
        <v>27.72</v>
      </c>
      <c r="V629" s="9">
        <f t="shared" si="60"/>
        <v>628.57142857142833</v>
      </c>
      <c r="W629" s="9">
        <f t="shared" si="61"/>
        <v>43.167789428571417</v>
      </c>
    </row>
    <row r="630" spans="1:23">
      <c r="A630" s="2" t="s">
        <v>335</v>
      </c>
      <c r="B630" s="2" t="s">
        <v>336</v>
      </c>
      <c r="C630" s="3">
        <v>29</v>
      </c>
      <c r="D630" s="3">
        <v>3.96</v>
      </c>
      <c r="E630" s="2" t="s">
        <v>365</v>
      </c>
      <c r="F630" s="4">
        <v>39476</v>
      </c>
      <c r="G630" s="3">
        <v>58</v>
      </c>
      <c r="H630" s="3">
        <v>2.25</v>
      </c>
      <c r="I630" s="4">
        <v>39490</v>
      </c>
      <c r="J630" s="3">
        <v>64.400000000000006</v>
      </c>
      <c r="K630" s="3">
        <v>2.5</v>
      </c>
      <c r="L630" s="3">
        <v>14</v>
      </c>
      <c r="M630" s="5">
        <v>6.4000000000000057</v>
      </c>
      <c r="N630" s="5">
        <v>0.25</v>
      </c>
      <c r="O630" s="5">
        <v>55.44</v>
      </c>
      <c r="P630" s="5">
        <v>457.14285714285757</v>
      </c>
      <c r="Q630" s="5">
        <v>34.885450857142878</v>
      </c>
      <c r="R630" s="8">
        <f t="shared" si="57"/>
        <v>7</v>
      </c>
      <c r="S630" s="9">
        <f t="shared" si="58"/>
        <v>2.0000000000000071</v>
      </c>
      <c r="T630" s="9">
        <v>1.5</v>
      </c>
      <c r="U630" s="9">
        <f t="shared" si="59"/>
        <v>27.72</v>
      </c>
      <c r="V630" s="9">
        <f t="shared" si="60"/>
        <v>285.71428571428675</v>
      </c>
      <c r="W630" s="9">
        <f t="shared" si="61"/>
        <v>26.434022285714335</v>
      </c>
    </row>
    <row r="631" spans="1:23">
      <c r="A631" s="2" t="s">
        <v>335</v>
      </c>
      <c r="B631" s="2" t="s">
        <v>336</v>
      </c>
      <c r="C631" s="3">
        <v>29</v>
      </c>
      <c r="D631" s="3">
        <v>3.96</v>
      </c>
      <c r="E631" s="2" t="s">
        <v>365</v>
      </c>
      <c r="F631" s="4">
        <v>39476</v>
      </c>
      <c r="G631" s="3">
        <v>58</v>
      </c>
      <c r="H631" s="3">
        <v>2.25</v>
      </c>
      <c r="I631" s="4">
        <v>39497</v>
      </c>
      <c r="J631" s="3">
        <v>62.2</v>
      </c>
      <c r="K631" s="3">
        <v>2.25</v>
      </c>
      <c r="L631" s="3">
        <v>21</v>
      </c>
      <c r="M631" s="5">
        <v>4.2000000000000028</v>
      </c>
      <c r="N631" s="5">
        <v>0</v>
      </c>
      <c r="O631" s="5">
        <v>83.16</v>
      </c>
      <c r="P631" s="5">
        <v>200.00000000000011</v>
      </c>
      <c r="Q631" s="5">
        <v>22.022309000000007</v>
      </c>
      <c r="R631" s="8">
        <f t="shared" si="57"/>
        <v>7</v>
      </c>
      <c r="S631" s="9">
        <f t="shared" si="58"/>
        <v>-2.2000000000000028</v>
      </c>
      <c r="T631" s="9">
        <v>1.5</v>
      </c>
      <c r="U631" s="9">
        <f t="shared" si="59"/>
        <v>27.72</v>
      </c>
      <c r="V631" s="9">
        <f t="shared" si="60"/>
        <v>-314.28571428571468</v>
      </c>
      <c r="W631" s="9">
        <f t="shared" si="61"/>
        <v>-3.3319767142857319</v>
      </c>
    </row>
    <row r="632" spans="1:23">
      <c r="A632" s="2" t="s">
        <v>335</v>
      </c>
      <c r="B632" s="2" t="s">
        <v>336</v>
      </c>
      <c r="C632" s="3">
        <v>29</v>
      </c>
      <c r="D632" s="3">
        <v>3.96</v>
      </c>
      <c r="E632" s="2" t="s">
        <v>365</v>
      </c>
      <c r="F632" s="4">
        <v>39476</v>
      </c>
      <c r="G632" s="3">
        <v>58</v>
      </c>
      <c r="H632" s="3">
        <v>2.25</v>
      </c>
      <c r="I632" s="4">
        <v>39503</v>
      </c>
      <c r="J632" s="3">
        <v>63.2</v>
      </c>
      <c r="K632" s="3">
        <v>2.25</v>
      </c>
      <c r="L632" s="3">
        <v>27</v>
      </c>
      <c r="M632" s="5">
        <v>5.2000000000000028</v>
      </c>
      <c r="N632" s="5">
        <v>0</v>
      </c>
      <c r="O632" s="5">
        <v>106.92</v>
      </c>
      <c r="P632" s="5">
        <v>192.59259259259269</v>
      </c>
      <c r="Q632" s="5">
        <v>21.741668814814819</v>
      </c>
      <c r="R632" s="8">
        <f t="shared" ref="R632:R695" si="62">IF(I632-F632=0,0,I632-I631)</f>
        <v>6</v>
      </c>
      <c r="S632" s="9">
        <f t="shared" ref="S632:S695" si="63">IF(R632=0,J632-G632,J632-J631)</f>
        <v>1</v>
      </c>
      <c r="T632" s="9">
        <v>1.5</v>
      </c>
      <c r="U632" s="9">
        <f t="shared" ref="U632:U695" si="64">D632*R632</f>
        <v>23.759999999999998</v>
      </c>
      <c r="V632" s="9">
        <f t="shared" ref="V632:V695" si="65">IF(R632=0,0,(S632/R632*1000))</f>
        <v>166.66666666666666</v>
      </c>
      <c r="W632" s="9">
        <f t="shared" ref="W632:W695" si="66">IF(R632=0,(((G632)*0.16909+(V632/1000)*49.3)+2),((((G632+J632)/2)*0.16909+(V632/1000)*49.3)+2))</f>
        <v>20.463520666666664</v>
      </c>
    </row>
    <row r="633" spans="1:23">
      <c r="A633" s="2" t="s">
        <v>335</v>
      </c>
      <c r="B633" s="2" t="s">
        <v>336</v>
      </c>
      <c r="C633" s="3">
        <v>29</v>
      </c>
      <c r="D633" s="3">
        <v>3.96</v>
      </c>
      <c r="E633" s="2" t="s">
        <v>366</v>
      </c>
      <c r="F633" s="4">
        <v>39476</v>
      </c>
      <c r="G633" s="3">
        <v>56</v>
      </c>
      <c r="H633" s="3">
        <v>3</v>
      </c>
      <c r="I633" s="4">
        <v>39476</v>
      </c>
      <c r="J633" s="3">
        <v>56</v>
      </c>
      <c r="K633" s="3">
        <v>3</v>
      </c>
      <c r="L633" s="3">
        <v>0</v>
      </c>
      <c r="M633" s="5">
        <v>0</v>
      </c>
      <c r="N633" s="5">
        <v>0</v>
      </c>
      <c r="O633" s="5">
        <v>0</v>
      </c>
      <c r="P633" s="5">
        <v>0</v>
      </c>
      <c r="Q633" s="5">
        <v>11.46904</v>
      </c>
      <c r="R633" s="8">
        <f t="shared" si="62"/>
        <v>0</v>
      </c>
      <c r="S633" s="9">
        <f t="shared" si="63"/>
        <v>0</v>
      </c>
      <c r="T633" s="9">
        <v>1.5</v>
      </c>
      <c r="U633" s="9">
        <f t="shared" si="64"/>
        <v>0</v>
      </c>
      <c r="V633" s="9">
        <f t="shared" si="65"/>
        <v>0</v>
      </c>
      <c r="W633" s="9">
        <f t="shared" si="66"/>
        <v>11.46904</v>
      </c>
    </row>
    <row r="634" spans="1:23">
      <c r="A634" s="2" t="s">
        <v>335</v>
      </c>
      <c r="B634" s="2" t="s">
        <v>336</v>
      </c>
      <c r="C634" s="3">
        <v>29</v>
      </c>
      <c r="D634" s="3">
        <v>3.96</v>
      </c>
      <c r="E634" s="2" t="s">
        <v>366</v>
      </c>
      <c r="F634" s="4">
        <v>39476</v>
      </c>
      <c r="G634" s="3">
        <v>56</v>
      </c>
      <c r="H634" s="3">
        <v>3</v>
      </c>
      <c r="I634" s="4">
        <v>39483</v>
      </c>
      <c r="J634" s="3">
        <v>63</v>
      </c>
      <c r="K634" s="6"/>
      <c r="L634" s="3">
        <v>7</v>
      </c>
      <c r="M634" s="5">
        <v>7</v>
      </c>
      <c r="N634" s="6"/>
      <c r="O634" s="5">
        <v>27.72</v>
      </c>
      <c r="P634" s="5">
        <v>1000</v>
      </c>
      <c r="Q634" s="5">
        <v>61.360855000000001</v>
      </c>
      <c r="R634" s="8">
        <f t="shared" si="62"/>
        <v>7</v>
      </c>
      <c r="S634" s="9">
        <f t="shared" si="63"/>
        <v>7</v>
      </c>
      <c r="T634" s="9">
        <v>1.5</v>
      </c>
      <c r="U634" s="9">
        <f t="shared" si="64"/>
        <v>27.72</v>
      </c>
      <c r="V634" s="9">
        <f t="shared" si="65"/>
        <v>1000</v>
      </c>
      <c r="W634" s="9">
        <f t="shared" si="66"/>
        <v>61.360855000000001</v>
      </c>
    </row>
    <row r="635" spans="1:23">
      <c r="A635" s="2" t="s">
        <v>335</v>
      </c>
      <c r="B635" s="2" t="s">
        <v>336</v>
      </c>
      <c r="C635" s="3">
        <v>29</v>
      </c>
      <c r="D635" s="3">
        <v>3.96</v>
      </c>
      <c r="E635" s="2" t="s">
        <v>366</v>
      </c>
      <c r="F635" s="4">
        <v>39476</v>
      </c>
      <c r="G635" s="3">
        <v>56</v>
      </c>
      <c r="H635" s="3">
        <v>3</v>
      </c>
      <c r="I635" s="4">
        <v>39490</v>
      </c>
      <c r="J635" s="3">
        <v>64.2</v>
      </c>
      <c r="K635" s="3">
        <v>2.75</v>
      </c>
      <c r="L635" s="3">
        <v>14</v>
      </c>
      <c r="M635" s="5">
        <v>8.2000000000000028</v>
      </c>
      <c r="N635" s="5">
        <v>-0.25</v>
      </c>
      <c r="O635" s="5">
        <v>55.44</v>
      </c>
      <c r="P635" s="5">
        <v>585.71428571428601</v>
      </c>
      <c r="Q635" s="5">
        <v>41.038023285714296</v>
      </c>
      <c r="R635" s="8">
        <f t="shared" si="62"/>
        <v>7</v>
      </c>
      <c r="S635" s="9">
        <f t="shared" si="63"/>
        <v>1.2000000000000028</v>
      </c>
      <c r="T635" s="9">
        <v>1.5</v>
      </c>
      <c r="U635" s="9">
        <f t="shared" si="64"/>
        <v>27.72</v>
      </c>
      <c r="V635" s="9">
        <f t="shared" si="65"/>
        <v>171.42857142857184</v>
      </c>
      <c r="W635" s="9">
        <f t="shared" si="66"/>
        <v>20.613737571428594</v>
      </c>
    </row>
    <row r="636" spans="1:23">
      <c r="A636" s="2" t="s">
        <v>335</v>
      </c>
      <c r="B636" s="2" t="s">
        <v>336</v>
      </c>
      <c r="C636" s="3">
        <v>29</v>
      </c>
      <c r="D636" s="3">
        <v>3.96</v>
      </c>
      <c r="E636" s="2" t="s">
        <v>366</v>
      </c>
      <c r="F636" s="4">
        <v>39476</v>
      </c>
      <c r="G636" s="3">
        <v>56</v>
      </c>
      <c r="H636" s="3">
        <v>3</v>
      </c>
      <c r="I636" s="4">
        <v>39497</v>
      </c>
      <c r="J636" s="3">
        <v>67.400000000000006</v>
      </c>
      <c r="K636" s="3">
        <v>3</v>
      </c>
      <c r="L636" s="3">
        <v>21</v>
      </c>
      <c r="M636" s="5">
        <v>11.400000000000006</v>
      </c>
      <c r="N636" s="5">
        <v>0</v>
      </c>
      <c r="O636" s="5">
        <v>83.16</v>
      </c>
      <c r="P636" s="5">
        <v>542.85714285714312</v>
      </c>
      <c r="Q636" s="5">
        <v>39.195710142857152</v>
      </c>
      <c r="R636" s="8">
        <f t="shared" si="62"/>
        <v>7</v>
      </c>
      <c r="S636" s="9">
        <f t="shared" si="63"/>
        <v>3.2000000000000028</v>
      </c>
      <c r="T636" s="9">
        <v>1.5</v>
      </c>
      <c r="U636" s="9">
        <f t="shared" si="64"/>
        <v>27.72</v>
      </c>
      <c r="V636" s="9">
        <f t="shared" si="65"/>
        <v>457.14285714285757</v>
      </c>
      <c r="W636" s="9">
        <f t="shared" si="66"/>
        <v>34.969995857142877</v>
      </c>
    </row>
    <row r="637" spans="1:23">
      <c r="A637" s="2" t="s">
        <v>335</v>
      </c>
      <c r="B637" s="2" t="s">
        <v>336</v>
      </c>
      <c r="C637" s="3">
        <v>29</v>
      </c>
      <c r="D637" s="3">
        <v>3.96</v>
      </c>
      <c r="E637" s="2" t="s">
        <v>366</v>
      </c>
      <c r="F637" s="4">
        <v>39476</v>
      </c>
      <c r="G637" s="3">
        <v>56</v>
      </c>
      <c r="H637" s="3">
        <v>3</v>
      </c>
      <c r="I637" s="4">
        <v>39503</v>
      </c>
      <c r="J637" s="3">
        <v>65.2</v>
      </c>
      <c r="K637" s="3">
        <v>3</v>
      </c>
      <c r="L637" s="3">
        <v>27</v>
      </c>
      <c r="M637" s="5">
        <v>9.2000000000000028</v>
      </c>
      <c r="N637" s="5">
        <v>0</v>
      </c>
      <c r="O637" s="5">
        <v>106.92</v>
      </c>
      <c r="P637" s="5">
        <v>340.74074074074082</v>
      </c>
      <c r="Q637" s="5">
        <v>29.045372518518523</v>
      </c>
      <c r="R637" s="8">
        <f t="shared" si="62"/>
        <v>6</v>
      </c>
      <c r="S637" s="9">
        <f t="shared" si="63"/>
        <v>-2.2000000000000028</v>
      </c>
      <c r="T637" s="9">
        <v>1.5</v>
      </c>
      <c r="U637" s="9">
        <f t="shared" si="64"/>
        <v>23.759999999999998</v>
      </c>
      <c r="V637" s="9">
        <f t="shared" si="65"/>
        <v>-366.66666666666714</v>
      </c>
      <c r="W637" s="9">
        <f t="shared" si="66"/>
        <v>-5.8298126666666903</v>
      </c>
    </row>
    <row r="638" spans="1:23">
      <c r="A638" s="2" t="s">
        <v>335</v>
      </c>
      <c r="B638" s="2" t="s">
        <v>336</v>
      </c>
      <c r="C638" s="3">
        <v>29</v>
      </c>
      <c r="D638" s="3">
        <v>3.96</v>
      </c>
      <c r="E638" s="2" t="s">
        <v>367</v>
      </c>
      <c r="F638" s="4">
        <v>39476</v>
      </c>
      <c r="G638" s="3">
        <v>63.8</v>
      </c>
      <c r="H638" s="3">
        <v>1.75</v>
      </c>
      <c r="I638" s="4">
        <v>39476</v>
      </c>
      <c r="J638" s="3">
        <v>63.8</v>
      </c>
      <c r="K638" s="3">
        <v>1.75</v>
      </c>
      <c r="L638" s="3">
        <v>0</v>
      </c>
      <c r="M638" s="5">
        <v>0</v>
      </c>
      <c r="N638" s="5">
        <v>0</v>
      </c>
      <c r="O638" s="5">
        <v>0</v>
      </c>
      <c r="P638" s="5">
        <v>0</v>
      </c>
      <c r="Q638" s="5">
        <v>12.787941999999999</v>
      </c>
      <c r="R638" s="8">
        <f t="shared" si="62"/>
        <v>0</v>
      </c>
      <c r="S638" s="9">
        <f t="shared" si="63"/>
        <v>0</v>
      </c>
      <c r="T638" s="9">
        <v>1.5</v>
      </c>
      <c r="U638" s="9">
        <f t="shared" si="64"/>
        <v>0</v>
      </c>
      <c r="V638" s="9">
        <f t="shared" si="65"/>
        <v>0</v>
      </c>
      <c r="W638" s="9">
        <f t="shared" si="66"/>
        <v>12.787941999999999</v>
      </c>
    </row>
    <row r="639" spans="1:23">
      <c r="A639" s="2" t="s">
        <v>335</v>
      </c>
      <c r="B639" s="2" t="s">
        <v>336</v>
      </c>
      <c r="C639" s="3">
        <v>29</v>
      </c>
      <c r="D639" s="3">
        <v>3.96</v>
      </c>
      <c r="E639" s="2" t="s">
        <v>367</v>
      </c>
      <c r="F639" s="4">
        <v>39476</v>
      </c>
      <c r="G639" s="3">
        <v>63.8</v>
      </c>
      <c r="H639" s="3">
        <v>1.75</v>
      </c>
      <c r="I639" s="4">
        <v>39483</v>
      </c>
      <c r="J639" s="3">
        <v>66</v>
      </c>
      <c r="K639" s="6"/>
      <c r="L639" s="3">
        <v>7</v>
      </c>
      <c r="M639" s="5">
        <v>2.2000000000000028</v>
      </c>
      <c r="N639" s="6"/>
      <c r="O639" s="5">
        <v>27.72</v>
      </c>
      <c r="P639" s="5">
        <v>314.28571428571468</v>
      </c>
      <c r="Q639" s="5">
        <v>28.468226714285734</v>
      </c>
      <c r="R639" s="8">
        <f t="shared" si="62"/>
        <v>7</v>
      </c>
      <c r="S639" s="9">
        <f t="shared" si="63"/>
        <v>2.2000000000000028</v>
      </c>
      <c r="T639" s="9">
        <v>1.5</v>
      </c>
      <c r="U639" s="9">
        <f t="shared" si="64"/>
        <v>27.72</v>
      </c>
      <c r="V639" s="9">
        <f t="shared" si="65"/>
        <v>314.28571428571468</v>
      </c>
      <c r="W639" s="9">
        <f t="shared" si="66"/>
        <v>28.468226714285734</v>
      </c>
    </row>
    <row r="640" spans="1:23">
      <c r="A640" s="2" t="s">
        <v>335</v>
      </c>
      <c r="B640" s="2" t="s">
        <v>336</v>
      </c>
      <c r="C640" s="3">
        <v>29</v>
      </c>
      <c r="D640" s="3">
        <v>3.96</v>
      </c>
      <c r="E640" s="2" t="s">
        <v>367</v>
      </c>
      <c r="F640" s="4">
        <v>39476</v>
      </c>
      <c r="G640" s="3">
        <v>63.8</v>
      </c>
      <c r="H640" s="3">
        <v>1.75</v>
      </c>
      <c r="I640" s="4">
        <v>39490</v>
      </c>
      <c r="J640" s="3">
        <v>68.2</v>
      </c>
      <c r="K640" s="3">
        <v>1.75</v>
      </c>
      <c r="L640" s="3">
        <v>14</v>
      </c>
      <c r="M640" s="5">
        <v>4.4000000000000057</v>
      </c>
      <c r="N640" s="5">
        <v>0</v>
      </c>
      <c r="O640" s="5">
        <v>55.44</v>
      </c>
      <c r="P640" s="5">
        <v>314.28571428571468</v>
      </c>
      <c r="Q640" s="5">
        <v>28.65422571428573</v>
      </c>
      <c r="R640" s="8">
        <f t="shared" si="62"/>
        <v>7</v>
      </c>
      <c r="S640" s="9">
        <f t="shared" si="63"/>
        <v>2.2000000000000028</v>
      </c>
      <c r="T640" s="9">
        <v>1.5</v>
      </c>
      <c r="U640" s="9">
        <f t="shared" si="64"/>
        <v>27.72</v>
      </c>
      <c r="V640" s="9">
        <f t="shared" si="65"/>
        <v>314.28571428571468</v>
      </c>
      <c r="W640" s="9">
        <f t="shared" si="66"/>
        <v>28.65422571428573</v>
      </c>
    </row>
    <row r="641" spans="1:23">
      <c r="A641" s="2" t="s">
        <v>335</v>
      </c>
      <c r="B641" s="2" t="s">
        <v>336</v>
      </c>
      <c r="C641" s="3">
        <v>29</v>
      </c>
      <c r="D641" s="3">
        <v>3.96</v>
      </c>
      <c r="E641" s="2" t="s">
        <v>367</v>
      </c>
      <c r="F641" s="4">
        <v>39476</v>
      </c>
      <c r="G641" s="3">
        <v>63.8</v>
      </c>
      <c r="H641" s="3">
        <v>1.75</v>
      </c>
      <c r="I641" s="4">
        <v>39497</v>
      </c>
      <c r="J641" s="3">
        <v>64.8</v>
      </c>
      <c r="K641" s="3">
        <v>1.75</v>
      </c>
      <c r="L641" s="3">
        <v>21</v>
      </c>
      <c r="M641" s="5">
        <v>1</v>
      </c>
      <c r="N641" s="5">
        <v>0</v>
      </c>
      <c r="O641" s="5">
        <v>83.16</v>
      </c>
      <c r="P641" s="5">
        <v>47.619047619047613</v>
      </c>
      <c r="Q641" s="5">
        <v>15.220106047619048</v>
      </c>
      <c r="R641" s="8">
        <f t="shared" si="62"/>
        <v>7</v>
      </c>
      <c r="S641" s="9">
        <f t="shared" si="63"/>
        <v>-3.4000000000000057</v>
      </c>
      <c r="T641" s="9">
        <v>1.5</v>
      </c>
      <c r="U641" s="9">
        <f t="shared" si="64"/>
        <v>27.72</v>
      </c>
      <c r="V641" s="9">
        <f t="shared" si="65"/>
        <v>-485.71428571428652</v>
      </c>
      <c r="W641" s="9">
        <f t="shared" si="66"/>
        <v>-11.073227285714324</v>
      </c>
    </row>
    <row r="642" spans="1:23">
      <c r="A642" s="2" t="s">
        <v>335</v>
      </c>
      <c r="B642" s="2" t="s">
        <v>336</v>
      </c>
      <c r="C642" s="3">
        <v>29</v>
      </c>
      <c r="D642" s="3">
        <v>3.96</v>
      </c>
      <c r="E642" s="2" t="s">
        <v>367</v>
      </c>
      <c r="F642" s="4">
        <v>39476</v>
      </c>
      <c r="G642" s="3">
        <v>63.8</v>
      </c>
      <c r="H642" s="3">
        <v>1.75</v>
      </c>
      <c r="I642" s="4">
        <v>39503</v>
      </c>
      <c r="J642" s="3">
        <v>62</v>
      </c>
      <c r="K642" s="3">
        <v>1.75</v>
      </c>
      <c r="L642" s="3">
        <v>27</v>
      </c>
      <c r="M642" s="5">
        <v>-1.7999999999999972</v>
      </c>
      <c r="N642" s="5">
        <v>0</v>
      </c>
      <c r="O642" s="5">
        <v>106.92</v>
      </c>
      <c r="P642" s="5">
        <v>-66.666666666666558</v>
      </c>
      <c r="Q642" s="5">
        <v>9.3490943333333369</v>
      </c>
      <c r="R642" s="8">
        <f t="shared" si="62"/>
        <v>6</v>
      </c>
      <c r="S642" s="9">
        <f t="shared" si="63"/>
        <v>-2.7999999999999972</v>
      </c>
      <c r="T642" s="9">
        <v>1.5</v>
      </c>
      <c r="U642" s="9">
        <f t="shared" si="64"/>
        <v>23.759999999999998</v>
      </c>
      <c r="V642" s="9">
        <f t="shared" si="65"/>
        <v>-466.66666666666617</v>
      </c>
      <c r="W642" s="9">
        <f t="shared" si="66"/>
        <v>-10.370905666666644</v>
      </c>
    </row>
    <row r="643" spans="1:23">
      <c r="A643" s="2" t="s">
        <v>335</v>
      </c>
      <c r="B643" s="2" t="s">
        <v>336</v>
      </c>
      <c r="C643" s="3">
        <v>29</v>
      </c>
      <c r="D643" s="3">
        <v>3.96</v>
      </c>
      <c r="E643" s="2" t="s">
        <v>368</v>
      </c>
      <c r="F643" s="4">
        <v>39476</v>
      </c>
      <c r="G643" s="3">
        <v>58.2</v>
      </c>
      <c r="H643" s="3">
        <v>1.75</v>
      </c>
      <c r="I643" s="4">
        <v>39476</v>
      </c>
      <c r="J643" s="3">
        <v>58.2</v>
      </c>
      <c r="K643" s="3">
        <v>1.75</v>
      </c>
      <c r="L643" s="3">
        <v>0</v>
      </c>
      <c r="M643" s="5">
        <v>0</v>
      </c>
      <c r="N643" s="5">
        <v>0</v>
      </c>
      <c r="O643" s="5">
        <v>0</v>
      </c>
      <c r="P643" s="5">
        <v>0</v>
      </c>
      <c r="Q643" s="5">
        <v>11.841037999999999</v>
      </c>
      <c r="R643" s="8">
        <f t="shared" si="62"/>
        <v>0</v>
      </c>
      <c r="S643" s="9">
        <f t="shared" si="63"/>
        <v>0</v>
      </c>
      <c r="T643" s="9">
        <v>1.5</v>
      </c>
      <c r="U643" s="9">
        <f t="shared" si="64"/>
        <v>0</v>
      </c>
      <c r="V643" s="9">
        <f t="shared" si="65"/>
        <v>0</v>
      </c>
      <c r="W643" s="9">
        <f t="shared" si="66"/>
        <v>11.841037999999999</v>
      </c>
    </row>
    <row r="644" spans="1:23">
      <c r="A644" s="2" t="s">
        <v>335</v>
      </c>
      <c r="B644" s="2" t="s">
        <v>336</v>
      </c>
      <c r="C644" s="3">
        <v>29</v>
      </c>
      <c r="D644" s="3">
        <v>3.96</v>
      </c>
      <c r="E644" s="2" t="s">
        <v>368</v>
      </c>
      <c r="F644" s="4">
        <v>39476</v>
      </c>
      <c r="G644" s="3">
        <v>58.2</v>
      </c>
      <c r="H644" s="3">
        <v>1.75</v>
      </c>
      <c r="I644" s="4">
        <v>39483</v>
      </c>
      <c r="J644" s="3">
        <v>63.2</v>
      </c>
      <c r="K644" s="6"/>
      <c r="L644" s="3">
        <v>7</v>
      </c>
      <c r="M644" s="5">
        <v>5</v>
      </c>
      <c r="N644" s="6"/>
      <c r="O644" s="5">
        <v>27.72</v>
      </c>
      <c r="P644" s="5">
        <v>714.28571428571433</v>
      </c>
      <c r="Q644" s="5">
        <v>47.478048714285713</v>
      </c>
      <c r="R644" s="8">
        <f t="shared" si="62"/>
        <v>7</v>
      </c>
      <c r="S644" s="9">
        <f t="shared" si="63"/>
        <v>5</v>
      </c>
      <c r="T644" s="9">
        <v>1.5</v>
      </c>
      <c r="U644" s="9">
        <f t="shared" si="64"/>
        <v>27.72</v>
      </c>
      <c r="V644" s="9">
        <f t="shared" si="65"/>
        <v>714.28571428571433</v>
      </c>
      <c r="W644" s="9">
        <f t="shared" si="66"/>
        <v>47.478048714285713</v>
      </c>
    </row>
    <row r="645" spans="1:23">
      <c r="A645" s="2" t="s">
        <v>335</v>
      </c>
      <c r="B645" s="2" t="s">
        <v>336</v>
      </c>
      <c r="C645" s="3">
        <v>29</v>
      </c>
      <c r="D645" s="3">
        <v>3.96</v>
      </c>
      <c r="E645" s="2" t="s">
        <v>368</v>
      </c>
      <c r="F645" s="4">
        <v>39476</v>
      </c>
      <c r="G645" s="3">
        <v>58.2</v>
      </c>
      <c r="H645" s="3">
        <v>1.75</v>
      </c>
      <c r="I645" s="4">
        <v>39490</v>
      </c>
      <c r="J645" s="3">
        <v>68.2</v>
      </c>
      <c r="K645" s="3">
        <v>2</v>
      </c>
      <c r="L645" s="3">
        <v>14</v>
      </c>
      <c r="M645" s="5">
        <v>10</v>
      </c>
      <c r="N645" s="5">
        <v>0.25</v>
      </c>
      <c r="O645" s="5">
        <v>55.44</v>
      </c>
      <c r="P645" s="5">
        <v>714.28571428571433</v>
      </c>
      <c r="Q645" s="5">
        <v>47.90077371428572</v>
      </c>
      <c r="R645" s="8">
        <f t="shared" si="62"/>
        <v>7</v>
      </c>
      <c r="S645" s="9">
        <f t="shared" si="63"/>
        <v>5</v>
      </c>
      <c r="T645" s="9">
        <v>1.5</v>
      </c>
      <c r="U645" s="9">
        <f t="shared" si="64"/>
        <v>27.72</v>
      </c>
      <c r="V645" s="9">
        <f t="shared" si="65"/>
        <v>714.28571428571433</v>
      </c>
      <c r="W645" s="9">
        <f t="shared" si="66"/>
        <v>47.90077371428572</v>
      </c>
    </row>
    <row r="646" spans="1:23">
      <c r="A646" s="2" t="s">
        <v>335</v>
      </c>
      <c r="B646" s="2" t="s">
        <v>336</v>
      </c>
      <c r="C646" s="3">
        <v>29</v>
      </c>
      <c r="D646" s="3">
        <v>3.96</v>
      </c>
      <c r="E646" s="2" t="s">
        <v>368</v>
      </c>
      <c r="F646" s="4">
        <v>39476</v>
      </c>
      <c r="G646" s="3">
        <v>58.2</v>
      </c>
      <c r="H646" s="3">
        <v>1.75</v>
      </c>
      <c r="I646" s="4">
        <v>39497</v>
      </c>
      <c r="J646" s="3">
        <v>64.2</v>
      </c>
      <c r="K646" s="3">
        <v>1.75</v>
      </c>
      <c r="L646" s="3">
        <v>21</v>
      </c>
      <c r="M646" s="5">
        <v>6</v>
      </c>
      <c r="N646" s="5">
        <v>0</v>
      </c>
      <c r="O646" s="5">
        <v>83.16</v>
      </c>
      <c r="P646" s="5">
        <v>285.71428571428572</v>
      </c>
      <c r="Q646" s="5">
        <v>26.434022285714285</v>
      </c>
      <c r="R646" s="8">
        <f t="shared" si="62"/>
        <v>7</v>
      </c>
      <c r="S646" s="9">
        <f t="shared" si="63"/>
        <v>-4</v>
      </c>
      <c r="T646" s="9">
        <v>1.5</v>
      </c>
      <c r="U646" s="9">
        <f t="shared" si="64"/>
        <v>27.72</v>
      </c>
      <c r="V646" s="9">
        <f t="shared" si="65"/>
        <v>-571.42857142857144</v>
      </c>
      <c r="W646" s="9">
        <f t="shared" si="66"/>
        <v>-15.823120571428568</v>
      </c>
    </row>
    <row r="647" spans="1:23">
      <c r="A647" s="2" t="s">
        <v>335</v>
      </c>
      <c r="B647" s="2" t="s">
        <v>336</v>
      </c>
      <c r="C647" s="3">
        <v>29</v>
      </c>
      <c r="D647" s="3">
        <v>3.96</v>
      </c>
      <c r="E647" s="2" t="s">
        <v>368</v>
      </c>
      <c r="F647" s="4">
        <v>39476</v>
      </c>
      <c r="G647" s="3">
        <v>58.2</v>
      </c>
      <c r="H647" s="3">
        <v>1.75</v>
      </c>
      <c r="I647" s="4">
        <v>39503</v>
      </c>
      <c r="J647" s="3">
        <v>64.599999999999994</v>
      </c>
      <c r="K647" s="3">
        <v>1.75</v>
      </c>
      <c r="L647" s="3">
        <v>27</v>
      </c>
      <c r="M647" s="5">
        <v>6.3999999999999915</v>
      </c>
      <c r="N647" s="5">
        <v>0</v>
      </c>
      <c r="O647" s="5">
        <v>106.92</v>
      </c>
      <c r="P647" s="5">
        <v>237.03703703703673</v>
      </c>
      <c r="Q647" s="5">
        <v>24.068051925925907</v>
      </c>
      <c r="R647" s="8">
        <f t="shared" si="62"/>
        <v>6</v>
      </c>
      <c r="S647" s="9">
        <f t="shared" si="63"/>
        <v>0.39999999999999147</v>
      </c>
      <c r="T647" s="9">
        <v>1.5</v>
      </c>
      <c r="U647" s="9">
        <f t="shared" si="64"/>
        <v>23.759999999999998</v>
      </c>
      <c r="V647" s="9">
        <f t="shared" si="65"/>
        <v>66.66666666666525</v>
      </c>
      <c r="W647" s="9">
        <f t="shared" si="66"/>
        <v>15.668792666666596</v>
      </c>
    </row>
    <row r="648" spans="1:23">
      <c r="A648" s="2" t="s">
        <v>335</v>
      </c>
      <c r="B648" s="2" t="s">
        <v>336</v>
      </c>
      <c r="C648" s="3">
        <v>29</v>
      </c>
      <c r="D648" s="3">
        <v>3.96</v>
      </c>
      <c r="E648" s="2" t="s">
        <v>369</v>
      </c>
      <c r="F648" s="4">
        <v>39476</v>
      </c>
      <c r="G648" s="3">
        <v>51</v>
      </c>
      <c r="H648" s="3">
        <v>2</v>
      </c>
      <c r="I648" s="4">
        <v>39476</v>
      </c>
      <c r="J648" s="3">
        <v>51</v>
      </c>
      <c r="K648" s="3">
        <v>2</v>
      </c>
      <c r="L648" s="3">
        <v>0</v>
      </c>
      <c r="M648" s="5">
        <v>0</v>
      </c>
      <c r="N648" s="5">
        <v>0</v>
      </c>
      <c r="O648" s="5">
        <v>0</v>
      </c>
      <c r="P648" s="5">
        <v>0</v>
      </c>
      <c r="Q648" s="5">
        <v>10.62359</v>
      </c>
      <c r="R648" s="8">
        <f t="shared" si="62"/>
        <v>0</v>
      </c>
      <c r="S648" s="9">
        <f t="shared" si="63"/>
        <v>0</v>
      </c>
      <c r="T648" s="9">
        <v>1.5</v>
      </c>
      <c r="U648" s="9">
        <f t="shared" si="64"/>
        <v>0</v>
      </c>
      <c r="V648" s="9">
        <f t="shared" si="65"/>
        <v>0</v>
      </c>
      <c r="W648" s="9">
        <f t="shared" si="66"/>
        <v>10.62359</v>
      </c>
    </row>
    <row r="649" spans="1:23">
      <c r="A649" s="2" t="s">
        <v>335</v>
      </c>
      <c r="B649" s="2" t="s">
        <v>336</v>
      </c>
      <c r="C649" s="3">
        <v>29</v>
      </c>
      <c r="D649" s="3">
        <v>3.96</v>
      </c>
      <c r="E649" s="2" t="s">
        <v>369</v>
      </c>
      <c r="F649" s="4">
        <v>39476</v>
      </c>
      <c r="G649" s="3">
        <v>51</v>
      </c>
      <c r="H649" s="3">
        <v>2</v>
      </c>
      <c r="I649" s="4">
        <v>39483</v>
      </c>
      <c r="J649" s="3">
        <v>56</v>
      </c>
      <c r="K649" s="6"/>
      <c r="L649" s="3">
        <v>7</v>
      </c>
      <c r="M649" s="5">
        <v>5</v>
      </c>
      <c r="N649" s="6"/>
      <c r="O649" s="5">
        <v>27.72</v>
      </c>
      <c r="P649" s="5">
        <v>714.28571428571433</v>
      </c>
      <c r="Q649" s="5">
        <v>46.260600714285715</v>
      </c>
      <c r="R649" s="8">
        <f t="shared" si="62"/>
        <v>7</v>
      </c>
      <c r="S649" s="9">
        <f t="shared" si="63"/>
        <v>5</v>
      </c>
      <c r="T649" s="9">
        <v>1.5</v>
      </c>
      <c r="U649" s="9">
        <f t="shared" si="64"/>
        <v>27.72</v>
      </c>
      <c r="V649" s="9">
        <f t="shared" si="65"/>
        <v>714.28571428571433</v>
      </c>
      <c r="W649" s="9">
        <f t="shared" si="66"/>
        <v>46.260600714285715</v>
      </c>
    </row>
    <row r="650" spans="1:23">
      <c r="A650" s="2" t="s">
        <v>335</v>
      </c>
      <c r="B650" s="2" t="s">
        <v>336</v>
      </c>
      <c r="C650" s="3">
        <v>29</v>
      </c>
      <c r="D650" s="3">
        <v>3.96</v>
      </c>
      <c r="E650" s="2" t="s">
        <v>369</v>
      </c>
      <c r="F650" s="4">
        <v>39476</v>
      </c>
      <c r="G650" s="3">
        <v>51</v>
      </c>
      <c r="H650" s="3">
        <v>2</v>
      </c>
      <c r="I650" s="4">
        <v>39490</v>
      </c>
      <c r="J650" s="3">
        <v>57</v>
      </c>
      <c r="K650" s="3">
        <v>2</v>
      </c>
      <c r="L650" s="3">
        <v>14</v>
      </c>
      <c r="M650" s="5">
        <v>6</v>
      </c>
      <c r="N650" s="5">
        <v>0</v>
      </c>
      <c r="O650" s="5">
        <v>55.44</v>
      </c>
      <c r="P650" s="5">
        <v>428.57142857142856</v>
      </c>
      <c r="Q650" s="5">
        <v>32.259431428571425</v>
      </c>
      <c r="R650" s="8">
        <f t="shared" si="62"/>
        <v>7</v>
      </c>
      <c r="S650" s="9">
        <f t="shared" si="63"/>
        <v>1</v>
      </c>
      <c r="T650" s="9">
        <v>1.5</v>
      </c>
      <c r="U650" s="9">
        <f t="shared" si="64"/>
        <v>27.72</v>
      </c>
      <c r="V650" s="9">
        <f t="shared" si="65"/>
        <v>142.85714285714286</v>
      </c>
      <c r="W650" s="9">
        <f t="shared" si="66"/>
        <v>18.173717142857143</v>
      </c>
    </row>
    <row r="651" spans="1:23">
      <c r="A651" s="2" t="s">
        <v>335</v>
      </c>
      <c r="B651" s="2" t="s">
        <v>336</v>
      </c>
      <c r="C651" s="3">
        <v>29</v>
      </c>
      <c r="D651" s="3">
        <v>3.96</v>
      </c>
      <c r="E651" s="2" t="s">
        <v>369</v>
      </c>
      <c r="F651" s="4">
        <v>39476</v>
      </c>
      <c r="G651" s="3">
        <v>51</v>
      </c>
      <c r="H651" s="3">
        <v>2</v>
      </c>
      <c r="I651" s="4">
        <v>39497</v>
      </c>
      <c r="J651" s="3">
        <v>55.2</v>
      </c>
      <c r="K651" s="3">
        <v>2</v>
      </c>
      <c r="L651" s="3">
        <v>21</v>
      </c>
      <c r="M651" s="5">
        <v>4.2000000000000028</v>
      </c>
      <c r="N651" s="5">
        <v>0</v>
      </c>
      <c r="O651" s="5">
        <v>83.16</v>
      </c>
      <c r="P651" s="5">
        <v>200.00000000000011</v>
      </c>
      <c r="Q651" s="5">
        <v>20.838679000000006</v>
      </c>
      <c r="R651" s="8">
        <f t="shared" si="62"/>
        <v>7</v>
      </c>
      <c r="S651" s="9">
        <f t="shared" si="63"/>
        <v>-1.7999999999999972</v>
      </c>
      <c r="T651" s="9">
        <v>1.5</v>
      </c>
      <c r="U651" s="9">
        <f t="shared" si="64"/>
        <v>27.72</v>
      </c>
      <c r="V651" s="9">
        <f t="shared" si="65"/>
        <v>-257.14285714285671</v>
      </c>
      <c r="W651" s="9">
        <f t="shared" si="66"/>
        <v>-1.698463857142837</v>
      </c>
    </row>
    <row r="652" spans="1:23">
      <c r="A652" s="2" t="s">
        <v>335</v>
      </c>
      <c r="B652" s="2" t="s">
        <v>336</v>
      </c>
      <c r="C652" s="3">
        <v>29</v>
      </c>
      <c r="D652" s="3">
        <v>3.96</v>
      </c>
      <c r="E652" s="2" t="s">
        <v>369</v>
      </c>
      <c r="F652" s="4">
        <v>39476</v>
      </c>
      <c r="G652" s="3">
        <v>51</v>
      </c>
      <c r="H652" s="3">
        <v>2</v>
      </c>
      <c r="I652" s="4">
        <v>39503</v>
      </c>
      <c r="J652" s="3">
        <v>53.2</v>
      </c>
      <c r="K652" s="3">
        <v>2</v>
      </c>
      <c r="L652" s="3">
        <v>27</v>
      </c>
      <c r="M652" s="5">
        <v>2.2000000000000028</v>
      </c>
      <c r="N652" s="5">
        <v>0</v>
      </c>
      <c r="O652" s="5">
        <v>106.92</v>
      </c>
      <c r="P652" s="5">
        <v>81.48148148148158</v>
      </c>
      <c r="Q652" s="5">
        <v>14.826626037037041</v>
      </c>
      <c r="R652" s="8">
        <f t="shared" si="62"/>
        <v>6</v>
      </c>
      <c r="S652" s="9">
        <f t="shared" si="63"/>
        <v>-2</v>
      </c>
      <c r="T652" s="9">
        <v>1.5</v>
      </c>
      <c r="U652" s="9">
        <f t="shared" si="64"/>
        <v>23.759999999999998</v>
      </c>
      <c r="V652" s="9">
        <f t="shared" si="65"/>
        <v>-333.33333333333331</v>
      </c>
      <c r="W652" s="9">
        <f t="shared" si="66"/>
        <v>-5.623744333333331</v>
      </c>
    </row>
    <row r="653" spans="1:23">
      <c r="A653" s="2" t="s">
        <v>335</v>
      </c>
      <c r="B653" s="2" t="s">
        <v>336</v>
      </c>
      <c r="C653" s="3">
        <v>29</v>
      </c>
      <c r="D653" s="3">
        <v>3.96</v>
      </c>
      <c r="E653" s="2" t="s">
        <v>370</v>
      </c>
      <c r="F653" s="4">
        <v>39476</v>
      </c>
      <c r="G653" s="3">
        <v>57.8</v>
      </c>
      <c r="H653" s="3">
        <v>2.25</v>
      </c>
      <c r="I653" s="4">
        <v>39476</v>
      </c>
      <c r="J653" s="3">
        <v>57.8</v>
      </c>
      <c r="K653" s="3">
        <v>2.25</v>
      </c>
      <c r="L653" s="3">
        <v>0</v>
      </c>
      <c r="M653" s="5">
        <v>0</v>
      </c>
      <c r="N653" s="5">
        <v>0</v>
      </c>
      <c r="O653" s="5">
        <v>0</v>
      </c>
      <c r="P653" s="5">
        <v>0</v>
      </c>
      <c r="Q653" s="5">
        <v>11.773401999999999</v>
      </c>
      <c r="R653" s="8">
        <f t="shared" si="62"/>
        <v>0</v>
      </c>
      <c r="S653" s="9">
        <f t="shared" si="63"/>
        <v>0</v>
      </c>
      <c r="T653" s="9">
        <v>1.5</v>
      </c>
      <c r="U653" s="9">
        <f t="shared" si="64"/>
        <v>0</v>
      </c>
      <c r="V653" s="9">
        <f t="shared" si="65"/>
        <v>0</v>
      </c>
      <c r="W653" s="9">
        <f t="shared" si="66"/>
        <v>11.773401999999999</v>
      </c>
    </row>
    <row r="654" spans="1:23">
      <c r="A654" s="2" t="s">
        <v>335</v>
      </c>
      <c r="B654" s="2" t="s">
        <v>336</v>
      </c>
      <c r="C654" s="3">
        <v>29</v>
      </c>
      <c r="D654" s="3">
        <v>3.96</v>
      </c>
      <c r="E654" s="2" t="s">
        <v>370</v>
      </c>
      <c r="F654" s="4">
        <v>39476</v>
      </c>
      <c r="G654" s="3">
        <v>57.8</v>
      </c>
      <c r="H654" s="3">
        <v>2.25</v>
      </c>
      <c r="I654" s="4">
        <v>39483</v>
      </c>
      <c r="J654" s="3">
        <v>61.6</v>
      </c>
      <c r="K654" s="6"/>
      <c r="L654" s="3">
        <v>7</v>
      </c>
      <c r="M654" s="5">
        <v>3.8000000000000043</v>
      </c>
      <c r="N654" s="6"/>
      <c r="O654" s="5">
        <v>27.72</v>
      </c>
      <c r="P654" s="5">
        <v>542.85714285714346</v>
      </c>
      <c r="Q654" s="5">
        <v>38.857530142857172</v>
      </c>
      <c r="R654" s="8">
        <f t="shared" si="62"/>
        <v>7</v>
      </c>
      <c r="S654" s="9">
        <f t="shared" si="63"/>
        <v>3.8000000000000043</v>
      </c>
      <c r="T654" s="9">
        <v>1.5</v>
      </c>
      <c r="U654" s="9">
        <f t="shared" si="64"/>
        <v>27.72</v>
      </c>
      <c r="V654" s="9">
        <f t="shared" si="65"/>
        <v>542.85714285714346</v>
      </c>
      <c r="W654" s="9">
        <f t="shared" si="66"/>
        <v>38.857530142857172</v>
      </c>
    </row>
    <row r="655" spans="1:23">
      <c r="A655" s="2" t="s">
        <v>335</v>
      </c>
      <c r="B655" s="2" t="s">
        <v>336</v>
      </c>
      <c r="C655" s="3">
        <v>29</v>
      </c>
      <c r="D655" s="3">
        <v>3.96</v>
      </c>
      <c r="E655" s="2" t="s">
        <v>370</v>
      </c>
      <c r="F655" s="4">
        <v>39476</v>
      </c>
      <c r="G655" s="3">
        <v>57.8</v>
      </c>
      <c r="H655" s="3">
        <v>2.25</v>
      </c>
      <c r="I655" s="4">
        <v>39490</v>
      </c>
      <c r="J655" s="3">
        <v>65</v>
      </c>
      <c r="K655" s="3">
        <v>2.25</v>
      </c>
      <c r="L655" s="3">
        <v>14</v>
      </c>
      <c r="M655" s="5">
        <v>7.2000000000000028</v>
      </c>
      <c r="N655" s="5">
        <v>0</v>
      </c>
      <c r="O655" s="5">
        <v>55.44</v>
      </c>
      <c r="P655" s="5">
        <v>514.28571428571445</v>
      </c>
      <c r="Q655" s="5">
        <v>37.736411714285722</v>
      </c>
      <c r="R655" s="8">
        <f t="shared" si="62"/>
        <v>7</v>
      </c>
      <c r="S655" s="9">
        <f t="shared" si="63"/>
        <v>3.3999999999999986</v>
      </c>
      <c r="T655" s="9">
        <v>1.5</v>
      </c>
      <c r="U655" s="9">
        <f t="shared" si="64"/>
        <v>27.72</v>
      </c>
      <c r="V655" s="9">
        <f t="shared" si="65"/>
        <v>485.7142857142855</v>
      </c>
      <c r="W655" s="9">
        <f t="shared" si="66"/>
        <v>36.327840285714274</v>
      </c>
    </row>
    <row r="656" spans="1:23">
      <c r="A656" s="2" t="s">
        <v>335</v>
      </c>
      <c r="B656" s="2" t="s">
        <v>336</v>
      </c>
      <c r="C656" s="3">
        <v>29</v>
      </c>
      <c r="D656" s="3">
        <v>3.96</v>
      </c>
      <c r="E656" s="2" t="s">
        <v>370</v>
      </c>
      <c r="F656" s="4">
        <v>39476</v>
      </c>
      <c r="G656" s="3">
        <v>57.8</v>
      </c>
      <c r="H656" s="3">
        <v>2.25</v>
      </c>
      <c r="I656" s="4">
        <v>39497</v>
      </c>
      <c r="J656" s="3">
        <v>63</v>
      </c>
      <c r="K656" s="3">
        <v>2.25</v>
      </c>
      <c r="L656" s="3">
        <v>21</v>
      </c>
      <c r="M656" s="5">
        <v>5.2000000000000028</v>
      </c>
      <c r="N656" s="5">
        <v>0</v>
      </c>
      <c r="O656" s="5">
        <v>83.16</v>
      </c>
      <c r="P656" s="5">
        <v>247.61904761904776</v>
      </c>
      <c r="Q656" s="5">
        <v>24.420655047619054</v>
      </c>
      <c r="R656" s="8">
        <f t="shared" si="62"/>
        <v>7</v>
      </c>
      <c r="S656" s="9">
        <f t="shared" si="63"/>
        <v>-2</v>
      </c>
      <c r="T656" s="9">
        <v>1.5</v>
      </c>
      <c r="U656" s="9">
        <f t="shared" si="64"/>
        <v>27.72</v>
      </c>
      <c r="V656" s="9">
        <f t="shared" si="65"/>
        <v>-285.71428571428572</v>
      </c>
      <c r="W656" s="9">
        <f t="shared" si="66"/>
        <v>-1.8726782857142847</v>
      </c>
    </row>
    <row r="657" spans="1:23">
      <c r="A657" s="2" t="s">
        <v>335</v>
      </c>
      <c r="B657" s="2" t="s">
        <v>336</v>
      </c>
      <c r="C657" s="3">
        <v>29</v>
      </c>
      <c r="D657" s="3">
        <v>3.96</v>
      </c>
      <c r="E657" s="2" t="s">
        <v>370</v>
      </c>
      <c r="F657" s="4">
        <v>39476</v>
      </c>
      <c r="G657" s="3">
        <v>57.8</v>
      </c>
      <c r="H657" s="3">
        <v>2.25</v>
      </c>
      <c r="I657" s="4">
        <v>39503</v>
      </c>
      <c r="J657" s="3">
        <v>62</v>
      </c>
      <c r="K657" s="3">
        <v>2.25</v>
      </c>
      <c r="L657" s="3">
        <v>27</v>
      </c>
      <c r="M657" s="5">
        <v>4.2000000000000028</v>
      </c>
      <c r="N657" s="5">
        <v>0</v>
      </c>
      <c r="O657" s="5">
        <v>106.92</v>
      </c>
      <c r="P657" s="5">
        <v>155.55555555555566</v>
      </c>
      <c r="Q657" s="5">
        <v>19.797379888888891</v>
      </c>
      <c r="R657" s="8">
        <f t="shared" si="62"/>
        <v>6</v>
      </c>
      <c r="S657" s="9">
        <f t="shared" si="63"/>
        <v>-1</v>
      </c>
      <c r="T657" s="9">
        <v>1.5</v>
      </c>
      <c r="U657" s="9">
        <f t="shared" si="64"/>
        <v>23.759999999999998</v>
      </c>
      <c r="V657" s="9">
        <f t="shared" si="65"/>
        <v>-166.66666666666666</v>
      </c>
      <c r="W657" s="9">
        <f t="shared" si="66"/>
        <v>3.9118243333333336</v>
      </c>
    </row>
    <row r="658" spans="1:23">
      <c r="A658" s="2" t="s">
        <v>335</v>
      </c>
      <c r="B658" s="2" t="s">
        <v>371</v>
      </c>
      <c r="C658" s="3">
        <v>245</v>
      </c>
      <c r="D658" s="3">
        <v>2.35</v>
      </c>
      <c r="E658" s="2" t="s">
        <v>372</v>
      </c>
      <c r="F658" s="4">
        <v>41687</v>
      </c>
      <c r="G658" s="3">
        <v>55.8</v>
      </c>
      <c r="H658" s="6"/>
      <c r="I658" s="4">
        <v>41687</v>
      </c>
      <c r="J658" s="3">
        <v>55.8</v>
      </c>
      <c r="K658" s="6"/>
      <c r="L658" s="3">
        <v>0</v>
      </c>
      <c r="M658" s="5">
        <v>0</v>
      </c>
      <c r="N658" s="6"/>
      <c r="O658" s="5">
        <v>0</v>
      </c>
      <c r="P658" s="5">
        <v>0</v>
      </c>
      <c r="Q658" s="5">
        <v>11.435222</v>
      </c>
      <c r="R658" s="8">
        <f t="shared" si="62"/>
        <v>0</v>
      </c>
      <c r="S658" s="9">
        <f t="shared" si="63"/>
        <v>0</v>
      </c>
      <c r="T658" s="9">
        <v>1.5</v>
      </c>
      <c r="U658" s="9">
        <f t="shared" si="64"/>
        <v>0</v>
      </c>
      <c r="V658" s="9">
        <f t="shared" si="65"/>
        <v>0</v>
      </c>
      <c r="W658" s="9">
        <f t="shared" si="66"/>
        <v>11.435222</v>
      </c>
    </row>
    <row r="659" spans="1:23">
      <c r="A659" s="2" t="s">
        <v>335</v>
      </c>
      <c r="B659" s="2" t="s">
        <v>371</v>
      </c>
      <c r="C659" s="3">
        <v>245</v>
      </c>
      <c r="D659" s="3">
        <v>2.35</v>
      </c>
      <c r="E659" s="2" t="s">
        <v>372</v>
      </c>
      <c r="F659" s="4">
        <v>41687</v>
      </c>
      <c r="G659" s="3">
        <v>55.8</v>
      </c>
      <c r="H659" s="6"/>
      <c r="I659" s="4">
        <v>41703</v>
      </c>
      <c r="J659" s="3">
        <v>56.6</v>
      </c>
      <c r="K659" s="6"/>
      <c r="L659" s="3">
        <v>16</v>
      </c>
      <c r="M659" s="5">
        <v>0.80000000000000426</v>
      </c>
      <c r="N659" s="6"/>
      <c r="O659" s="5">
        <v>37.6</v>
      </c>
      <c r="P659" s="5">
        <v>50.00000000000027</v>
      </c>
      <c r="Q659" s="5">
        <v>13.967858000000014</v>
      </c>
      <c r="R659" s="8">
        <f t="shared" si="62"/>
        <v>16</v>
      </c>
      <c r="S659" s="9">
        <f t="shared" si="63"/>
        <v>0.80000000000000426</v>
      </c>
      <c r="T659" s="9">
        <v>1.5</v>
      </c>
      <c r="U659" s="9">
        <f t="shared" si="64"/>
        <v>37.6</v>
      </c>
      <c r="V659" s="9">
        <f t="shared" si="65"/>
        <v>50.00000000000027</v>
      </c>
      <c r="W659" s="9">
        <f t="shared" si="66"/>
        <v>13.967858000000014</v>
      </c>
    </row>
    <row r="660" spans="1:23">
      <c r="A660" s="2" t="s">
        <v>335</v>
      </c>
      <c r="B660" s="2" t="s">
        <v>371</v>
      </c>
      <c r="C660" s="3">
        <v>245</v>
      </c>
      <c r="D660" s="3">
        <v>2.35</v>
      </c>
      <c r="E660" s="2" t="s">
        <v>372</v>
      </c>
      <c r="F660" s="4">
        <v>41687</v>
      </c>
      <c r="G660" s="3">
        <v>55.8</v>
      </c>
      <c r="H660" s="6"/>
      <c r="I660" s="4">
        <v>41716</v>
      </c>
      <c r="J660" s="3">
        <v>61</v>
      </c>
      <c r="K660" s="6"/>
      <c r="L660" s="3">
        <v>29</v>
      </c>
      <c r="M660" s="5">
        <v>5.2000000000000028</v>
      </c>
      <c r="N660" s="6"/>
      <c r="O660" s="5">
        <v>68.150000000000006</v>
      </c>
      <c r="P660" s="5">
        <v>179.31034482758631</v>
      </c>
      <c r="Q660" s="5">
        <v>20.714856000000005</v>
      </c>
      <c r="R660" s="8">
        <f t="shared" si="62"/>
        <v>13</v>
      </c>
      <c r="S660" s="9">
        <f t="shared" si="63"/>
        <v>4.3999999999999986</v>
      </c>
      <c r="T660" s="9">
        <v>1.5</v>
      </c>
      <c r="U660" s="9">
        <f t="shared" si="64"/>
        <v>30.55</v>
      </c>
      <c r="V660" s="9">
        <f t="shared" si="65"/>
        <v>338.4615384615384</v>
      </c>
      <c r="W660" s="9">
        <f t="shared" si="66"/>
        <v>28.561009846153837</v>
      </c>
    </row>
    <row r="661" spans="1:23">
      <c r="A661" s="2" t="s">
        <v>335</v>
      </c>
      <c r="B661" s="2" t="s">
        <v>371</v>
      </c>
      <c r="C661" s="3">
        <v>245</v>
      </c>
      <c r="D661" s="3">
        <v>2.35</v>
      </c>
      <c r="E661" s="2" t="s">
        <v>372</v>
      </c>
      <c r="F661" s="4">
        <v>41687</v>
      </c>
      <c r="G661" s="3">
        <v>55.8</v>
      </c>
      <c r="H661" s="6"/>
      <c r="I661" s="4">
        <v>41731</v>
      </c>
      <c r="J661" s="3">
        <v>62.2</v>
      </c>
      <c r="K661" s="6"/>
      <c r="L661" s="3">
        <v>44</v>
      </c>
      <c r="M661" s="5">
        <v>6.4000000000000057</v>
      </c>
      <c r="N661" s="6"/>
      <c r="O661" s="5">
        <v>103.4</v>
      </c>
      <c r="P661" s="5">
        <v>145.45454545454558</v>
      </c>
      <c r="Q661" s="5">
        <v>19.147219090909097</v>
      </c>
      <c r="R661" s="8">
        <f t="shared" si="62"/>
        <v>15</v>
      </c>
      <c r="S661" s="9">
        <f t="shared" si="63"/>
        <v>1.2000000000000028</v>
      </c>
      <c r="T661" s="9">
        <v>1.5</v>
      </c>
      <c r="U661" s="9">
        <f t="shared" si="64"/>
        <v>35.25</v>
      </c>
      <c r="V661" s="9">
        <f t="shared" si="65"/>
        <v>80.000000000000199</v>
      </c>
      <c r="W661" s="9">
        <f t="shared" si="66"/>
        <v>15.92031000000001</v>
      </c>
    </row>
    <row r="662" spans="1:23">
      <c r="A662" s="2" t="s">
        <v>335</v>
      </c>
      <c r="B662" s="2" t="s">
        <v>371</v>
      </c>
      <c r="C662" s="3">
        <v>245</v>
      </c>
      <c r="D662" s="3">
        <v>2.35</v>
      </c>
      <c r="E662" s="2" t="s">
        <v>373</v>
      </c>
      <c r="F662" s="4">
        <v>41687</v>
      </c>
      <c r="G662" s="3">
        <v>56.2</v>
      </c>
      <c r="H662" s="6"/>
      <c r="I662" s="4">
        <v>41687</v>
      </c>
      <c r="J662" s="3">
        <v>56.2</v>
      </c>
      <c r="K662" s="6"/>
      <c r="L662" s="3">
        <v>0</v>
      </c>
      <c r="M662" s="5">
        <v>0</v>
      </c>
      <c r="N662" s="6"/>
      <c r="O662" s="5">
        <v>0</v>
      </c>
      <c r="P662" s="5">
        <v>0</v>
      </c>
      <c r="Q662" s="5">
        <v>11.502858</v>
      </c>
      <c r="R662" s="8">
        <f t="shared" si="62"/>
        <v>0</v>
      </c>
      <c r="S662" s="9">
        <f t="shared" si="63"/>
        <v>0</v>
      </c>
      <c r="T662" s="9">
        <v>1.5</v>
      </c>
      <c r="U662" s="9">
        <f t="shared" si="64"/>
        <v>0</v>
      </c>
      <c r="V662" s="9">
        <f t="shared" si="65"/>
        <v>0</v>
      </c>
      <c r="W662" s="9">
        <f t="shared" si="66"/>
        <v>11.502858</v>
      </c>
    </row>
    <row r="663" spans="1:23">
      <c r="A663" s="2" t="s">
        <v>335</v>
      </c>
      <c r="B663" s="2" t="s">
        <v>371</v>
      </c>
      <c r="C663" s="3">
        <v>245</v>
      </c>
      <c r="D663" s="3">
        <v>2.35</v>
      </c>
      <c r="E663" s="2" t="s">
        <v>373</v>
      </c>
      <c r="F663" s="4">
        <v>41687</v>
      </c>
      <c r="G663" s="3">
        <v>56.2</v>
      </c>
      <c r="H663" s="6"/>
      <c r="I663" s="4">
        <v>41703</v>
      </c>
      <c r="J663" s="3">
        <v>60</v>
      </c>
      <c r="K663" s="6"/>
      <c r="L663" s="3">
        <v>16</v>
      </c>
      <c r="M663" s="5">
        <v>3.7999999999999972</v>
      </c>
      <c r="N663" s="6"/>
      <c r="O663" s="5">
        <v>37.6</v>
      </c>
      <c r="P663" s="5">
        <v>237.49999999999983</v>
      </c>
      <c r="Q663" s="5">
        <v>23.532878999999991</v>
      </c>
      <c r="R663" s="8">
        <f t="shared" si="62"/>
        <v>16</v>
      </c>
      <c r="S663" s="9">
        <f t="shared" si="63"/>
        <v>3.7999999999999972</v>
      </c>
      <c r="T663" s="9">
        <v>1.5</v>
      </c>
      <c r="U663" s="9">
        <f t="shared" si="64"/>
        <v>37.6</v>
      </c>
      <c r="V663" s="9">
        <f t="shared" si="65"/>
        <v>237.49999999999983</v>
      </c>
      <c r="W663" s="9">
        <f t="shared" si="66"/>
        <v>23.532878999999991</v>
      </c>
    </row>
    <row r="664" spans="1:23">
      <c r="A664" s="2" t="s">
        <v>335</v>
      </c>
      <c r="B664" s="2" t="s">
        <v>371</v>
      </c>
      <c r="C664" s="3">
        <v>245</v>
      </c>
      <c r="D664" s="3">
        <v>2.35</v>
      </c>
      <c r="E664" s="2" t="s">
        <v>373</v>
      </c>
      <c r="F664" s="4">
        <v>41687</v>
      </c>
      <c r="G664" s="3">
        <v>56.2</v>
      </c>
      <c r="H664" s="6"/>
      <c r="I664" s="4">
        <v>41716</v>
      </c>
      <c r="J664" s="3">
        <v>60.5</v>
      </c>
      <c r="K664" s="6"/>
      <c r="L664" s="3">
        <v>29</v>
      </c>
      <c r="M664" s="5">
        <v>4.2999999999999972</v>
      </c>
      <c r="N664" s="6"/>
      <c r="O664" s="5">
        <v>68.150000000000006</v>
      </c>
      <c r="P664" s="5">
        <v>148.27586206896544</v>
      </c>
      <c r="Q664" s="5">
        <v>19.176401499999997</v>
      </c>
      <c r="R664" s="8">
        <f t="shared" si="62"/>
        <v>13</v>
      </c>
      <c r="S664" s="9">
        <f t="shared" si="63"/>
        <v>0.5</v>
      </c>
      <c r="T664" s="9">
        <v>1.5</v>
      </c>
      <c r="U664" s="9">
        <f t="shared" si="64"/>
        <v>30.55</v>
      </c>
      <c r="V664" s="9">
        <f t="shared" si="65"/>
        <v>38.461538461538467</v>
      </c>
      <c r="W664" s="9">
        <f t="shared" si="66"/>
        <v>13.762555346153846</v>
      </c>
    </row>
    <row r="665" spans="1:23">
      <c r="A665" s="2" t="s">
        <v>335</v>
      </c>
      <c r="B665" s="2" t="s">
        <v>371</v>
      </c>
      <c r="C665" s="3">
        <v>245</v>
      </c>
      <c r="D665" s="3">
        <v>2.35</v>
      </c>
      <c r="E665" s="2" t="s">
        <v>373</v>
      </c>
      <c r="F665" s="4">
        <v>41687</v>
      </c>
      <c r="G665" s="3">
        <v>56.2</v>
      </c>
      <c r="H665" s="6"/>
      <c r="I665" s="4">
        <v>41731</v>
      </c>
      <c r="J665" s="3">
        <v>64</v>
      </c>
      <c r="K665" s="6"/>
      <c r="L665" s="3">
        <v>44</v>
      </c>
      <c r="M665" s="5">
        <v>7.7999999999999972</v>
      </c>
      <c r="N665" s="6"/>
      <c r="O665" s="5">
        <v>103.4</v>
      </c>
      <c r="P665" s="5">
        <v>177.27272727272722</v>
      </c>
      <c r="Q665" s="5">
        <v>20.90185445454545</v>
      </c>
      <c r="R665" s="8">
        <f t="shared" si="62"/>
        <v>15</v>
      </c>
      <c r="S665" s="9">
        <f t="shared" si="63"/>
        <v>3.5</v>
      </c>
      <c r="T665" s="9">
        <v>1.5</v>
      </c>
      <c r="U665" s="9">
        <f t="shared" si="64"/>
        <v>35.25</v>
      </c>
      <c r="V665" s="9">
        <f t="shared" si="65"/>
        <v>233.33333333333334</v>
      </c>
      <c r="W665" s="9">
        <f t="shared" si="66"/>
        <v>23.665642333333331</v>
      </c>
    </row>
    <row r="666" spans="1:23">
      <c r="A666" s="2" t="s">
        <v>335</v>
      </c>
      <c r="B666" s="2" t="s">
        <v>371</v>
      </c>
      <c r="C666" s="3">
        <v>245</v>
      </c>
      <c r="D666" s="3">
        <v>2.35</v>
      </c>
      <c r="E666" s="2" t="s">
        <v>374</v>
      </c>
      <c r="F666" s="4">
        <v>41687</v>
      </c>
      <c r="G666" s="3">
        <v>54</v>
      </c>
      <c r="H666" s="6"/>
      <c r="I666" s="4">
        <v>41687</v>
      </c>
      <c r="J666" s="3">
        <v>54</v>
      </c>
      <c r="K666" s="6"/>
      <c r="L666" s="3">
        <v>0</v>
      </c>
      <c r="M666" s="5">
        <v>0</v>
      </c>
      <c r="N666" s="6"/>
      <c r="O666" s="5">
        <v>0</v>
      </c>
      <c r="P666" s="5">
        <v>0</v>
      </c>
      <c r="Q666" s="5">
        <v>11.13086</v>
      </c>
      <c r="R666" s="8">
        <f t="shared" si="62"/>
        <v>0</v>
      </c>
      <c r="S666" s="9">
        <f t="shared" si="63"/>
        <v>0</v>
      </c>
      <c r="T666" s="9">
        <v>1.5</v>
      </c>
      <c r="U666" s="9">
        <f t="shared" si="64"/>
        <v>0</v>
      </c>
      <c r="V666" s="9">
        <f t="shared" si="65"/>
        <v>0</v>
      </c>
      <c r="W666" s="9">
        <f t="shared" si="66"/>
        <v>11.13086</v>
      </c>
    </row>
    <row r="667" spans="1:23">
      <c r="A667" s="2" t="s">
        <v>335</v>
      </c>
      <c r="B667" s="2" t="s">
        <v>371</v>
      </c>
      <c r="C667" s="3">
        <v>245</v>
      </c>
      <c r="D667" s="3">
        <v>2.35</v>
      </c>
      <c r="E667" s="2" t="s">
        <v>374</v>
      </c>
      <c r="F667" s="4">
        <v>41687</v>
      </c>
      <c r="G667" s="3">
        <v>54</v>
      </c>
      <c r="H667" s="6"/>
      <c r="I667" s="4">
        <v>41703</v>
      </c>
      <c r="J667" s="3">
        <v>54.6</v>
      </c>
      <c r="K667" s="6"/>
      <c r="L667" s="3">
        <v>16</v>
      </c>
      <c r="M667" s="5">
        <v>0.60000000000000142</v>
      </c>
      <c r="N667" s="6"/>
      <c r="O667" s="5">
        <v>37.6</v>
      </c>
      <c r="P667" s="5">
        <v>37.500000000000085</v>
      </c>
      <c r="Q667" s="5">
        <v>13.030337000000003</v>
      </c>
      <c r="R667" s="8">
        <f t="shared" si="62"/>
        <v>16</v>
      </c>
      <c r="S667" s="9">
        <f t="shared" si="63"/>
        <v>0.60000000000000142</v>
      </c>
      <c r="T667" s="9">
        <v>1.5</v>
      </c>
      <c r="U667" s="9">
        <f t="shared" si="64"/>
        <v>37.6</v>
      </c>
      <c r="V667" s="9">
        <f t="shared" si="65"/>
        <v>37.500000000000085</v>
      </c>
      <c r="W667" s="9">
        <f t="shared" si="66"/>
        <v>13.030337000000003</v>
      </c>
    </row>
    <row r="668" spans="1:23">
      <c r="A668" s="2" t="s">
        <v>335</v>
      </c>
      <c r="B668" s="2" t="s">
        <v>371</v>
      </c>
      <c r="C668" s="3">
        <v>245</v>
      </c>
      <c r="D668" s="3">
        <v>2.35</v>
      </c>
      <c r="E668" s="2" t="s">
        <v>374</v>
      </c>
      <c r="F668" s="4">
        <v>41687</v>
      </c>
      <c r="G668" s="3">
        <v>54</v>
      </c>
      <c r="H668" s="6"/>
      <c r="I668" s="4">
        <v>41716</v>
      </c>
      <c r="J668" s="3">
        <v>56</v>
      </c>
      <c r="K668" s="6"/>
      <c r="L668" s="3">
        <v>29</v>
      </c>
      <c r="M668" s="5">
        <v>2</v>
      </c>
      <c r="N668" s="6"/>
      <c r="O668" s="5">
        <v>68.150000000000006</v>
      </c>
      <c r="P668" s="5">
        <v>68.965517241379303</v>
      </c>
      <c r="Q668" s="5">
        <v>14.699949999999999</v>
      </c>
      <c r="R668" s="8">
        <f t="shared" si="62"/>
        <v>13</v>
      </c>
      <c r="S668" s="9">
        <f t="shared" si="63"/>
        <v>1.3999999999999986</v>
      </c>
      <c r="T668" s="9">
        <v>1.5</v>
      </c>
      <c r="U668" s="9">
        <f t="shared" si="64"/>
        <v>30.55</v>
      </c>
      <c r="V668" s="9">
        <f t="shared" si="65"/>
        <v>107.69230769230759</v>
      </c>
      <c r="W668" s="9">
        <f t="shared" si="66"/>
        <v>16.609180769230761</v>
      </c>
    </row>
    <row r="669" spans="1:23">
      <c r="A669" s="2" t="s">
        <v>335</v>
      </c>
      <c r="B669" s="2" t="s">
        <v>371</v>
      </c>
      <c r="C669" s="3">
        <v>245</v>
      </c>
      <c r="D669" s="3">
        <v>2.35</v>
      </c>
      <c r="E669" s="2" t="s">
        <v>374</v>
      </c>
      <c r="F669" s="4">
        <v>41687</v>
      </c>
      <c r="G669" s="3">
        <v>54</v>
      </c>
      <c r="H669" s="6"/>
      <c r="I669" s="4">
        <v>41731</v>
      </c>
      <c r="J669" s="3">
        <v>58.8</v>
      </c>
      <c r="K669" s="6"/>
      <c r="L669" s="3">
        <v>44</v>
      </c>
      <c r="M669" s="5">
        <v>4.7999999999999972</v>
      </c>
      <c r="N669" s="6"/>
      <c r="O669" s="5">
        <v>103.4</v>
      </c>
      <c r="P669" s="5">
        <v>109.09090909090904</v>
      </c>
      <c r="Q669" s="5">
        <v>16.914857818181815</v>
      </c>
      <c r="R669" s="8">
        <f t="shared" si="62"/>
        <v>15</v>
      </c>
      <c r="S669" s="9">
        <f t="shared" si="63"/>
        <v>2.7999999999999972</v>
      </c>
      <c r="T669" s="9">
        <v>1.5</v>
      </c>
      <c r="U669" s="9">
        <f t="shared" si="64"/>
        <v>35.25</v>
      </c>
      <c r="V669" s="9">
        <f t="shared" si="65"/>
        <v>186.66666666666649</v>
      </c>
      <c r="W669" s="9">
        <f t="shared" si="66"/>
        <v>20.739342666666658</v>
      </c>
    </row>
    <row r="670" spans="1:23">
      <c r="A670" s="2" t="s">
        <v>335</v>
      </c>
      <c r="B670" s="2" t="s">
        <v>371</v>
      </c>
      <c r="C670" s="3">
        <v>245</v>
      </c>
      <c r="D670" s="3">
        <v>2.35</v>
      </c>
      <c r="E670" s="2" t="s">
        <v>375</v>
      </c>
      <c r="F670" s="4">
        <v>41687</v>
      </c>
      <c r="G670" s="3">
        <v>58</v>
      </c>
      <c r="H670" s="6"/>
      <c r="I670" s="4">
        <v>41687</v>
      </c>
      <c r="J670" s="3">
        <v>58</v>
      </c>
      <c r="K670" s="6"/>
      <c r="L670" s="3">
        <v>0</v>
      </c>
      <c r="M670" s="5">
        <v>0</v>
      </c>
      <c r="N670" s="6"/>
      <c r="O670" s="5">
        <v>0</v>
      </c>
      <c r="P670" s="5">
        <v>0</v>
      </c>
      <c r="Q670" s="5">
        <v>11.807219999999999</v>
      </c>
      <c r="R670" s="8">
        <f t="shared" si="62"/>
        <v>0</v>
      </c>
      <c r="S670" s="9">
        <f t="shared" si="63"/>
        <v>0</v>
      </c>
      <c r="T670" s="9">
        <v>1.5</v>
      </c>
      <c r="U670" s="9">
        <f t="shared" si="64"/>
        <v>0</v>
      </c>
      <c r="V670" s="9">
        <f t="shared" si="65"/>
        <v>0</v>
      </c>
      <c r="W670" s="9">
        <f t="shared" si="66"/>
        <v>11.807219999999999</v>
      </c>
    </row>
    <row r="671" spans="1:23">
      <c r="A671" s="2" t="s">
        <v>335</v>
      </c>
      <c r="B671" s="2" t="s">
        <v>371</v>
      </c>
      <c r="C671" s="3">
        <v>245</v>
      </c>
      <c r="D671" s="3">
        <v>2.35</v>
      </c>
      <c r="E671" s="2" t="s">
        <v>375</v>
      </c>
      <c r="F671" s="4">
        <v>41687</v>
      </c>
      <c r="G671" s="3">
        <v>58</v>
      </c>
      <c r="H671" s="6"/>
      <c r="I671" s="4">
        <v>41703</v>
      </c>
      <c r="J671" s="3">
        <v>55</v>
      </c>
      <c r="K671" s="6"/>
      <c r="L671" s="3">
        <v>16</v>
      </c>
      <c r="M671" s="5">
        <v>-3</v>
      </c>
      <c r="N671" s="6"/>
      <c r="O671" s="5">
        <v>37.6</v>
      </c>
      <c r="P671" s="5">
        <v>-187.5</v>
      </c>
      <c r="Q671" s="5">
        <v>2.3098350000000014</v>
      </c>
      <c r="R671" s="8">
        <f t="shared" si="62"/>
        <v>16</v>
      </c>
      <c r="S671" s="9">
        <f t="shared" si="63"/>
        <v>-3</v>
      </c>
      <c r="T671" s="9">
        <v>1.5</v>
      </c>
      <c r="U671" s="9">
        <f t="shared" si="64"/>
        <v>37.6</v>
      </c>
      <c r="V671" s="9">
        <f t="shared" si="65"/>
        <v>-187.5</v>
      </c>
      <c r="W671" s="9">
        <f t="shared" si="66"/>
        <v>2.3098350000000014</v>
      </c>
    </row>
    <row r="672" spans="1:23">
      <c r="A672" s="2" t="s">
        <v>335</v>
      </c>
      <c r="B672" s="2" t="s">
        <v>371</v>
      </c>
      <c r="C672" s="3">
        <v>245</v>
      </c>
      <c r="D672" s="3">
        <v>2.35</v>
      </c>
      <c r="E672" s="2" t="s">
        <v>375</v>
      </c>
      <c r="F672" s="4">
        <v>41687</v>
      </c>
      <c r="G672" s="3">
        <v>58</v>
      </c>
      <c r="H672" s="6"/>
      <c r="I672" s="4">
        <v>41716</v>
      </c>
      <c r="J672" s="3">
        <v>62</v>
      </c>
      <c r="K672" s="6"/>
      <c r="L672" s="3">
        <v>29</v>
      </c>
      <c r="M672" s="5">
        <v>4</v>
      </c>
      <c r="N672" s="6"/>
      <c r="O672" s="5">
        <v>68.150000000000006</v>
      </c>
      <c r="P672" s="5">
        <v>137.93103448275861</v>
      </c>
      <c r="Q672" s="5">
        <v>18.945399999999999</v>
      </c>
      <c r="R672" s="8">
        <f t="shared" si="62"/>
        <v>13</v>
      </c>
      <c r="S672" s="9">
        <f t="shared" si="63"/>
        <v>7</v>
      </c>
      <c r="T672" s="9">
        <v>1.5</v>
      </c>
      <c r="U672" s="9">
        <f t="shared" si="64"/>
        <v>30.55</v>
      </c>
      <c r="V672" s="9">
        <f t="shared" si="65"/>
        <v>538.46153846153845</v>
      </c>
      <c r="W672" s="9">
        <f t="shared" si="66"/>
        <v>38.691553846153838</v>
      </c>
    </row>
    <row r="673" spans="1:23">
      <c r="A673" s="2" t="s">
        <v>335</v>
      </c>
      <c r="B673" s="2" t="s">
        <v>371</v>
      </c>
      <c r="C673" s="3">
        <v>245</v>
      </c>
      <c r="D673" s="3">
        <v>2.35</v>
      </c>
      <c r="E673" s="2" t="s">
        <v>375</v>
      </c>
      <c r="F673" s="4">
        <v>41687</v>
      </c>
      <c r="G673" s="3">
        <v>58</v>
      </c>
      <c r="H673" s="6"/>
      <c r="I673" s="4">
        <v>41731</v>
      </c>
      <c r="J673" s="3">
        <v>62.6</v>
      </c>
      <c r="K673" s="6"/>
      <c r="L673" s="3">
        <v>44</v>
      </c>
      <c r="M673" s="5">
        <v>4.6000000000000014</v>
      </c>
      <c r="N673" s="6"/>
      <c r="O673" s="5">
        <v>103.4</v>
      </c>
      <c r="P673" s="5">
        <v>104.54545454545458</v>
      </c>
      <c r="Q673" s="5">
        <v>17.350217909090908</v>
      </c>
      <c r="R673" s="8">
        <f t="shared" si="62"/>
        <v>15</v>
      </c>
      <c r="S673" s="9">
        <f t="shared" si="63"/>
        <v>0.60000000000000142</v>
      </c>
      <c r="T673" s="9">
        <v>1.5</v>
      </c>
      <c r="U673" s="9">
        <f t="shared" si="64"/>
        <v>35.25</v>
      </c>
      <c r="V673" s="9">
        <f t="shared" si="65"/>
        <v>40.000000000000099</v>
      </c>
      <c r="W673" s="9">
        <f t="shared" si="66"/>
        <v>14.168127000000004</v>
      </c>
    </row>
    <row r="674" spans="1:23">
      <c r="A674" s="2" t="s">
        <v>335</v>
      </c>
      <c r="B674" s="2" t="s">
        <v>371</v>
      </c>
      <c r="C674" s="3">
        <v>245</v>
      </c>
      <c r="D674" s="3">
        <v>2.35</v>
      </c>
      <c r="E674" s="2" t="s">
        <v>376</v>
      </c>
      <c r="F674" s="4">
        <v>41687</v>
      </c>
      <c r="G674" s="3">
        <v>58.8</v>
      </c>
      <c r="H674" s="6"/>
      <c r="I674" s="4">
        <v>41687</v>
      </c>
      <c r="J674" s="3">
        <v>58.8</v>
      </c>
      <c r="K674" s="6"/>
      <c r="L674" s="3">
        <v>0</v>
      </c>
      <c r="M674" s="5">
        <v>0</v>
      </c>
      <c r="N674" s="6"/>
      <c r="O674" s="5">
        <v>0</v>
      </c>
      <c r="P674" s="5">
        <v>0</v>
      </c>
      <c r="Q674" s="5">
        <v>11.942492</v>
      </c>
      <c r="R674" s="8">
        <f t="shared" si="62"/>
        <v>0</v>
      </c>
      <c r="S674" s="9">
        <f t="shared" si="63"/>
        <v>0</v>
      </c>
      <c r="T674" s="9">
        <v>1.5</v>
      </c>
      <c r="U674" s="9">
        <f t="shared" si="64"/>
        <v>0</v>
      </c>
      <c r="V674" s="9">
        <f t="shared" si="65"/>
        <v>0</v>
      </c>
      <c r="W674" s="9">
        <f t="shared" si="66"/>
        <v>11.942492</v>
      </c>
    </row>
    <row r="675" spans="1:23">
      <c r="A675" s="2" t="s">
        <v>335</v>
      </c>
      <c r="B675" s="2" t="s">
        <v>371</v>
      </c>
      <c r="C675" s="3">
        <v>245</v>
      </c>
      <c r="D675" s="3">
        <v>2.35</v>
      </c>
      <c r="E675" s="2" t="s">
        <v>376</v>
      </c>
      <c r="F675" s="4">
        <v>41687</v>
      </c>
      <c r="G675" s="3">
        <v>58.8</v>
      </c>
      <c r="H675" s="6"/>
      <c r="I675" s="4">
        <v>41703</v>
      </c>
      <c r="J675" s="3">
        <v>58.4</v>
      </c>
      <c r="K675" s="6"/>
      <c r="L675" s="3">
        <v>16</v>
      </c>
      <c r="M675" s="5">
        <v>-0.39999999999999858</v>
      </c>
      <c r="N675" s="6"/>
      <c r="O675" s="5">
        <v>37.6</v>
      </c>
      <c r="P675" s="5">
        <v>-24.999999999999911</v>
      </c>
      <c r="Q675" s="5">
        <v>10.676174000000003</v>
      </c>
      <c r="R675" s="8">
        <f t="shared" si="62"/>
        <v>16</v>
      </c>
      <c r="S675" s="9">
        <f t="shared" si="63"/>
        <v>-0.39999999999999858</v>
      </c>
      <c r="T675" s="9">
        <v>1.5</v>
      </c>
      <c r="U675" s="9">
        <f t="shared" si="64"/>
        <v>37.6</v>
      </c>
      <c r="V675" s="9">
        <f t="shared" si="65"/>
        <v>-24.999999999999911</v>
      </c>
      <c r="W675" s="9">
        <f t="shared" si="66"/>
        <v>10.676174000000003</v>
      </c>
    </row>
    <row r="676" spans="1:23">
      <c r="A676" s="2" t="s">
        <v>335</v>
      </c>
      <c r="B676" s="2" t="s">
        <v>371</v>
      </c>
      <c r="C676" s="3">
        <v>245</v>
      </c>
      <c r="D676" s="3">
        <v>2.35</v>
      </c>
      <c r="E676" s="2" t="s">
        <v>376</v>
      </c>
      <c r="F676" s="4">
        <v>41687</v>
      </c>
      <c r="G676" s="3">
        <v>58.8</v>
      </c>
      <c r="H676" s="6"/>
      <c r="I676" s="4">
        <v>41716</v>
      </c>
      <c r="J676" s="3">
        <v>66.5</v>
      </c>
      <c r="K676" s="6"/>
      <c r="L676" s="3">
        <v>29</v>
      </c>
      <c r="M676" s="5">
        <v>7.7000000000000028</v>
      </c>
      <c r="N676" s="6"/>
      <c r="O676" s="5">
        <v>68.150000000000006</v>
      </c>
      <c r="P676" s="5">
        <v>265.51724137931041</v>
      </c>
      <c r="Q676" s="5">
        <v>25.683488500000003</v>
      </c>
      <c r="R676" s="8">
        <f t="shared" si="62"/>
        <v>13</v>
      </c>
      <c r="S676" s="9">
        <f t="shared" si="63"/>
        <v>8.1000000000000014</v>
      </c>
      <c r="T676" s="9">
        <v>1.5</v>
      </c>
      <c r="U676" s="9">
        <f t="shared" si="64"/>
        <v>30.55</v>
      </c>
      <c r="V676" s="9">
        <f t="shared" si="65"/>
        <v>623.07692307692321</v>
      </c>
      <c r="W676" s="9">
        <f t="shared" si="66"/>
        <v>43.31118080769231</v>
      </c>
    </row>
    <row r="677" spans="1:23">
      <c r="A677" s="2" t="s">
        <v>335</v>
      </c>
      <c r="B677" s="2" t="s">
        <v>371</v>
      </c>
      <c r="C677" s="3">
        <v>245</v>
      </c>
      <c r="D677" s="3">
        <v>2.35</v>
      </c>
      <c r="E677" s="2" t="s">
        <v>376</v>
      </c>
      <c r="F677" s="4">
        <v>41687</v>
      </c>
      <c r="G677" s="3">
        <v>58.8</v>
      </c>
      <c r="H677" s="6"/>
      <c r="I677" s="4">
        <v>41731</v>
      </c>
      <c r="J677" s="3">
        <v>64.599999999999994</v>
      </c>
      <c r="K677" s="6"/>
      <c r="L677" s="3">
        <v>44</v>
      </c>
      <c r="M677" s="5">
        <v>5.7999999999999972</v>
      </c>
      <c r="N677" s="6"/>
      <c r="O677" s="5">
        <v>103.4</v>
      </c>
      <c r="P677" s="5">
        <v>131.81818181818176</v>
      </c>
      <c r="Q677" s="5">
        <v>18.931489363636359</v>
      </c>
      <c r="R677" s="8">
        <f t="shared" si="62"/>
        <v>15</v>
      </c>
      <c r="S677" s="9">
        <f t="shared" si="63"/>
        <v>-1.9000000000000057</v>
      </c>
      <c r="T677" s="9">
        <v>1.5</v>
      </c>
      <c r="U677" s="9">
        <f t="shared" si="64"/>
        <v>35.25</v>
      </c>
      <c r="V677" s="9">
        <f t="shared" si="65"/>
        <v>-126.66666666666704</v>
      </c>
      <c r="W677" s="9">
        <f t="shared" si="66"/>
        <v>6.1881863333333129</v>
      </c>
    </row>
    <row r="678" spans="1:23">
      <c r="A678" s="2" t="s">
        <v>335</v>
      </c>
      <c r="B678" s="2" t="s">
        <v>371</v>
      </c>
      <c r="C678" s="3">
        <v>245</v>
      </c>
      <c r="D678" s="3">
        <v>2.35</v>
      </c>
      <c r="E678" s="2" t="s">
        <v>377</v>
      </c>
      <c r="F678" s="4">
        <v>41687</v>
      </c>
      <c r="G678" s="3">
        <v>52.2</v>
      </c>
      <c r="H678" s="6"/>
      <c r="I678" s="4">
        <v>41687</v>
      </c>
      <c r="J678" s="3">
        <v>52.2</v>
      </c>
      <c r="K678" s="6"/>
      <c r="L678" s="3">
        <v>0</v>
      </c>
      <c r="M678" s="5">
        <v>0</v>
      </c>
      <c r="N678" s="6"/>
      <c r="O678" s="5">
        <v>0</v>
      </c>
      <c r="P678" s="5">
        <v>0</v>
      </c>
      <c r="Q678" s="5">
        <v>10.826498000000001</v>
      </c>
      <c r="R678" s="8">
        <f t="shared" si="62"/>
        <v>0</v>
      </c>
      <c r="S678" s="9">
        <f t="shared" si="63"/>
        <v>0</v>
      </c>
      <c r="T678" s="9">
        <v>1.5</v>
      </c>
      <c r="U678" s="9">
        <f t="shared" si="64"/>
        <v>0</v>
      </c>
      <c r="V678" s="9">
        <f t="shared" si="65"/>
        <v>0</v>
      </c>
      <c r="W678" s="9">
        <f t="shared" si="66"/>
        <v>10.826498000000001</v>
      </c>
    </row>
    <row r="679" spans="1:23">
      <c r="A679" s="2" t="s">
        <v>335</v>
      </c>
      <c r="B679" s="2" t="s">
        <v>371</v>
      </c>
      <c r="C679" s="3">
        <v>245</v>
      </c>
      <c r="D679" s="3">
        <v>2.35</v>
      </c>
      <c r="E679" s="2" t="s">
        <v>377</v>
      </c>
      <c r="F679" s="4">
        <v>41687</v>
      </c>
      <c r="G679" s="3">
        <v>52.2</v>
      </c>
      <c r="H679" s="6"/>
      <c r="I679" s="4">
        <v>41703</v>
      </c>
      <c r="J679" s="3">
        <v>54</v>
      </c>
      <c r="K679" s="6"/>
      <c r="L679" s="3">
        <v>16</v>
      </c>
      <c r="M679" s="5">
        <v>1.7999999999999972</v>
      </c>
      <c r="N679" s="6"/>
      <c r="O679" s="5">
        <v>37.6</v>
      </c>
      <c r="P679" s="5">
        <v>112.49999999999983</v>
      </c>
      <c r="Q679" s="5">
        <v>16.524928999999993</v>
      </c>
      <c r="R679" s="8">
        <f t="shared" si="62"/>
        <v>16</v>
      </c>
      <c r="S679" s="9">
        <f t="shared" si="63"/>
        <v>1.7999999999999972</v>
      </c>
      <c r="T679" s="9">
        <v>1.5</v>
      </c>
      <c r="U679" s="9">
        <f t="shared" si="64"/>
        <v>37.6</v>
      </c>
      <c r="V679" s="9">
        <f t="shared" si="65"/>
        <v>112.49999999999983</v>
      </c>
      <c r="W679" s="9">
        <f t="shared" si="66"/>
        <v>16.524928999999993</v>
      </c>
    </row>
    <row r="680" spans="1:23">
      <c r="A680" s="2" t="s">
        <v>335</v>
      </c>
      <c r="B680" s="2" t="s">
        <v>371</v>
      </c>
      <c r="C680" s="3">
        <v>245</v>
      </c>
      <c r="D680" s="3">
        <v>2.35</v>
      </c>
      <c r="E680" s="2" t="s">
        <v>377</v>
      </c>
      <c r="F680" s="4">
        <v>41687</v>
      </c>
      <c r="G680" s="3">
        <v>52.2</v>
      </c>
      <c r="H680" s="6"/>
      <c r="I680" s="4">
        <v>41716</v>
      </c>
      <c r="J680" s="3">
        <v>57</v>
      </c>
      <c r="K680" s="6"/>
      <c r="L680" s="3">
        <v>29</v>
      </c>
      <c r="M680" s="5">
        <v>4.7999999999999972</v>
      </c>
      <c r="N680" s="6"/>
      <c r="O680" s="5">
        <v>68.150000000000006</v>
      </c>
      <c r="P680" s="5">
        <v>165.51724137931026</v>
      </c>
      <c r="Q680" s="5">
        <v>19.392313999999995</v>
      </c>
      <c r="R680" s="8">
        <f t="shared" si="62"/>
        <v>13</v>
      </c>
      <c r="S680" s="9">
        <f t="shared" si="63"/>
        <v>3</v>
      </c>
      <c r="T680" s="9">
        <v>1.5</v>
      </c>
      <c r="U680" s="9">
        <f t="shared" si="64"/>
        <v>30.55</v>
      </c>
      <c r="V680" s="9">
        <f t="shared" si="65"/>
        <v>230.76923076923077</v>
      </c>
      <c r="W680" s="9">
        <f t="shared" si="66"/>
        <v>22.60923707692308</v>
      </c>
    </row>
    <row r="681" spans="1:23">
      <c r="A681" s="2" t="s">
        <v>335</v>
      </c>
      <c r="B681" s="2" t="s">
        <v>371</v>
      </c>
      <c r="C681" s="3">
        <v>245</v>
      </c>
      <c r="D681" s="3">
        <v>2.35</v>
      </c>
      <c r="E681" s="2" t="s">
        <v>377</v>
      </c>
      <c r="F681" s="4">
        <v>41687</v>
      </c>
      <c r="G681" s="3">
        <v>52.2</v>
      </c>
      <c r="H681" s="6"/>
      <c r="I681" s="4">
        <v>41731</v>
      </c>
      <c r="J681" s="3">
        <v>59</v>
      </c>
      <c r="K681" s="6"/>
      <c r="L681" s="3">
        <v>44</v>
      </c>
      <c r="M681" s="5">
        <v>6.7999999999999972</v>
      </c>
      <c r="N681" s="6"/>
      <c r="O681" s="5">
        <v>103.4</v>
      </c>
      <c r="P681" s="5">
        <v>154.54545454545448</v>
      </c>
      <c r="Q681" s="5">
        <v>19.020494909090907</v>
      </c>
      <c r="R681" s="8">
        <f t="shared" si="62"/>
        <v>15</v>
      </c>
      <c r="S681" s="9">
        <f t="shared" si="63"/>
        <v>2</v>
      </c>
      <c r="T681" s="9">
        <v>1.5</v>
      </c>
      <c r="U681" s="9">
        <f t="shared" si="64"/>
        <v>35.25</v>
      </c>
      <c r="V681" s="9">
        <f t="shared" si="65"/>
        <v>133.33333333333334</v>
      </c>
      <c r="W681" s="9">
        <f t="shared" si="66"/>
        <v>17.974737333333334</v>
      </c>
    </row>
    <row r="682" spans="1:23">
      <c r="A682" s="2" t="s">
        <v>335</v>
      </c>
      <c r="B682" s="2" t="s">
        <v>371</v>
      </c>
      <c r="C682" s="3">
        <v>245</v>
      </c>
      <c r="D682" s="3">
        <v>2.35</v>
      </c>
      <c r="E682" s="2" t="s">
        <v>378</v>
      </c>
      <c r="F682" s="4">
        <v>41687</v>
      </c>
      <c r="G682" s="3">
        <v>54.6</v>
      </c>
      <c r="H682" s="6"/>
      <c r="I682" s="4">
        <v>41687</v>
      </c>
      <c r="J682" s="3">
        <v>54.6</v>
      </c>
      <c r="K682" s="6"/>
      <c r="L682" s="3">
        <v>0</v>
      </c>
      <c r="M682" s="5">
        <v>0</v>
      </c>
      <c r="N682" s="6"/>
      <c r="O682" s="5">
        <v>0</v>
      </c>
      <c r="P682" s="5">
        <v>0</v>
      </c>
      <c r="Q682" s="5">
        <v>11.232314000000001</v>
      </c>
      <c r="R682" s="8">
        <f t="shared" si="62"/>
        <v>0</v>
      </c>
      <c r="S682" s="9">
        <f t="shared" si="63"/>
        <v>0</v>
      </c>
      <c r="T682" s="9">
        <v>1.5</v>
      </c>
      <c r="U682" s="9">
        <f t="shared" si="64"/>
        <v>0</v>
      </c>
      <c r="V682" s="9">
        <f t="shared" si="65"/>
        <v>0</v>
      </c>
      <c r="W682" s="9">
        <f t="shared" si="66"/>
        <v>11.232314000000001</v>
      </c>
    </row>
    <row r="683" spans="1:23">
      <c r="A683" s="2" t="s">
        <v>335</v>
      </c>
      <c r="B683" s="2" t="s">
        <v>371</v>
      </c>
      <c r="C683" s="3">
        <v>245</v>
      </c>
      <c r="D683" s="3">
        <v>2.35</v>
      </c>
      <c r="E683" s="2" t="s">
        <v>378</v>
      </c>
      <c r="F683" s="4">
        <v>41687</v>
      </c>
      <c r="G683" s="3">
        <v>54.6</v>
      </c>
      <c r="H683" s="6"/>
      <c r="I683" s="4">
        <v>41703</v>
      </c>
      <c r="J683" s="3">
        <v>55.6</v>
      </c>
      <c r="K683" s="6"/>
      <c r="L683" s="3">
        <v>16</v>
      </c>
      <c r="M683" s="5">
        <v>1</v>
      </c>
      <c r="N683" s="6"/>
      <c r="O683" s="5">
        <v>37.6</v>
      </c>
      <c r="P683" s="5">
        <v>62.5</v>
      </c>
      <c r="Q683" s="5">
        <v>14.398108999999998</v>
      </c>
      <c r="R683" s="8">
        <f t="shared" si="62"/>
        <v>16</v>
      </c>
      <c r="S683" s="9">
        <f t="shared" si="63"/>
        <v>1</v>
      </c>
      <c r="T683" s="9">
        <v>1.5</v>
      </c>
      <c r="U683" s="9">
        <f t="shared" si="64"/>
        <v>37.6</v>
      </c>
      <c r="V683" s="9">
        <f t="shared" si="65"/>
        <v>62.5</v>
      </c>
      <c r="W683" s="9">
        <f t="shared" si="66"/>
        <v>14.398108999999998</v>
      </c>
    </row>
    <row r="684" spans="1:23">
      <c r="A684" s="2" t="s">
        <v>335</v>
      </c>
      <c r="B684" s="2" t="s">
        <v>371</v>
      </c>
      <c r="C684" s="3">
        <v>245</v>
      </c>
      <c r="D684" s="3">
        <v>2.35</v>
      </c>
      <c r="E684" s="2" t="s">
        <v>378</v>
      </c>
      <c r="F684" s="4">
        <v>41687</v>
      </c>
      <c r="G684" s="3">
        <v>54.6</v>
      </c>
      <c r="H684" s="6"/>
      <c r="I684" s="4">
        <v>41716</v>
      </c>
      <c r="J684" s="3">
        <v>56</v>
      </c>
      <c r="K684" s="6"/>
      <c r="L684" s="3">
        <v>29</v>
      </c>
      <c r="M684" s="5">
        <v>1.3999999999999986</v>
      </c>
      <c r="N684" s="6"/>
      <c r="O684" s="5">
        <v>68.150000000000006</v>
      </c>
      <c r="P684" s="5">
        <v>48.275862068965466</v>
      </c>
      <c r="Q684" s="5">
        <v>13.730676999999996</v>
      </c>
      <c r="R684" s="8">
        <f t="shared" si="62"/>
        <v>13</v>
      </c>
      <c r="S684" s="9">
        <f t="shared" si="63"/>
        <v>0.39999999999999858</v>
      </c>
      <c r="T684" s="9">
        <v>1.5</v>
      </c>
      <c r="U684" s="9">
        <f t="shared" si="64"/>
        <v>30.55</v>
      </c>
      <c r="V684" s="9">
        <f t="shared" si="65"/>
        <v>30.76923076923066</v>
      </c>
      <c r="W684" s="9">
        <f t="shared" si="66"/>
        <v>12.86760007692307</v>
      </c>
    </row>
    <row r="685" spans="1:23">
      <c r="A685" s="2" t="s">
        <v>335</v>
      </c>
      <c r="B685" s="2" t="s">
        <v>371</v>
      </c>
      <c r="C685" s="3">
        <v>245</v>
      </c>
      <c r="D685" s="3">
        <v>2.35</v>
      </c>
      <c r="E685" s="2" t="s">
        <v>378</v>
      </c>
      <c r="F685" s="4">
        <v>41687</v>
      </c>
      <c r="G685" s="3">
        <v>54.6</v>
      </c>
      <c r="H685" s="6"/>
      <c r="I685" s="4">
        <v>41731</v>
      </c>
      <c r="J685" s="3">
        <v>60.2</v>
      </c>
      <c r="K685" s="6"/>
      <c r="L685" s="3">
        <v>44</v>
      </c>
      <c r="M685" s="5">
        <v>5.6000000000000014</v>
      </c>
      <c r="N685" s="6"/>
      <c r="O685" s="5">
        <v>103.4</v>
      </c>
      <c r="P685" s="5">
        <v>127.27272727272731</v>
      </c>
      <c r="Q685" s="5">
        <v>17.980311454545458</v>
      </c>
      <c r="R685" s="8">
        <f t="shared" si="62"/>
        <v>15</v>
      </c>
      <c r="S685" s="9">
        <f t="shared" si="63"/>
        <v>4.2000000000000028</v>
      </c>
      <c r="T685" s="9">
        <v>1.5</v>
      </c>
      <c r="U685" s="9">
        <f t="shared" si="64"/>
        <v>35.25</v>
      </c>
      <c r="V685" s="9">
        <f t="shared" si="65"/>
        <v>280.00000000000017</v>
      </c>
      <c r="W685" s="9">
        <f t="shared" si="66"/>
        <v>25.50976600000001</v>
      </c>
    </row>
    <row r="686" spans="1:23">
      <c r="A686" s="2" t="s">
        <v>335</v>
      </c>
      <c r="B686" s="2" t="s">
        <v>371</v>
      </c>
      <c r="C686" s="3">
        <v>245</v>
      </c>
      <c r="D686" s="3">
        <v>2.35</v>
      </c>
      <c r="E686" s="2" t="s">
        <v>379</v>
      </c>
      <c r="F686" s="4">
        <v>41687</v>
      </c>
      <c r="G686" s="3">
        <v>54.6</v>
      </c>
      <c r="H686" s="6"/>
      <c r="I686" s="4">
        <v>41687</v>
      </c>
      <c r="J686" s="3">
        <v>54.6</v>
      </c>
      <c r="K686" s="6"/>
      <c r="L686" s="3">
        <v>0</v>
      </c>
      <c r="M686" s="5">
        <v>0</v>
      </c>
      <c r="N686" s="6"/>
      <c r="O686" s="5">
        <v>0</v>
      </c>
      <c r="P686" s="5">
        <v>0</v>
      </c>
      <c r="Q686" s="5">
        <v>11.232314000000001</v>
      </c>
      <c r="R686" s="8">
        <f t="shared" si="62"/>
        <v>0</v>
      </c>
      <c r="S686" s="9">
        <f t="shared" si="63"/>
        <v>0</v>
      </c>
      <c r="T686" s="9">
        <v>1.5</v>
      </c>
      <c r="U686" s="9">
        <f t="shared" si="64"/>
        <v>0</v>
      </c>
      <c r="V686" s="9">
        <f t="shared" si="65"/>
        <v>0</v>
      </c>
      <c r="W686" s="9">
        <f t="shared" si="66"/>
        <v>11.232314000000001</v>
      </c>
    </row>
    <row r="687" spans="1:23">
      <c r="A687" s="2" t="s">
        <v>335</v>
      </c>
      <c r="B687" s="2" t="s">
        <v>371</v>
      </c>
      <c r="C687" s="3">
        <v>245</v>
      </c>
      <c r="D687" s="3">
        <v>2.35</v>
      </c>
      <c r="E687" s="2" t="s">
        <v>379</v>
      </c>
      <c r="F687" s="4">
        <v>41687</v>
      </c>
      <c r="G687" s="3">
        <v>54.6</v>
      </c>
      <c r="H687" s="6"/>
      <c r="I687" s="4">
        <v>41703</v>
      </c>
      <c r="J687" s="3">
        <v>55.8</v>
      </c>
      <c r="K687" s="6"/>
      <c r="L687" s="3">
        <v>16</v>
      </c>
      <c r="M687" s="5">
        <v>1.1999999999999957</v>
      </c>
      <c r="N687" s="6"/>
      <c r="O687" s="5">
        <v>37.6</v>
      </c>
      <c r="P687" s="5">
        <v>74.99999999999973</v>
      </c>
      <c r="Q687" s="5">
        <v>15.031267999999987</v>
      </c>
      <c r="R687" s="8">
        <f t="shared" si="62"/>
        <v>16</v>
      </c>
      <c r="S687" s="9">
        <f t="shared" si="63"/>
        <v>1.1999999999999957</v>
      </c>
      <c r="T687" s="9">
        <v>1.5</v>
      </c>
      <c r="U687" s="9">
        <f t="shared" si="64"/>
        <v>37.6</v>
      </c>
      <c r="V687" s="9">
        <f t="shared" si="65"/>
        <v>74.99999999999973</v>
      </c>
      <c r="W687" s="9">
        <f t="shared" si="66"/>
        <v>15.031267999999987</v>
      </c>
    </row>
    <row r="688" spans="1:23">
      <c r="A688" s="2" t="s">
        <v>335</v>
      </c>
      <c r="B688" s="2" t="s">
        <v>371</v>
      </c>
      <c r="C688" s="3">
        <v>245</v>
      </c>
      <c r="D688" s="3">
        <v>2.35</v>
      </c>
      <c r="E688" s="2" t="s">
        <v>379</v>
      </c>
      <c r="F688" s="4">
        <v>41687</v>
      </c>
      <c r="G688" s="3">
        <v>54.6</v>
      </c>
      <c r="H688" s="6"/>
      <c r="I688" s="4">
        <v>41716</v>
      </c>
      <c r="J688" s="3">
        <v>60.5</v>
      </c>
      <c r="K688" s="6"/>
      <c r="L688" s="3">
        <v>29</v>
      </c>
      <c r="M688" s="5">
        <v>5.8999999999999986</v>
      </c>
      <c r="N688" s="6"/>
      <c r="O688" s="5">
        <v>68.150000000000006</v>
      </c>
      <c r="P688" s="5">
        <v>203.44827586206893</v>
      </c>
      <c r="Q688" s="5">
        <v>21.761129499999996</v>
      </c>
      <c r="R688" s="8">
        <f t="shared" si="62"/>
        <v>13</v>
      </c>
      <c r="S688" s="9">
        <f t="shared" si="63"/>
        <v>4.7000000000000028</v>
      </c>
      <c r="T688" s="9">
        <v>1.5</v>
      </c>
      <c r="U688" s="9">
        <f t="shared" si="64"/>
        <v>30.55</v>
      </c>
      <c r="V688" s="9">
        <f t="shared" si="65"/>
        <v>361.53846153846177</v>
      </c>
      <c r="W688" s="9">
        <f t="shared" si="66"/>
        <v>29.554975653846164</v>
      </c>
    </row>
    <row r="689" spans="1:23">
      <c r="A689" s="2" t="s">
        <v>335</v>
      </c>
      <c r="B689" s="2" t="s">
        <v>371</v>
      </c>
      <c r="C689" s="3">
        <v>245</v>
      </c>
      <c r="D689" s="3">
        <v>2.35</v>
      </c>
      <c r="E689" s="2" t="s">
        <v>379</v>
      </c>
      <c r="F689" s="4">
        <v>41687</v>
      </c>
      <c r="G689" s="3">
        <v>54.6</v>
      </c>
      <c r="H689" s="6"/>
      <c r="I689" s="4">
        <v>41731</v>
      </c>
      <c r="J689" s="3">
        <v>64.599999999999994</v>
      </c>
      <c r="K689" s="6"/>
      <c r="L689" s="3">
        <v>44</v>
      </c>
      <c r="M689" s="5">
        <v>9.9999999999999929</v>
      </c>
      <c r="N689" s="6"/>
      <c r="O689" s="5">
        <v>103.4</v>
      </c>
      <c r="P689" s="5">
        <v>227.27272727272711</v>
      </c>
      <c r="Q689" s="5">
        <v>23.282309454545445</v>
      </c>
      <c r="R689" s="8">
        <f t="shared" si="62"/>
        <v>15</v>
      </c>
      <c r="S689" s="9">
        <f t="shared" si="63"/>
        <v>4.0999999999999943</v>
      </c>
      <c r="T689" s="9">
        <v>1.5</v>
      </c>
      <c r="U689" s="9">
        <f t="shared" si="64"/>
        <v>35.25</v>
      </c>
      <c r="V689" s="9">
        <f t="shared" si="65"/>
        <v>273.33333333333292</v>
      </c>
      <c r="W689" s="9">
        <f t="shared" si="66"/>
        <v>25.553097333333312</v>
      </c>
    </row>
    <row r="690" spans="1:23">
      <c r="A690" s="2" t="s">
        <v>335</v>
      </c>
      <c r="B690" s="2" t="s">
        <v>371</v>
      </c>
      <c r="C690" s="3">
        <v>245</v>
      </c>
      <c r="D690" s="3">
        <v>2.35</v>
      </c>
      <c r="E690" s="2" t="s">
        <v>380</v>
      </c>
      <c r="F690" s="4">
        <v>41687</v>
      </c>
      <c r="G690" s="3">
        <v>54</v>
      </c>
      <c r="H690" s="6"/>
      <c r="I690" s="4">
        <v>41687</v>
      </c>
      <c r="J690" s="3">
        <v>54</v>
      </c>
      <c r="K690" s="6"/>
      <c r="L690" s="3">
        <v>0</v>
      </c>
      <c r="M690" s="5">
        <v>0</v>
      </c>
      <c r="N690" s="6"/>
      <c r="O690" s="5">
        <v>0</v>
      </c>
      <c r="P690" s="5">
        <v>0</v>
      </c>
      <c r="Q690" s="5">
        <v>11.13086</v>
      </c>
      <c r="R690" s="8">
        <f t="shared" si="62"/>
        <v>0</v>
      </c>
      <c r="S690" s="9">
        <f t="shared" si="63"/>
        <v>0</v>
      </c>
      <c r="T690" s="9">
        <v>1.5</v>
      </c>
      <c r="U690" s="9">
        <f t="shared" si="64"/>
        <v>0</v>
      </c>
      <c r="V690" s="9">
        <f t="shared" si="65"/>
        <v>0</v>
      </c>
      <c r="W690" s="9">
        <f t="shared" si="66"/>
        <v>11.13086</v>
      </c>
    </row>
    <row r="691" spans="1:23">
      <c r="A691" s="2" t="s">
        <v>335</v>
      </c>
      <c r="B691" s="2" t="s">
        <v>371</v>
      </c>
      <c r="C691" s="3">
        <v>245</v>
      </c>
      <c r="D691" s="3">
        <v>2.35</v>
      </c>
      <c r="E691" s="2" t="s">
        <v>380</v>
      </c>
      <c r="F691" s="4">
        <v>41687</v>
      </c>
      <c r="G691" s="3">
        <v>54</v>
      </c>
      <c r="H691" s="6"/>
      <c r="I691" s="4">
        <v>41703</v>
      </c>
      <c r="J691" s="3">
        <v>55.8</v>
      </c>
      <c r="K691" s="6"/>
      <c r="L691" s="3">
        <v>16</v>
      </c>
      <c r="M691" s="5">
        <v>1.7999999999999972</v>
      </c>
      <c r="N691" s="6"/>
      <c r="O691" s="5">
        <v>37.6</v>
      </c>
      <c r="P691" s="5">
        <v>112.49999999999983</v>
      </c>
      <c r="Q691" s="5">
        <v>16.829290999999991</v>
      </c>
      <c r="R691" s="8">
        <f t="shared" si="62"/>
        <v>16</v>
      </c>
      <c r="S691" s="9">
        <f t="shared" si="63"/>
        <v>1.7999999999999972</v>
      </c>
      <c r="T691" s="9">
        <v>1.5</v>
      </c>
      <c r="U691" s="9">
        <f t="shared" si="64"/>
        <v>37.6</v>
      </c>
      <c r="V691" s="9">
        <f t="shared" si="65"/>
        <v>112.49999999999983</v>
      </c>
      <c r="W691" s="9">
        <f t="shared" si="66"/>
        <v>16.829290999999991</v>
      </c>
    </row>
    <row r="692" spans="1:23">
      <c r="A692" s="2" t="s">
        <v>335</v>
      </c>
      <c r="B692" s="2" t="s">
        <v>371</v>
      </c>
      <c r="C692" s="3">
        <v>245</v>
      </c>
      <c r="D692" s="3">
        <v>2.35</v>
      </c>
      <c r="E692" s="2" t="s">
        <v>380</v>
      </c>
      <c r="F692" s="4">
        <v>41687</v>
      </c>
      <c r="G692" s="3">
        <v>54</v>
      </c>
      <c r="H692" s="6"/>
      <c r="I692" s="4">
        <v>41716</v>
      </c>
      <c r="J692" s="3">
        <v>60</v>
      </c>
      <c r="K692" s="6"/>
      <c r="L692" s="3">
        <v>29</v>
      </c>
      <c r="M692" s="5">
        <v>6</v>
      </c>
      <c r="N692" s="6"/>
      <c r="O692" s="5">
        <v>68.150000000000006</v>
      </c>
      <c r="P692" s="5">
        <v>206.89655172413794</v>
      </c>
      <c r="Q692" s="5">
        <v>21.83813</v>
      </c>
      <c r="R692" s="8">
        <f t="shared" si="62"/>
        <v>13</v>
      </c>
      <c r="S692" s="9">
        <f t="shared" si="63"/>
        <v>4.2000000000000028</v>
      </c>
      <c r="T692" s="9">
        <v>1.5</v>
      </c>
      <c r="U692" s="9">
        <f t="shared" si="64"/>
        <v>30.55</v>
      </c>
      <c r="V692" s="9">
        <f t="shared" si="65"/>
        <v>323.07692307692332</v>
      </c>
      <c r="W692" s="9">
        <f t="shared" si="66"/>
        <v>27.565822307692319</v>
      </c>
    </row>
    <row r="693" spans="1:23">
      <c r="A693" s="2" t="s">
        <v>335</v>
      </c>
      <c r="B693" s="2" t="s">
        <v>371</v>
      </c>
      <c r="C693" s="3">
        <v>245</v>
      </c>
      <c r="D693" s="3">
        <v>2.35</v>
      </c>
      <c r="E693" s="2" t="s">
        <v>380</v>
      </c>
      <c r="F693" s="4">
        <v>41687</v>
      </c>
      <c r="G693" s="3">
        <v>54</v>
      </c>
      <c r="H693" s="6"/>
      <c r="I693" s="4">
        <v>41731</v>
      </c>
      <c r="J693" s="3">
        <v>63</v>
      </c>
      <c r="K693" s="6"/>
      <c r="L693" s="3">
        <v>44</v>
      </c>
      <c r="M693" s="5">
        <v>9</v>
      </c>
      <c r="N693" s="6"/>
      <c r="O693" s="5">
        <v>103.4</v>
      </c>
      <c r="P693" s="5">
        <v>204.54545454545456</v>
      </c>
      <c r="Q693" s="5">
        <v>21.97585590909091</v>
      </c>
      <c r="R693" s="8">
        <f t="shared" si="62"/>
        <v>15</v>
      </c>
      <c r="S693" s="9">
        <f t="shared" si="63"/>
        <v>3</v>
      </c>
      <c r="T693" s="9">
        <v>1.5</v>
      </c>
      <c r="U693" s="9">
        <f t="shared" si="64"/>
        <v>35.25</v>
      </c>
      <c r="V693" s="9">
        <f t="shared" si="65"/>
        <v>200</v>
      </c>
      <c r="W693" s="9">
        <f t="shared" si="66"/>
        <v>21.751764999999999</v>
      </c>
    </row>
    <row r="694" spans="1:23">
      <c r="A694" s="2" t="s">
        <v>335</v>
      </c>
      <c r="B694" s="2" t="s">
        <v>371</v>
      </c>
      <c r="C694" s="3">
        <v>245</v>
      </c>
      <c r="D694" s="3">
        <v>2.35</v>
      </c>
      <c r="E694" s="2" t="s">
        <v>381</v>
      </c>
      <c r="F694" s="4">
        <v>41687</v>
      </c>
      <c r="G694" s="3">
        <v>57.2</v>
      </c>
      <c r="H694" s="6"/>
      <c r="I694" s="4">
        <v>41687</v>
      </c>
      <c r="J694" s="3">
        <v>57.2</v>
      </c>
      <c r="K694" s="6"/>
      <c r="L694" s="3">
        <v>0</v>
      </c>
      <c r="M694" s="5">
        <v>0</v>
      </c>
      <c r="N694" s="6"/>
      <c r="O694" s="5">
        <v>0</v>
      </c>
      <c r="P694" s="5">
        <v>0</v>
      </c>
      <c r="Q694" s="5">
        <v>11.671948</v>
      </c>
      <c r="R694" s="8">
        <f t="shared" si="62"/>
        <v>0</v>
      </c>
      <c r="S694" s="9">
        <f t="shared" si="63"/>
        <v>0</v>
      </c>
      <c r="T694" s="9">
        <v>1.5</v>
      </c>
      <c r="U694" s="9">
        <f t="shared" si="64"/>
        <v>0</v>
      </c>
      <c r="V694" s="9">
        <f t="shared" si="65"/>
        <v>0</v>
      </c>
      <c r="W694" s="9">
        <f t="shared" si="66"/>
        <v>11.671948</v>
      </c>
    </row>
    <row r="695" spans="1:23">
      <c r="A695" s="2" t="s">
        <v>335</v>
      </c>
      <c r="B695" s="2" t="s">
        <v>371</v>
      </c>
      <c r="C695" s="3">
        <v>245</v>
      </c>
      <c r="D695" s="3">
        <v>2.35</v>
      </c>
      <c r="E695" s="2" t="s">
        <v>381</v>
      </c>
      <c r="F695" s="4">
        <v>41687</v>
      </c>
      <c r="G695" s="3">
        <v>57.2</v>
      </c>
      <c r="H695" s="6"/>
      <c r="I695" s="4">
        <v>41703</v>
      </c>
      <c r="J695" s="3">
        <v>58</v>
      </c>
      <c r="K695" s="6"/>
      <c r="L695" s="3">
        <v>16</v>
      </c>
      <c r="M695" s="5">
        <v>0.79999999999999716</v>
      </c>
      <c r="N695" s="6"/>
      <c r="O695" s="5">
        <v>37.6</v>
      </c>
      <c r="P695" s="5">
        <v>49.999999999999822</v>
      </c>
      <c r="Q695" s="5">
        <v>14.20458399999999</v>
      </c>
      <c r="R695" s="8">
        <f t="shared" si="62"/>
        <v>16</v>
      </c>
      <c r="S695" s="9">
        <f t="shared" si="63"/>
        <v>0.79999999999999716</v>
      </c>
      <c r="T695" s="9">
        <v>1.5</v>
      </c>
      <c r="U695" s="9">
        <f t="shared" si="64"/>
        <v>37.6</v>
      </c>
      <c r="V695" s="9">
        <f t="shared" si="65"/>
        <v>49.999999999999822</v>
      </c>
      <c r="W695" s="9">
        <f t="shared" si="66"/>
        <v>14.20458399999999</v>
      </c>
    </row>
    <row r="696" spans="1:23">
      <c r="A696" s="2" t="s">
        <v>335</v>
      </c>
      <c r="B696" s="2" t="s">
        <v>371</v>
      </c>
      <c r="C696" s="3">
        <v>245</v>
      </c>
      <c r="D696" s="3">
        <v>2.35</v>
      </c>
      <c r="E696" s="2" t="s">
        <v>381</v>
      </c>
      <c r="F696" s="4">
        <v>41687</v>
      </c>
      <c r="G696" s="3">
        <v>57.2</v>
      </c>
      <c r="H696" s="6"/>
      <c r="I696" s="4">
        <v>41716</v>
      </c>
      <c r="J696" s="3">
        <v>60.5</v>
      </c>
      <c r="K696" s="6"/>
      <c r="L696" s="3">
        <v>29</v>
      </c>
      <c r="M696" s="5">
        <v>3.2999999999999972</v>
      </c>
      <c r="N696" s="6"/>
      <c r="O696" s="5">
        <v>68.150000000000006</v>
      </c>
      <c r="P696" s="5">
        <v>113.79310344827577</v>
      </c>
      <c r="Q696" s="5">
        <v>17.560946499999993</v>
      </c>
      <c r="R696" s="8">
        <f t="shared" ref="R696:R759" si="67">IF(I696-F696=0,0,I696-I695)</f>
        <v>13</v>
      </c>
      <c r="S696" s="9">
        <f t="shared" ref="S696:S759" si="68">IF(R696=0,J696-G696,J696-J695)</f>
        <v>2.5</v>
      </c>
      <c r="T696" s="9">
        <v>1.5</v>
      </c>
      <c r="U696" s="9">
        <f t="shared" ref="U696:U759" si="69">D696*R696</f>
        <v>30.55</v>
      </c>
      <c r="V696" s="9">
        <f t="shared" ref="V696:V759" si="70">IF(R696=0,0,(S696/R696*1000))</f>
        <v>192.30769230769232</v>
      </c>
      <c r="W696" s="9">
        <f t="shared" ref="W696:W759" si="71">IF(R696=0,(((G696)*0.16909+(V696/1000)*49.3)+2),((((G696+J696)/2)*0.16909+(V696/1000)*49.3)+2))</f>
        <v>21.431715730769227</v>
      </c>
    </row>
    <row r="697" spans="1:23">
      <c r="A697" s="2" t="s">
        <v>335</v>
      </c>
      <c r="B697" s="2" t="s">
        <v>371</v>
      </c>
      <c r="C697" s="3">
        <v>245</v>
      </c>
      <c r="D697" s="3">
        <v>2.35</v>
      </c>
      <c r="E697" s="2" t="s">
        <v>381</v>
      </c>
      <c r="F697" s="4">
        <v>41687</v>
      </c>
      <c r="G697" s="3">
        <v>57.2</v>
      </c>
      <c r="H697" s="6"/>
      <c r="I697" s="4">
        <v>41731</v>
      </c>
      <c r="J697" s="3">
        <v>61</v>
      </c>
      <c r="K697" s="6"/>
      <c r="L697" s="3">
        <v>44</v>
      </c>
      <c r="M697" s="5">
        <v>3.7999999999999972</v>
      </c>
      <c r="N697" s="6"/>
      <c r="O697" s="5">
        <v>103.4</v>
      </c>
      <c r="P697" s="5">
        <v>86.363636363636289</v>
      </c>
      <c r="Q697" s="5">
        <v>16.250946272727269</v>
      </c>
      <c r="R697" s="8">
        <f t="shared" si="67"/>
        <v>15</v>
      </c>
      <c r="S697" s="9">
        <f t="shared" si="68"/>
        <v>0.5</v>
      </c>
      <c r="T697" s="9">
        <v>1.5</v>
      </c>
      <c r="U697" s="9">
        <f t="shared" si="69"/>
        <v>35.25</v>
      </c>
      <c r="V697" s="9">
        <f t="shared" si="70"/>
        <v>33.333333333333336</v>
      </c>
      <c r="W697" s="9">
        <f t="shared" si="71"/>
        <v>13.636552333333332</v>
      </c>
    </row>
    <row r="698" spans="1:23">
      <c r="A698" s="2" t="s">
        <v>335</v>
      </c>
      <c r="B698" s="2" t="s">
        <v>371</v>
      </c>
      <c r="C698" s="3">
        <v>245</v>
      </c>
      <c r="D698" s="3">
        <v>2.35</v>
      </c>
      <c r="E698" s="2" t="s">
        <v>382</v>
      </c>
      <c r="F698" s="4">
        <v>41687</v>
      </c>
      <c r="G698" s="3">
        <v>64.2</v>
      </c>
      <c r="H698" s="6"/>
      <c r="I698" s="4">
        <v>41687</v>
      </c>
      <c r="J698" s="3">
        <v>64.2</v>
      </c>
      <c r="K698" s="6"/>
      <c r="L698" s="3">
        <v>0</v>
      </c>
      <c r="M698" s="5">
        <v>0</v>
      </c>
      <c r="N698" s="6"/>
      <c r="O698" s="5">
        <v>0</v>
      </c>
      <c r="P698" s="5">
        <v>0</v>
      </c>
      <c r="Q698" s="5">
        <v>12.855578</v>
      </c>
      <c r="R698" s="8">
        <f t="shared" si="67"/>
        <v>0</v>
      </c>
      <c r="S698" s="9">
        <f t="shared" si="68"/>
        <v>0</v>
      </c>
      <c r="T698" s="9">
        <v>1.5</v>
      </c>
      <c r="U698" s="9">
        <f t="shared" si="69"/>
        <v>0</v>
      </c>
      <c r="V698" s="9">
        <f t="shared" si="70"/>
        <v>0</v>
      </c>
      <c r="W698" s="9">
        <f t="shared" si="71"/>
        <v>12.855578</v>
      </c>
    </row>
    <row r="699" spans="1:23">
      <c r="A699" s="2" t="s">
        <v>335</v>
      </c>
      <c r="B699" s="2" t="s">
        <v>371</v>
      </c>
      <c r="C699" s="3">
        <v>245</v>
      </c>
      <c r="D699" s="3">
        <v>2.35</v>
      </c>
      <c r="E699" s="2" t="s">
        <v>382</v>
      </c>
      <c r="F699" s="4">
        <v>41687</v>
      </c>
      <c r="G699" s="3">
        <v>64.2</v>
      </c>
      <c r="H699" s="6"/>
      <c r="I699" s="4">
        <v>41703</v>
      </c>
      <c r="J699" s="3">
        <v>66</v>
      </c>
      <c r="K699" s="6"/>
      <c r="L699" s="3">
        <v>16</v>
      </c>
      <c r="M699" s="5">
        <v>1.7999999999999972</v>
      </c>
      <c r="N699" s="6"/>
      <c r="O699" s="5">
        <v>37.6</v>
      </c>
      <c r="P699" s="5">
        <v>112.49999999999983</v>
      </c>
      <c r="Q699" s="5">
        <v>18.55400899999999</v>
      </c>
      <c r="R699" s="8">
        <f t="shared" si="67"/>
        <v>16</v>
      </c>
      <c r="S699" s="9">
        <f t="shared" si="68"/>
        <v>1.7999999999999972</v>
      </c>
      <c r="T699" s="9">
        <v>1.5</v>
      </c>
      <c r="U699" s="9">
        <f t="shared" si="69"/>
        <v>37.6</v>
      </c>
      <c r="V699" s="9">
        <f t="shared" si="70"/>
        <v>112.49999999999983</v>
      </c>
      <c r="W699" s="9">
        <f t="shared" si="71"/>
        <v>18.55400899999999</v>
      </c>
    </row>
    <row r="700" spans="1:23">
      <c r="A700" s="2" t="s">
        <v>335</v>
      </c>
      <c r="B700" s="2" t="s">
        <v>371</v>
      </c>
      <c r="C700" s="3">
        <v>245</v>
      </c>
      <c r="D700" s="3">
        <v>2.35</v>
      </c>
      <c r="E700" s="2" t="s">
        <v>382</v>
      </c>
      <c r="F700" s="4">
        <v>41687</v>
      </c>
      <c r="G700" s="3">
        <v>64.2</v>
      </c>
      <c r="H700" s="6"/>
      <c r="I700" s="4">
        <v>41716</v>
      </c>
      <c r="J700" s="3">
        <v>71.5</v>
      </c>
      <c r="K700" s="6"/>
      <c r="L700" s="3">
        <v>29</v>
      </c>
      <c r="M700" s="5">
        <v>7.2999999999999972</v>
      </c>
      <c r="N700" s="6"/>
      <c r="O700" s="5">
        <v>68.150000000000006</v>
      </c>
      <c r="P700" s="5">
        <v>251.72413793103436</v>
      </c>
      <c r="Q700" s="5">
        <v>25.882756499999992</v>
      </c>
      <c r="R700" s="8">
        <f t="shared" si="67"/>
        <v>13</v>
      </c>
      <c r="S700" s="9">
        <f t="shared" si="68"/>
        <v>5.5</v>
      </c>
      <c r="T700" s="9">
        <v>1.5</v>
      </c>
      <c r="U700" s="9">
        <f t="shared" si="69"/>
        <v>30.55</v>
      </c>
      <c r="V700" s="9">
        <f t="shared" si="70"/>
        <v>423.07692307692309</v>
      </c>
      <c r="W700" s="9">
        <f t="shared" si="71"/>
        <v>34.330448807692306</v>
      </c>
    </row>
    <row r="701" spans="1:23">
      <c r="A701" s="2" t="s">
        <v>335</v>
      </c>
      <c r="B701" s="2" t="s">
        <v>371</v>
      </c>
      <c r="C701" s="3">
        <v>245</v>
      </c>
      <c r="D701" s="3">
        <v>2.35</v>
      </c>
      <c r="E701" s="2" t="s">
        <v>382</v>
      </c>
      <c r="F701" s="4">
        <v>41687</v>
      </c>
      <c r="G701" s="3">
        <v>64.2</v>
      </c>
      <c r="H701" s="6"/>
      <c r="I701" s="4">
        <v>41731</v>
      </c>
      <c r="J701" s="3">
        <v>68.400000000000006</v>
      </c>
      <c r="K701" s="6"/>
      <c r="L701" s="3">
        <v>44</v>
      </c>
      <c r="M701" s="5">
        <v>4.2000000000000028</v>
      </c>
      <c r="N701" s="6"/>
      <c r="O701" s="5">
        <v>103.4</v>
      </c>
      <c r="P701" s="5">
        <v>95.45454545454551</v>
      </c>
      <c r="Q701" s="5">
        <v>17.916576090909096</v>
      </c>
      <c r="R701" s="8">
        <f t="shared" si="67"/>
        <v>15</v>
      </c>
      <c r="S701" s="9">
        <f t="shared" si="68"/>
        <v>-3.0999999999999943</v>
      </c>
      <c r="T701" s="9">
        <v>1.5</v>
      </c>
      <c r="U701" s="9">
        <f t="shared" si="69"/>
        <v>35.25</v>
      </c>
      <c r="V701" s="9">
        <f t="shared" si="70"/>
        <v>-206.66666666666629</v>
      </c>
      <c r="W701" s="9">
        <f t="shared" si="71"/>
        <v>3.022000333333354</v>
      </c>
    </row>
    <row r="702" spans="1:23">
      <c r="A702" s="2" t="s">
        <v>335</v>
      </c>
      <c r="B702" s="2" t="s">
        <v>371</v>
      </c>
      <c r="C702" s="3">
        <v>245</v>
      </c>
      <c r="D702" s="3">
        <v>2.35</v>
      </c>
      <c r="E702" s="2" t="s">
        <v>383</v>
      </c>
      <c r="F702" s="4">
        <v>41687</v>
      </c>
      <c r="G702" s="3">
        <v>48.4</v>
      </c>
      <c r="H702" s="6"/>
      <c r="I702" s="4">
        <v>41687</v>
      </c>
      <c r="J702" s="3">
        <v>48.4</v>
      </c>
      <c r="K702" s="6"/>
      <c r="L702" s="3">
        <v>0</v>
      </c>
      <c r="M702" s="5">
        <v>0</v>
      </c>
      <c r="N702" s="6"/>
      <c r="O702" s="5">
        <v>0</v>
      </c>
      <c r="P702" s="5">
        <v>0</v>
      </c>
      <c r="Q702" s="5">
        <v>10.183955999999998</v>
      </c>
      <c r="R702" s="8">
        <f t="shared" si="67"/>
        <v>0</v>
      </c>
      <c r="S702" s="9">
        <f t="shared" si="68"/>
        <v>0</v>
      </c>
      <c r="T702" s="9">
        <v>1.5</v>
      </c>
      <c r="U702" s="9">
        <f t="shared" si="69"/>
        <v>0</v>
      </c>
      <c r="V702" s="9">
        <f t="shared" si="70"/>
        <v>0</v>
      </c>
      <c r="W702" s="9">
        <f t="shared" si="71"/>
        <v>10.183955999999998</v>
      </c>
    </row>
    <row r="703" spans="1:23">
      <c r="A703" s="2" t="s">
        <v>335</v>
      </c>
      <c r="B703" s="2" t="s">
        <v>371</v>
      </c>
      <c r="C703" s="3">
        <v>245</v>
      </c>
      <c r="D703" s="3">
        <v>2.35</v>
      </c>
      <c r="E703" s="2" t="s">
        <v>383</v>
      </c>
      <c r="F703" s="4">
        <v>41687</v>
      </c>
      <c r="G703" s="3">
        <v>48.4</v>
      </c>
      <c r="H703" s="6"/>
      <c r="I703" s="4">
        <v>41703</v>
      </c>
      <c r="J703" s="3">
        <v>52.6</v>
      </c>
      <c r="K703" s="6"/>
      <c r="L703" s="3">
        <v>16</v>
      </c>
      <c r="M703" s="5">
        <v>4.2000000000000028</v>
      </c>
      <c r="N703" s="6"/>
      <c r="O703" s="5">
        <v>37.6</v>
      </c>
      <c r="P703" s="5">
        <v>262.50000000000017</v>
      </c>
      <c r="Q703" s="5">
        <v>23.480295000000005</v>
      </c>
      <c r="R703" s="8">
        <f t="shared" si="67"/>
        <v>16</v>
      </c>
      <c r="S703" s="9">
        <f t="shared" si="68"/>
        <v>4.2000000000000028</v>
      </c>
      <c r="T703" s="9">
        <v>1.5</v>
      </c>
      <c r="U703" s="9">
        <f t="shared" si="69"/>
        <v>37.6</v>
      </c>
      <c r="V703" s="9">
        <f t="shared" si="70"/>
        <v>262.50000000000017</v>
      </c>
      <c r="W703" s="9">
        <f t="shared" si="71"/>
        <v>23.480295000000005</v>
      </c>
    </row>
    <row r="704" spans="1:23">
      <c r="A704" s="2" t="s">
        <v>335</v>
      </c>
      <c r="B704" s="2" t="s">
        <v>371</v>
      </c>
      <c r="C704" s="3">
        <v>245</v>
      </c>
      <c r="D704" s="3">
        <v>2.35</v>
      </c>
      <c r="E704" s="2" t="s">
        <v>383</v>
      </c>
      <c r="F704" s="4">
        <v>41687</v>
      </c>
      <c r="G704" s="3">
        <v>48.4</v>
      </c>
      <c r="H704" s="6"/>
      <c r="I704" s="4">
        <v>41716</v>
      </c>
      <c r="J704" s="3">
        <v>54.5</v>
      </c>
      <c r="K704" s="6"/>
      <c r="L704" s="3">
        <v>29</v>
      </c>
      <c r="M704" s="5">
        <v>6.1000000000000014</v>
      </c>
      <c r="N704" s="6"/>
      <c r="O704" s="5">
        <v>68.150000000000006</v>
      </c>
      <c r="P704" s="5">
        <v>210.34482758620695</v>
      </c>
      <c r="Q704" s="5">
        <v>21.069680500000004</v>
      </c>
      <c r="R704" s="8">
        <f t="shared" si="67"/>
        <v>13</v>
      </c>
      <c r="S704" s="9">
        <f t="shared" si="68"/>
        <v>1.8999999999999986</v>
      </c>
      <c r="T704" s="9">
        <v>1.5</v>
      </c>
      <c r="U704" s="9">
        <f t="shared" si="69"/>
        <v>30.55</v>
      </c>
      <c r="V704" s="9">
        <f t="shared" si="70"/>
        <v>146.15384615384605</v>
      </c>
      <c r="W704" s="9">
        <f t="shared" si="71"/>
        <v>17.905065115384609</v>
      </c>
    </row>
    <row r="705" spans="1:23">
      <c r="A705" s="2" t="s">
        <v>335</v>
      </c>
      <c r="B705" s="2" t="s">
        <v>371</v>
      </c>
      <c r="C705" s="3">
        <v>245</v>
      </c>
      <c r="D705" s="3">
        <v>2.35</v>
      </c>
      <c r="E705" s="2" t="s">
        <v>383</v>
      </c>
      <c r="F705" s="4">
        <v>41687</v>
      </c>
      <c r="G705" s="3">
        <v>48.4</v>
      </c>
      <c r="H705" s="6"/>
      <c r="I705" s="4">
        <v>41731</v>
      </c>
      <c r="J705" s="3">
        <v>53.8</v>
      </c>
      <c r="K705" s="6"/>
      <c r="L705" s="3">
        <v>44</v>
      </c>
      <c r="M705" s="5">
        <v>5.3999999999999986</v>
      </c>
      <c r="N705" s="6"/>
      <c r="O705" s="5">
        <v>103.4</v>
      </c>
      <c r="P705" s="5">
        <v>122.72727272727271</v>
      </c>
      <c r="Q705" s="5">
        <v>16.690953545454541</v>
      </c>
      <c r="R705" s="8">
        <f t="shared" si="67"/>
        <v>15</v>
      </c>
      <c r="S705" s="9">
        <f t="shared" si="68"/>
        <v>-0.70000000000000284</v>
      </c>
      <c r="T705" s="9">
        <v>1.5</v>
      </c>
      <c r="U705" s="9">
        <f t="shared" si="69"/>
        <v>35.25</v>
      </c>
      <c r="V705" s="9">
        <f t="shared" si="70"/>
        <v>-46.666666666666856</v>
      </c>
      <c r="W705" s="9">
        <f t="shared" si="71"/>
        <v>8.3398323333333231</v>
      </c>
    </row>
    <row r="706" spans="1:23">
      <c r="A706" s="2" t="s">
        <v>335</v>
      </c>
      <c r="B706" s="2" t="s">
        <v>371</v>
      </c>
      <c r="C706" s="3">
        <v>245</v>
      </c>
      <c r="D706" s="3">
        <v>2.35</v>
      </c>
      <c r="E706" s="2" t="s">
        <v>384</v>
      </c>
      <c r="F706" s="4">
        <v>41687</v>
      </c>
      <c r="G706" s="3">
        <v>55</v>
      </c>
      <c r="H706" s="6"/>
      <c r="I706" s="4">
        <v>41687</v>
      </c>
      <c r="J706" s="3">
        <v>55</v>
      </c>
      <c r="K706" s="6"/>
      <c r="L706" s="3">
        <v>0</v>
      </c>
      <c r="M706" s="5">
        <v>0</v>
      </c>
      <c r="N706" s="6"/>
      <c r="O706" s="5">
        <v>0</v>
      </c>
      <c r="P706" s="5">
        <v>0</v>
      </c>
      <c r="Q706" s="5">
        <v>11.299949999999999</v>
      </c>
      <c r="R706" s="8">
        <f t="shared" si="67"/>
        <v>0</v>
      </c>
      <c r="S706" s="9">
        <f t="shared" si="68"/>
        <v>0</v>
      </c>
      <c r="T706" s="9">
        <v>1.5</v>
      </c>
      <c r="U706" s="9">
        <f t="shared" si="69"/>
        <v>0</v>
      </c>
      <c r="V706" s="9">
        <f t="shared" si="70"/>
        <v>0</v>
      </c>
      <c r="W706" s="9">
        <f t="shared" si="71"/>
        <v>11.299949999999999</v>
      </c>
    </row>
    <row r="707" spans="1:23">
      <c r="A707" s="2" t="s">
        <v>335</v>
      </c>
      <c r="B707" s="2" t="s">
        <v>371</v>
      </c>
      <c r="C707" s="3">
        <v>245</v>
      </c>
      <c r="D707" s="3">
        <v>2.35</v>
      </c>
      <c r="E707" s="2" t="s">
        <v>384</v>
      </c>
      <c r="F707" s="4">
        <v>41687</v>
      </c>
      <c r="G707" s="3">
        <v>55</v>
      </c>
      <c r="H707" s="6"/>
      <c r="I707" s="4">
        <v>41703</v>
      </c>
      <c r="J707" s="3">
        <v>52.6</v>
      </c>
      <c r="K707" s="6"/>
      <c r="L707" s="3">
        <v>16</v>
      </c>
      <c r="M707" s="5">
        <v>-2.3999999999999986</v>
      </c>
      <c r="N707" s="6"/>
      <c r="O707" s="5">
        <v>37.6</v>
      </c>
      <c r="P707" s="5">
        <v>-149.99999999999991</v>
      </c>
      <c r="Q707" s="5">
        <v>3.7020420000000032</v>
      </c>
      <c r="R707" s="8">
        <f t="shared" si="67"/>
        <v>16</v>
      </c>
      <c r="S707" s="9">
        <f t="shared" si="68"/>
        <v>-2.3999999999999986</v>
      </c>
      <c r="T707" s="9">
        <v>1.5</v>
      </c>
      <c r="U707" s="9">
        <f t="shared" si="69"/>
        <v>37.6</v>
      </c>
      <c r="V707" s="9">
        <f t="shared" si="70"/>
        <v>-149.99999999999991</v>
      </c>
      <c r="W707" s="9">
        <f t="shared" si="71"/>
        <v>3.7020420000000032</v>
      </c>
    </row>
    <row r="708" spans="1:23">
      <c r="A708" s="2" t="s">
        <v>335</v>
      </c>
      <c r="B708" s="2" t="s">
        <v>371</v>
      </c>
      <c r="C708" s="3">
        <v>245</v>
      </c>
      <c r="D708" s="3">
        <v>2.35</v>
      </c>
      <c r="E708" s="2" t="s">
        <v>384</v>
      </c>
      <c r="F708" s="4">
        <v>41687</v>
      </c>
      <c r="G708" s="3">
        <v>55</v>
      </c>
      <c r="H708" s="6"/>
      <c r="I708" s="4">
        <v>41716</v>
      </c>
      <c r="J708" s="3">
        <v>59</v>
      </c>
      <c r="K708" s="6"/>
      <c r="L708" s="3">
        <v>29</v>
      </c>
      <c r="M708" s="5">
        <v>4</v>
      </c>
      <c r="N708" s="6"/>
      <c r="O708" s="5">
        <v>68.150000000000006</v>
      </c>
      <c r="P708" s="5">
        <v>137.93103448275861</v>
      </c>
      <c r="Q708" s="5">
        <v>18.438130000000001</v>
      </c>
      <c r="R708" s="8">
        <f t="shared" si="67"/>
        <v>13</v>
      </c>
      <c r="S708" s="9">
        <f t="shared" si="68"/>
        <v>6.3999999999999986</v>
      </c>
      <c r="T708" s="9">
        <v>1.5</v>
      </c>
      <c r="U708" s="9">
        <f t="shared" si="69"/>
        <v>30.55</v>
      </c>
      <c r="V708" s="9">
        <f t="shared" si="70"/>
        <v>492.30769230769221</v>
      </c>
      <c r="W708" s="9">
        <f t="shared" si="71"/>
        <v>35.908899230769222</v>
      </c>
    </row>
    <row r="709" spans="1:23">
      <c r="A709" s="2" t="s">
        <v>335</v>
      </c>
      <c r="B709" s="2" t="s">
        <v>371</v>
      </c>
      <c r="C709" s="3">
        <v>245</v>
      </c>
      <c r="D709" s="3">
        <v>2.35</v>
      </c>
      <c r="E709" s="2" t="s">
        <v>384</v>
      </c>
      <c r="F709" s="4">
        <v>41687</v>
      </c>
      <c r="G709" s="3">
        <v>55</v>
      </c>
      <c r="H709" s="6"/>
      <c r="I709" s="4">
        <v>41731</v>
      </c>
      <c r="J709" s="3">
        <v>59.2</v>
      </c>
      <c r="K709" s="6"/>
      <c r="L709" s="3">
        <v>44</v>
      </c>
      <c r="M709" s="5">
        <v>4.2000000000000028</v>
      </c>
      <c r="N709" s="6"/>
      <c r="O709" s="5">
        <v>103.4</v>
      </c>
      <c r="P709" s="5">
        <v>95.45454545454551</v>
      </c>
      <c r="Q709" s="5">
        <v>16.360948090909094</v>
      </c>
      <c r="R709" s="8">
        <f t="shared" si="67"/>
        <v>15</v>
      </c>
      <c r="S709" s="9">
        <f t="shared" si="68"/>
        <v>0.20000000000000284</v>
      </c>
      <c r="T709" s="9">
        <v>1.5</v>
      </c>
      <c r="U709" s="9">
        <f t="shared" si="69"/>
        <v>35.25</v>
      </c>
      <c r="V709" s="9">
        <f t="shared" si="70"/>
        <v>13.333333333333524</v>
      </c>
      <c r="W709" s="9">
        <f t="shared" si="71"/>
        <v>12.312372333333343</v>
      </c>
    </row>
    <row r="710" spans="1:23">
      <c r="A710" s="2" t="s">
        <v>335</v>
      </c>
      <c r="B710" s="2" t="s">
        <v>371</v>
      </c>
      <c r="C710" s="3">
        <v>245</v>
      </c>
      <c r="D710" s="3">
        <v>2.35</v>
      </c>
      <c r="E710" s="2" t="s">
        <v>385</v>
      </c>
      <c r="F710" s="4">
        <v>41687</v>
      </c>
      <c r="G710" s="3">
        <v>50.6</v>
      </c>
      <c r="H710" s="6"/>
      <c r="I710" s="4">
        <v>41687</v>
      </c>
      <c r="J710" s="3">
        <v>50.6</v>
      </c>
      <c r="K710" s="6"/>
      <c r="L710" s="3">
        <v>0</v>
      </c>
      <c r="M710" s="5">
        <v>0</v>
      </c>
      <c r="N710" s="6"/>
      <c r="O710" s="5">
        <v>0</v>
      </c>
      <c r="P710" s="5">
        <v>0</v>
      </c>
      <c r="Q710" s="5">
        <v>10.555954</v>
      </c>
      <c r="R710" s="8">
        <f t="shared" si="67"/>
        <v>0</v>
      </c>
      <c r="S710" s="9">
        <f t="shared" si="68"/>
        <v>0</v>
      </c>
      <c r="T710" s="9">
        <v>1.5</v>
      </c>
      <c r="U710" s="9">
        <f t="shared" si="69"/>
        <v>0</v>
      </c>
      <c r="V710" s="9">
        <f t="shared" si="70"/>
        <v>0</v>
      </c>
      <c r="W710" s="9">
        <f t="shared" si="71"/>
        <v>10.555954</v>
      </c>
    </row>
    <row r="711" spans="1:23">
      <c r="A711" s="2" t="s">
        <v>335</v>
      </c>
      <c r="B711" s="2" t="s">
        <v>371</v>
      </c>
      <c r="C711" s="3">
        <v>245</v>
      </c>
      <c r="D711" s="3">
        <v>2.35</v>
      </c>
      <c r="E711" s="2" t="s">
        <v>385</v>
      </c>
      <c r="F711" s="4">
        <v>41687</v>
      </c>
      <c r="G711" s="3">
        <v>50.6</v>
      </c>
      <c r="H711" s="6"/>
      <c r="I711" s="4">
        <v>41703</v>
      </c>
      <c r="J711" s="3">
        <v>53.2</v>
      </c>
      <c r="K711" s="6"/>
      <c r="L711" s="3">
        <v>16</v>
      </c>
      <c r="M711" s="5">
        <v>2.6000000000000014</v>
      </c>
      <c r="N711" s="6"/>
      <c r="O711" s="5">
        <v>37.6</v>
      </c>
      <c r="P711" s="5">
        <v>162.50000000000009</v>
      </c>
      <c r="Q711" s="5">
        <v>18.787021000000003</v>
      </c>
      <c r="R711" s="8">
        <f t="shared" si="67"/>
        <v>16</v>
      </c>
      <c r="S711" s="9">
        <f t="shared" si="68"/>
        <v>2.6000000000000014</v>
      </c>
      <c r="T711" s="9">
        <v>1.5</v>
      </c>
      <c r="U711" s="9">
        <f t="shared" si="69"/>
        <v>37.6</v>
      </c>
      <c r="V711" s="9">
        <f t="shared" si="70"/>
        <v>162.50000000000009</v>
      </c>
      <c r="W711" s="9">
        <f t="shared" si="71"/>
        <v>18.787021000000003</v>
      </c>
    </row>
    <row r="712" spans="1:23">
      <c r="A712" s="2" t="s">
        <v>335</v>
      </c>
      <c r="B712" s="2" t="s">
        <v>371</v>
      </c>
      <c r="C712" s="3">
        <v>245</v>
      </c>
      <c r="D712" s="3">
        <v>2.35</v>
      </c>
      <c r="E712" s="2" t="s">
        <v>385</v>
      </c>
      <c r="F712" s="4">
        <v>41687</v>
      </c>
      <c r="G712" s="3">
        <v>50.6</v>
      </c>
      <c r="H712" s="6"/>
      <c r="I712" s="4">
        <v>41716</v>
      </c>
      <c r="J712" s="3">
        <v>55.5</v>
      </c>
      <c r="K712" s="6"/>
      <c r="L712" s="3">
        <v>29</v>
      </c>
      <c r="M712" s="5">
        <v>4.8999999999999986</v>
      </c>
      <c r="N712" s="6"/>
      <c r="O712" s="5">
        <v>68.150000000000006</v>
      </c>
      <c r="P712" s="5">
        <v>168.96551724137925</v>
      </c>
      <c r="Q712" s="5">
        <v>19.300224499999995</v>
      </c>
      <c r="R712" s="8">
        <f t="shared" si="67"/>
        <v>13</v>
      </c>
      <c r="S712" s="9">
        <f t="shared" si="68"/>
        <v>2.2999999999999972</v>
      </c>
      <c r="T712" s="9">
        <v>1.5</v>
      </c>
      <c r="U712" s="9">
        <f t="shared" si="69"/>
        <v>30.55</v>
      </c>
      <c r="V712" s="9">
        <f t="shared" si="70"/>
        <v>176.92307692307671</v>
      </c>
      <c r="W712" s="9">
        <f t="shared" si="71"/>
        <v>19.692532192307681</v>
      </c>
    </row>
    <row r="713" spans="1:23">
      <c r="A713" s="2" t="s">
        <v>335</v>
      </c>
      <c r="B713" s="2" t="s">
        <v>371</v>
      </c>
      <c r="C713" s="3">
        <v>245</v>
      </c>
      <c r="D713" s="3">
        <v>2.35</v>
      </c>
      <c r="E713" s="2" t="s">
        <v>385</v>
      </c>
      <c r="F713" s="4">
        <v>41687</v>
      </c>
      <c r="G713" s="3">
        <v>50.6</v>
      </c>
      <c r="H713" s="6"/>
      <c r="I713" s="4">
        <v>41731</v>
      </c>
      <c r="J713" s="3">
        <v>56.8</v>
      </c>
      <c r="K713" s="6"/>
      <c r="L713" s="3">
        <v>44</v>
      </c>
      <c r="M713" s="5">
        <v>6.1999999999999957</v>
      </c>
      <c r="N713" s="6"/>
      <c r="O713" s="5">
        <v>103.4</v>
      </c>
      <c r="P713" s="5">
        <v>140.90909090909082</v>
      </c>
      <c r="Q713" s="5">
        <v>18.026951181818177</v>
      </c>
      <c r="R713" s="8">
        <f t="shared" si="67"/>
        <v>15</v>
      </c>
      <c r="S713" s="9">
        <f t="shared" si="68"/>
        <v>1.2999999999999972</v>
      </c>
      <c r="T713" s="9">
        <v>1.5</v>
      </c>
      <c r="U713" s="9">
        <f t="shared" si="69"/>
        <v>35.25</v>
      </c>
      <c r="V713" s="9">
        <f t="shared" si="70"/>
        <v>86.666666666666472</v>
      </c>
      <c r="W713" s="9">
        <f t="shared" si="71"/>
        <v>15.352799666666657</v>
      </c>
    </row>
    <row r="714" spans="1:23">
      <c r="A714" s="2" t="s">
        <v>335</v>
      </c>
      <c r="B714" s="2" t="s">
        <v>371</v>
      </c>
      <c r="C714" s="3">
        <v>245</v>
      </c>
      <c r="D714" s="3">
        <v>2.35</v>
      </c>
      <c r="E714" s="2" t="s">
        <v>386</v>
      </c>
      <c r="F714" s="4">
        <v>41687</v>
      </c>
      <c r="G714" s="3">
        <v>51.6</v>
      </c>
      <c r="H714" s="6"/>
      <c r="I714" s="4">
        <v>41687</v>
      </c>
      <c r="J714" s="3">
        <v>51.6</v>
      </c>
      <c r="K714" s="6"/>
      <c r="L714" s="3">
        <v>0</v>
      </c>
      <c r="M714" s="5">
        <v>0</v>
      </c>
      <c r="N714" s="6"/>
      <c r="O714" s="5">
        <v>0</v>
      </c>
      <c r="P714" s="5">
        <v>0</v>
      </c>
      <c r="Q714" s="5">
        <v>10.725044</v>
      </c>
      <c r="R714" s="8">
        <f t="shared" si="67"/>
        <v>0</v>
      </c>
      <c r="S714" s="9">
        <f t="shared" si="68"/>
        <v>0</v>
      </c>
      <c r="T714" s="9">
        <v>1.5</v>
      </c>
      <c r="U714" s="9">
        <f t="shared" si="69"/>
        <v>0</v>
      </c>
      <c r="V714" s="9">
        <f t="shared" si="70"/>
        <v>0</v>
      </c>
      <c r="W714" s="9">
        <f t="shared" si="71"/>
        <v>10.725044</v>
      </c>
    </row>
    <row r="715" spans="1:23">
      <c r="A715" s="2" t="s">
        <v>335</v>
      </c>
      <c r="B715" s="2" t="s">
        <v>371</v>
      </c>
      <c r="C715" s="3">
        <v>245</v>
      </c>
      <c r="D715" s="3">
        <v>2.35</v>
      </c>
      <c r="E715" s="2" t="s">
        <v>386</v>
      </c>
      <c r="F715" s="4">
        <v>41687</v>
      </c>
      <c r="G715" s="3">
        <v>51.6</v>
      </c>
      <c r="H715" s="6"/>
      <c r="I715" s="4">
        <v>41703</v>
      </c>
      <c r="J715" s="3">
        <v>53.6</v>
      </c>
      <c r="K715" s="6"/>
      <c r="L715" s="3">
        <v>16</v>
      </c>
      <c r="M715" s="5">
        <v>2</v>
      </c>
      <c r="N715" s="6"/>
      <c r="O715" s="5">
        <v>37.6</v>
      </c>
      <c r="P715" s="5">
        <v>125</v>
      </c>
      <c r="Q715" s="5">
        <v>17.056633999999999</v>
      </c>
      <c r="R715" s="8">
        <f t="shared" si="67"/>
        <v>16</v>
      </c>
      <c r="S715" s="9">
        <f t="shared" si="68"/>
        <v>2</v>
      </c>
      <c r="T715" s="9">
        <v>1.5</v>
      </c>
      <c r="U715" s="9">
        <f t="shared" si="69"/>
        <v>37.6</v>
      </c>
      <c r="V715" s="9">
        <f t="shared" si="70"/>
        <v>125</v>
      </c>
      <c r="W715" s="9">
        <f t="shared" si="71"/>
        <v>17.056633999999999</v>
      </c>
    </row>
    <row r="716" spans="1:23">
      <c r="A716" s="2" t="s">
        <v>335</v>
      </c>
      <c r="B716" s="2" t="s">
        <v>371</v>
      </c>
      <c r="C716" s="3">
        <v>245</v>
      </c>
      <c r="D716" s="3">
        <v>2.35</v>
      </c>
      <c r="E716" s="2" t="s">
        <v>386</v>
      </c>
      <c r="F716" s="4">
        <v>41687</v>
      </c>
      <c r="G716" s="3">
        <v>51.6</v>
      </c>
      <c r="H716" s="6"/>
      <c r="I716" s="4">
        <v>41716</v>
      </c>
      <c r="J716" s="3">
        <v>56</v>
      </c>
      <c r="K716" s="6"/>
      <c r="L716" s="3">
        <v>29</v>
      </c>
      <c r="M716" s="5">
        <v>4.3999999999999986</v>
      </c>
      <c r="N716" s="6"/>
      <c r="O716" s="5">
        <v>68.150000000000006</v>
      </c>
      <c r="P716" s="5">
        <v>151.72413793103442</v>
      </c>
      <c r="Q716" s="5">
        <v>18.577041999999995</v>
      </c>
      <c r="R716" s="8">
        <f t="shared" si="67"/>
        <v>13</v>
      </c>
      <c r="S716" s="9">
        <f t="shared" si="68"/>
        <v>2.3999999999999986</v>
      </c>
      <c r="T716" s="9">
        <v>1.5</v>
      </c>
      <c r="U716" s="9">
        <f t="shared" si="69"/>
        <v>30.55</v>
      </c>
      <c r="V716" s="9">
        <f t="shared" si="70"/>
        <v>184.61538461538453</v>
      </c>
      <c r="W716" s="9">
        <f t="shared" si="71"/>
        <v>20.198580461538455</v>
      </c>
    </row>
    <row r="717" spans="1:23">
      <c r="A717" s="2" t="s">
        <v>335</v>
      </c>
      <c r="B717" s="2" t="s">
        <v>371</v>
      </c>
      <c r="C717" s="3">
        <v>245</v>
      </c>
      <c r="D717" s="3">
        <v>2.35</v>
      </c>
      <c r="E717" s="2" t="s">
        <v>386</v>
      </c>
      <c r="F717" s="4">
        <v>41687</v>
      </c>
      <c r="G717" s="3">
        <v>51.6</v>
      </c>
      <c r="H717" s="6"/>
      <c r="I717" s="4">
        <v>41731</v>
      </c>
      <c r="J717" s="3">
        <v>56.8</v>
      </c>
      <c r="K717" s="6"/>
      <c r="L717" s="3">
        <v>44</v>
      </c>
      <c r="M717" s="5">
        <v>5.1999999999999957</v>
      </c>
      <c r="N717" s="6"/>
      <c r="O717" s="5">
        <v>103.4</v>
      </c>
      <c r="P717" s="5">
        <v>118.18181818181809</v>
      </c>
      <c r="Q717" s="5">
        <v>16.991041636363633</v>
      </c>
      <c r="R717" s="8">
        <f t="shared" si="67"/>
        <v>15</v>
      </c>
      <c r="S717" s="9">
        <f t="shared" si="68"/>
        <v>0.79999999999999716</v>
      </c>
      <c r="T717" s="9">
        <v>1.5</v>
      </c>
      <c r="U717" s="9">
        <f t="shared" si="69"/>
        <v>35.25</v>
      </c>
      <c r="V717" s="9">
        <f t="shared" si="70"/>
        <v>53.333333333333144</v>
      </c>
      <c r="W717" s="9">
        <f t="shared" si="71"/>
        <v>13.794011333333325</v>
      </c>
    </row>
    <row r="718" spans="1:23">
      <c r="A718" s="2" t="s">
        <v>335</v>
      </c>
      <c r="B718" s="2" t="s">
        <v>371</v>
      </c>
      <c r="C718" s="3">
        <v>245</v>
      </c>
      <c r="D718" s="3">
        <v>2.35</v>
      </c>
      <c r="E718" s="2" t="s">
        <v>387</v>
      </c>
      <c r="F718" s="4">
        <v>41687</v>
      </c>
      <c r="G718" s="3">
        <v>49.6</v>
      </c>
      <c r="H718" s="6"/>
      <c r="I718" s="4">
        <v>41687</v>
      </c>
      <c r="J718" s="3">
        <v>49.6</v>
      </c>
      <c r="K718" s="6"/>
      <c r="L718" s="3">
        <v>0</v>
      </c>
      <c r="M718" s="5">
        <v>0</v>
      </c>
      <c r="N718" s="6"/>
      <c r="O718" s="5">
        <v>0</v>
      </c>
      <c r="P718" s="5">
        <v>0</v>
      </c>
      <c r="Q718" s="5">
        <v>10.386863999999999</v>
      </c>
      <c r="R718" s="8">
        <f t="shared" si="67"/>
        <v>0</v>
      </c>
      <c r="S718" s="9">
        <f t="shared" si="68"/>
        <v>0</v>
      </c>
      <c r="T718" s="9">
        <v>1.5</v>
      </c>
      <c r="U718" s="9">
        <f t="shared" si="69"/>
        <v>0</v>
      </c>
      <c r="V718" s="9">
        <f t="shared" si="70"/>
        <v>0</v>
      </c>
      <c r="W718" s="9">
        <f t="shared" si="71"/>
        <v>10.386863999999999</v>
      </c>
    </row>
    <row r="719" spans="1:23">
      <c r="A719" s="2" t="s">
        <v>335</v>
      </c>
      <c r="B719" s="2" t="s">
        <v>371</v>
      </c>
      <c r="C719" s="3">
        <v>245</v>
      </c>
      <c r="D719" s="3">
        <v>2.35</v>
      </c>
      <c r="E719" s="2" t="s">
        <v>387</v>
      </c>
      <c r="F719" s="4">
        <v>41687</v>
      </c>
      <c r="G719" s="3">
        <v>49.6</v>
      </c>
      <c r="H719" s="6"/>
      <c r="I719" s="4">
        <v>41703</v>
      </c>
      <c r="J719" s="3">
        <v>54.4</v>
      </c>
      <c r="K719" s="6"/>
      <c r="L719" s="3">
        <v>16</v>
      </c>
      <c r="M719" s="5">
        <v>4.7999999999999972</v>
      </c>
      <c r="N719" s="6"/>
      <c r="O719" s="5">
        <v>37.6</v>
      </c>
      <c r="P719" s="5">
        <v>299.99999999999983</v>
      </c>
      <c r="Q719" s="5">
        <v>25.582679999999989</v>
      </c>
      <c r="R719" s="8">
        <f t="shared" si="67"/>
        <v>16</v>
      </c>
      <c r="S719" s="9">
        <f t="shared" si="68"/>
        <v>4.7999999999999972</v>
      </c>
      <c r="T719" s="9">
        <v>1.5</v>
      </c>
      <c r="U719" s="9">
        <f t="shared" si="69"/>
        <v>37.6</v>
      </c>
      <c r="V719" s="9">
        <f t="shared" si="70"/>
        <v>299.99999999999983</v>
      </c>
      <c r="W719" s="9">
        <f t="shared" si="71"/>
        <v>25.582679999999989</v>
      </c>
    </row>
    <row r="720" spans="1:23">
      <c r="A720" s="2" t="s">
        <v>335</v>
      </c>
      <c r="B720" s="2" t="s">
        <v>371</v>
      </c>
      <c r="C720" s="3">
        <v>245</v>
      </c>
      <c r="D720" s="3">
        <v>2.35</v>
      </c>
      <c r="E720" s="2" t="s">
        <v>387</v>
      </c>
      <c r="F720" s="4">
        <v>41687</v>
      </c>
      <c r="G720" s="3">
        <v>49.6</v>
      </c>
      <c r="H720" s="6"/>
      <c r="I720" s="4">
        <v>41716</v>
      </c>
      <c r="J720" s="3">
        <v>53.5</v>
      </c>
      <c r="K720" s="6"/>
      <c r="L720" s="3">
        <v>29</v>
      </c>
      <c r="M720" s="5">
        <v>3.8999999999999986</v>
      </c>
      <c r="N720" s="6"/>
      <c r="O720" s="5">
        <v>68.150000000000006</v>
      </c>
      <c r="P720" s="5">
        <v>134.48275862068962</v>
      </c>
      <c r="Q720" s="5">
        <v>17.346589499999997</v>
      </c>
      <c r="R720" s="8">
        <f t="shared" si="67"/>
        <v>13</v>
      </c>
      <c r="S720" s="9">
        <f t="shared" si="68"/>
        <v>-0.89999999999999858</v>
      </c>
      <c r="T720" s="9">
        <v>1.5</v>
      </c>
      <c r="U720" s="9">
        <f t="shared" si="69"/>
        <v>30.55</v>
      </c>
      <c r="V720" s="9">
        <f t="shared" si="70"/>
        <v>-69.230769230769127</v>
      </c>
      <c r="W720" s="9">
        <f t="shared" si="71"/>
        <v>7.3035125769230813</v>
      </c>
    </row>
    <row r="721" spans="1:23">
      <c r="A721" s="2" t="s">
        <v>335</v>
      </c>
      <c r="B721" s="2" t="s">
        <v>371</v>
      </c>
      <c r="C721" s="3">
        <v>245</v>
      </c>
      <c r="D721" s="3">
        <v>2.35</v>
      </c>
      <c r="E721" s="2" t="s">
        <v>387</v>
      </c>
      <c r="F721" s="4">
        <v>41687</v>
      </c>
      <c r="G721" s="3">
        <v>49.6</v>
      </c>
      <c r="H721" s="6"/>
      <c r="I721" s="4">
        <v>41731</v>
      </c>
      <c r="J721" s="3">
        <v>55.4</v>
      </c>
      <c r="K721" s="6"/>
      <c r="L721" s="3">
        <v>44</v>
      </c>
      <c r="M721" s="5">
        <v>5.7999999999999972</v>
      </c>
      <c r="N721" s="6"/>
      <c r="O721" s="5">
        <v>103.4</v>
      </c>
      <c r="P721" s="5">
        <v>131.81818181818176</v>
      </c>
      <c r="Q721" s="5">
        <v>17.375861363636361</v>
      </c>
      <c r="R721" s="8">
        <f t="shared" si="67"/>
        <v>15</v>
      </c>
      <c r="S721" s="9">
        <f t="shared" si="68"/>
        <v>1.8999999999999986</v>
      </c>
      <c r="T721" s="9">
        <v>1.5</v>
      </c>
      <c r="U721" s="9">
        <f t="shared" si="69"/>
        <v>35.25</v>
      </c>
      <c r="V721" s="9">
        <f t="shared" si="70"/>
        <v>126.66666666666657</v>
      </c>
      <c r="W721" s="9">
        <f t="shared" si="71"/>
        <v>17.121891666666659</v>
      </c>
    </row>
    <row r="722" spans="1:23">
      <c r="A722" s="2" t="s">
        <v>335</v>
      </c>
      <c r="B722" s="2" t="s">
        <v>371</v>
      </c>
      <c r="C722" s="3">
        <v>245</v>
      </c>
      <c r="D722" s="3">
        <v>2.35</v>
      </c>
      <c r="E722" s="2" t="s">
        <v>388</v>
      </c>
      <c r="F722" s="4">
        <v>41687</v>
      </c>
      <c r="G722" s="3">
        <v>52.4</v>
      </c>
      <c r="H722" s="6"/>
      <c r="I722" s="4">
        <v>41687</v>
      </c>
      <c r="J722" s="3">
        <v>52.4</v>
      </c>
      <c r="K722" s="6"/>
      <c r="L722" s="3">
        <v>0</v>
      </c>
      <c r="M722" s="5">
        <v>0</v>
      </c>
      <c r="N722" s="6"/>
      <c r="O722" s="5">
        <v>0</v>
      </c>
      <c r="P722" s="5">
        <v>0</v>
      </c>
      <c r="Q722" s="5">
        <v>10.860315999999999</v>
      </c>
      <c r="R722" s="8">
        <f t="shared" si="67"/>
        <v>0</v>
      </c>
      <c r="S722" s="9">
        <f t="shared" si="68"/>
        <v>0</v>
      </c>
      <c r="T722" s="9">
        <v>1.5</v>
      </c>
      <c r="U722" s="9">
        <f t="shared" si="69"/>
        <v>0</v>
      </c>
      <c r="V722" s="9">
        <f t="shared" si="70"/>
        <v>0</v>
      </c>
      <c r="W722" s="9">
        <f t="shared" si="71"/>
        <v>10.860315999999999</v>
      </c>
    </row>
    <row r="723" spans="1:23">
      <c r="A723" s="2" t="s">
        <v>335</v>
      </c>
      <c r="B723" s="2" t="s">
        <v>371</v>
      </c>
      <c r="C723" s="3">
        <v>245</v>
      </c>
      <c r="D723" s="3">
        <v>2.35</v>
      </c>
      <c r="E723" s="2" t="s">
        <v>388</v>
      </c>
      <c r="F723" s="4">
        <v>41687</v>
      </c>
      <c r="G723" s="3">
        <v>52.4</v>
      </c>
      <c r="H723" s="6"/>
      <c r="I723" s="4">
        <v>41703</v>
      </c>
      <c r="J723" s="3">
        <v>56</v>
      </c>
      <c r="K723" s="6"/>
      <c r="L723" s="3">
        <v>16</v>
      </c>
      <c r="M723" s="5">
        <v>3.6000000000000014</v>
      </c>
      <c r="N723" s="6"/>
      <c r="O723" s="5">
        <v>37.6</v>
      </c>
      <c r="P723" s="5">
        <v>225.00000000000009</v>
      </c>
      <c r="Q723" s="5">
        <v>22.257178000000003</v>
      </c>
      <c r="R723" s="8">
        <f t="shared" si="67"/>
        <v>16</v>
      </c>
      <c r="S723" s="9">
        <f t="shared" si="68"/>
        <v>3.6000000000000014</v>
      </c>
      <c r="T723" s="9">
        <v>1.5</v>
      </c>
      <c r="U723" s="9">
        <f t="shared" si="69"/>
        <v>37.6</v>
      </c>
      <c r="V723" s="9">
        <f t="shared" si="70"/>
        <v>225.00000000000009</v>
      </c>
      <c r="W723" s="9">
        <f t="shared" si="71"/>
        <v>22.257178000000003</v>
      </c>
    </row>
    <row r="724" spans="1:23">
      <c r="A724" s="2" t="s">
        <v>335</v>
      </c>
      <c r="B724" s="2" t="s">
        <v>371</v>
      </c>
      <c r="C724" s="3">
        <v>245</v>
      </c>
      <c r="D724" s="3">
        <v>2.35</v>
      </c>
      <c r="E724" s="2" t="s">
        <v>388</v>
      </c>
      <c r="F724" s="4">
        <v>41687</v>
      </c>
      <c r="G724" s="3">
        <v>52.4</v>
      </c>
      <c r="H724" s="6"/>
      <c r="I724" s="4">
        <v>41716</v>
      </c>
      <c r="J724" s="3">
        <v>60</v>
      </c>
      <c r="K724" s="6"/>
      <c r="L724" s="3">
        <v>29</v>
      </c>
      <c r="M724" s="5">
        <v>7.6000000000000014</v>
      </c>
      <c r="N724" s="6"/>
      <c r="O724" s="5">
        <v>68.150000000000006</v>
      </c>
      <c r="P724" s="5">
        <v>262.06896551724139</v>
      </c>
      <c r="Q724" s="5">
        <v>24.422857999999998</v>
      </c>
      <c r="R724" s="8">
        <f t="shared" si="67"/>
        <v>13</v>
      </c>
      <c r="S724" s="9">
        <f t="shared" si="68"/>
        <v>4</v>
      </c>
      <c r="T724" s="9">
        <v>1.5</v>
      </c>
      <c r="U724" s="9">
        <f t="shared" si="69"/>
        <v>30.55</v>
      </c>
      <c r="V724" s="9">
        <f t="shared" si="70"/>
        <v>307.69230769230774</v>
      </c>
      <c r="W724" s="9">
        <f t="shared" si="71"/>
        <v>26.672088769230768</v>
      </c>
    </row>
    <row r="725" spans="1:23">
      <c r="A725" s="2" t="s">
        <v>335</v>
      </c>
      <c r="B725" s="2" t="s">
        <v>371</v>
      </c>
      <c r="C725" s="3">
        <v>245</v>
      </c>
      <c r="D725" s="3">
        <v>2.35</v>
      </c>
      <c r="E725" s="2" t="s">
        <v>388</v>
      </c>
      <c r="F725" s="4">
        <v>41687</v>
      </c>
      <c r="G725" s="3">
        <v>52.4</v>
      </c>
      <c r="H725" s="6"/>
      <c r="I725" s="4">
        <v>41731</v>
      </c>
      <c r="J725" s="3">
        <v>62.6</v>
      </c>
      <c r="K725" s="6"/>
      <c r="L725" s="3">
        <v>44</v>
      </c>
      <c r="M725" s="5">
        <v>10.200000000000003</v>
      </c>
      <c r="N725" s="6"/>
      <c r="O725" s="5">
        <v>103.4</v>
      </c>
      <c r="P725" s="5">
        <v>231.8181818181819</v>
      </c>
      <c r="Q725" s="5">
        <v>23.151311363636367</v>
      </c>
      <c r="R725" s="8">
        <f t="shared" si="67"/>
        <v>15</v>
      </c>
      <c r="S725" s="9">
        <f t="shared" si="68"/>
        <v>2.6000000000000014</v>
      </c>
      <c r="T725" s="9">
        <v>1.5</v>
      </c>
      <c r="U725" s="9">
        <f t="shared" si="69"/>
        <v>35.25</v>
      </c>
      <c r="V725" s="9">
        <f t="shared" si="70"/>
        <v>173.33333333333343</v>
      </c>
      <c r="W725" s="9">
        <f t="shared" si="71"/>
        <v>20.268008333333334</v>
      </c>
    </row>
    <row r="726" spans="1:23">
      <c r="A726" s="2" t="s">
        <v>335</v>
      </c>
      <c r="B726" s="2" t="s">
        <v>371</v>
      </c>
      <c r="C726" s="3">
        <v>245</v>
      </c>
      <c r="D726" s="3">
        <v>2.35</v>
      </c>
      <c r="E726" s="2" t="s">
        <v>389</v>
      </c>
      <c r="F726" s="4">
        <v>41687</v>
      </c>
      <c r="G726" s="3">
        <v>50.6</v>
      </c>
      <c r="H726" s="6"/>
      <c r="I726" s="4">
        <v>41687</v>
      </c>
      <c r="J726" s="3">
        <v>50.6</v>
      </c>
      <c r="K726" s="6"/>
      <c r="L726" s="3">
        <v>0</v>
      </c>
      <c r="M726" s="5">
        <v>0</v>
      </c>
      <c r="N726" s="6"/>
      <c r="O726" s="5">
        <v>0</v>
      </c>
      <c r="P726" s="5">
        <v>0</v>
      </c>
      <c r="Q726" s="5">
        <v>10.555954</v>
      </c>
      <c r="R726" s="8">
        <f t="shared" si="67"/>
        <v>0</v>
      </c>
      <c r="S726" s="9">
        <f t="shared" si="68"/>
        <v>0</v>
      </c>
      <c r="T726" s="9">
        <v>1.5</v>
      </c>
      <c r="U726" s="9">
        <f t="shared" si="69"/>
        <v>0</v>
      </c>
      <c r="V726" s="9">
        <f t="shared" si="70"/>
        <v>0</v>
      </c>
      <c r="W726" s="9">
        <f t="shared" si="71"/>
        <v>10.555954</v>
      </c>
    </row>
    <row r="727" spans="1:23">
      <c r="A727" s="2" t="s">
        <v>335</v>
      </c>
      <c r="B727" s="2" t="s">
        <v>371</v>
      </c>
      <c r="C727" s="3">
        <v>245</v>
      </c>
      <c r="D727" s="3">
        <v>2.35</v>
      </c>
      <c r="E727" s="2" t="s">
        <v>389</v>
      </c>
      <c r="F727" s="4">
        <v>41687</v>
      </c>
      <c r="G727" s="3">
        <v>50.6</v>
      </c>
      <c r="H727" s="6"/>
      <c r="I727" s="4">
        <v>41703</v>
      </c>
      <c r="J727" s="3">
        <v>53</v>
      </c>
      <c r="K727" s="6"/>
      <c r="L727" s="3">
        <v>16</v>
      </c>
      <c r="M727" s="5">
        <v>2.3999999999999986</v>
      </c>
      <c r="N727" s="6"/>
      <c r="O727" s="5">
        <v>37.6</v>
      </c>
      <c r="P727" s="5">
        <v>149.99999999999991</v>
      </c>
      <c r="Q727" s="5">
        <v>18.153861999999993</v>
      </c>
      <c r="R727" s="8">
        <f t="shared" si="67"/>
        <v>16</v>
      </c>
      <c r="S727" s="9">
        <f t="shared" si="68"/>
        <v>2.3999999999999986</v>
      </c>
      <c r="T727" s="9">
        <v>1.5</v>
      </c>
      <c r="U727" s="9">
        <f t="shared" si="69"/>
        <v>37.6</v>
      </c>
      <c r="V727" s="9">
        <f t="shared" si="70"/>
        <v>149.99999999999991</v>
      </c>
      <c r="W727" s="9">
        <f t="shared" si="71"/>
        <v>18.153861999999993</v>
      </c>
    </row>
    <row r="728" spans="1:23">
      <c r="A728" s="2" t="s">
        <v>335</v>
      </c>
      <c r="B728" s="2" t="s">
        <v>371</v>
      </c>
      <c r="C728" s="3">
        <v>245</v>
      </c>
      <c r="D728" s="3">
        <v>2.35</v>
      </c>
      <c r="E728" s="2" t="s">
        <v>389</v>
      </c>
      <c r="F728" s="4">
        <v>41687</v>
      </c>
      <c r="G728" s="3">
        <v>50.6</v>
      </c>
      <c r="H728" s="6"/>
      <c r="I728" s="4">
        <v>41716</v>
      </c>
      <c r="J728" s="3">
        <v>54.5</v>
      </c>
      <c r="K728" s="6"/>
      <c r="L728" s="3">
        <v>29</v>
      </c>
      <c r="M728" s="5">
        <v>3.8999999999999986</v>
      </c>
      <c r="N728" s="6"/>
      <c r="O728" s="5">
        <v>68.150000000000006</v>
      </c>
      <c r="P728" s="5">
        <v>134.48275862068962</v>
      </c>
      <c r="Q728" s="5">
        <v>17.515679499999997</v>
      </c>
      <c r="R728" s="8">
        <f t="shared" si="67"/>
        <v>13</v>
      </c>
      <c r="S728" s="9">
        <f t="shared" si="68"/>
        <v>1.5</v>
      </c>
      <c r="T728" s="9">
        <v>1.5</v>
      </c>
      <c r="U728" s="9">
        <f t="shared" si="69"/>
        <v>30.55</v>
      </c>
      <c r="V728" s="9">
        <f t="shared" si="70"/>
        <v>115.38461538461539</v>
      </c>
      <c r="W728" s="9">
        <f t="shared" si="71"/>
        <v>16.574141038461537</v>
      </c>
    </row>
    <row r="729" spans="1:23">
      <c r="A729" s="2" t="s">
        <v>335</v>
      </c>
      <c r="B729" s="2" t="s">
        <v>371</v>
      </c>
      <c r="C729" s="3">
        <v>245</v>
      </c>
      <c r="D729" s="3">
        <v>2.35</v>
      </c>
      <c r="E729" s="2" t="s">
        <v>389</v>
      </c>
      <c r="F729" s="4">
        <v>41687</v>
      </c>
      <c r="G729" s="3">
        <v>50.6</v>
      </c>
      <c r="H729" s="6"/>
      <c r="I729" s="4">
        <v>41731</v>
      </c>
      <c r="J729" s="3">
        <v>55.6</v>
      </c>
      <c r="K729" s="6"/>
      <c r="L729" s="3">
        <v>44</v>
      </c>
      <c r="M729" s="5">
        <v>5</v>
      </c>
      <c r="N729" s="6"/>
      <c r="O729" s="5">
        <v>103.4</v>
      </c>
      <c r="P729" s="5">
        <v>113.63636363636363</v>
      </c>
      <c r="Q729" s="5">
        <v>16.580951727272726</v>
      </c>
      <c r="R729" s="8">
        <f t="shared" si="67"/>
        <v>15</v>
      </c>
      <c r="S729" s="9">
        <f t="shared" si="68"/>
        <v>1.1000000000000014</v>
      </c>
      <c r="T729" s="9">
        <v>1.5</v>
      </c>
      <c r="U729" s="9">
        <f t="shared" si="69"/>
        <v>35.25</v>
      </c>
      <c r="V729" s="9">
        <f t="shared" si="70"/>
        <v>73.333333333333428</v>
      </c>
      <c r="W729" s="9">
        <f t="shared" si="71"/>
        <v>14.594012333333337</v>
      </c>
    </row>
    <row r="730" spans="1:23">
      <c r="A730" s="2" t="s">
        <v>335</v>
      </c>
      <c r="B730" s="2" t="s">
        <v>371</v>
      </c>
      <c r="C730" s="3">
        <v>245</v>
      </c>
      <c r="D730" s="3">
        <v>2.35</v>
      </c>
      <c r="E730" s="2" t="s">
        <v>390</v>
      </c>
      <c r="F730" s="4">
        <v>41687</v>
      </c>
      <c r="G730" s="3">
        <v>50</v>
      </c>
      <c r="H730" s="6"/>
      <c r="I730" s="4">
        <v>41687</v>
      </c>
      <c r="J730" s="3">
        <v>50</v>
      </c>
      <c r="K730" s="6"/>
      <c r="L730" s="3">
        <v>0</v>
      </c>
      <c r="M730" s="5">
        <v>0</v>
      </c>
      <c r="N730" s="6"/>
      <c r="O730" s="5">
        <v>0</v>
      </c>
      <c r="P730" s="5">
        <v>0</v>
      </c>
      <c r="Q730" s="5">
        <v>10.454499999999999</v>
      </c>
      <c r="R730" s="8">
        <f t="shared" si="67"/>
        <v>0</v>
      </c>
      <c r="S730" s="9">
        <f t="shared" si="68"/>
        <v>0</v>
      </c>
      <c r="T730" s="9">
        <v>1.5</v>
      </c>
      <c r="U730" s="9">
        <f t="shared" si="69"/>
        <v>0</v>
      </c>
      <c r="V730" s="9">
        <f t="shared" si="70"/>
        <v>0</v>
      </c>
      <c r="W730" s="9">
        <f t="shared" si="71"/>
        <v>10.454499999999999</v>
      </c>
    </row>
    <row r="731" spans="1:23">
      <c r="A731" s="2" t="s">
        <v>335</v>
      </c>
      <c r="B731" s="2" t="s">
        <v>371</v>
      </c>
      <c r="C731" s="3">
        <v>245</v>
      </c>
      <c r="D731" s="3">
        <v>2.35</v>
      </c>
      <c r="E731" s="2" t="s">
        <v>390</v>
      </c>
      <c r="F731" s="4">
        <v>41687</v>
      </c>
      <c r="G731" s="3">
        <v>50</v>
      </c>
      <c r="H731" s="6"/>
      <c r="I731" s="4">
        <v>41703</v>
      </c>
      <c r="J731" s="3">
        <v>51.2</v>
      </c>
      <c r="K731" s="6"/>
      <c r="L731" s="3">
        <v>16</v>
      </c>
      <c r="M731" s="5">
        <v>1.2000000000000028</v>
      </c>
      <c r="N731" s="6"/>
      <c r="O731" s="5">
        <v>37.6</v>
      </c>
      <c r="P731" s="5">
        <v>75.000000000000171</v>
      </c>
      <c r="Q731" s="5">
        <v>14.253454000000009</v>
      </c>
      <c r="R731" s="8">
        <f t="shared" si="67"/>
        <v>16</v>
      </c>
      <c r="S731" s="9">
        <f t="shared" si="68"/>
        <v>1.2000000000000028</v>
      </c>
      <c r="T731" s="9">
        <v>1.5</v>
      </c>
      <c r="U731" s="9">
        <f t="shared" si="69"/>
        <v>37.6</v>
      </c>
      <c r="V731" s="9">
        <f t="shared" si="70"/>
        <v>75.000000000000171</v>
      </c>
      <c r="W731" s="9">
        <f t="shared" si="71"/>
        <v>14.253454000000009</v>
      </c>
    </row>
    <row r="732" spans="1:23">
      <c r="A732" s="2" t="s">
        <v>335</v>
      </c>
      <c r="B732" s="2" t="s">
        <v>371</v>
      </c>
      <c r="C732" s="3">
        <v>245</v>
      </c>
      <c r="D732" s="3">
        <v>2.35</v>
      </c>
      <c r="E732" s="2" t="s">
        <v>390</v>
      </c>
      <c r="F732" s="4">
        <v>41687</v>
      </c>
      <c r="G732" s="3">
        <v>50</v>
      </c>
      <c r="H732" s="6"/>
      <c r="I732" s="4">
        <v>41716</v>
      </c>
      <c r="J732" s="3">
        <v>54.5</v>
      </c>
      <c r="K732" s="6"/>
      <c r="L732" s="3">
        <v>29</v>
      </c>
      <c r="M732" s="5">
        <v>4.5</v>
      </c>
      <c r="N732" s="6"/>
      <c r="O732" s="5">
        <v>68.150000000000006</v>
      </c>
      <c r="P732" s="5">
        <v>155.17241379310346</v>
      </c>
      <c r="Q732" s="5">
        <v>18.484952499999999</v>
      </c>
      <c r="R732" s="8">
        <f t="shared" si="67"/>
        <v>13</v>
      </c>
      <c r="S732" s="9">
        <f t="shared" si="68"/>
        <v>3.2999999999999972</v>
      </c>
      <c r="T732" s="9">
        <v>1.5</v>
      </c>
      <c r="U732" s="9">
        <f t="shared" si="69"/>
        <v>30.55</v>
      </c>
      <c r="V732" s="9">
        <f t="shared" si="70"/>
        <v>253.84615384615361</v>
      </c>
      <c r="W732" s="9">
        <f t="shared" si="71"/>
        <v>23.349567884615372</v>
      </c>
    </row>
    <row r="733" spans="1:23">
      <c r="A733" s="2" t="s">
        <v>335</v>
      </c>
      <c r="B733" s="2" t="s">
        <v>371</v>
      </c>
      <c r="C733" s="3">
        <v>245</v>
      </c>
      <c r="D733" s="3">
        <v>2.35</v>
      </c>
      <c r="E733" s="2" t="s">
        <v>390</v>
      </c>
      <c r="F733" s="4">
        <v>41687</v>
      </c>
      <c r="G733" s="3">
        <v>50</v>
      </c>
      <c r="H733" s="6"/>
      <c r="I733" s="4">
        <v>41731</v>
      </c>
      <c r="J733" s="3">
        <v>55.2</v>
      </c>
      <c r="K733" s="6"/>
      <c r="L733" s="3">
        <v>44</v>
      </c>
      <c r="M733" s="5">
        <v>5.2000000000000028</v>
      </c>
      <c r="N733" s="6"/>
      <c r="O733" s="5">
        <v>103.4</v>
      </c>
      <c r="P733" s="5">
        <v>118.18181818181824</v>
      </c>
      <c r="Q733" s="5">
        <v>16.720497636363639</v>
      </c>
      <c r="R733" s="8">
        <f t="shared" si="67"/>
        <v>15</v>
      </c>
      <c r="S733" s="9">
        <f t="shared" si="68"/>
        <v>0.70000000000000284</v>
      </c>
      <c r="T733" s="9">
        <v>1.5</v>
      </c>
      <c r="U733" s="9">
        <f t="shared" si="69"/>
        <v>35.25</v>
      </c>
      <c r="V733" s="9">
        <f t="shared" si="70"/>
        <v>46.666666666666856</v>
      </c>
      <c r="W733" s="9">
        <f t="shared" si="71"/>
        <v>13.194800666666675</v>
      </c>
    </row>
    <row r="734" spans="1:23">
      <c r="A734" s="2" t="s">
        <v>335</v>
      </c>
      <c r="B734" s="2" t="s">
        <v>371</v>
      </c>
      <c r="C734" s="3">
        <v>245</v>
      </c>
      <c r="D734" s="3">
        <v>2.35</v>
      </c>
      <c r="E734" s="2" t="s">
        <v>391</v>
      </c>
      <c r="F734" s="4">
        <v>41687</v>
      </c>
      <c r="G734" s="3">
        <v>55.4</v>
      </c>
      <c r="H734" s="6"/>
      <c r="I734" s="4">
        <v>41687</v>
      </c>
      <c r="J734" s="3">
        <v>55.4</v>
      </c>
      <c r="K734" s="6"/>
      <c r="L734" s="3">
        <v>0</v>
      </c>
      <c r="M734" s="5">
        <v>0</v>
      </c>
      <c r="N734" s="6"/>
      <c r="O734" s="5">
        <v>0</v>
      </c>
      <c r="P734" s="5">
        <v>0</v>
      </c>
      <c r="Q734" s="5">
        <v>11.367585999999999</v>
      </c>
      <c r="R734" s="8">
        <f t="shared" si="67"/>
        <v>0</v>
      </c>
      <c r="S734" s="9">
        <f t="shared" si="68"/>
        <v>0</v>
      </c>
      <c r="T734" s="9">
        <v>1.5</v>
      </c>
      <c r="U734" s="9">
        <f t="shared" si="69"/>
        <v>0</v>
      </c>
      <c r="V734" s="9">
        <f t="shared" si="70"/>
        <v>0</v>
      </c>
      <c r="W734" s="9">
        <f t="shared" si="71"/>
        <v>11.367585999999999</v>
      </c>
    </row>
    <row r="735" spans="1:23">
      <c r="A735" s="2" t="s">
        <v>335</v>
      </c>
      <c r="B735" s="2" t="s">
        <v>371</v>
      </c>
      <c r="C735" s="3">
        <v>245</v>
      </c>
      <c r="D735" s="3">
        <v>2.35</v>
      </c>
      <c r="E735" s="2" t="s">
        <v>391</v>
      </c>
      <c r="F735" s="4">
        <v>41687</v>
      </c>
      <c r="G735" s="3">
        <v>55.4</v>
      </c>
      <c r="H735" s="6"/>
      <c r="I735" s="4">
        <v>41703</v>
      </c>
      <c r="J735" s="3">
        <v>57</v>
      </c>
      <c r="K735" s="6"/>
      <c r="L735" s="3">
        <v>16</v>
      </c>
      <c r="M735" s="5">
        <v>1.6000000000000014</v>
      </c>
      <c r="N735" s="6"/>
      <c r="O735" s="5">
        <v>37.6</v>
      </c>
      <c r="P735" s="5">
        <v>100.00000000000009</v>
      </c>
      <c r="Q735" s="5">
        <v>16.432858000000003</v>
      </c>
      <c r="R735" s="8">
        <f t="shared" si="67"/>
        <v>16</v>
      </c>
      <c r="S735" s="9">
        <f t="shared" si="68"/>
        <v>1.6000000000000014</v>
      </c>
      <c r="T735" s="9">
        <v>1.5</v>
      </c>
      <c r="U735" s="9">
        <f t="shared" si="69"/>
        <v>37.6</v>
      </c>
      <c r="V735" s="9">
        <f t="shared" si="70"/>
        <v>100.00000000000009</v>
      </c>
      <c r="W735" s="9">
        <f t="shared" si="71"/>
        <v>16.432858000000003</v>
      </c>
    </row>
    <row r="736" spans="1:23">
      <c r="A736" s="2" t="s">
        <v>335</v>
      </c>
      <c r="B736" s="2" t="s">
        <v>371</v>
      </c>
      <c r="C736" s="3">
        <v>245</v>
      </c>
      <c r="D736" s="3">
        <v>2.35</v>
      </c>
      <c r="E736" s="2" t="s">
        <v>391</v>
      </c>
      <c r="F736" s="4">
        <v>41687</v>
      </c>
      <c r="G736" s="3">
        <v>55.4</v>
      </c>
      <c r="H736" s="6"/>
      <c r="I736" s="4">
        <v>41716</v>
      </c>
      <c r="J736" s="3">
        <v>62.5</v>
      </c>
      <c r="K736" s="6"/>
      <c r="L736" s="3">
        <v>29</v>
      </c>
      <c r="M736" s="5">
        <v>7.1000000000000014</v>
      </c>
      <c r="N736" s="6"/>
      <c r="O736" s="5">
        <v>68.150000000000006</v>
      </c>
      <c r="P736" s="5">
        <v>244.8275862068966</v>
      </c>
      <c r="Q736" s="5">
        <v>24.037855500000003</v>
      </c>
      <c r="R736" s="8">
        <f t="shared" si="67"/>
        <v>13</v>
      </c>
      <c r="S736" s="9">
        <f t="shared" si="68"/>
        <v>5.5</v>
      </c>
      <c r="T736" s="9">
        <v>1.5</v>
      </c>
      <c r="U736" s="9">
        <f t="shared" si="69"/>
        <v>30.55</v>
      </c>
      <c r="V736" s="9">
        <f t="shared" si="70"/>
        <v>423.07692307692309</v>
      </c>
      <c r="W736" s="9">
        <f t="shared" si="71"/>
        <v>32.82554780769231</v>
      </c>
    </row>
    <row r="737" spans="1:23">
      <c r="A737" s="2" t="s">
        <v>335</v>
      </c>
      <c r="B737" s="2" t="s">
        <v>371</v>
      </c>
      <c r="C737" s="3">
        <v>245</v>
      </c>
      <c r="D737" s="3">
        <v>2.35</v>
      </c>
      <c r="E737" s="2" t="s">
        <v>391</v>
      </c>
      <c r="F737" s="4">
        <v>41687</v>
      </c>
      <c r="G737" s="3">
        <v>55.4</v>
      </c>
      <c r="H737" s="6"/>
      <c r="I737" s="4">
        <v>41731</v>
      </c>
      <c r="J737" s="3">
        <v>66.8</v>
      </c>
      <c r="K737" s="6"/>
      <c r="L737" s="3">
        <v>44</v>
      </c>
      <c r="M737" s="5">
        <v>11.399999999999999</v>
      </c>
      <c r="N737" s="6"/>
      <c r="O737" s="5">
        <v>103.4</v>
      </c>
      <c r="P737" s="5">
        <v>259.09090909090907</v>
      </c>
      <c r="Q737" s="5">
        <v>25.104580818181816</v>
      </c>
      <c r="R737" s="8">
        <f t="shared" si="67"/>
        <v>15</v>
      </c>
      <c r="S737" s="9">
        <f t="shared" si="68"/>
        <v>4.2999999999999972</v>
      </c>
      <c r="T737" s="9">
        <v>1.5</v>
      </c>
      <c r="U737" s="9">
        <f t="shared" si="69"/>
        <v>35.25</v>
      </c>
      <c r="V737" s="9">
        <f t="shared" si="70"/>
        <v>286.66666666666646</v>
      </c>
      <c r="W737" s="9">
        <f t="shared" si="71"/>
        <v>26.464065666666656</v>
      </c>
    </row>
    <row r="738" spans="1:23">
      <c r="A738" s="2" t="s">
        <v>335</v>
      </c>
      <c r="B738" s="2" t="s">
        <v>371</v>
      </c>
      <c r="C738" s="3">
        <v>245</v>
      </c>
      <c r="D738" s="3">
        <v>2.35</v>
      </c>
      <c r="E738" s="2" t="s">
        <v>392</v>
      </c>
      <c r="F738" s="4">
        <v>41687</v>
      </c>
      <c r="G738" s="3">
        <v>56.2</v>
      </c>
      <c r="H738" s="6"/>
      <c r="I738" s="4">
        <v>41687</v>
      </c>
      <c r="J738" s="3">
        <v>56.2</v>
      </c>
      <c r="K738" s="6"/>
      <c r="L738" s="3">
        <v>0</v>
      </c>
      <c r="M738" s="5">
        <v>0</v>
      </c>
      <c r="N738" s="6"/>
      <c r="O738" s="5">
        <v>0</v>
      </c>
      <c r="P738" s="5">
        <v>0</v>
      </c>
      <c r="Q738" s="5">
        <v>11.502858</v>
      </c>
      <c r="R738" s="8">
        <f t="shared" si="67"/>
        <v>0</v>
      </c>
      <c r="S738" s="9">
        <f t="shared" si="68"/>
        <v>0</v>
      </c>
      <c r="T738" s="9">
        <v>1.5</v>
      </c>
      <c r="U738" s="9">
        <f t="shared" si="69"/>
        <v>0</v>
      </c>
      <c r="V738" s="9">
        <f t="shared" si="70"/>
        <v>0</v>
      </c>
      <c r="W738" s="9">
        <f t="shared" si="71"/>
        <v>11.502858</v>
      </c>
    </row>
    <row r="739" spans="1:23">
      <c r="A739" s="2" t="s">
        <v>335</v>
      </c>
      <c r="B739" s="2" t="s">
        <v>371</v>
      </c>
      <c r="C739" s="3">
        <v>245</v>
      </c>
      <c r="D739" s="3">
        <v>2.35</v>
      </c>
      <c r="E739" s="2" t="s">
        <v>392</v>
      </c>
      <c r="F739" s="4">
        <v>41687</v>
      </c>
      <c r="G739" s="3">
        <v>56.2</v>
      </c>
      <c r="H739" s="6"/>
      <c r="I739" s="4">
        <v>41703</v>
      </c>
      <c r="J739" s="3">
        <v>61</v>
      </c>
      <c r="K739" s="6"/>
      <c r="L739" s="3">
        <v>16</v>
      </c>
      <c r="M739" s="5">
        <v>4.7999999999999972</v>
      </c>
      <c r="N739" s="6"/>
      <c r="O739" s="5">
        <v>37.6</v>
      </c>
      <c r="P739" s="5">
        <v>299.99999999999983</v>
      </c>
      <c r="Q739" s="5">
        <v>26.69867399999999</v>
      </c>
      <c r="R739" s="8">
        <f t="shared" si="67"/>
        <v>16</v>
      </c>
      <c r="S739" s="9">
        <f t="shared" si="68"/>
        <v>4.7999999999999972</v>
      </c>
      <c r="T739" s="9">
        <v>1.5</v>
      </c>
      <c r="U739" s="9">
        <f t="shared" si="69"/>
        <v>37.6</v>
      </c>
      <c r="V739" s="9">
        <f t="shared" si="70"/>
        <v>299.99999999999983</v>
      </c>
      <c r="W739" s="9">
        <f t="shared" si="71"/>
        <v>26.69867399999999</v>
      </c>
    </row>
    <row r="740" spans="1:23">
      <c r="A740" s="2" t="s">
        <v>335</v>
      </c>
      <c r="B740" s="2" t="s">
        <v>371</v>
      </c>
      <c r="C740" s="3">
        <v>245</v>
      </c>
      <c r="D740" s="3">
        <v>2.35</v>
      </c>
      <c r="E740" s="2" t="s">
        <v>392</v>
      </c>
      <c r="F740" s="4">
        <v>41687</v>
      </c>
      <c r="G740" s="3">
        <v>56.2</v>
      </c>
      <c r="H740" s="6"/>
      <c r="I740" s="4">
        <v>41716</v>
      </c>
      <c r="J740" s="3">
        <v>61.5</v>
      </c>
      <c r="K740" s="6"/>
      <c r="L740" s="3">
        <v>29</v>
      </c>
      <c r="M740" s="5">
        <v>5.2999999999999972</v>
      </c>
      <c r="N740" s="6"/>
      <c r="O740" s="5">
        <v>68.150000000000006</v>
      </c>
      <c r="P740" s="5">
        <v>182.75862068965506</v>
      </c>
      <c r="Q740" s="5">
        <v>20.960946499999991</v>
      </c>
      <c r="R740" s="8">
        <f t="shared" si="67"/>
        <v>13</v>
      </c>
      <c r="S740" s="9">
        <f t="shared" si="68"/>
        <v>0.5</v>
      </c>
      <c r="T740" s="9">
        <v>1.5</v>
      </c>
      <c r="U740" s="9">
        <f t="shared" si="69"/>
        <v>30.55</v>
      </c>
      <c r="V740" s="9">
        <f t="shared" si="70"/>
        <v>38.461538461538467</v>
      </c>
      <c r="W740" s="9">
        <f t="shared" si="71"/>
        <v>13.847100346153844</v>
      </c>
    </row>
    <row r="741" spans="1:23">
      <c r="A741" s="2" t="s">
        <v>335</v>
      </c>
      <c r="B741" s="2" t="s">
        <v>371</v>
      </c>
      <c r="C741" s="3">
        <v>245</v>
      </c>
      <c r="D741" s="3">
        <v>2.35</v>
      </c>
      <c r="E741" s="2" t="s">
        <v>392</v>
      </c>
      <c r="F741" s="4">
        <v>41687</v>
      </c>
      <c r="G741" s="3">
        <v>56.2</v>
      </c>
      <c r="H741" s="6"/>
      <c r="I741" s="4">
        <v>41731</v>
      </c>
      <c r="J741" s="3">
        <v>65.8</v>
      </c>
      <c r="K741" s="6"/>
      <c r="L741" s="3">
        <v>44</v>
      </c>
      <c r="M741" s="5">
        <v>9.5999999999999943</v>
      </c>
      <c r="N741" s="6"/>
      <c r="O741" s="5">
        <v>103.4</v>
      </c>
      <c r="P741" s="5">
        <v>218.18181818181807</v>
      </c>
      <c r="Q741" s="5">
        <v>23.07085363636363</v>
      </c>
      <c r="R741" s="8">
        <f t="shared" si="67"/>
        <v>15</v>
      </c>
      <c r="S741" s="9">
        <f t="shared" si="68"/>
        <v>4.2999999999999972</v>
      </c>
      <c r="T741" s="9">
        <v>1.5</v>
      </c>
      <c r="U741" s="9">
        <f t="shared" si="69"/>
        <v>35.25</v>
      </c>
      <c r="V741" s="9">
        <f t="shared" si="70"/>
        <v>286.66666666666646</v>
      </c>
      <c r="W741" s="9">
        <f t="shared" si="71"/>
        <v>26.447156666666654</v>
      </c>
    </row>
    <row r="742" spans="1:23">
      <c r="A742" s="2" t="s">
        <v>335</v>
      </c>
      <c r="B742" s="2" t="s">
        <v>371</v>
      </c>
      <c r="C742" s="3">
        <v>245</v>
      </c>
      <c r="D742" s="3">
        <v>2.35</v>
      </c>
      <c r="E742" s="2" t="s">
        <v>393</v>
      </c>
      <c r="F742" s="4">
        <v>41687</v>
      </c>
      <c r="G742" s="3">
        <v>51</v>
      </c>
      <c r="H742" s="6"/>
      <c r="I742" s="4">
        <v>41687</v>
      </c>
      <c r="J742" s="3">
        <v>51</v>
      </c>
      <c r="K742" s="6"/>
      <c r="L742" s="3">
        <v>0</v>
      </c>
      <c r="M742" s="5">
        <v>0</v>
      </c>
      <c r="N742" s="6"/>
      <c r="O742" s="5">
        <v>0</v>
      </c>
      <c r="P742" s="5">
        <v>0</v>
      </c>
      <c r="Q742" s="5">
        <v>10.62359</v>
      </c>
      <c r="R742" s="8">
        <f t="shared" si="67"/>
        <v>0</v>
      </c>
      <c r="S742" s="9">
        <f t="shared" si="68"/>
        <v>0</v>
      </c>
      <c r="T742" s="9">
        <v>1.5</v>
      </c>
      <c r="U742" s="9">
        <f t="shared" si="69"/>
        <v>0</v>
      </c>
      <c r="V742" s="9">
        <f t="shared" si="70"/>
        <v>0</v>
      </c>
      <c r="W742" s="9">
        <f t="shared" si="71"/>
        <v>10.62359</v>
      </c>
    </row>
    <row r="743" spans="1:23">
      <c r="A743" s="2" t="s">
        <v>335</v>
      </c>
      <c r="B743" s="2" t="s">
        <v>371</v>
      </c>
      <c r="C743" s="3">
        <v>245</v>
      </c>
      <c r="D743" s="3">
        <v>2.35</v>
      </c>
      <c r="E743" s="2" t="s">
        <v>393</v>
      </c>
      <c r="F743" s="4">
        <v>41687</v>
      </c>
      <c r="G743" s="3">
        <v>51</v>
      </c>
      <c r="H743" s="6"/>
      <c r="I743" s="4">
        <v>41703</v>
      </c>
      <c r="J743" s="3">
        <v>47.4</v>
      </c>
      <c r="K743" s="6"/>
      <c r="L743" s="3">
        <v>16</v>
      </c>
      <c r="M743" s="5">
        <v>-3.6000000000000014</v>
      </c>
      <c r="N743" s="6"/>
      <c r="O743" s="5">
        <v>37.6</v>
      </c>
      <c r="P743" s="5">
        <v>-225.00000000000009</v>
      </c>
      <c r="Q743" s="5">
        <v>-0.77327200000000218</v>
      </c>
      <c r="R743" s="8">
        <f t="shared" si="67"/>
        <v>16</v>
      </c>
      <c r="S743" s="9">
        <f t="shared" si="68"/>
        <v>-3.6000000000000014</v>
      </c>
      <c r="T743" s="9">
        <v>1.5</v>
      </c>
      <c r="U743" s="9">
        <f t="shared" si="69"/>
        <v>37.6</v>
      </c>
      <c r="V743" s="9">
        <f t="shared" si="70"/>
        <v>-225.00000000000009</v>
      </c>
      <c r="W743" s="9">
        <f t="shared" si="71"/>
        <v>-0.77327200000000218</v>
      </c>
    </row>
    <row r="744" spans="1:23">
      <c r="A744" s="2" t="s">
        <v>335</v>
      </c>
      <c r="B744" s="2" t="s">
        <v>371</v>
      </c>
      <c r="C744" s="3">
        <v>245</v>
      </c>
      <c r="D744" s="3">
        <v>2.35</v>
      </c>
      <c r="E744" s="2" t="s">
        <v>393</v>
      </c>
      <c r="F744" s="4">
        <v>41687</v>
      </c>
      <c r="G744" s="3">
        <v>51</v>
      </c>
      <c r="H744" s="6"/>
      <c r="I744" s="4">
        <v>41716</v>
      </c>
      <c r="J744" s="3">
        <v>55</v>
      </c>
      <c r="K744" s="6"/>
      <c r="L744" s="3">
        <v>29</v>
      </c>
      <c r="M744" s="5">
        <v>4</v>
      </c>
      <c r="N744" s="6"/>
      <c r="O744" s="5">
        <v>68.150000000000006</v>
      </c>
      <c r="P744" s="5">
        <v>137.93103448275861</v>
      </c>
      <c r="Q744" s="5">
        <v>17.761769999999999</v>
      </c>
      <c r="R744" s="8">
        <f t="shared" si="67"/>
        <v>13</v>
      </c>
      <c r="S744" s="9">
        <f t="shared" si="68"/>
        <v>7.6000000000000014</v>
      </c>
      <c r="T744" s="9">
        <v>1.5</v>
      </c>
      <c r="U744" s="9">
        <f t="shared" si="69"/>
        <v>30.55</v>
      </c>
      <c r="V744" s="9">
        <f t="shared" si="70"/>
        <v>584.61538461538476</v>
      </c>
      <c r="W744" s="9">
        <f t="shared" si="71"/>
        <v>39.783308461538468</v>
      </c>
    </row>
    <row r="745" spans="1:23">
      <c r="A745" s="2" t="s">
        <v>335</v>
      </c>
      <c r="B745" s="2" t="s">
        <v>371</v>
      </c>
      <c r="C745" s="3">
        <v>245</v>
      </c>
      <c r="D745" s="3">
        <v>2.35</v>
      </c>
      <c r="E745" s="2" t="s">
        <v>393</v>
      </c>
      <c r="F745" s="4">
        <v>41687</v>
      </c>
      <c r="G745" s="3">
        <v>51</v>
      </c>
      <c r="H745" s="6"/>
      <c r="I745" s="4">
        <v>41731</v>
      </c>
      <c r="J745" s="3">
        <v>56.2</v>
      </c>
      <c r="K745" s="6"/>
      <c r="L745" s="3">
        <v>44</v>
      </c>
      <c r="M745" s="5">
        <v>5.2000000000000028</v>
      </c>
      <c r="N745" s="6"/>
      <c r="O745" s="5">
        <v>103.4</v>
      </c>
      <c r="P745" s="5">
        <v>118.18181818181824</v>
      </c>
      <c r="Q745" s="5">
        <v>16.88958763636364</v>
      </c>
      <c r="R745" s="8">
        <f t="shared" si="67"/>
        <v>15</v>
      </c>
      <c r="S745" s="9">
        <f t="shared" si="68"/>
        <v>1.2000000000000028</v>
      </c>
      <c r="T745" s="9">
        <v>1.5</v>
      </c>
      <c r="U745" s="9">
        <f t="shared" si="69"/>
        <v>35.25</v>
      </c>
      <c r="V745" s="9">
        <f t="shared" si="70"/>
        <v>80.000000000000199</v>
      </c>
      <c r="W745" s="9">
        <f t="shared" si="71"/>
        <v>15.00722400000001</v>
      </c>
    </row>
    <row r="746" spans="1:23">
      <c r="A746" s="2" t="s">
        <v>335</v>
      </c>
      <c r="B746" s="2" t="s">
        <v>371</v>
      </c>
      <c r="C746" s="3">
        <v>245</v>
      </c>
      <c r="D746" s="3">
        <v>2.35</v>
      </c>
      <c r="E746" s="2" t="s">
        <v>394</v>
      </c>
      <c r="F746" s="4">
        <v>41687</v>
      </c>
      <c r="G746" s="3">
        <v>51.4</v>
      </c>
      <c r="H746" s="6"/>
      <c r="I746" s="4">
        <v>41687</v>
      </c>
      <c r="J746" s="3">
        <v>51.4</v>
      </c>
      <c r="K746" s="6"/>
      <c r="L746" s="3">
        <v>0</v>
      </c>
      <c r="M746" s="5">
        <v>0</v>
      </c>
      <c r="N746" s="6"/>
      <c r="O746" s="5">
        <v>0</v>
      </c>
      <c r="P746" s="5">
        <v>0</v>
      </c>
      <c r="Q746" s="5">
        <v>10.691225999999999</v>
      </c>
      <c r="R746" s="8">
        <f t="shared" si="67"/>
        <v>0</v>
      </c>
      <c r="S746" s="9">
        <f t="shared" si="68"/>
        <v>0</v>
      </c>
      <c r="T746" s="9">
        <v>1.5</v>
      </c>
      <c r="U746" s="9">
        <f t="shared" si="69"/>
        <v>0</v>
      </c>
      <c r="V746" s="9">
        <f t="shared" si="70"/>
        <v>0</v>
      </c>
      <c r="W746" s="9">
        <f t="shared" si="71"/>
        <v>10.691225999999999</v>
      </c>
    </row>
    <row r="747" spans="1:23">
      <c r="A747" s="2" t="s">
        <v>335</v>
      </c>
      <c r="B747" s="2" t="s">
        <v>371</v>
      </c>
      <c r="C747" s="3">
        <v>245</v>
      </c>
      <c r="D747" s="3">
        <v>2.35</v>
      </c>
      <c r="E747" s="2" t="s">
        <v>394</v>
      </c>
      <c r="F747" s="4">
        <v>41687</v>
      </c>
      <c r="G747" s="3">
        <v>51.4</v>
      </c>
      <c r="H747" s="6"/>
      <c r="I747" s="4">
        <v>41703</v>
      </c>
      <c r="J747" s="3">
        <v>52.8</v>
      </c>
      <c r="K747" s="6"/>
      <c r="L747" s="3">
        <v>16</v>
      </c>
      <c r="M747" s="5">
        <v>1.3999999999999986</v>
      </c>
      <c r="N747" s="6"/>
      <c r="O747" s="5">
        <v>37.6</v>
      </c>
      <c r="P747" s="5">
        <v>87.499999999999915</v>
      </c>
      <c r="Q747" s="5">
        <v>15.123338999999994</v>
      </c>
      <c r="R747" s="8">
        <f t="shared" si="67"/>
        <v>16</v>
      </c>
      <c r="S747" s="9">
        <f t="shared" si="68"/>
        <v>1.3999999999999986</v>
      </c>
      <c r="T747" s="9">
        <v>1.5</v>
      </c>
      <c r="U747" s="9">
        <f t="shared" si="69"/>
        <v>37.6</v>
      </c>
      <c r="V747" s="9">
        <f t="shared" si="70"/>
        <v>87.499999999999915</v>
      </c>
      <c r="W747" s="9">
        <f t="shared" si="71"/>
        <v>15.123338999999994</v>
      </c>
    </row>
    <row r="748" spans="1:23">
      <c r="A748" s="2" t="s">
        <v>335</v>
      </c>
      <c r="B748" s="2" t="s">
        <v>371</v>
      </c>
      <c r="C748" s="3">
        <v>245</v>
      </c>
      <c r="D748" s="3">
        <v>2.35</v>
      </c>
      <c r="E748" s="2" t="s">
        <v>394</v>
      </c>
      <c r="F748" s="4">
        <v>41687</v>
      </c>
      <c r="G748" s="3">
        <v>51.4</v>
      </c>
      <c r="H748" s="6"/>
      <c r="I748" s="4">
        <v>41716</v>
      </c>
      <c r="J748" s="3">
        <v>59.5</v>
      </c>
      <c r="K748" s="6"/>
      <c r="L748" s="3">
        <v>29</v>
      </c>
      <c r="M748" s="5">
        <v>8.1000000000000014</v>
      </c>
      <c r="N748" s="6"/>
      <c r="O748" s="5">
        <v>68.150000000000006</v>
      </c>
      <c r="P748" s="5">
        <v>279.31034482758628</v>
      </c>
      <c r="Q748" s="5">
        <v>25.146040500000002</v>
      </c>
      <c r="R748" s="8">
        <f t="shared" si="67"/>
        <v>13</v>
      </c>
      <c r="S748" s="9">
        <f t="shared" si="68"/>
        <v>6.7000000000000028</v>
      </c>
      <c r="T748" s="9">
        <v>1.5</v>
      </c>
      <c r="U748" s="9">
        <f t="shared" si="69"/>
        <v>30.55</v>
      </c>
      <c r="V748" s="9">
        <f t="shared" si="70"/>
        <v>515.38461538461559</v>
      </c>
      <c r="W748" s="9">
        <f t="shared" si="71"/>
        <v>36.784502038461547</v>
      </c>
    </row>
    <row r="749" spans="1:23">
      <c r="A749" s="2" t="s">
        <v>335</v>
      </c>
      <c r="B749" s="2" t="s">
        <v>371</v>
      </c>
      <c r="C749" s="3">
        <v>245</v>
      </c>
      <c r="D749" s="3">
        <v>2.35</v>
      </c>
      <c r="E749" s="2" t="s">
        <v>394</v>
      </c>
      <c r="F749" s="4">
        <v>41687</v>
      </c>
      <c r="G749" s="3">
        <v>51.4</v>
      </c>
      <c r="H749" s="6"/>
      <c r="I749" s="4">
        <v>41731</v>
      </c>
      <c r="J749" s="3">
        <v>58.6</v>
      </c>
      <c r="K749" s="6"/>
      <c r="L749" s="3">
        <v>44</v>
      </c>
      <c r="M749" s="5">
        <v>7.2000000000000028</v>
      </c>
      <c r="N749" s="6"/>
      <c r="O749" s="5">
        <v>103.4</v>
      </c>
      <c r="P749" s="5">
        <v>163.63636363636368</v>
      </c>
      <c r="Q749" s="5">
        <v>19.367222727272729</v>
      </c>
      <c r="R749" s="8">
        <f t="shared" si="67"/>
        <v>15</v>
      </c>
      <c r="S749" s="9">
        <f t="shared" si="68"/>
        <v>-0.89999999999999858</v>
      </c>
      <c r="T749" s="9">
        <v>1.5</v>
      </c>
      <c r="U749" s="9">
        <f t="shared" si="69"/>
        <v>35.25</v>
      </c>
      <c r="V749" s="9">
        <f t="shared" si="70"/>
        <v>-59.999999999999908</v>
      </c>
      <c r="W749" s="9">
        <f t="shared" si="71"/>
        <v>8.3419500000000042</v>
      </c>
    </row>
    <row r="750" spans="1:23">
      <c r="A750" s="2" t="s">
        <v>335</v>
      </c>
      <c r="B750" s="2" t="s">
        <v>371</v>
      </c>
      <c r="C750" s="3">
        <v>245</v>
      </c>
      <c r="D750" s="3">
        <v>2.35</v>
      </c>
      <c r="E750" s="2" t="s">
        <v>395</v>
      </c>
      <c r="F750" s="4">
        <v>41687</v>
      </c>
      <c r="G750" s="3">
        <v>48.6</v>
      </c>
      <c r="H750" s="6"/>
      <c r="I750" s="4">
        <v>41687</v>
      </c>
      <c r="J750" s="3">
        <v>48.6</v>
      </c>
      <c r="K750" s="6"/>
      <c r="L750" s="3">
        <v>0</v>
      </c>
      <c r="M750" s="5">
        <v>0</v>
      </c>
      <c r="N750" s="6"/>
      <c r="O750" s="5">
        <v>0</v>
      </c>
      <c r="P750" s="5">
        <v>0</v>
      </c>
      <c r="Q750" s="5">
        <v>10.217774</v>
      </c>
      <c r="R750" s="8">
        <f t="shared" si="67"/>
        <v>0</v>
      </c>
      <c r="S750" s="9">
        <f t="shared" si="68"/>
        <v>0</v>
      </c>
      <c r="T750" s="9">
        <v>1.5</v>
      </c>
      <c r="U750" s="9">
        <f t="shared" si="69"/>
        <v>0</v>
      </c>
      <c r="V750" s="9">
        <f t="shared" si="70"/>
        <v>0</v>
      </c>
      <c r="W750" s="9">
        <f t="shared" si="71"/>
        <v>10.217774</v>
      </c>
    </row>
    <row r="751" spans="1:23">
      <c r="A751" s="2" t="s">
        <v>335</v>
      </c>
      <c r="B751" s="2" t="s">
        <v>371</v>
      </c>
      <c r="C751" s="3">
        <v>245</v>
      </c>
      <c r="D751" s="3">
        <v>2.35</v>
      </c>
      <c r="E751" s="2" t="s">
        <v>395</v>
      </c>
      <c r="F751" s="4">
        <v>41687</v>
      </c>
      <c r="G751" s="3">
        <v>48.6</v>
      </c>
      <c r="H751" s="6"/>
      <c r="I751" s="4">
        <v>41703</v>
      </c>
      <c r="J751" s="3">
        <v>48.6</v>
      </c>
      <c r="K751" s="6"/>
      <c r="L751" s="3">
        <v>16</v>
      </c>
      <c r="M751" s="5">
        <v>0</v>
      </c>
      <c r="N751" s="6"/>
      <c r="O751" s="5">
        <v>37.6</v>
      </c>
      <c r="P751" s="5">
        <v>0</v>
      </c>
      <c r="Q751" s="5">
        <v>10.217774</v>
      </c>
      <c r="R751" s="8">
        <f t="shared" si="67"/>
        <v>16</v>
      </c>
      <c r="S751" s="9">
        <f t="shared" si="68"/>
        <v>0</v>
      </c>
      <c r="T751" s="9">
        <v>1.5</v>
      </c>
      <c r="U751" s="9">
        <f t="shared" si="69"/>
        <v>37.6</v>
      </c>
      <c r="V751" s="9">
        <f t="shared" si="70"/>
        <v>0</v>
      </c>
      <c r="W751" s="9">
        <f t="shared" si="71"/>
        <v>10.217774</v>
      </c>
    </row>
    <row r="752" spans="1:23">
      <c r="A752" s="2" t="s">
        <v>335</v>
      </c>
      <c r="B752" s="2" t="s">
        <v>371</v>
      </c>
      <c r="C752" s="3">
        <v>245</v>
      </c>
      <c r="D752" s="3">
        <v>2.35</v>
      </c>
      <c r="E752" s="2" t="s">
        <v>395</v>
      </c>
      <c r="F752" s="4">
        <v>41687</v>
      </c>
      <c r="G752" s="3">
        <v>48.6</v>
      </c>
      <c r="H752" s="6"/>
      <c r="I752" s="4">
        <v>41716</v>
      </c>
      <c r="J752" s="3">
        <v>51</v>
      </c>
      <c r="K752" s="6"/>
      <c r="L752" s="3">
        <v>29</v>
      </c>
      <c r="M752" s="5">
        <v>2.3999999999999986</v>
      </c>
      <c r="N752" s="6"/>
      <c r="O752" s="5">
        <v>68.150000000000006</v>
      </c>
      <c r="P752" s="5">
        <v>82.758620689655132</v>
      </c>
      <c r="Q752" s="5">
        <v>14.500681999999998</v>
      </c>
      <c r="R752" s="8">
        <f t="shared" si="67"/>
        <v>13</v>
      </c>
      <c r="S752" s="9">
        <f t="shared" si="68"/>
        <v>2.3999999999999986</v>
      </c>
      <c r="T752" s="9">
        <v>1.5</v>
      </c>
      <c r="U752" s="9">
        <f t="shared" si="69"/>
        <v>30.55</v>
      </c>
      <c r="V752" s="9">
        <f t="shared" si="70"/>
        <v>184.61538461538453</v>
      </c>
      <c r="W752" s="9">
        <f t="shared" si="71"/>
        <v>19.522220461538456</v>
      </c>
    </row>
    <row r="753" spans="1:23">
      <c r="A753" s="2" t="s">
        <v>335</v>
      </c>
      <c r="B753" s="2" t="s">
        <v>371</v>
      </c>
      <c r="C753" s="3">
        <v>245</v>
      </c>
      <c r="D753" s="3">
        <v>2.35</v>
      </c>
      <c r="E753" s="2" t="s">
        <v>395</v>
      </c>
      <c r="F753" s="4">
        <v>41687</v>
      </c>
      <c r="G753" s="3">
        <v>48.6</v>
      </c>
      <c r="H753" s="6"/>
      <c r="I753" s="4">
        <v>41731</v>
      </c>
      <c r="J753" s="3">
        <v>53.4</v>
      </c>
      <c r="K753" s="6"/>
      <c r="L753" s="3">
        <v>44</v>
      </c>
      <c r="M753" s="5">
        <v>4.7999999999999972</v>
      </c>
      <c r="N753" s="6"/>
      <c r="O753" s="5">
        <v>103.4</v>
      </c>
      <c r="P753" s="5">
        <v>109.09090909090904</v>
      </c>
      <c r="Q753" s="5">
        <v>16.001771818181815</v>
      </c>
      <c r="R753" s="8">
        <f t="shared" si="67"/>
        <v>15</v>
      </c>
      <c r="S753" s="9">
        <f t="shared" si="68"/>
        <v>2.3999999999999986</v>
      </c>
      <c r="T753" s="9">
        <v>1.5</v>
      </c>
      <c r="U753" s="9">
        <f t="shared" si="69"/>
        <v>35.25</v>
      </c>
      <c r="V753" s="9">
        <f t="shared" si="70"/>
        <v>159.99999999999989</v>
      </c>
      <c r="W753" s="9">
        <f t="shared" si="71"/>
        <v>18.511589999999995</v>
      </c>
    </row>
    <row r="754" spans="1:23">
      <c r="A754" s="2" t="s">
        <v>335</v>
      </c>
      <c r="B754" s="2" t="s">
        <v>371</v>
      </c>
      <c r="C754" s="3">
        <v>245</v>
      </c>
      <c r="D754" s="3">
        <v>2.35</v>
      </c>
      <c r="E754" s="2" t="s">
        <v>396</v>
      </c>
      <c r="F754" s="4">
        <v>41687</v>
      </c>
      <c r="G754" s="3">
        <v>48.6</v>
      </c>
      <c r="H754" s="6"/>
      <c r="I754" s="4">
        <v>41687</v>
      </c>
      <c r="J754" s="3">
        <v>48.6</v>
      </c>
      <c r="K754" s="6"/>
      <c r="L754" s="3">
        <v>0</v>
      </c>
      <c r="M754" s="5">
        <v>0</v>
      </c>
      <c r="N754" s="6"/>
      <c r="O754" s="5">
        <v>0</v>
      </c>
      <c r="P754" s="5">
        <v>0</v>
      </c>
      <c r="Q754" s="5">
        <v>10.217774</v>
      </c>
      <c r="R754" s="8">
        <f t="shared" si="67"/>
        <v>0</v>
      </c>
      <c r="S754" s="9">
        <f t="shared" si="68"/>
        <v>0</v>
      </c>
      <c r="T754" s="9">
        <v>1.5</v>
      </c>
      <c r="U754" s="9">
        <f t="shared" si="69"/>
        <v>0</v>
      </c>
      <c r="V754" s="9">
        <f t="shared" si="70"/>
        <v>0</v>
      </c>
      <c r="W754" s="9">
        <f t="shared" si="71"/>
        <v>10.217774</v>
      </c>
    </row>
    <row r="755" spans="1:23">
      <c r="A755" s="2" t="s">
        <v>335</v>
      </c>
      <c r="B755" s="2" t="s">
        <v>371</v>
      </c>
      <c r="C755" s="3">
        <v>245</v>
      </c>
      <c r="D755" s="3">
        <v>2.35</v>
      </c>
      <c r="E755" s="2" t="s">
        <v>396</v>
      </c>
      <c r="F755" s="4">
        <v>41687</v>
      </c>
      <c r="G755" s="3">
        <v>48.6</v>
      </c>
      <c r="H755" s="6"/>
      <c r="I755" s="4">
        <v>41703</v>
      </c>
      <c r="J755" s="3">
        <v>47.8</v>
      </c>
      <c r="K755" s="6"/>
      <c r="L755" s="3">
        <v>16</v>
      </c>
      <c r="M755" s="5">
        <v>-0.80000000000000426</v>
      </c>
      <c r="N755" s="6"/>
      <c r="O755" s="5">
        <v>37.6</v>
      </c>
      <c r="P755" s="5">
        <v>-50.00000000000027</v>
      </c>
      <c r="Q755" s="5">
        <v>7.6851379999999869</v>
      </c>
      <c r="R755" s="8">
        <f t="shared" si="67"/>
        <v>16</v>
      </c>
      <c r="S755" s="9">
        <f t="shared" si="68"/>
        <v>-0.80000000000000426</v>
      </c>
      <c r="T755" s="9">
        <v>1.5</v>
      </c>
      <c r="U755" s="9">
        <f t="shared" si="69"/>
        <v>37.6</v>
      </c>
      <c r="V755" s="9">
        <f t="shared" si="70"/>
        <v>-50.00000000000027</v>
      </c>
      <c r="W755" s="9">
        <f t="shared" si="71"/>
        <v>7.6851379999999869</v>
      </c>
    </row>
    <row r="756" spans="1:23">
      <c r="A756" s="2" t="s">
        <v>335</v>
      </c>
      <c r="B756" s="2" t="s">
        <v>371</v>
      </c>
      <c r="C756" s="3">
        <v>245</v>
      </c>
      <c r="D756" s="3">
        <v>2.35</v>
      </c>
      <c r="E756" s="2" t="s">
        <v>396</v>
      </c>
      <c r="F756" s="4">
        <v>41687</v>
      </c>
      <c r="G756" s="3">
        <v>48.6</v>
      </c>
      <c r="H756" s="6"/>
      <c r="I756" s="4">
        <v>41716</v>
      </c>
      <c r="J756" s="3">
        <v>50.5</v>
      </c>
      <c r="K756" s="6"/>
      <c r="L756" s="3">
        <v>29</v>
      </c>
      <c r="M756" s="5">
        <v>1.8999999999999986</v>
      </c>
      <c r="N756" s="6"/>
      <c r="O756" s="5">
        <v>68.150000000000006</v>
      </c>
      <c r="P756" s="5">
        <v>65.517241379310292</v>
      </c>
      <c r="Q756" s="5">
        <v>13.608409499999995</v>
      </c>
      <c r="R756" s="8">
        <f t="shared" si="67"/>
        <v>13</v>
      </c>
      <c r="S756" s="9">
        <f t="shared" si="68"/>
        <v>2.7000000000000028</v>
      </c>
      <c r="T756" s="9">
        <v>1.5</v>
      </c>
      <c r="U756" s="9">
        <f t="shared" si="69"/>
        <v>30.55</v>
      </c>
      <c r="V756" s="9">
        <f t="shared" si="70"/>
        <v>207.69230769230791</v>
      </c>
      <c r="W756" s="9">
        <f t="shared" si="71"/>
        <v>20.617640269230776</v>
      </c>
    </row>
    <row r="757" spans="1:23">
      <c r="A757" s="2" t="s">
        <v>335</v>
      </c>
      <c r="B757" s="2" t="s">
        <v>371</v>
      </c>
      <c r="C757" s="3">
        <v>245</v>
      </c>
      <c r="D757" s="3">
        <v>2.35</v>
      </c>
      <c r="E757" s="2" t="s">
        <v>396</v>
      </c>
      <c r="F757" s="4">
        <v>41687</v>
      </c>
      <c r="G757" s="3">
        <v>48.6</v>
      </c>
      <c r="H757" s="6"/>
      <c r="I757" s="4">
        <v>41731</v>
      </c>
      <c r="J757" s="3">
        <v>49.4</v>
      </c>
      <c r="K757" s="6"/>
      <c r="L757" s="3">
        <v>44</v>
      </c>
      <c r="M757" s="5">
        <v>0.79999999999999716</v>
      </c>
      <c r="N757" s="6"/>
      <c r="O757" s="5">
        <v>103.4</v>
      </c>
      <c r="P757" s="5">
        <v>18.181818181818119</v>
      </c>
      <c r="Q757" s="5">
        <v>11.181773636363632</v>
      </c>
      <c r="R757" s="8">
        <f t="shared" si="67"/>
        <v>15</v>
      </c>
      <c r="S757" s="9">
        <f t="shared" si="68"/>
        <v>-1.1000000000000014</v>
      </c>
      <c r="T757" s="9">
        <v>1.5</v>
      </c>
      <c r="U757" s="9">
        <f t="shared" si="69"/>
        <v>35.25</v>
      </c>
      <c r="V757" s="9">
        <f t="shared" si="70"/>
        <v>-73.333333333333428</v>
      </c>
      <c r="W757" s="9">
        <f t="shared" si="71"/>
        <v>6.6700766666666613</v>
      </c>
    </row>
    <row r="758" spans="1:23">
      <c r="A758" s="2" t="s">
        <v>335</v>
      </c>
      <c r="B758" s="2" t="s">
        <v>371</v>
      </c>
      <c r="C758" s="3">
        <v>245</v>
      </c>
      <c r="D758" s="3">
        <v>2.35</v>
      </c>
      <c r="E758" s="2" t="s">
        <v>397</v>
      </c>
      <c r="F758" s="4">
        <v>41687</v>
      </c>
      <c r="G758" s="3">
        <v>62.8</v>
      </c>
      <c r="H758" s="6"/>
      <c r="I758" s="4">
        <v>41687</v>
      </c>
      <c r="J758" s="3">
        <v>62.8</v>
      </c>
      <c r="K758" s="6"/>
      <c r="L758" s="3">
        <v>0</v>
      </c>
      <c r="M758" s="5">
        <v>0</v>
      </c>
      <c r="N758" s="6"/>
      <c r="O758" s="5">
        <v>0</v>
      </c>
      <c r="P758" s="5">
        <v>0</v>
      </c>
      <c r="Q758" s="5">
        <v>12.618851999999999</v>
      </c>
      <c r="R758" s="8">
        <f t="shared" si="67"/>
        <v>0</v>
      </c>
      <c r="S758" s="9">
        <f t="shared" si="68"/>
        <v>0</v>
      </c>
      <c r="T758" s="9">
        <v>1.5</v>
      </c>
      <c r="U758" s="9">
        <f t="shared" si="69"/>
        <v>0</v>
      </c>
      <c r="V758" s="9">
        <f t="shared" si="70"/>
        <v>0</v>
      </c>
      <c r="W758" s="9">
        <f t="shared" si="71"/>
        <v>12.618851999999999</v>
      </c>
    </row>
    <row r="759" spans="1:23">
      <c r="A759" s="2" t="s">
        <v>335</v>
      </c>
      <c r="B759" s="2" t="s">
        <v>371</v>
      </c>
      <c r="C759" s="3">
        <v>245</v>
      </c>
      <c r="D759" s="3">
        <v>2.35</v>
      </c>
      <c r="E759" s="2" t="s">
        <v>397</v>
      </c>
      <c r="F759" s="4">
        <v>41687</v>
      </c>
      <c r="G759" s="3">
        <v>62.8</v>
      </c>
      <c r="H759" s="6"/>
      <c r="I759" s="4">
        <v>41703</v>
      </c>
      <c r="J759" s="3">
        <v>64</v>
      </c>
      <c r="K759" s="6"/>
      <c r="L759" s="3">
        <v>16</v>
      </c>
      <c r="M759" s="5">
        <v>1.2000000000000028</v>
      </c>
      <c r="N759" s="6"/>
      <c r="O759" s="5">
        <v>37.6</v>
      </c>
      <c r="P759" s="5">
        <v>75.000000000000171</v>
      </c>
      <c r="Q759" s="5">
        <v>16.417806000000006</v>
      </c>
      <c r="R759" s="8">
        <f t="shared" si="67"/>
        <v>16</v>
      </c>
      <c r="S759" s="9">
        <f t="shared" si="68"/>
        <v>1.2000000000000028</v>
      </c>
      <c r="T759" s="9">
        <v>1.5</v>
      </c>
      <c r="U759" s="9">
        <f t="shared" si="69"/>
        <v>37.6</v>
      </c>
      <c r="V759" s="9">
        <f t="shared" si="70"/>
        <v>75.000000000000171</v>
      </c>
      <c r="W759" s="9">
        <f t="shared" si="71"/>
        <v>16.417806000000006</v>
      </c>
    </row>
    <row r="760" spans="1:23">
      <c r="A760" s="2" t="s">
        <v>335</v>
      </c>
      <c r="B760" s="2" t="s">
        <v>371</v>
      </c>
      <c r="C760" s="3">
        <v>245</v>
      </c>
      <c r="D760" s="3">
        <v>2.35</v>
      </c>
      <c r="E760" s="2" t="s">
        <v>397</v>
      </c>
      <c r="F760" s="4">
        <v>41687</v>
      </c>
      <c r="G760" s="3">
        <v>62.8</v>
      </c>
      <c r="H760" s="6"/>
      <c r="I760" s="4">
        <v>41716</v>
      </c>
      <c r="J760" s="3">
        <v>66.5</v>
      </c>
      <c r="K760" s="6"/>
      <c r="L760" s="3">
        <v>29</v>
      </c>
      <c r="M760" s="5">
        <v>3.7000000000000028</v>
      </c>
      <c r="N760" s="6"/>
      <c r="O760" s="5">
        <v>68.150000000000006</v>
      </c>
      <c r="P760" s="5">
        <v>127.58620689655181</v>
      </c>
      <c r="Q760" s="5">
        <v>19.221668500000003</v>
      </c>
      <c r="R760" s="8">
        <f t="shared" ref="R760:R823" si="72">IF(I760-F760=0,0,I760-I759)</f>
        <v>13</v>
      </c>
      <c r="S760" s="9">
        <f t="shared" ref="S760:S823" si="73">IF(R760=0,J760-G760,J760-J759)</f>
        <v>2.5</v>
      </c>
      <c r="T760" s="9">
        <v>1.5</v>
      </c>
      <c r="U760" s="9">
        <f t="shared" ref="U760:U823" si="74">D760*R760</f>
        <v>30.55</v>
      </c>
      <c r="V760" s="9">
        <f t="shared" ref="V760:V823" si="75">IF(R760=0,0,(S760/R760*1000))</f>
        <v>192.30769230769232</v>
      </c>
      <c r="W760" s="9">
        <f t="shared" ref="W760:W823" si="76">IF(R760=0,(((G760)*0.16909+(V760/1000)*49.3)+2),((((G760+J760)/2)*0.16909+(V760/1000)*49.3)+2))</f>
        <v>22.412437730769231</v>
      </c>
    </row>
    <row r="761" spans="1:23">
      <c r="A761" s="2" t="s">
        <v>335</v>
      </c>
      <c r="B761" s="2" t="s">
        <v>371</v>
      </c>
      <c r="C761" s="3">
        <v>245</v>
      </c>
      <c r="D761" s="3">
        <v>2.35</v>
      </c>
      <c r="E761" s="2" t="s">
        <v>397</v>
      </c>
      <c r="F761" s="4">
        <v>41687</v>
      </c>
      <c r="G761" s="3">
        <v>62.8</v>
      </c>
      <c r="H761" s="6"/>
      <c r="I761" s="4">
        <v>41731</v>
      </c>
      <c r="J761" s="3">
        <v>68</v>
      </c>
      <c r="K761" s="6"/>
      <c r="L761" s="3">
        <v>44</v>
      </c>
      <c r="M761" s="5">
        <v>5.2000000000000028</v>
      </c>
      <c r="N761" s="6"/>
      <c r="O761" s="5">
        <v>103.4</v>
      </c>
      <c r="P761" s="5">
        <v>118.18181818181824</v>
      </c>
      <c r="Q761" s="5">
        <v>18.88484963636364</v>
      </c>
      <c r="R761" s="8">
        <f t="shared" si="72"/>
        <v>15</v>
      </c>
      <c r="S761" s="9">
        <f t="shared" si="73"/>
        <v>1.5</v>
      </c>
      <c r="T761" s="9">
        <v>1.5</v>
      </c>
      <c r="U761" s="9">
        <f t="shared" si="74"/>
        <v>35.25</v>
      </c>
      <c r="V761" s="9">
        <f t="shared" si="75"/>
        <v>100</v>
      </c>
      <c r="W761" s="9">
        <f t="shared" si="76"/>
        <v>17.988486000000002</v>
      </c>
    </row>
    <row r="762" spans="1:23">
      <c r="A762" s="2" t="s">
        <v>335</v>
      </c>
      <c r="B762" s="2" t="s">
        <v>371</v>
      </c>
      <c r="C762" s="3">
        <v>245</v>
      </c>
      <c r="D762" s="3">
        <v>2.35</v>
      </c>
      <c r="E762" s="2" t="s">
        <v>398</v>
      </c>
      <c r="F762" s="4">
        <v>41687</v>
      </c>
      <c r="G762" s="3">
        <v>55</v>
      </c>
      <c r="H762" s="6"/>
      <c r="I762" s="4">
        <v>41687</v>
      </c>
      <c r="J762" s="3">
        <v>55</v>
      </c>
      <c r="K762" s="6"/>
      <c r="L762" s="3">
        <v>0</v>
      </c>
      <c r="M762" s="5">
        <v>0</v>
      </c>
      <c r="N762" s="6"/>
      <c r="O762" s="5">
        <v>0</v>
      </c>
      <c r="P762" s="5">
        <v>0</v>
      </c>
      <c r="Q762" s="5">
        <v>11.299949999999999</v>
      </c>
      <c r="R762" s="8">
        <f t="shared" si="72"/>
        <v>0</v>
      </c>
      <c r="S762" s="9">
        <f t="shared" si="73"/>
        <v>0</v>
      </c>
      <c r="T762" s="9">
        <v>1.5</v>
      </c>
      <c r="U762" s="9">
        <f t="shared" si="74"/>
        <v>0</v>
      </c>
      <c r="V762" s="9">
        <f t="shared" si="75"/>
        <v>0</v>
      </c>
      <c r="W762" s="9">
        <f t="shared" si="76"/>
        <v>11.299949999999999</v>
      </c>
    </row>
    <row r="763" spans="1:23">
      <c r="A763" s="2" t="s">
        <v>335</v>
      </c>
      <c r="B763" s="2" t="s">
        <v>371</v>
      </c>
      <c r="C763" s="3">
        <v>245</v>
      </c>
      <c r="D763" s="3">
        <v>2.35</v>
      </c>
      <c r="E763" s="2" t="s">
        <v>398</v>
      </c>
      <c r="F763" s="4">
        <v>41687</v>
      </c>
      <c r="G763" s="3">
        <v>55</v>
      </c>
      <c r="H763" s="6"/>
      <c r="I763" s="4">
        <v>41703</v>
      </c>
      <c r="J763" s="3">
        <v>55.2</v>
      </c>
      <c r="K763" s="6"/>
      <c r="L763" s="3">
        <v>16</v>
      </c>
      <c r="M763" s="5">
        <v>0.20000000000000284</v>
      </c>
      <c r="N763" s="6"/>
      <c r="O763" s="5">
        <v>37.6</v>
      </c>
      <c r="P763" s="5">
        <v>12.500000000000178</v>
      </c>
      <c r="Q763" s="5">
        <v>11.933109000000007</v>
      </c>
      <c r="R763" s="8">
        <f t="shared" si="72"/>
        <v>16</v>
      </c>
      <c r="S763" s="9">
        <f t="shared" si="73"/>
        <v>0.20000000000000284</v>
      </c>
      <c r="T763" s="9">
        <v>1.5</v>
      </c>
      <c r="U763" s="9">
        <f t="shared" si="74"/>
        <v>37.6</v>
      </c>
      <c r="V763" s="9">
        <f t="shared" si="75"/>
        <v>12.500000000000178</v>
      </c>
      <c r="W763" s="9">
        <f t="shared" si="76"/>
        <v>11.933109000000007</v>
      </c>
    </row>
    <row r="764" spans="1:23">
      <c r="A764" s="2" t="s">
        <v>335</v>
      </c>
      <c r="B764" s="2" t="s">
        <v>371</v>
      </c>
      <c r="C764" s="3">
        <v>245</v>
      </c>
      <c r="D764" s="3">
        <v>2.35</v>
      </c>
      <c r="E764" s="2" t="s">
        <v>398</v>
      </c>
      <c r="F764" s="4">
        <v>41687</v>
      </c>
      <c r="G764" s="3">
        <v>55</v>
      </c>
      <c r="H764" s="6"/>
      <c r="I764" s="4">
        <v>41716</v>
      </c>
      <c r="J764" s="3">
        <v>61</v>
      </c>
      <c r="K764" s="6"/>
      <c r="L764" s="3">
        <v>29</v>
      </c>
      <c r="M764" s="5">
        <v>6</v>
      </c>
      <c r="N764" s="6"/>
      <c r="O764" s="5">
        <v>68.150000000000006</v>
      </c>
      <c r="P764" s="5">
        <v>206.89655172413794</v>
      </c>
      <c r="Q764" s="5">
        <v>22.007219999999997</v>
      </c>
      <c r="R764" s="8">
        <f t="shared" si="72"/>
        <v>13</v>
      </c>
      <c r="S764" s="9">
        <f t="shared" si="73"/>
        <v>5.7999999999999972</v>
      </c>
      <c r="T764" s="9">
        <v>1.5</v>
      </c>
      <c r="U764" s="9">
        <f t="shared" si="74"/>
        <v>30.55</v>
      </c>
      <c r="V764" s="9">
        <f t="shared" si="75"/>
        <v>446.15384615384596</v>
      </c>
      <c r="W764" s="9">
        <f t="shared" si="76"/>
        <v>33.802604615384602</v>
      </c>
    </row>
    <row r="765" spans="1:23">
      <c r="A765" s="2" t="s">
        <v>335</v>
      </c>
      <c r="B765" s="2" t="s">
        <v>371</v>
      </c>
      <c r="C765" s="3">
        <v>245</v>
      </c>
      <c r="D765" s="3">
        <v>2.35</v>
      </c>
      <c r="E765" s="2" t="s">
        <v>398</v>
      </c>
      <c r="F765" s="4">
        <v>41687</v>
      </c>
      <c r="G765" s="3">
        <v>55</v>
      </c>
      <c r="H765" s="6"/>
      <c r="I765" s="4">
        <v>41731</v>
      </c>
      <c r="J765" s="3">
        <v>62.4</v>
      </c>
      <c r="K765" s="6"/>
      <c r="L765" s="3">
        <v>44</v>
      </c>
      <c r="M765" s="5">
        <v>7.3999999999999986</v>
      </c>
      <c r="N765" s="6"/>
      <c r="O765" s="5">
        <v>103.4</v>
      </c>
      <c r="P765" s="5">
        <v>168.18181818181816</v>
      </c>
      <c r="Q765" s="5">
        <v>20.216946636363634</v>
      </c>
      <c r="R765" s="8">
        <f t="shared" si="72"/>
        <v>15</v>
      </c>
      <c r="S765" s="9">
        <f t="shared" si="73"/>
        <v>1.3999999999999986</v>
      </c>
      <c r="T765" s="9">
        <v>1.5</v>
      </c>
      <c r="U765" s="9">
        <f t="shared" si="74"/>
        <v>35.25</v>
      </c>
      <c r="V765" s="9">
        <f t="shared" si="75"/>
        <v>93.333333333333243</v>
      </c>
      <c r="W765" s="9">
        <f t="shared" si="76"/>
        <v>16.526916333333329</v>
      </c>
    </row>
    <row r="766" spans="1:23">
      <c r="A766" s="2" t="s">
        <v>335</v>
      </c>
      <c r="B766" s="2" t="s">
        <v>371</v>
      </c>
      <c r="C766" s="3">
        <v>245</v>
      </c>
      <c r="D766" s="3">
        <v>2.35</v>
      </c>
      <c r="E766" s="2" t="s">
        <v>399</v>
      </c>
      <c r="F766" s="4">
        <v>41687</v>
      </c>
      <c r="G766" s="3">
        <v>63.2</v>
      </c>
      <c r="H766" s="6"/>
      <c r="I766" s="4">
        <v>41687</v>
      </c>
      <c r="J766" s="3">
        <v>63.2</v>
      </c>
      <c r="K766" s="6"/>
      <c r="L766" s="3">
        <v>0</v>
      </c>
      <c r="M766" s="5">
        <v>0</v>
      </c>
      <c r="N766" s="6"/>
      <c r="O766" s="5">
        <v>0</v>
      </c>
      <c r="P766" s="5">
        <v>0</v>
      </c>
      <c r="Q766" s="5">
        <v>12.686488000000001</v>
      </c>
      <c r="R766" s="8">
        <f t="shared" si="72"/>
        <v>0</v>
      </c>
      <c r="S766" s="9">
        <f t="shared" si="73"/>
        <v>0</v>
      </c>
      <c r="T766" s="9">
        <v>1.5</v>
      </c>
      <c r="U766" s="9">
        <f t="shared" si="74"/>
        <v>0</v>
      </c>
      <c r="V766" s="9">
        <f t="shared" si="75"/>
        <v>0</v>
      </c>
      <c r="W766" s="9">
        <f t="shared" si="76"/>
        <v>12.686488000000001</v>
      </c>
    </row>
    <row r="767" spans="1:23">
      <c r="A767" s="2" t="s">
        <v>335</v>
      </c>
      <c r="B767" s="2" t="s">
        <v>371</v>
      </c>
      <c r="C767" s="3">
        <v>245</v>
      </c>
      <c r="D767" s="3">
        <v>2.35</v>
      </c>
      <c r="E767" s="2" t="s">
        <v>399</v>
      </c>
      <c r="F767" s="4">
        <v>41687</v>
      </c>
      <c r="G767" s="3">
        <v>63.2</v>
      </c>
      <c r="H767" s="6"/>
      <c r="I767" s="4">
        <v>41703</v>
      </c>
      <c r="J767" s="3">
        <v>61.4</v>
      </c>
      <c r="K767" s="6"/>
      <c r="L767" s="3">
        <v>16</v>
      </c>
      <c r="M767" s="5">
        <v>-1.8000000000000043</v>
      </c>
      <c r="N767" s="6"/>
      <c r="O767" s="5">
        <v>37.6</v>
      </c>
      <c r="P767" s="5">
        <v>-112.50000000000027</v>
      </c>
      <c r="Q767" s="5">
        <v>6.9880569999999853</v>
      </c>
      <c r="R767" s="8">
        <f t="shared" si="72"/>
        <v>16</v>
      </c>
      <c r="S767" s="9">
        <f t="shared" si="73"/>
        <v>-1.8000000000000043</v>
      </c>
      <c r="T767" s="9">
        <v>1.5</v>
      </c>
      <c r="U767" s="9">
        <f t="shared" si="74"/>
        <v>37.6</v>
      </c>
      <c r="V767" s="9">
        <f t="shared" si="75"/>
        <v>-112.50000000000027</v>
      </c>
      <c r="W767" s="9">
        <f t="shared" si="76"/>
        <v>6.9880569999999853</v>
      </c>
    </row>
    <row r="768" spans="1:23">
      <c r="A768" s="2" t="s">
        <v>335</v>
      </c>
      <c r="B768" s="2" t="s">
        <v>371</v>
      </c>
      <c r="C768" s="3">
        <v>245</v>
      </c>
      <c r="D768" s="3">
        <v>2.35</v>
      </c>
      <c r="E768" s="2" t="s">
        <v>399</v>
      </c>
      <c r="F768" s="4">
        <v>41687</v>
      </c>
      <c r="G768" s="3">
        <v>63.2</v>
      </c>
      <c r="H768" s="6"/>
      <c r="I768" s="4">
        <v>41716</v>
      </c>
      <c r="J768" s="3">
        <v>61.5</v>
      </c>
      <c r="K768" s="6"/>
      <c r="L768" s="3">
        <v>29</v>
      </c>
      <c r="M768" s="5">
        <v>-1.7000000000000028</v>
      </c>
      <c r="N768" s="6"/>
      <c r="O768" s="5">
        <v>68.150000000000006</v>
      </c>
      <c r="P768" s="5">
        <v>-58.620689655172512</v>
      </c>
      <c r="Q768" s="5">
        <v>9.6527614999999951</v>
      </c>
      <c r="R768" s="8">
        <f t="shared" si="72"/>
        <v>13</v>
      </c>
      <c r="S768" s="9">
        <f t="shared" si="73"/>
        <v>0.10000000000000142</v>
      </c>
      <c r="T768" s="9">
        <v>1.5</v>
      </c>
      <c r="U768" s="9">
        <f t="shared" si="74"/>
        <v>30.55</v>
      </c>
      <c r="V768" s="9">
        <f t="shared" si="75"/>
        <v>7.6923076923078018</v>
      </c>
      <c r="W768" s="9">
        <f t="shared" si="76"/>
        <v>12.921992269230774</v>
      </c>
    </row>
    <row r="769" spans="1:23">
      <c r="A769" s="2" t="s">
        <v>335</v>
      </c>
      <c r="B769" s="2" t="s">
        <v>371</v>
      </c>
      <c r="C769" s="3">
        <v>245</v>
      </c>
      <c r="D769" s="3">
        <v>2.35</v>
      </c>
      <c r="E769" s="2" t="s">
        <v>399</v>
      </c>
      <c r="F769" s="4">
        <v>41687</v>
      </c>
      <c r="G769" s="3">
        <v>63.2</v>
      </c>
      <c r="H769" s="6"/>
      <c r="I769" s="4">
        <v>41731</v>
      </c>
      <c r="J769" s="3">
        <v>67.8</v>
      </c>
      <c r="K769" s="6"/>
      <c r="L769" s="3">
        <v>44</v>
      </c>
      <c r="M769" s="5">
        <v>4.5999999999999943</v>
      </c>
      <c r="N769" s="6"/>
      <c r="O769" s="5">
        <v>103.4</v>
      </c>
      <c r="P769" s="5">
        <v>104.54545454545442</v>
      </c>
      <c r="Q769" s="5">
        <v>18.229485909090901</v>
      </c>
      <c r="R769" s="8">
        <f t="shared" si="72"/>
        <v>15</v>
      </c>
      <c r="S769" s="9">
        <f t="shared" si="73"/>
        <v>6.2999999999999972</v>
      </c>
      <c r="T769" s="9">
        <v>1.5</v>
      </c>
      <c r="U769" s="9">
        <f t="shared" si="74"/>
        <v>35.25</v>
      </c>
      <c r="V769" s="9">
        <f t="shared" si="75"/>
        <v>419.99999999999983</v>
      </c>
      <c r="W769" s="9">
        <f t="shared" si="76"/>
        <v>33.781394999999989</v>
      </c>
    </row>
    <row r="770" spans="1:23">
      <c r="A770" s="2" t="s">
        <v>335</v>
      </c>
      <c r="B770" s="2" t="s">
        <v>371</v>
      </c>
      <c r="C770" s="3">
        <v>245</v>
      </c>
      <c r="D770" s="3">
        <v>2.35</v>
      </c>
      <c r="E770" s="2" t="s">
        <v>400</v>
      </c>
      <c r="F770" s="4">
        <v>41687</v>
      </c>
      <c r="G770" s="3">
        <v>51.8</v>
      </c>
      <c r="H770" s="6"/>
      <c r="I770" s="4">
        <v>41687</v>
      </c>
      <c r="J770" s="3">
        <v>51.8</v>
      </c>
      <c r="K770" s="6"/>
      <c r="L770" s="3">
        <v>0</v>
      </c>
      <c r="M770" s="5">
        <v>0</v>
      </c>
      <c r="N770" s="6"/>
      <c r="O770" s="5">
        <v>0</v>
      </c>
      <c r="P770" s="5">
        <v>0</v>
      </c>
      <c r="Q770" s="5">
        <v>10.758861999999999</v>
      </c>
      <c r="R770" s="8">
        <f t="shared" si="72"/>
        <v>0</v>
      </c>
      <c r="S770" s="9">
        <f t="shared" si="73"/>
        <v>0</v>
      </c>
      <c r="T770" s="9">
        <v>1.5</v>
      </c>
      <c r="U770" s="9">
        <f t="shared" si="74"/>
        <v>0</v>
      </c>
      <c r="V770" s="9">
        <f t="shared" si="75"/>
        <v>0</v>
      </c>
      <c r="W770" s="9">
        <f t="shared" si="76"/>
        <v>10.758861999999999</v>
      </c>
    </row>
    <row r="771" spans="1:23">
      <c r="A771" s="2" t="s">
        <v>335</v>
      </c>
      <c r="B771" s="2" t="s">
        <v>371</v>
      </c>
      <c r="C771" s="3">
        <v>245</v>
      </c>
      <c r="D771" s="3">
        <v>2.35</v>
      </c>
      <c r="E771" s="2" t="s">
        <v>400</v>
      </c>
      <c r="F771" s="4">
        <v>41687</v>
      </c>
      <c r="G771" s="3">
        <v>51.8</v>
      </c>
      <c r="H771" s="6"/>
      <c r="I771" s="4">
        <v>41703</v>
      </c>
      <c r="J771" s="3">
        <v>51.4</v>
      </c>
      <c r="K771" s="6"/>
      <c r="L771" s="3">
        <v>16</v>
      </c>
      <c r="M771" s="5">
        <v>-0.39999999999999858</v>
      </c>
      <c r="N771" s="6"/>
      <c r="O771" s="5">
        <v>37.6</v>
      </c>
      <c r="P771" s="5">
        <v>-24.999999999999911</v>
      </c>
      <c r="Q771" s="5">
        <v>9.4925440000000023</v>
      </c>
      <c r="R771" s="8">
        <f t="shared" si="72"/>
        <v>16</v>
      </c>
      <c r="S771" s="9">
        <f t="shared" si="73"/>
        <v>-0.39999999999999858</v>
      </c>
      <c r="T771" s="9">
        <v>1.5</v>
      </c>
      <c r="U771" s="9">
        <f t="shared" si="74"/>
        <v>37.6</v>
      </c>
      <c r="V771" s="9">
        <f t="shared" si="75"/>
        <v>-24.999999999999911</v>
      </c>
      <c r="W771" s="9">
        <f t="shared" si="76"/>
        <v>9.4925440000000023</v>
      </c>
    </row>
    <row r="772" spans="1:23">
      <c r="A772" s="2" t="s">
        <v>335</v>
      </c>
      <c r="B772" s="2" t="s">
        <v>371</v>
      </c>
      <c r="C772" s="3">
        <v>245</v>
      </c>
      <c r="D772" s="3">
        <v>2.35</v>
      </c>
      <c r="E772" s="2" t="s">
        <v>400</v>
      </c>
      <c r="F772" s="4">
        <v>41687</v>
      </c>
      <c r="G772" s="3">
        <v>51.8</v>
      </c>
      <c r="H772" s="6"/>
      <c r="I772" s="4">
        <v>41716</v>
      </c>
      <c r="J772" s="3">
        <v>56</v>
      </c>
      <c r="K772" s="6"/>
      <c r="L772" s="3">
        <v>29</v>
      </c>
      <c r="M772" s="5">
        <v>4.2000000000000028</v>
      </c>
      <c r="N772" s="6"/>
      <c r="O772" s="5">
        <v>68.150000000000006</v>
      </c>
      <c r="P772" s="5">
        <v>144.82758620689665</v>
      </c>
      <c r="Q772" s="5">
        <v>18.253951000000001</v>
      </c>
      <c r="R772" s="8">
        <f t="shared" si="72"/>
        <v>13</v>
      </c>
      <c r="S772" s="9">
        <f t="shared" si="73"/>
        <v>4.6000000000000014</v>
      </c>
      <c r="T772" s="9">
        <v>1.5</v>
      </c>
      <c r="U772" s="9">
        <f t="shared" si="74"/>
        <v>30.55</v>
      </c>
      <c r="V772" s="9">
        <f t="shared" si="75"/>
        <v>353.84615384615398</v>
      </c>
      <c r="W772" s="9">
        <f t="shared" si="76"/>
        <v>28.558566384615389</v>
      </c>
    </row>
    <row r="773" spans="1:23">
      <c r="A773" s="2" t="s">
        <v>335</v>
      </c>
      <c r="B773" s="2" t="s">
        <v>371</v>
      </c>
      <c r="C773" s="3">
        <v>245</v>
      </c>
      <c r="D773" s="3">
        <v>2.35</v>
      </c>
      <c r="E773" s="2" t="s">
        <v>400</v>
      </c>
      <c r="F773" s="4">
        <v>41687</v>
      </c>
      <c r="G773" s="3">
        <v>51.8</v>
      </c>
      <c r="H773" s="6"/>
      <c r="I773" s="4">
        <v>41731</v>
      </c>
      <c r="J773" s="3">
        <v>58.2</v>
      </c>
      <c r="K773" s="6"/>
      <c r="L773" s="3">
        <v>44</v>
      </c>
      <c r="M773" s="5">
        <v>6.4000000000000057</v>
      </c>
      <c r="N773" s="6"/>
      <c r="O773" s="5">
        <v>103.4</v>
      </c>
      <c r="P773" s="5">
        <v>145.45454545454558</v>
      </c>
      <c r="Q773" s="5">
        <v>18.470859090909094</v>
      </c>
      <c r="R773" s="8">
        <f t="shared" si="72"/>
        <v>15</v>
      </c>
      <c r="S773" s="9">
        <f t="shared" si="73"/>
        <v>2.2000000000000028</v>
      </c>
      <c r="T773" s="9">
        <v>1.5</v>
      </c>
      <c r="U773" s="9">
        <f t="shared" si="74"/>
        <v>35.25</v>
      </c>
      <c r="V773" s="9">
        <f t="shared" si="75"/>
        <v>146.66666666666686</v>
      </c>
      <c r="W773" s="9">
        <f t="shared" si="76"/>
        <v>18.530616666666674</v>
      </c>
    </row>
    <row r="774" spans="1:23">
      <c r="A774" s="2" t="s">
        <v>335</v>
      </c>
      <c r="B774" s="2" t="s">
        <v>371</v>
      </c>
      <c r="C774" s="3">
        <v>245</v>
      </c>
      <c r="D774" s="3">
        <v>2.35</v>
      </c>
      <c r="E774" s="2" t="s">
        <v>401</v>
      </c>
      <c r="F774" s="4">
        <v>41687</v>
      </c>
      <c r="G774" s="3">
        <v>56.2</v>
      </c>
      <c r="H774" s="6"/>
      <c r="I774" s="4">
        <v>41687</v>
      </c>
      <c r="J774" s="3">
        <v>56.2</v>
      </c>
      <c r="K774" s="6"/>
      <c r="L774" s="3">
        <v>0</v>
      </c>
      <c r="M774" s="5">
        <v>0</v>
      </c>
      <c r="N774" s="6"/>
      <c r="O774" s="5">
        <v>0</v>
      </c>
      <c r="P774" s="5">
        <v>0</v>
      </c>
      <c r="Q774" s="5">
        <v>11.502858</v>
      </c>
      <c r="R774" s="8">
        <f t="shared" si="72"/>
        <v>0</v>
      </c>
      <c r="S774" s="9">
        <f t="shared" si="73"/>
        <v>0</v>
      </c>
      <c r="T774" s="9">
        <v>1.5</v>
      </c>
      <c r="U774" s="9">
        <f t="shared" si="74"/>
        <v>0</v>
      </c>
      <c r="V774" s="9">
        <f t="shared" si="75"/>
        <v>0</v>
      </c>
      <c r="W774" s="9">
        <f t="shared" si="76"/>
        <v>11.502858</v>
      </c>
    </row>
    <row r="775" spans="1:23">
      <c r="A775" s="2" t="s">
        <v>335</v>
      </c>
      <c r="B775" s="2" t="s">
        <v>371</v>
      </c>
      <c r="C775" s="3">
        <v>245</v>
      </c>
      <c r="D775" s="3">
        <v>2.35</v>
      </c>
      <c r="E775" s="2" t="s">
        <v>401</v>
      </c>
      <c r="F775" s="4">
        <v>41687</v>
      </c>
      <c r="G775" s="3">
        <v>56.2</v>
      </c>
      <c r="H775" s="6"/>
      <c r="I775" s="4">
        <v>41703</v>
      </c>
      <c r="J775" s="3">
        <v>53.6</v>
      </c>
      <c r="K775" s="6"/>
      <c r="L775" s="3">
        <v>16</v>
      </c>
      <c r="M775" s="5">
        <v>-2.6000000000000014</v>
      </c>
      <c r="N775" s="6"/>
      <c r="O775" s="5">
        <v>37.6</v>
      </c>
      <c r="P775" s="5">
        <v>-162.50000000000009</v>
      </c>
      <c r="Q775" s="5">
        <v>3.2717909999999968</v>
      </c>
      <c r="R775" s="8">
        <f t="shared" si="72"/>
        <v>16</v>
      </c>
      <c r="S775" s="9">
        <f t="shared" si="73"/>
        <v>-2.6000000000000014</v>
      </c>
      <c r="T775" s="9">
        <v>1.5</v>
      </c>
      <c r="U775" s="9">
        <f t="shared" si="74"/>
        <v>37.6</v>
      </c>
      <c r="V775" s="9">
        <f t="shared" si="75"/>
        <v>-162.50000000000009</v>
      </c>
      <c r="W775" s="9">
        <f t="shared" si="76"/>
        <v>3.2717909999999968</v>
      </c>
    </row>
    <row r="776" spans="1:23">
      <c r="A776" s="2" t="s">
        <v>335</v>
      </c>
      <c r="B776" s="2" t="s">
        <v>371</v>
      </c>
      <c r="C776" s="3">
        <v>245</v>
      </c>
      <c r="D776" s="3">
        <v>2.35</v>
      </c>
      <c r="E776" s="2" t="s">
        <v>401</v>
      </c>
      <c r="F776" s="4">
        <v>41687</v>
      </c>
      <c r="G776" s="3">
        <v>56.2</v>
      </c>
      <c r="H776" s="6"/>
      <c r="I776" s="4">
        <v>41716</v>
      </c>
      <c r="J776" s="3">
        <v>62.5</v>
      </c>
      <c r="K776" s="6"/>
      <c r="L776" s="3">
        <v>29</v>
      </c>
      <c r="M776" s="5">
        <v>6.2999999999999972</v>
      </c>
      <c r="N776" s="6"/>
      <c r="O776" s="5">
        <v>68.150000000000006</v>
      </c>
      <c r="P776" s="5">
        <v>217.24137931034474</v>
      </c>
      <c r="Q776" s="5">
        <v>22.745491499999993</v>
      </c>
      <c r="R776" s="8">
        <f t="shared" si="72"/>
        <v>13</v>
      </c>
      <c r="S776" s="9">
        <f t="shared" si="73"/>
        <v>8.8999999999999986</v>
      </c>
      <c r="T776" s="9">
        <v>1.5</v>
      </c>
      <c r="U776" s="9">
        <f t="shared" si="74"/>
        <v>30.55</v>
      </c>
      <c r="V776" s="9">
        <f t="shared" si="75"/>
        <v>684.61538461538453</v>
      </c>
      <c r="W776" s="9">
        <f t="shared" si="76"/>
        <v>45.787029961538451</v>
      </c>
    </row>
    <row r="777" spans="1:23">
      <c r="A777" s="2" t="s">
        <v>335</v>
      </c>
      <c r="B777" s="2" t="s">
        <v>371</v>
      </c>
      <c r="C777" s="3">
        <v>245</v>
      </c>
      <c r="D777" s="3">
        <v>2.35</v>
      </c>
      <c r="E777" s="2" t="s">
        <v>401</v>
      </c>
      <c r="F777" s="4">
        <v>41687</v>
      </c>
      <c r="G777" s="3">
        <v>56.2</v>
      </c>
      <c r="H777" s="6"/>
      <c r="I777" s="4">
        <v>41731</v>
      </c>
      <c r="J777" s="3">
        <v>63</v>
      </c>
      <c r="K777" s="6"/>
      <c r="L777" s="3">
        <v>44</v>
      </c>
      <c r="M777" s="5">
        <v>6.7999999999999972</v>
      </c>
      <c r="N777" s="6"/>
      <c r="O777" s="5">
        <v>103.4</v>
      </c>
      <c r="P777" s="5">
        <v>154.54545454545448</v>
      </c>
      <c r="Q777" s="5">
        <v>19.696854909090906</v>
      </c>
      <c r="R777" s="8">
        <f t="shared" si="72"/>
        <v>15</v>
      </c>
      <c r="S777" s="9">
        <f t="shared" si="73"/>
        <v>0.5</v>
      </c>
      <c r="T777" s="9">
        <v>1.5</v>
      </c>
      <c r="U777" s="9">
        <f t="shared" si="74"/>
        <v>35.25</v>
      </c>
      <c r="V777" s="9">
        <f t="shared" si="75"/>
        <v>33.333333333333336</v>
      </c>
      <c r="W777" s="9">
        <f t="shared" si="76"/>
        <v>13.721097333333333</v>
      </c>
    </row>
    <row r="778" spans="1:23">
      <c r="A778" s="2" t="s">
        <v>335</v>
      </c>
      <c r="B778" s="2" t="s">
        <v>371</v>
      </c>
      <c r="C778" s="3">
        <v>245</v>
      </c>
      <c r="D778" s="3">
        <v>2.35</v>
      </c>
      <c r="E778" s="2" t="s">
        <v>402</v>
      </c>
      <c r="F778" s="4">
        <v>41687</v>
      </c>
      <c r="G778" s="3">
        <v>59.6</v>
      </c>
      <c r="H778" s="6"/>
      <c r="I778" s="4">
        <v>41687</v>
      </c>
      <c r="J778" s="3">
        <v>59.6</v>
      </c>
      <c r="K778" s="6"/>
      <c r="L778" s="3">
        <v>0</v>
      </c>
      <c r="M778" s="5">
        <v>0</v>
      </c>
      <c r="N778" s="6"/>
      <c r="O778" s="5">
        <v>0</v>
      </c>
      <c r="P778" s="5">
        <v>0</v>
      </c>
      <c r="Q778" s="5">
        <v>12.077764</v>
      </c>
      <c r="R778" s="8">
        <f t="shared" si="72"/>
        <v>0</v>
      </c>
      <c r="S778" s="9">
        <f t="shared" si="73"/>
        <v>0</v>
      </c>
      <c r="T778" s="9">
        <v>1.5</v>
      </c>
      <c r="U778" s="9">
        <f t="shared" si="74"/>
        <v>0</v>
      </c>
      <c r="V778" s="9">
        <f t="shared" si="75"/>
        <v>0</v>
      </c>
      <c r="W778" s="9">
        <f t="shared" si="76"/>
        <v>12.077764</v>
      </c>
    </row>
    <row r="779" spans="1:23">
      <c r="A779" s="2" t="s">
        <v>335</v>
      </c>
      <c r="B779" s="2" t="s">
        <v>371</v>
      </c>
      <c r="C779" s="3">
        <v>245</v>
      </c>
      <c r="D779" s="3">
        <v>2.35</v>
      </c>
      <c r="E779" s="2" t="s">
        <v>402</v>
      </c>
      <c r="F779" s="4">
        <v>41687</v>
      </c>
      <c r="G779" s="3">
        <v>59.6</v>
      </c>
      <c r="H779" s="6"/>
      <c r="I779" s="4">
        <v>41703</v>
      </c>
      <c r="J779" s="3">
        <v>59.2</v>
      </c>
      <c r="K779" s="6"/>
      <c r="L779" s="3">
        <v>16</v>
      </c>
      <c r="M779" s="5">
        <v>-0.39999999999999858</v>
      </c>
      <c r="N779" s="6"/>
      <c r="O779" s="5">
        <v>37.6</v>
      </c>
      <c r="P779" s="5">
        <v>-24.999999999999911</v>
      </c>
      <c r="Q779" s="5">
        <v>10.811446000000004</v>
      </c>
      <c r="R779" s="8">
        <f t="shared" si="72"/>
        <v>16</v>
      </c>
      <c r="S779" s="9">
        <f t="shared" si="73"/>
        <v>-0.39999999999999858</v>
      </c>
      <c r="T779" s="9">
        <v>1.5</v>
      </c>
      <c r="U779" s="9">
        <f t="shared" si="74"/>
        <v>37.6</v>
      </c>
      <c r="V779" s="9">
        <f t="shared" si="75"/>
        <v>-24.999999999999911</v>
      </c>
      <c r="W779" s="9">
        <f t="shared" si="76"/>
        <v>10.811446000000004</v>
      </c>
    </row>
    <row r="780" spans="1:23">
      <c r="A780" s="2" t="s">
        <v>335</v>
      </c>
      <c r="B780" s="2" t="s">
        <v>371</v>
      </c>
      <c r="C780" s="3">
        <v>245</v>
      </c>
      <c r="D780" s="3">
        <v>2.35</v>
      </c>
      <c r="E780" s="2" t="s">
        <v>402</v>
      </c>
      <c r="F780" s="4">
        <v>41687</v>
      </c>
      <c r="G780" s="3">
        <v>59.6</v>
      </c>
      <c r="H780" s="6"/>
      <c r="I780" s="4">
        <v>41716</v>
      </c>
      <c r="J780" s="3">
        <v>65</v>
      </c>
      <c r="K780" s="6"/>
      <c r="L780" s="3">
        <v>29</v>
      </c>
      <c r="M780" s="5">
        <v>5.3999999999999986</v>
      </c>
      <c r="N780" s="6"/>
      <c r="O780" s="5">
        <v>68.150000000000006</v>
      </c>
      <c r="P780" s="5">
        <v>186.2068965517241</v>
      </c>
      <c r="Q780" s="5">
        <v>21.714306999999998</v>
      </c>
      <c r="R780" s="8">
        <f t="shared" si="72"/>
        <v>13</v>
      </c>
      <c r="S780" s="9">
        <f t="shared" si="73"/>
        <v>5.7999999999999972</v>
      </c>
      <c r="T780" s="9">
        <v>1.5</v>
      </c>
      <c r="U780" s="9">
        <f t="shared" si="74"/>
        <v>30.55</v>
      </c>
      <c r="V780" s="9">
        <f t="shared" si="75"/>
        <v>446.15384615384596</v>
      </c>
      <c r="W780" s="9">
        <f t="shared" si="76"/>
        <v>34.529691615384607</v>
      </c>
    </row>
    <row r="781" spans="1:23">
      <c r="A781" s="2" t="s">
        <v>335</v>
      </c>
      <c r="B781" s="2" t="s">
        <v>371</v>
      </c>
      <c r="C781" s="3">
        <v>245</v>
      </c>
      <c r="D781" s="3">
        <v>2.35</v>
      </c>
      <c r="E781" s="2" t="s">
        <v>402</v>
      </c>
      <c r="F781" s="4">
        <v>41687</v>
      </c>
      <c r="G781" s="3">
        <v>59.6</v>
      </c>
      <c r="H781" s="6"/>
      <c r="I781" s="4">
        <v>41731</v>
      </c>
      <c r="J781" s="3">
        <v>65.2</v>
      </c>
      <c r="K781" s="6"/>
      <c r="L781" s="3">
        <v>44</v>
      </c>
      <c r="M781" s="5">
        <v>5.6000000000000014</v>
      </c>
      <c r="N781" s="6"/>
      <c r="O781" s="5">
        <v>103.4</v>
      </c>
      <c r="P781" s="5">
        <v>127.27272727272731</v>
      </c>
      <c r="Q781" s="5">
        <v>18.825761454545457</v>
      </c>
      <c r="R781" s="8">
        <f t="shared" si="72"/>
        <v>15</v>
      </c>
      <c r="S781" s="9">
        <f t="shared" si="73"/>
        <v>0.20000000000000284</v>
      </c>
      <c r="T781" s="9">
        <v>1.5</v>
      </c>
      <c r="U781" s="9">
        <f t="shared" si="74"/>
        <v>35.25</v>
      </c>
      <c r="V781" s="9">
        <f t="shared" si="75"/>
        <v>13.333333333333524</v>
      </c>
      <c r="W781" s="9">
        <f t="shared" si="76"/>
        <v>13.208549333333343</v>
      </c>
    </row>
    <row r="782" spans="1:23">
      <c r="A782" s="2" t="s">
        <v>335</v>
      </c>
      <c r="B782" s="2" t="s">
        <v>371</v>
      </c>
      <c r="C782" s="3">
        <v>245</v>
      </c>
      <c r="D782" s="3">
        <v>2.35</v>
      </c>
      <c r="E782" s="2" t="s">
        <v>403</v>
      </c>
      <c r="F782" s="4">
        <v>41687</v>
      </c>
      <c r="G782" s="3">
        <v>49.4</v>
      </c>
      <c r="H782" s="6"/>
      <c r="I782" s="4">
        <v>41687</v>
      </c>
      <c r="J782" s="3">
        <v>49.4</v>
      </c>
      <c r="K782" s="6"/>
      <c r="L782" s="3">
        <v>0</v>
      </c>
      <c r="M782" s="5">
        <v>0</v>
      </c>
      <c r="N782" s="6"/>
      <c r="O782" s="5">
        <v>0</v>
      </c>
      <c r="P782" s="5">
        <v>0</v>
      </c>
      <c r="Q782" s="5">
        <v>10.353045999999999</v>
      </c>
      <c r="R782" s="8">
        <f t="shared" si="72"/>
        <v>0</v>
      </c>
      <c r="S782" s="9">
        <f t="shared" si="73"/>
        <v>0</v>
      </c>
      <c r="T782" s="9">
        <v>1.5</v>
      </c>
      <c r="U782" s="9">
        <f t="shared" si="74"/>
        <v>0</v>
      </c>
      <c r="V782" s="9">
        <f t="shared" si="75"/>
        <v>0</v>
      </c>
      <c r="W782" s="9">
        <f t="shared" si="76"/>
        <v>10.353045999999999</v>
      </c>
    </row>
    <row r="783" spans="1:23">
      <c r="A783" s="2" t="s">
        <v>335</v>
      </c>
      <c r="B783" s="2" t="s">
        <v>371</v>
      </c>
      <c r="C783" s="3">
        <v>245</v>
      </c>
      <c r="D783" s="3">
        <v>2.35</v>
      </c>
      <c r="E783" s="2" t="s">
        <v>403</v>
      </c>
      <c r="F783" s="4">
        <v>41687</v>
      </c>
      <c r="G783" s="3">
        <v>49.4</v>
      </c>
      <c r="H783" s="6"/>
      <c r="I783" s="4">
        <v>41703</v>
      </c>
      <c r="J783" s="3">
        <v>49.6</v>
      </c>
      <c r="K783" s="6"/>
      <c r="L783" s="3">
        <v>16</v>
      </c>
      <c r="M783" s="5">
        <v>0.20000000000000284</v>
      </c>
      <c r="N783" s="6"/>
      <c r="O783" s="5">
        <v>37.6</v>
      </c>
      <c r="P783" s="5">
        <v>12.500000000000178</v>
      </c>
      <c r="Q783" s="5">
        <v>10.986205000000007</v>
      </c>
      <c r="R783" s="8">
        <f t="shared" si="72"/>
        <v>16</v>
      </c>
      <c r="S783" s="9">
        <f t="shared" si="73"/>
        <v>0.20000000000000284</v>
      </c>
      <c r="T783" s="9">
        <v>1.5</v>
      </c>
      <c r="U783" s="9">
        <f t="shared" si="74"/>
        <v>37.6</v>
      </c>
      <c r="V783" s="9">
        <f t="shared" si="75"/>
        <v>12.500000000000178</v>
      </c>
      <c r="W783" s="9">
        <f t="shared" si="76"/>
        <v>10.986205000000007</v>
      </c>
    </row>
    <row r="784" spans="1:23">
      <c r="A784" s="2" t="s">
        <v>335</v>
      </c>
      <c r="B784" s="2" t="s">
        <v>371</v>
      </c>
      <c r="C784" s="3">
        <v>245</v>
      </c>
      <c r="D784" s="3">
        <v>2.35</v>
      </c>
      <c r="E784" s="2" t="s">
        <v>403</v>
      </c>
      <c r="F784" s="4">
        <v>41687</v>
      </c>
      <c r="G784" s="3">
        <v>49.4</v>
      </c>
      <c r="H784" s="6"/>
      <c r="I784" s="4">
        <v>41716</v>
      </c>
      <c r="J784" s="3">
        <v>53</v>
      </c>
      <c r="K784" s="6"/>
      <c r="L784" s="3">
        <v>29</v>
      </c>
      <c r="M784" s="5">
        <v>3.6000000000000014</v>
      </c>
      <c r="N784" s="6"/>
      <c r="O784" s="5">
        <v>68.150000000000006</v>
      </c>
      <c r="P784" s="5">
        <v>124.13793103448282</v>
      </c>
      <c r="Q784" s="5">
        <v>16.777408000000001</v>
      </c>
      <c r="R784" s="8">
        <f t="shared" si="72"/>
        <v>13</v>
      </c>
      <c r="S784" s="9">
        <f t="shared" si="73"/>
        <v>3.3999999999999986</v>
      </c>
      <c r="T784" s="9">
        <v>1.5</v>
      </c>
      <c r="U784" s="9">
        <f t="shared" si="74"/>
        <v>30.55</v>
      </c>
      <c r="V784" s="9">
        <f t="shared" si="75"/>
        <v>261.53846153846143</v>
      </c>
      <c r="W784" s="9">
        <f t="shared" si="76"/>
        <v>23.551254153846148</v>
      </c>
    </row>
    <row r="785" spans="1:23">
      <c r="A785" s="2" t="s">
        <v>335</v>
      </c>
      <c r="B785" s="2" t="s">
        <v>371</v>
      </c>
      <c r="C785" s="3">
        <v>245</v>
      </c>
      <c r="D785" s="3">
        <v>2.35</v>
      </c>
      <c r="E785" s="2" t="s">
        <v>403</v>
      </c>
      <c r="F785" s="4">
        <v>41687</v>
      </c>
      <c r="G785" s="3">
        <v>49.4</v>
      </c>
      <c r="H785" s="6"/>
      <c r="I785" s="4">
        <v>41731</v>
      </c>
      <c r="J785" s="3">
        <v>55</v>
      </c>
      <c r="K785" s="6"/>
      <c r="L785" s="3">
        <v>44</v>
      </c>
      <c r="M785" s="5">
        <v>5.6000000000000014</v>
      </c>
      <c r="N785" s="6"/>
      <c r="O785" s="5">
        <v>103.4</v>
      </c>
      <c r="P785" s="5">
        <v>127.27272727272731</v>
      </c>
      <c r="Q785" s="5">
        <v>17.101043454545458</v>
      </c>
      <c r="R785" s="8">
        <f t="shared" si="72"/>
        <v>15</v>
      </c>
      <c r="S785" s="9">
        <f t="shared" si="73"/>
        <v>2</v>
      </c>
      <c r="T785" s="9">
        <v>1.5</v>
      </c>
      <c r="U785" s="9">
        <f t="shared" si="74"/>
        <v>35.25</v>
      </c>
      <c r="V785" s="9">
        <f t="shared" si="75"/>
        <v>133.33333333333334</v>
      </c>
      <c r="W785" s="9">
        <f t="shared" si="76"/>
        <v>17.399831333333335</v>
      </c>
    </row>
    <row r="786" spans="1:23">
      <c r="A786" s="2" t="s">
        <v>335</v>
      </c>
      <c r="B786" s="2" t="s">
        <v>371</v>
      </c>
      <c r="C786" s="3">
        <v>245</v>
      </c>
      <c r="D786" s="3">
        <v>2.35</v>
      </c>
      <c r="E786" s="2" t="s">
        <v>404</v>
      </c>
      <c r="F786" s="4">
        <v>41687</v>
      </c>
      <c r="G786" s="3">
        <v>52.8</v>
      </c>
      <c r="H786" s="6"/>
      <c r="I786" s="4">
        <v>41687</v>
      </c>
      <c r="J786" s="3">
        <v>52.8</v>
      </c>
      <c r="K786" s="6"/>
      <c r="L786" s="3">
        <v>0</v>
      </c>
      <c r="M786" s="5">
        <v>0</v>
      </c>
      <c r="N786" s="6"/>
      <c r="O786" s="5">
        <v>0</v>
      </c>
      <c r="P786" s="5">
        <v>0</v>
      </c>
      <c r="Q786" s="5">
        <v>10.927951999999999</v>
      </c>
      <c r="R786" s="8">
        <f t="shared" si="72"/>
        <v>0</v>
      </c>
      <c r="S786" s="9">
        <f t="shared" si="73"/>
        <v>0</v>
      </c>
      <c r="T786" s="9">
        <v>1.5</v>
      </c>
      <c r="U786" s="9">
        <f t="shared" si="74"/>
        <v>0</v>
      </c>
      <c r="V786" s="9">
        <f t="shared" si="75"/>
        <v>0</v>
      </c>
      <c r="W786" s="9">
        <f t="shared" si="76"/>
        <v>10.927951999999999</v>
      </c>
    </row>
    <row r="787" spans="1:23">
      <c r="A787" s="2" t="s">
        <v>335</v>
      </c>
      <c r="B787" s="2" t="s">
        <v>371</v>
      </c>
      <c r="C787" s="3">
        <v>245</v>
      </c>
      <c r="D787" s="3">
        <v>2.35</v>
      </c>
      <c r="E787" s="2" t="s">
        <v>404</v>
      </c>
      <c r="F787" s="4">
        <v>41687</v>
      </c>
      <c r="G787" s="3">
        <v>52.8</v>
      </c>
      <c r="H787" s="6"/>
      <c r="I787" s="4">
        <v>41703</v>
      </c>
      <c r="J787" s="3">
        <v>56.8</v>
      </c>
      <c r="K787" s="6"/>
      <c r="L787" s="3">
        <v>16</v>
      </c>
      <c r="M787" s="5">
        <v>4</v>
      </c>
      <c r="N787" s="6"/>
      <c r="O787" s="5">
        <v>37.6</v>
      </c>
      <c r="P787" s="5">
        <v>250</v>
      </c>
      <c r="Q787" s="5">
        <v>23.591131999999998</v>
      </c>
      <c r="R787" s="8">
        <f t="shared" si="72"/>
        <v>16</v>
      </c>
      <c r="S787" s="9">
        <f t="shared" si="73"/>
        <v>4</v>
      </c>
      <c r="T787" s="9">
        <v>1.5</v>
      </c>
      <c r="U787" s="9">
        <f t="shared" si="74"/>
        <v>37.6</v>
      </c>
      <c r="V787" s="9">
        <f t="shared" si="75"/>
        <v>250</v>
      </c>
      <c r="W787" s="9">
        <f t="shared" si="76"/>
        <v>23.591131999999998</v>
      </c>
    </row>
    <row r="788" spans="1:23">
      <c r="A788" s="2" t="s">
        <v>335</v>
      </c>
      <c r="B788" s="2" t="s">
        <v>371</v>
      </c>
      <c r="C788" s="3">
        <v>245</v>
      </c>
      <c r="D788" s="3">
        <v>2.35</v>
      </c>
      <c r="E788" s="2" t="s">
        <v>404</v>
      </c>
      <c r="F788" s="4">
        <v>41687</v>
      </c>
      <c r="G788" s="3">
        <v>52.8</v>
      </c>
      <c r="H788" s="6"/>
      <c r="I788" s="4">
        <v>41716</v>
      </c>
      <c r="J788" s="3">
        <v>60</v>
      </c>
      <c r="K788" s="6"/>
      <c r="L788" s="3">
        <v>29</v>
      </c>
      <c r="M788" s="5">
        <v>7.2000000000000028</v>
      </c>
      <c r="N788" s="6"/>
      <c r="O788" s="5">
        <v>68.150000000000006</v>
      </c>
      <c r="P788" s="5">
        <v>248.27586206896564</v>
      </c>
      <c r="Q788" s="5">
        <v>23.776676000000002</v>
      </c>
      <c r="R788" s="8">
        <f t="shared" si="72"/>
        <v>13</v>
      </c>
      <c r="S788" s="9">
        <f t="shared" si="73"/>
        <v>3.2000000000000028</v>
      </c>
      <c r="T788" s="9">
        <v>1.5</v>
      </c>
      <c r="U788" s="9">
        <f t="shared" si="74"/>
        <v>30.55</v>
      </c>
      <c r="V788" s="9">
        <f t="shared" si="75"/>
        <v>246.15384615384636</v>
      </c>
      <c r="W788" s="9">
        <f t="shared" si="76"/>
        <v>23.672060615384623</v>
      </c>
    </row>
    <row r="789" spans="1:23">
      <c r="A789" s="2" t="s">
        <v>335</v>
      </c>
      <c r="B789" s="2" t="s">
        <v>371</v>
      </c>
      <c r="C789" s="3">
        <v>245</v>
      </c>
      <c r="D789" s="3">
        <v>2.35</v>
      </c>
      <c r="E789" s="2" t="s">
        <v>404</v>
      </c>
      <c r="F789" s="4">
        <v>41687</v>
      </c>
      <c r="G789" s="3">
        <v>52.8</v>
      </c>
      <c r="H789" s="6"/>
      <c r="I789" s="4">
        <v>41731</v>
      </c>
      <c r="J789" s="3">
        <v>62.4</v>
      </c>
      <c r="K789" s="6"/>
      <c r="L789" s="3">
        <v>44</v>
      </c>
      <c r="M789" s="5">
        <v>9.6000000000000014</v>
      </c>
      <c r="N789" s="6"/>
      <c r="O789" s="5">
        <v>103.4</v>
      </c>
      <c r="P789" s="5">
        <v>218.18181818181822</v>
      </c>
      <c r="Q789" s="5">
        <v>22.495947636363638</v>
      </c>
      <c r="R789" s="8">
        <f t="shared" si="72"/>
        <v>15</v>
      </c>
      <c r="S789" s="9">
        <f t="shared" si="73"/>
        <v>2.3999999999999986</v>
      </c>
      <c r="T789" s="9">
        <v>1.5</v>
      </c>
      <c r="U789" s="9">
        <f t="shared" si="74"/>
        <v>35.25</v>
      </c>
      <c r="V789" s="9">
        <f t="shared" si="75"/>
        <v>159.99999999999989</v>
      </c>
      <c r="W789" s="9">
        <f t="shared" si="76"/>
        <v>19.627583999999992</v>
      </c>
    </row>
    <row r="790" spans="1:23">
      <c r="A790" s="2" t="s">
        <v>335</v>
      </c>
      <c r="B790" s="2" t="s">
        <v>371</v>
      </c>
      <c r="C790" s="3">
        <v>245</v>
      </c>
      <c r="D790" s="3">
        <v>2.35</v>
      </c>
      <c r="E790" s="2" t="s">
        <v>405</v>
      </c>
      <c r="F790" s="4">
        <v>41687</v>
      </c>
      <c r="G790" s="3">
        <v>61.2</v>
      </c>
      <c r="H790" s="6"/>
      <c r="I790" s="4">
        <v>41687</v>
      </c>
      <c r="J790" s="3">
        <v>61.2</v>
      </c>
      <c r="K790" s="6"/>
      <c r="L790" s="3">
        <v>0</v>
      </c>
      <c r="M790" s="5">
        <v>0</v>
      </c>
      <c r="N790" s="6"/>
      <c r="O790" s="5">
        <v>0</v>
      </c>
      <c r="P790" s="5">
        <v>0</v>
      </c>
      <c r="Q790" s="5">
        <v>12.348307999999999</v>
      </c>
      <c r="R790" s="8">
        <f t="shared" si="72"/>
        <v>0</v>
      </c>
      <c r="S790" s="9">
        <f t="shared" si="73"/>
        <v>0</v>
      </c>
      <c r="T790" s="9">
        <v>1.5</v>
      </c>
      <c r="U790" s="9">
        <f t="shared" si="74"/>
        <v>0</v>
      </c>
      <c r="V790" s="9">
        <f t="shared" si="75"/>
        <v>0</v>
      </c>
      <c r="W790" s="9">
        <f t="shared" si="76"/>
        <v>12.348307999999999</v>
      </c>
    </row>
    <row r="791" spans="1:23">
      <c r="A791" s="2" t="s">
        <v>335</v>
      </c>
      <c r="B791" s="2" t="s">
        <v>371</v>
      </c>
      <c r="C791" s="3">
        <v>245</v>
      </c>
      <c r="D791" s="3">
        <v>2.35</v>
      </c>
      <c r="E791" s="2" t="s">
        <v>405</v>
      </c>
      <c r="F791" s="4">
        <v>41687</v>
      </c>
      <c r="G791" s="3">
        <v>61.2</v>
      </c>
      <c r="H791" s="6"/>
      <c r="I791" s="4">
        <v>41703</v>
      </c>
      <c r="J791" s="3">
        <v>57.8</v>
      </c>
      <c r="K791" s="6"/>
      <c r="L791" s="3">
        <v>16</v>
      </c>
      <c r="M791" s="5">
        <v>-3.4000000000000057</v>
      </c>
      <c r="N791" s="6"/>
      <c r="O791" s="5">
        <v>37.6</v>
      </c>
      <c r="P791" s="5">
        <v>-212.50000000000034</v>
      </c>
      <c r="Q791" s="5">
        <v>1.5846049999999838</v>
      </c>
      <c r="R791" s="8">
        <f t="shared" si="72"/>
        <v>16</v>
      </c>
      <c r="S791" s="9">
        <f t="shared" si="73"/>
        <v>-3.4000000000000057</v>
      </c>
      <c r="T791" s="9">
        <v>1.5</v>
      </c>
      <c r="U791" s="9">
        <f t="shared" si="74"/>
        <v>37.6</v>
      </c>
      <c r="V791" s="9">
        <f t="shared" si="75"/>
        <v>-212.50000000000034</v>
      </c>
      <c r="W791" s="9">
        <f t="shared" si="76"/>
        <v>1.5846049999999838</v>
      </c>
    </row>
    <row r="792" spans="1:23">
      <c r="A792" s="2" t="s">
        <v>335</v>
      </c>
      <c r="B792" s="2" t="s">
        <v>371</v>
      </c>
      <c r="C792" s="3">
        <v>245</v>
      </c>
      <c r="D792" s="3">
        <v>2.35</v>
      </c>
      <c r="E792" s="2" t="s">
        <v>405</v>
      </c>
      <c r="F792" s="4">
        <v>41687</v>
      </c>
      <c r="G792" s="3">
        <v>61.2</v>
      </c>
      <c r="H792" s="6"/>
      <c r="I792" s="4">
        <v>41716</v>
      </c>
      <c r="J792" s="3">
        <v>62</v>
      </c>
      <c r="K792" s="6"/>
      <c r="L792" s="3">
        <v>29</v>
      </c>
      <c r="M792" s="5">
        <v>0.79999999999999716</v>
      </c>
      <c r="N792" s="6"/>
      <c r="O792" s="5">
        <v>68.150000000000006</v>
      </c>
      <c r="P792" s="5">
        <v>27.586206896551626</v>
      </c>
      <c r="Q792" s="5">
        <v>13.775943999999996</v>
      </c>
      <c r="R792" s="8">
        <f t="shared" si="72"/>
        <v>13</v>
      </c>
      <c r="S792" s="9">
        <f t="shared" si="73"/>
        <v>4.2000000000000028</v>
      </c>
      <c r="T792" s="9">
        <v>1.5</v>
      </c>
      <c r="U792" s="9">
        <f t="shared" si="74"/>
        <v>30.55</v>
      </c>
      <c r="V792" s="9">
        <f t="shared" si="75"/>
        <v>323.07692307692332</v>
      </c>
      <c r="W792" s="9">
        <f t="shared" si="76"/>
        <v>28.343636307692318</v>
      </c>
    </row>
    <row r="793" spans="1:23">
      <c r="A793" s="2" t="s">
        <v>335</v>
      </c>
      <c r="B793" s="2" t="s">
        <v>371</v>
      </c>
      <c r="C793" s="3">
        <v>245</v>
      </c>
      <c r="D793" s="3">
        <v>2.35</v>
      </c>
      <c r="E793" s="2" t="s">
        <v>405</v>
      </c>
      <c r="F793" s="4">
        <v>41687</v>
      </c>
      <c r="G793" s="3">
        <v>61.2</v>
      </c>
      <c r="H793" s="6"/>
      <c r="I793" s="4">
        <v>41731</v>
      </c>
      <c r="J793" s="3">
        <v>65</v>
      </c>
      <c r="K793" s="6"/>
      <c r="L793" s="3">
        <v>44</v>
      </c>
      <c r="M793" s="5">
        <v>3.7999999999999972</v>
      </c>
      <c r="N793" s="6"/>
      <c r="O793" s="5">
        <v>103.4</v>
      </c>
      <c r="P793" s="5">
        <v>86.363636363636289</v>
      </c>
      <c r="Q793" s="5">
        <v>16.927306272727268</v>
      </c>
      <c r="R793" s="8">
        <f t="shared" si="72"/>
        <v>15</v>
      </c>
      <c r="S793" s="9">
        <f t="shared" si="73"/>
        <v>3</v>
      </c>
      <c r="T793" s="9">
        <v>1.5</v>
      </c>
      <c r="U793" s="9">
        <f t="shared" si="74"/>
        <v>35.25</v>
      </c>
      <c r="V793" s="9">
        <f t="shared" si="75"/>
        <v>200</v>
      </c>
      <c r="W793" s="9">
        <f t="shared" si="76"/>
        <v>22.529578999999998</v>
      </c>
    </row>
    <row r="794" spans="1:23">
      <c r="A794" s="2" t="s">
        <v>335</v>
      </c>
      <c r="B794" s="2" t="s">
        <v>371</v>
      </c>
      <c r="C794" s="3">
        <v>245</v>
      </c>
      <c r="D794" s="3">
        <v>2.35</v>
      </c>
      <c r="E794" s="2" t="s">
        <v>406</v>
      </c>
      <c r="F794" s="4">
        <v>41687</v>
      </c>
      <c r="G794" s="3">
        <v>50.6</v>
      </c>
      <c r="H794" s="6"/>
      <c r="I794" s="4">
        <v>41687</v>
      </c>
      <c r="J794" s="3">
        <v>50.6</v>
      </c>
      <c r="K794" s="6"/>
      <c r="L794" s="3">
        <v>0</v>
      </c>
      <c r="M794" s="5">
        <v>0</v>
      </c>
      <c r="N794" s="6"/>
      <c r="O794" s="5">
        <v>0</v>
      </c>
      <c r="P794" s="5">
        <v>0</v>
      </c>
      <c r="Q794" s="5">
        <v>10.555954</v>
      </c>
      <c r="R794" s="8">
        <f t="shared" si="72"/>
        <v>0</v>
      </c>
      <c r="S794" s="9">
        <f t="shared" si="73"/>
        <v>0</v>
      </c>
      <c r="T794" s="9">
        <v>1.5</v>
      </c>
      <c r="U794" s="9">
        <f t="shared" si="74"/>
        <v>0</v>
      </c>
      <c r="V794" s="9">
        <f t="shared" si="75"/>
        <v>0</v>
      </c>
      <c r="W794" s="9">
        <f t="shared" si="76"/>
        <v>10.555954</v>
      </c>
    </row>
    <row r="795" spans="1:23">
      <c r="A795" s="2" t="s">
        <v>335</v>
      </c>
      <c r="B795" s="2" t="s">
        <v>371</v>
      </c>
      <c r="C795" s="3">
        <v>245</v>
      </c>
      <c r="D795" s="3">
        <v>2.35</v>
      </c>
      <c r="E795" s="2" t="s">
        <v>406</v>
      </c>
      <c r="F795" s="4">
        <v>41687</v>
      </c>
      <c r="G795" s="3">
        <v>50.6</v>
      </c>
      <c r="H795" s="6"/>
      <c r="I795" s="4">
        <v>41703</v>
      </c>
      <c r="J795" s="3">
        <v>50.2</v>
      </c>
      <c r="K795" s="6"/>
      <c r="L795" s="3">
        <v>16</v>
      </c>
      <c r="M795" s="5">
        <v>-0.39999999999999858</v>
      </c>
      <c r="N795" s="6"/>
      <c r="O795" s="5">
        <v>37.6</v>
      </c>
      <c r="P795" s="5">
        <v>-24.999999999999911</v>
      </c>
      <c r="Q795" s="5">
        <v>9.2896360000000051</v>
      </c>
      <c r="R795" s="8">
        <f t="shared" si="72"/>
        <v>16</v>
      </c>
      <c r="S795" s="9">
        <f t="shared" si="73"/>
        <v>-0.39999999999999858</v>
      </c>
      <c r="T795" s="9">
        <v>1.5</v>
      </c>
      <c r="U795" s="9">
        <f t="shared" si="74"/>
        <v>37.6</v>
      </c>
      <c r="V795" s="9">
        <f t="shared" si="75"/>
        <v>-24.999999999999911</v>
      </c>
      <c r="W795" s="9">
        <f t="shared" si="76"/>
        <v>9.2896360000000051</v>
      </c>
    </row>
    <row r="796" spans="1:23">
      <c r="A796" s="2" t="s">
        <v>335</v>
      </c>
      <c r="B796" s="2" t="s">
        <v>371</v>
      </c>
      <c r="C796" s="3">
        <v>245</v>
      </c>
      <c r="D796" s="3">
        <v>2.35</v>
      </c>
      <c r="E796" s="2" t="s">
        <v>406</v>
      </c>
      <c r="F796" s="4">
        <v>41687</v>
      </c>
      <c r="G796" s="3">
        <v>50.6</v>
      </c>
      <c r="H796" s="6"/>
      <c r="I796" s="4">
        <v>41716</v>
      </c>
      <c r="J796" s="3">
        <v>57</v>
      </c>
      <c r="K796" s="6"/>
      <c r="L796" s="3">
        <v>29</v>
      </c>
      <c r="M796" s="5">
        <v>6.3999999999999986</v>
      </c>
      <c r="N796" s="6"/>
      <c r="O796" s="5">
        <v>68.150000000000006</v>
      </c>
      <c r="P796" s="5">
        <v>220.68965517241372</v>
      </c>
      <c r="Q796" s="5">
        <v>21.977041999999997</v>
      </c>
      <c r="R796" s="8">
        <f t="shared" si="72"/>
        <v>13</v>
      </c>
      <c r="S796" s="9">
        <f t="shared" si="73"/>
        <v>6.7999999999999972</v>
      </c>
      <c r="T796" s="9">
        <v>1.5</v>
      </c>
      <c r="U796" s="9">
        <f t="shared" si="74"/>
        <v>30.55</v>
      </c>
      <c r="V796" s="9">
        <f t="shared" si="75"/>
        <v>523.07692307692287</v>
      </c>
      <c r="W796" s="9">
        <f t="shared" si="76"/>
        <v>36.884734307692298</v>
      </c>
    </row>
    <row r="797" spans="1:23">
      <c r="A797" s="2" t="s">
        <v>335</v>
      </c>
      <c r="B797" s="2" t="s">
        <v>371</v>
      </c>
      <c r="C797" s="3">
        <v>245</v>
      </c>
      <c r="D797" s="3">
        <v>2.35</v>
      </c>
      <c r="E797" s="2" t="s">
        <v>406</v>
      </c>
      <c r="F797" s="4">
        <v>41687</v>
      </c>
      <c r="G797" s="3">
        <v>50.6</v>
      </c>
      <c r="H797" s="6"/>
      <c r="I797" s="4">
        <v>41731</v>
      </c>
      <c r="J797" s="3">
        <v>56.2</v>
      </c>
      <c r="K797" s="6"/>
      <c r="L797" s="3">
        <v>44</v>
      </c>
      <c r="M797" s="5">
        <v>5.6000000000000014</v>
      </c>
      <c r="N797" s="6"/>
      <c r="O797" s="5">
        <v>103.4</v>
      </c>
      <c r="P797" s="5">
        <v>127.27272727272731</v>
      </c>
      <c r="Q797" s="5">
        <v>17.303951454545455</v>
      </c>
      <c r="R797" s="8">
        <f t="shared" si="72"/>
        <v>15</v>
      </c>
      <c r="S797" s="9">
        <f t="shared" si="73"/>
        <v>-0.79999999999999716</v>
      </c>
      <c r="T797" s="9">
        <v>1.5</v>
      </c>
      <c r="U797" s="9">
        <f t="shared" si="74"/>
        <v>35.25</v>
      </c>
      <c r="V797" s="9">
        <f t="shared" si="75"/>
        <v>-53.333333333333144</v>
      </c>
      <c r="W797" s="9">
        <f t="shared" si="76"/>
        <v>8.4000726666666754</v>
      </c>
    </row>
    <row r="798" spans="1:23">
      <c r="A798" s="2" t="s">
        <v>335</v>
      </c>
      <c r="B798" s="2" t="s">
        <v>371</v>
      </c>
      <c r="C798" s="3">
        <v>245</v>
      </c>
      <c r="D798" s="3">
        <v>2.35</v>
      </c>
      <c r="E798" s="2" t="s">
        <v>407</v>
      </c>
      <c r="F798" s="4">
        <v>41687</v>
      </c>
      <c r="G798" s="3">
        <v>50.4</v>
      </c>
      <c r="H798" s="6"/>
      <c r="I798" s="4">
        <v>41687</v>
      </c>
      <c r="J798" s="3">
        <v>50.4</v>
      </c>
      <c r="K798" s="6"/>
      <c r="L798" s="3">
        <v>0</v>
      </c>
      <c r="M798" s="5">
        <v>0</v>
      </c>
      <c r="N798" s="6"/>
      <c r="O798" s="5">
        <v>0</v>
      </c>
      <c r="P798" s="5">
        <v>0</v>
      </c>
      <c r="Q798" s="5">
        <v>10.522136</v>
      </c>
      <c r="R798" s="8">
        <f t="shared" si="72"/>
        <v>0</v>
      </c>
      <c r="S798" s="9">
        <f t="shared" si="73"/>
        <v>0</v>
      </c>
      <c r="T798" s="9">
        <v>1.5</v>
      </c>
      <c r="U798" s="9">
        <f t="shared" si="74"/>
        <v>0</v>
      </c>
      <c r="V798" s="9">
        <f t="shared" si="75"/>
        <v>0</v>
      </c>
      <c r="W798" s="9">
        <f t="shared" si="76"/>
        <v>10.522136</v>
      </c>
    </row>
    <row r="799" spans="1:23">
      <c r="A799" s="2" t="s">
        <v>335</v>
      </c>
      <c r="B799" s="2" t="s">
        <v>371</v>
      </c>
      <c r="C799" s="3">
        <v>245</v>
      </c>
      <c r="D799" s="3">
        <v>2.35</v>
      </c>
      <c r="E799" s="2" t="s">
        <v>407</v>
      </c>
      <c r="F799" s="4">
        <v>41687</v>
      </c>
      <c r="G799" s="3">
        <v>50.4</v>
      </c>
      <c r="H799" s="6"/>
      <c r="I799" s="4">
        <v>41703</v>
      </c>
      <c r="J799" s="3">
        <v>51.8</v>
      </c>
      <c r="K799" s="6"/>
      <c r="L799" s="3">
        <v>16</v>
      </c>
      <c r="M799" s="5">
        <v>1.3999999999999986</v>
      </c>
      <c r="N799" s="6"/>
      <c r="O799" s="5">
        <v>37.6</v>
      </c>
      <c r="P799" s="5">
        <v>87.499999999999915</v>
      </c>
      <c r="Q799" s="5">
        <v>14.954248999999994</v>
      </c>
      <c r="R799" s="8">
        <f t="shared" si="72"/>
        <v>16</v>
      </c>
      <c r="S799" s="9">
        <f t="shared" si="73"/>
        <v>1.3999999999999986</v>
      </c>
      <c r="T799" s="9">
        <v>1.5</v>
      </c>
      <c r="U799" s="9">
        <f t="shared" si="74"/>
        <v>37.6</v>
      </c>
      <c r="V799" s="9">
        <f t="shared" si="75"/>
        <v>87.499999999999915</v>
      </c>
      <c r="W799" s="9">
        <f t="shared" si="76"/>
        <v>14.954248999999994</v>
      </c>
    </row>
    <row r="800" spans="1:23">
      <c r="A800" s="2" t="s">
        <v>335</v>
      </c>
      <c r="B800" s="2" t="s">
        <v>371</v>
      </c>
      <c r="C800" s="3">
        <v>245</v>
      </c>
      <c r="D800" s="3">
        <v>2.35</v>
      </c>
      <c r="E800" s="2" t="s">
        <v>407</v>
      </c>
      <c r="F800" s="4">
        <v>41687</v>
      </c>
      <c r="G800" s="3">
        <v>50.4</v>
      </c>
      <c r="H800" s="6"/>
      <c r="I800" s="4">
        <v>41716</v>
      </c>
      <c r="J800" s="3">
        <v>55</v>
      </c>
      <c r="K800" s="6"/>
      <c r="L800" s="3">
        <v>29</v>
      </c>
      <c r="M800" s="5">
        <v>4.6000000000000014</v>
      </c>
      <c r="N800" s="6"/>
      <c r="O800" s="5">
        <v>68.150000000000006</v>
      </c>
      <c r="P800" s="5">
        <v>158.62068965517244</v>
      </c>
      <c r="Q800" s="5">
        <v>18.731043</v>
      </c>
      <c r="R800" s="8">
        <f t="shared" si="72"/>
        <v>13</v>
      </c>
      <c r="S800" s="9">
        <f t="shared" si="73"/>
        <v>3.2000000000000028</v>
      </c>
      <c r="T800" s="9">
        <v>1.5</v>
      </c>
      <c r="U800" s="9">
        <f t="shared" si="74"/>
        <v>30.55</v>
      </c>
      <c r="V800" s="9">
        <f t="shared" si="75"/>
        <v>246.15384615384636</v>
      </c>
      <c r="W800" s="9">
        <f t="shared" si="76"/>
        <v>23.046427615384623</v>
      </c>
    </row>
    <row r="801" spans="1:23">
      <c r="A801" s="2" t="s">
        <v>335</v>
      </c>
      <c r="B801" s="2" t="s">
        <v>371</v>
      </c>
      <c r="C801" s="3">
        <v>245</v>
      </c>
      <c r="D801" s="3">
        <v>2.35</v>
      </c>
      <c r="E801" s="2" t="s">
        <v>407</v>
      </c>
      <c r="F801" s="4">
        <v>41687</v>
      </c>
      <c r="G801" s="3">
        <v>50.4</v>
      </c>
      <c r="H801" s="6"/>
      <c r="I801" s="4">
        <v>41731</v>
      </c>
      <c r="J801" s="3">
        <v>57.8</v>
      </c>
      <c r="K801" s="6"/>
      <c r="L801" s="3">
        <v>44</v>
      </c>
      <c r="M801" s="5">
        <v>7.3999999999999986</v>
      </c>
      <c r="N801" s="6"/>
      <c r="O801" s="5">
        <v>103.4</v>
      </c>
      <c r="P801" s="5">
        <v>168.18181818181816</v>
      </c>
      <c r="Q801" s="5">
        <v>19.439132636363631</v>
      </c>
      <c r="R801" s="8">
        <f t="shared" si="72"/>
        <v>15</v>
      </c>
      <c r="S801" s="9">
        <f t="shared" si="73"/>
        <v>2.7999999999999972</v>
      </c>
      <c r="T801" s="9">
        <v>1.5</v>
      </c>
      <c r="U801" s="9">
        <f t="shared" si="74"/>
        <v>35.25</v>
      </c>
      <c r="V801" s="9">
        <f t="shared" si="75"/>
        <v>186.66666666666649</v>
      </c>
      <c r="W801" s="9">
        <f t="shared" si="76"/>
        <v>20.350435666666655</v>
      </c>
    </row>
    <row r="802" spans="1:23">
      <c r="A802" s="2" t="s">
        <v>335</v>
      </c>
      <c r="B802" s="2" t="s">
        <v>371</v>
      </c>
      <c r="C802" s="3">
        <v>245</v>
      </c>
      <c r="D802" s="3">
        <v>2.35</v>
      </c>
      <c r="E802" s="2" t="s">
        <v>408</v>
      </c>
      <c r="F802" s="4">
        <v>41687</v>
      </c>
      <c r="G802" s="3">
        <v>56.4</v>
      </c>
      <c r="H802" s="6"/>
      <c r="I802" s="4">
        <v>41687</v>
      </c>
      <c r="J802" s="3">
        <v>56.4</v>
      </c>
      <c r="K802" s="6"/>
      <c r="L802" s="3">
        <v>0</v>
      </c>
      <c r="M802" s="5">
        <v>0</v>
      </c>
      <c r="N802" s="6"/>
      <c r="O802" s="5">
        <v>0</v>
      </c>
      <c r="P802" s="5">
        <v>0</v>
      </c>
      <c r="Q802" s="5">
        <v>11.536676</v>
      </c>
      <c r="R802" s="8">
        <f t="shared" si="72"/>
        <v>0</v>
      </c>
      <c r="S802" s="9">
        <f t="shared" si="73"/>
        <v>0</v>
      </c>
      <c r="T802" s="9">
        <v>1.5</v>
      </c>
      <c r="U802" s="9">
        <f t="shared" si="74"/>
        <v>0</v>
      </c>
      <c r="V802" s="9">
        <f t="shared" si="75"/>
        <v>0</v>
      </c>
      <c r="W802" s="9">
        <f t="shared" si="76"/>
        <v>11.536676</v>
      </c>
    </row>
    <row r="803" spans="1:23">
      <c r="A803" s="2" t="s">
        <v>335</v>
      </c>
      <c r="B803" s="2" t="s">
        <v>371</v>
      </c>
      <c r="C803" s="3">
        <v>245</v>
      </c>
      <c r="D803" s="3">
        <v>2.35</v>
      </c>
      <c r="E803" s="2" t="s">
        <v>408</v>
      </c>
      <c r="F803" s="4">
        <v>41687</v>
      </c>
      <c r="G803" s="3">
        <v>56.4</v>
      </c>
      <c r="H803" s="6"/>
      <c r="I803" s="4">
        <v>41703</v>
      </c>
      <c r="J803" s="3">
        <v>60</v>
      </c>
      <c r="K803" s="6"/>
      <c r="L803" s="3">
        <v>16</v>
      </c>
      <c r="M803" s="5">
        <v>3.6000000000000014</v>
      </c>
      <c r="N803" s="6"/>
      <c r="O803" s="5">
        <v>37.6</v>
      </c>
      <c r="P803" s="5">
        <v>225.00000000000009</v>
      </c>
      <c r="Q803" s="5">
        <v>22.933538000000002</v>
      </c>
      <c r="R803" s="8">
        <f t="shared" si="72"/>
        <v>16</v>
      </c>
      <c r="S803" s="9">
        <f t="shared" si="73"/>
        <v>3.6000000000000014</v>
      </c>
      <c r="T803" s="9">
        <v>1.5</v>
      </c>
      <c r="U803" s="9">
        <f t="shared" si="74"/>
        <v>37.6</v>
      </c>
      <c r="V803" s="9">
        <f t="shared" si="75"/>
        <v>225.00000000000009</v>
      </c>
      <c r="W803" s="9">
        <f t="shared" si="76"/>
        <v>22.933538000000002</v>
      </c>
    </row>
    <row r="804" spans="1:23">
      <c r="A804" s="2" t="s">
        <v>335</v>
      </c>
      <c r="B804" s="2" t="s">
        <v>371</v>
      </c>
      <c r="C804" s="3">
        <v>245</v>
      </c>
      <c r="D804" s="3">
        <v>2.35</v>
      </c>
      <c r="E804" s="2" t="s">
        <v>408</v>
      </c>
      <c r="F804" s="4">
        <v>41687</v>
      </c>
      <c r="G804" s="3">
        <v>56.4</v>
      </c>
      <c r="H804" s="6"/>
      <c r="I804" s="4">
        <v>41716</v>
      </c>
      <c r="J804" s="3">
        <v>57.5</v>
      </c>
      <c r="K804" s="6"/>
      <c r="L804" s="3">
        <v>29</v>
      </c>
      <c r="M804" s="5">
        <v>1.1000000000000014</v>
      </c>
      <c r="N804" s="6"/>
      <c r="O804" s="5">
        <v>68.150000000000006</v>
      </c>
      <c r="P804" s="5">
        <v>37.931034482758669</v>
      </c>
      <c r="Q804" s="5">
        <v>13.499675500000002</v>
      </c>
      <c r="R804" s="8">
        <f t="shared" si="72"/>
        <v>13</v>
      </c>
      <c r="S804" s="9">
        <f t="shared" si="73"/>
        <v>-2.5</v>
      </c>
      <c r="T804" s="9">
        <v>1.5</v>
      </c>
      <c r="U804" s="9">
        <f t="shared" si="74"/>
        <v>30.55</v>
      </c>
      <c r="V804" s="9">
        <f t="shared" si="75"/>
        <v>-192.30769230769232</v>
      </c>
      <c r="W804" s="9">
        <f t="shared" si="76"/>
        <v>2.1489062692307694</v>
      </c>
    </row>
    <row r="805" spans="1:23">
      <c r="A805" s="2" t="s">
        <v>335</v>
      </c>
      <c r="B805" s="2" t="s">
        <v>371</v>
      </c>
      <c r="C805" s="3">
        <v>245</v>
      </c>
      <c r="D805" s="3">
        <v>2.35</v>
      </c>
      <c r="E805" s="2" t="s">
        <v>408</v>
      </c>
      <c r="F805" s="4">
        <v>41687</v>
      </c>
      <c r="G805" s="3">
        <v>56.4</v>
      </c>
      <c r="H805" s="6"/>
      <c r="I805" s="4">
        <v>41731</v>
      </c>
      <c r="J805" s="3">
        <v>62.6</v>
      </c>
      <c r="K805" s="6"/>
      <c r="L805" s="3">
        <v>44</v>
      </c>
      <c r="M805" s="5">
        <v>6.2000000000000028</v>
      </c>
      <c r="N805" s="6"/>
      <c r="O805" s="5">
        <v>103.4</v>
      </c>
      <c r="P805" s="5">
        <v>140.90909090909099</v>
      </c>
      <c r="Q805" s="5">
        <v>19.007673181818184</v>
      </c>
      <c r="R805" s="8">
        <f t="shared" si="72"/>
        <v>15</v>
      </c>
      <c r="S805" s="9">
        <f t="shared" si="73"/>
        <v>5.1000000000000014</v>
      </c>
      <c r="T805" s="9">
        <v>1.5</v>
      </c>
      <c r="U805" s="9">
        <f t="shared" si="74"/>
        <v>35.25</v>
      </c>
      <c r="V805" s="9">
        <f t="shared" si="75"/>
        <v>340.00000000000006</v>
      </c>
      <c r="W805" s="9">
        <f t="shared" si="76"/>
        <v>28.822855000000004</v>
      </c>
    </row>
    <row r="806" spans="1:23">
      <c r="A806" s="2" t="s">
        <v>335</v>
      </c>
      <c r="B806" s="2" t="s">
        <v>371</v>
      </c>
      <c r="C806" s="3">
        <v>245</v>
      </c>
      <c r="D806" s="3">
        <v>2.35</v>
      </c>
      <c r="E806" s="2" t="s">
        <v>409</v>
      </c>
      <c r="F806" s="4">
        <v>41687</v>
      </c>
      <c r="G806" s="3">
        <v>58.2</v>
      </c>
      <c r="H806" s="6"/>
      <c r="I806" s="4">
        <v>41687</v>
      </c>
      <c r="J806" s="3">
        <v>58.2</v>
      </c>
      <c r="K806" s="6"/>
      <c r="L806" s="3">
        <v>0</v>
      </c>
      <c r="M806" s="5">
        <v>0</v>
      </c>
      <c r="N806" s="6"/>
      <c r="O806" s="5">
        <v>0</v>
      </c>
      <c r="P806" s="5">
        <v>0</v>
      </c>
      <c r="Q806" s="5">
        <v>11.841037999999999</v>
      </c>
      <c r="R806" s="8">
        <f t="shared" si="72"/>
        <v>0</v>
      </c>
      <c r="S806" s="9">
        <f t="shared" si="73"/>
        <v>0</v>
      </c>
      <c r="T806" s="9">
        <v>1.5</v>
      </c>
      <c r="U806" s="9">
        <f t="shared" si="74"/>
        <v>0</v>
      </c>
      <c r="V806" s="9">
        <f t="shared" si="75"/>
        <v>0</v>
      </c>
      <c r="W806" s="9">
        <f t="shared" si="76"/>
        <v>11.841037999999999</v>
      </c>
    </row>
    <row r="807" spans="1:23">
      <c r="A807" s="2" t="s">
        <v>335</v>
      </c>
      <c r="B807" s="2" t="s">
        <v>371</v>
      </c>
      <c r="C807" s="3">
        <v>245</v>
      </c>
      <c r="D807" s="3">
        <v>2.35</v>
      </c>
      <c r="E807" s="2" t="s">
        <v>409</v>
      </c>
      <c r="F807" s="4">
        <v>41687</v>
      </c>
      <c r="G807" s="3">
        <v>58.2</v>
      </c>
      <c r="H807" s="6"/>
      <c r="I807" s="4">
        <v>41703</v>
      </c>
      <c r="J807" s="3">
        <v>56.8</v>
      </c>
      <c r="K807" s="6"/>
      <c r="L807" s="3">
        <v>16</v>
      </c>
      <c r="M807" s="5">
        <v>-1.4000000000000057</v>
      </c>
      <c r="N807" s="6"/>
      <c r="O807" s="5">
        <v>37.6</v>
      </c>
      <c r="P807" s="5">
        <v>-87.500000000000355</v>
      </c>
      <c r="Q807" s="5">
        <v>7.4089249999999813</v>
      </c>
      <c r="R807" s="8">
        <f t="shared" si="72"/>
        <v>16</v>
      </c>
      <c r="S807" s="9">
        <f t="shared" si="73"/>
        <v>-1.4000000000000057</v>
      </c>
      <c r="T807" s="9">
        <v>1.5</v>
      </c>
      <c r="U807" s="9">
        <f t="shared" si="74"/>
        <v>37.6</v>
      </c>
      <c r="V807" s="9">
        <f t="shared" si="75"/>
        <v>-87.500000000000355</v>
      </c>
      <c r="W807" s="9">
        <f t="shared" si="76"/>
        <v>7.4089249999999813</v>
      </c>
    </row>
    <row r="808" spans="1:23">
      <c r="A808" s="2" t="s">
        <v>335</v>
      </c>
      <c r="B808" s="2" t="s">
        <v>371</v>
      </c>
      <c r="C808" s="3">
        <v>245</v>
      </c>
      <c r="D808" s="3">
        <v>2.35</v>
      </c>
      <c r="E808" s="2" t="s">
        <v>409</v>
      </c>
      <c r="F808" s="4">
        <v>41687</v>
      </c>
      <c r="G808" s="3">
        <v>58.2</v>
      </c>
      <c r="H808" s="6"/>
      <c r="I808" s="4">
        <v>41716</v>
      </c>
      <c r="J808" s="3">
        <v>59.5</v>
      </c>
      <c r="K808" s="6"/>
      <c r="L808" s="3">
        <v>29</v>
      </c>
      <c r="M808" s="5">
        <v>1.2999999999999972</v>
      </c>
      <c r="N808" s="6"/>
      <c r="O808" s="5">
        <v>68.150000000000006</v>
      </c>
      <c r="P808" s="5">
        <v>44.827586206896456</v>
      </c>
      <c r="Q808" s="5">
        <v>14.160946499999994</v>
      </c>
      <c r="R808" s="8">
        <f t="shared" si="72"/>
        <v>13</v>
      </c>
      <c r="S808" s="9">
        <f t="shared" si="73"/>
        <v>2.7000000000000028</v>
      </c>
      <c r="T808" s="9">
        <v>1.5</v>
      </c>
      <c r="U808" s="9">
        <f t="shared" si="74"/>
        <v>30.55</v>
      </c>
      <c r="V808" s="9">
        <f t="shared" si="75"/>
        <v>207.69230769230791</v>
      </c>
      <c r="W808" s="9">
        <f t="shared" si="76"/>
        <v>22.19017726923078</v>
      </c>
    </row>
    <row r="809" spans="1:23">
      <c r="A809" s="2" t="s">
        <v>335</v>
      </c>
      <c r="B809" s="2" t="s">
        <v>371</v>
      </c>
      <c r="C809" s="3">
        <v>245</v>
      </c>
      <c r="D809" s="3">
        <v>2.35</v>
      </c>
      <c r="E809" s="2" t="s">
        <v>409</v>
      </c>
      <c r="F809" s="4">
        <v>41687</v>
      </c>
      <c r="G809" s="3">
        <v>58.2</v>
      </c>
      <c r="H809" s="6"/>
      <c r="I809" s="4">
        <v>41731</v>
      </c>
      <c r="J809" s="3">
        <v>58.4</v>
      </c>
      <c r="K809" s="6"/>
      <c r="L809" s="3">
        <v>44</v>
      </c>
      <c r="M809" s="5">
        <v>0.19999999999999574</v>
      </c>
      <c r="N809" s="6"/>
      <c r="O809" s="5">
        <v>103.4</v>
      </c>
      <c r="P809" s="5">
        <v>4.545454545454449</v>
      </c>
      <c r="Q809" s="5">
        <v>12.082037909090904</v>
      </c>
      <c r="R809" s="8">
        <f t="shared" si="72"/>
        <v>15</v>
      </c>
      <c r="S809" s="9">
        <f t="shared" si="73"/>
        <v>-1.1000000000000014</v>
      </c>
      <c r="T809" s="9">
        <v>1.5</v>
      </c>
      <c r="U809" s="9">
        <f t="shared" si="74"/>
        <v>35.25</v>
      </c>
      <c r="V809" s="9">
        <f t="shared" si="75"/>
        <v>-73.333333333333428</v>
      </c>
      <c r="W809" s="9">
        <f t="shared" si="76"/>
        <v>8.2426136666666618</v>
      </c>
    </row>
    <row r="810" spans="1:23">
      <c r="A810" s="2" t="s">
        <v>335</v>
      </c>
      <c r="B810" s="2" t="s">
        <v>371</v>
      </c>
      <c r="C810" s="3">
        <v>245</v>
      </c>
      <c r="D810" s="3">
        <v>2.35</v>
      </c>
      <c r="E810" s="2" t="s">
        <v>410</v>
      </c>
      <c r="F810" s="4">
        <v>41687</v>
      </c>
      <c r="G810" s="3">
        <v>53.8</v>
      </c>
      <c r="H810" s="6"/>
      <c r="I810" s="4">
        <v>41687</v>
      </c>
      <c r="J810" s="3">
        <v>53.8</v>
      </c>
      <c r="K810" s="6"/>
      <c r="L810" s="3">
        <v>0</v>
      </c>
      <c r="M810" s="5">
        <v>0</v>
      </c>
      <c r="N810" s="6"/>
      <c r="O810" s="5">
        <v>0</v>
      </c>
      <c r="P810" s="5">
        <v>0</v>
      </c>
      <c r="Q810" s="5">
        <v>11.097041999999998</v>
      </c>
      <c r="R810" s="8">
        <f t="shared" si="72"/>
        <v>0</v>
      </c>
      <c r="S810" s="9">
        <f t="shared" si="73"/>
        <v>0</v>
      </c>
      <c r="T810" s="9">
        <v>1.5</v>
      </c>
      <c r="U810" s="9">
        <f t="shared" si="74"/>
        <v>0</v>
      </c>
      <c r="V810" s="9">
        <f t="shared" si="75"/>
        <v>0</v>
      </c>
      <c r="W810" s="9">
        <f t="shared" si="76"/>
        <v>11.097041999999998</v>
      </c>
    </row>
    <row r="811" spans="1:23">
      <c r="A811" s="2" t="s">
        <v>335</v>
      </c>
      <c r="B811" s="2" t="s">
        <v>371</v>
      </c>
      <c r="C811" s="3">
        <v>245</v>
      </c>
      <c r="D811" s="3">
        <v>2.35</v>
      </c>
      <c r="E811" s="2" t="s">
        <v>410</v>
      </c>
      <c r="F811" s="4">
        <v>41687</v>
      </c>
      <c r="G811" s="3">
        <v>53.8</v>
      </c>
      <c r="H811" s="6"/>
      <c r="I811" s="4">
        <v>41703</v>
      </c>
      <c r="J811" s="3">
        <v>51.6</v>
      </c>
      <c r="K811" s="6"/>
      <c r="L811" s="3">
        <v>16</v>
      </c>
      <c r="M811" s="5">
        <v>-2.1999999999999957</v>
      </c>
      <c r="N811" s="6"/>
      <c r="O811" s="5">
        <v>37.6</v>
      </c>
      <c r="P811" s="5">
        <v>-137.49999999999974</v>
      </c>
      <c r="Q811" s="5">
        <v>4.1322930000000131</v>
      </c>
      <c r="R811" s="8">
        <f t="shared" si="72"/>
        <v>16</v>
      </c>
      <c r="S811" s="9">
        <f t="shared" si="73"/>
        <v>-2.1999999999999957</v>
      </c>
      <c r="T811" s="9">
        <v>1.5</v>
      </c>
      <c r="U811" s="9">
        <f t="shared" si="74"/>
        <v>37.6</v>
      </c>
      <c r="V811" s="9">
        <f t="shared" si="75"/>
        <v>-137.49999999999974</v>
      </c>
      <c r="W811" s="9">
        <f t="shared" si="76"/>
        <v>4.1322930000000131</v>
      </c>
    </row>
    <row r="812" spans="1:23">
      <c r="A812" s="2" t="s">
        <v>335</v>
      </c>
      <c r="B812" s="2" t="s">
        <v>371</v>
      </c>
      <c r="C812" s="3">
        <v>245</v>
      </c>
      <c r="D812" s="3">
        <v>2.35</v>
      </c>
      <c r="E812" s="2" t="s">
        <v>410</v>
      </c>
      <c r="F812" s="4">
        <v>41687</v>
      </c>
      <c r="G812" s="3">
        <v>53.8</v>
      </c>
      <c r="H812" s="6"/>
      <c r="I812" s="4">
        <v>41716</v>
      </c>
      <c r="J812" s="3">
        <v>59</v>
      </c>
      <c r="K812" s="6"/>
      <c r="L812" s="3">
        <v>29</v>
      </c>
      <c r="M812" s="5">
        <v>5.2000000000000028</v>
      </c>
      <c r="N812" s="6"/>
      <c r="O812" s="5">
        <v>68.150000000000006</v>
      </c>
      <c r="P812" s="5">
        <v>179.31034482758631</v>
      </c>
      <c r="Q812" s="5">
        <v>20.376676000000003</v>
      </c>
      <c r="R812" s="8">
        <f t="shared" si="72"/>
        <v>13</v>
      </c>
      <c r="S812" s="9">
        <f t="shared" si="73"/>
        <v>7.3999999999999986</v>
      </c>
      <c r="T812" s="9">
        <v>1.5</v>
      </c>
      <c r="U812" s="9">
        <f t="shared" si="74"/>
        <v>30.55</v>
      </c>
      <c r="V812" s="9">
        <f t="shared" si="75"/>
        <v>569.23076923076906</v>
      </c>
      <c r="W812" s="9">
        <f t="shared" si="76"/>
        <v>39.599752923076913</v>
      </c>
    </row>
    <row r="813" spans="1:23">
      <c r="A813" s="2" t="s">
        <v>335</v>
      </c>
      <c r="B813" s="2" t="s">
        <v>371</v>
      </c>
      <c r="C813" s="3">
        <v>245</v>
      </c>
      <c r="D813" s="3">
        <v>2.35</v>
      </c>
      <c r="E813" s="2" t="s">
        <v>410</v>
      </c>
      <c r="F813" s="4">
        <v>41687</v>
      </c>
      <c r="G813" s="3">
        <v>53.8</v>
      </c>
      <c r="H813" s="6"/>
      <c r="I813" s="4">
        <v>41731</v>
      </c>
      <c r="J813" s="3">
        <v>59</v>
      </c>
      <c r="K813" s="6"/>
      <c r="L813" s="3">
        <v>44</v>
      </c>
      <c r="M813" s="5">
        <v>5.2000000000000028</v>
      </c>
      <c r="N813" s="6"/>
      <c r="O813" s="5">
        <v>103.4</v>
      </c>
      <c r="P813" s="5">
        <v>118.18181818181824</v>
      </c>
      <c r="Q813" s="5">
        <v>17.363039636363638</v>
      </c>
      <c r="R813" s="8">
        <f t="shared" si="72"/>
        <v>15</v>
      </c>
      <c r="S813" s="9">
        <f t="shared" si="73"/>
        <v>0</v>
      </c>
      <c r="T813" s="9">
        <v>1.5</v>
      </c>
      <c r="U813" s="9">
        <f t="shared" si="74"/>
        <v>35.25</v>
      </c>
      <c r="V813" s="9">
        <f t="shared" si="75"/>
        <v>0</v>
      </c>
      <c r="W813" s="9">
        <f t="shared" si="76"/>
        <v>11.536676</v>
      </c>
    </row>
    <row r="814" spans="1:23">
      <c r="A814" s="2" t="s">
        <v>335</v>
      </c>
      <c r="B814" s="2" t="s">
        <v>371</v>
      </c>
      <c r="C814" s="3">
        <v>245</v>
      </c>
      <c r="D814" s="3">
        <v>2.35</v>
      </c>
      <c r="E814" s="2" t="s">
        <v>411</v>
      </c>
      <c r="F814" s="4">
        <v>41687</v>
      </c>
      <c r="G814" s="3">
        <v>59.2</v>
      </c>
      <c r="H814" s="6"/>
      <c r="I814" s="4">
        <v>41687</v>
      </c>
      <c r="J814" s="3">
        <v>59.2</v>
      </c>
      <c r="K814" s="6"/>
      <c r="L814" s="3">
        <v>0</v>
      </c>
      <c r="M814" s="5">
        <v>0</v>
      </c>
      <c r="N814" s="6"/>
      <c r="O814" s="5">
        <v>0</v>
      </c>
      <c r="P814" s="5">
        <v>0</v>
      </c>
      <c r="Q814" s="5">
        <v>12.010128</v>
      </c>
      <c r="R814" s="8">
        <f t="shared" si="72"/>
        <v>0</v>
      </c>
      <c r="S814" s="9">
        <f t="shared" si="73"/>
        <v>0</v>
      </c>
      <c r="T814" s="9">
        <v>1.5</v>
      </c>
      <c r="U814" s="9">
        <f t="shared" si="74"/>
        <v>0</v>
      </c>
      <c r="V814" s="9">
        <f t="shared" si="75"/>
        <v>0</v>
      </c>
      <c r="W814" s="9">
        <f t="shared" si="76"/>
        <v>12.010128</v>
      </c>
    </row>
    <row r="815" spans="1:23">
      <c r="A815" s="2" t="s">
        <v>335</v>
      </c>
      <c r="B815" s="2" t="s">
        <v>371</v>
      </c>
      <c r="C815" s="3">
        <v>245</v>
      </c>
      <c r="D815" s="3">
        <v>2.35</v>
      </c>
      <c r="E815" s="2" t="s">
        <v>411</v>
      </c>
      <c r="F815" s="4">
        <v>41687</v>
      </c>
      <c r="G815" s="3">
        <v>59.2</v>
      </c>
      <c r="H815" s="6"/>
      <c r="I815" s="4">
        <v>41703</v>
      </c>
      <c r="J815" s="3">
        <v>58.8</v>
      </c>
      <c r="K815" s="6"/>
      <c r="L815" s="3">
        <v>16</v>
      </c>
      <c r="M815" s="5">
        <v>-0.40000000000000568</v>
      </c>
      <c r="N815" s="6"/>
      <c r="O815" s="5">
        <v>37.6</v>
      </c>
      <c r="P815" s="5">
        <v>-25.000000000000355</v>
      </c>
      <c r="Q815" s="5">
        <v>10.743809999999982</v>
      </c>
      <c r="R815" s="8">
        <f t="shared" si="72"/>
        <v>16</v>
      </c>
      <c r="S815" s="9">
        <f t="shared" si="73"/>
        <v>-0.40000000000000568</v>
      </c>
      <c r="T815" s="9">
        <v>1.5</v>
      </c>
      <c r="U815" s="9">
        <f t="shared" si="74"/>
        <v>37.6</v>
      </c>
      <c r="V815" s="9">
        <f t="shared" si="75"/>
        <v>-25.000000000000355</v>
      </c>
      <c r="W815" s="9">
        <f t="shared" si="76"/>
        <v>10.743809999999982</v>
      </c>
    </row>
    <row r="816" spans="1:23">
      <c r="A816" s="2" t="s">
        <v>335</v>
      </c>
      <c r="B816" s="2" t="s">
        <v>371</v>
      </c>
      <c r="C816" s="3">
        <v>245</v>
      </c>
      <c r="D816" s="3">
        <v>2.35</v>
      </c>
      <c r="E816" s="2" t="s">
        <v>411</v>
      </c>
      <c r="F816" s="4">
        <v>41687</v>
      </c>
      <c r="G816" s="3">
        <v>59.2</v>
      </c>
      <c r="H816" s="6"/>
      <c r="I816" s="4">
        <v>41716</v>
      </c>
      <c r="J816" s="3">
        <v>58</v>
      </c>
      <c r="K816" s="6"/>
      <c r="L816" s="3">
        <v>29</v>
      </c>
      <c r="M816" s="5">
        <v>-1.2000000000000028</v>
      </c>
      <c r="N816" s="6"/>
      <c r="O816" s="5">
        <v>68.150000000000006</v>
      </c>
      <c r="P816" s="5">
        <v>-41.37931034482768</v>
      </c>
      <c r="Q816" s="5">
        <v>9.8686739999999951</v>
      </c>
      <c r="R816" s="8">
        <f t="shared" si="72"/>
        <v>13</v>
      </c>
      <c r="S816" s="9">
        <f t="shared" si="73"/>
        <v>-0.79999999999999716</v>
      </c>
      <c r="T816" s="9">
        <v>1.5</v>
      </c>
      <c r="U816" s="9">
        <f t="shared" si="74"/>
        <v>30.55</v>
      </c>
      <c r="V816" s="9">
        <f t="shared" si="75"/>
        <v>-61.53846153846132</v>
      </c>
      <c r="W816" s="9">
        <f t="shared" si="76"/>
        <v>8.8748278461538561</v>
      </c>
    </row>
    <row r="817" spans="1:23">
      <c r="A817" s="2" t="s">
        <v>335</v>
      </c>
      <c r="B817" s="2" t="s">
        <v>371</v>
      </c>
      <c r="C817" s="3">
        <v>245</v>
      </c>
      <c r="D817" s="3">
        <v>2.35</v>
      </c>
      <c r="E817" s="2" t="s">
        <v>411</v>
      </c>
      <c r="F817" s="4">
        <v>41687</v>
      </c>
      <c r="G817" s="3">
        <v>59.2</v>
      </c>
      <c r="H817" s="6"/>
      <c r="I817" s="4">
        <v>41731</v>
      </c>
      <c r="J817" s="3">
        <v>59.4</v>
      </c>
      <c r="K817" s="6"/>
      <c r="L817" s="3">
        <v>44</v>
      </c>
      <c r="M817" s="5">
        <v>0.19999999999999574</v>
      </c>
      <c r="N817" s="6"/>
      <c r="O817" s="5">
        <v>103.4</v>
      </c>
      <c r="P817" s="5">
        <v>4.545454545454449</v>
      </c>
      <c r="Q817" s="5">
        <v>12.251127909090902</v>
      </c>
      <c r="R817" s="8">
        <f t="shared" si="72"/>
        <v>15</v>
      </c>
      <c r="S817" s="9">
        <f t="shared" si="73"/>
        <v>1.3999999999999986</v>
      </c>
      <c r="T817" s="9">
        <v>1.5</v>
      </c>
      <c r="U817" s="9">
        <f t="shared" si="74"/>
        <v>35.25</v>
      </c>
      <c r="V817" s="9">
        <f t="shared" si="75"/>
        <v>93.333333333333243</v>
      </c>
      <c r="W817" s="9">
        <f t="shared" si="76"/>
        <v>16.628370333333326</v>
      </c>
    </row>
    <row r="818" spans="1:23">
      <c r="A818" s="2" t="s">
        <v>335</v>
      </c>
      <c r="B818" s="2" t="s">
        <v>371</v>
      </c>
      <c r="C818" s="3">
        <v>245</v>
      </c>
      <c r="D818" s="3">
        <v>2.35</v>
      </c>
      <c r="E818" s="2" t="s">
        <v>412</v>
      </c>
      <c r="F818" s="4">
        <v>41687</v>
      </c>
      <c r="G818" s="3">
        <v>52</v>
      </c>
      <c r="H818" s="6"/>
      <c r="I818" s="4">
        <v>41687</v>
      </c>
      <c r="J818" s="3">
        <v>52</v>
      </c>
      <c r="K818" s="6"/>
      <c r="L818" s="3">
        <v>0</v>
      </c>
      <c r="M818" s="5">
        <v>0</v>
      </c>
      <c r="N818" s="6"/>
      <c r="O818" s="5">
        <v>0</v>
      </c>
      <c r="P818" s="5">
        <v>0</v>
      </c>
      <c r="Q818" s="5">
        <v>10.792679999999999</v>
      </c>
      <c r="R818" s="8">
        <f t="shared" si="72"/>
        <v>0</v>
      </c>
      <c r="S818" s="9">
        <f t="shared" si="73"/>
        <v>0</v>
      </c>
      <c r="T818" s="9">
        <v>1.5</v>
      </c>
      <c r="U818" s="9">
        <f t="shared" si="74"/>
        <v>0</v>
      </c>
      <c r="V818" s="9">
        <f t="shared" si="75"/>
        <v>0</v>
      </c>
      <c r="W818" s="9">
        <f t="shared" si="76"/>
        <v>10.792679999999999</v>
      </c>
    </row>
    <row r="819" spans="1:23">
      <c r="A819" s="2" t="s">
        <v>335</v>
      </c>
      <c r="B819" s="2" t="s">
        <v>371</v>
      </c>
      <c r="C819" s="3">
        <v>245</v>
      </c>
      <c r="D819" s="3">
        <v>2.35</v>
      </c>
      <c r="E819" s="2" t="s">
        <v>412</v>
      </c>
      <c r="F819" s="4">
        <v>41687</v>
      </c>
      <c r="G819" s="3">
        <v>52</v>
      </c>
      <c r="H819" s="6"/>
      <c r="I819" s="4">
        <v>41703</v>
      </c>
      <c r="J819" s="3">
        <v>53</v>
      </c>
      <c r="K819" s="6"/>
      <c r="L819" s="3">
        <v>16</v>
      </c>
      <c r="M819" s="5">
        <v>1</v>
      </c>
      <c r="N819" s="6"/>
      <c r="O819" s="5">
        <v>37.6</v>
      </c>
      <c r="P819" s="5">
        <v>62.5</v>
      </c>
      <c r="Q819" s="5">
        <v>13.958475</v>
      </c>
      <c r="R819" s="8">
        <f t="shared" si="72"/>
        <v>16</v>
      </c>
      <c r="S819" s="9">
        <f t="shared" si="73"/>
        <v>1</v>
      </c>
      <c r="T819" s="9">
        <v>1.5</v>
      </c>
      <c r="U819" s="9">
        <f t="shared" si="74"/>
        <v>37.6</v>
      </c>
      <c r="V819" s="9">
        <f t="shared" si="75"/>
        <v>62.5</v>
      </c>
      <c r="W819" s="9">
        <f t="shared" si="76"/>
        <v>13.958475</v>
      </c>
    </row>
    <row r="820" spans="1:23">
      <c r="A820" s="2" t="s">
        <v>335</v>
      </c>
      <c r="B820" s="2" t="s">
        <v>371</v>
      </c>
      <c r="C820" s="3">
        <v>245</v>
      </c>
      <c r="D820" s="3">
        <v>2.35</v>
      </c>
      <c r="E820" s="2" t="s">
        <v>412</v>
      </c>
      <c r="F820" s="4">
        <v>41687</v>
      </c>
      <c r="G820" s="3">
        <v>52</v>
      </c>
      <c r="H820" s="6"/>
      <c r="I820" s="4">
        <v>41716</v>
      </c>
      <c r="J820" s="3">
        <v>59.5</v>
      </c>
      <c r="K820" s="6"/>
      <c r="L820" s="3">
        <v>29</v>
      </c>
      <c r="M820" s="5">
        <v>7.5</v>
      </c>
      <c r="N820" s="6"/>
      <c r="O820" s="5">
        <v>68.150000000000006</v>
      </c>
      <c r="P820" s="5">
        <v>258.62068965517244</v>
      </c>
      <c r="Q820" s="5">
        <v>24.176767499999997</v>
      </c>
      <c r="R820" s="8">
        <f t="shared" si="72"/>
        <v>13</v>
      </c>
      <c r="S820" s="9">
        <f t="shared" si="73"/>
        <v>6.5</v>
      </c>
      <c r="T820" s="9">
        <v>1.5</v>
      </c>
      <c r="U820" s="9">
        <f t="shared" si="74"/>
        <v>30.55</v>
      </c>
      <c r="V820" s="9">
        <f t="shared" si="75"/>
        <v>500</v>
      </c>
      <c r="W820" s="9">
        <f t="shared" si="76"/>
        <v>36.076767499999995</v>
      </c>
    </row>
    <row r="821" spans="1:23">
      <c r="A821" s="2" t="s">
        <v>335</v>
      </c>
      <c r="B821" s="2" t="s">
        <v>371</v>
      </c>
      <c r="C821" s="3">
        <v>245</v>
      </c>
      <c r="D821" s="3">
        <v>2.35</v>
      </c>
      <c r="E821" s="2" t="s">
        <v>412</v>
      </c>
      <c r="F821" s="4">
        <v>41687</v>
      </c>
      <c r="G821" s="3">
        <v>52</v>
      </c>
      <c r="H821" s="6"/>
      <c r="I821" s="4">
        <v>41731</v>
      </c>
      <c r="J821" s="3">
        <v>60.8</v>
      </c>
      <c r="K821" s="6"/>
      <c r="L821" s="3">
        <v>44</v>
      </c>
      <c r="M821" s="5">
        <v>8.7999999999999972</v>
      </c>
      <c r="N821" s="6"/>
      <c r="O821" s="5">
        <v>103.4</v>
      </c>
      <c r="P821" s="5">
        <v>199.99999999999991</v>
      </c>
      <c r="Q821" s="5">
        <v>21.396675999999996</v>
      </c>
      <c r="R821" s="8">
        <f t="shared" si="72"/>
        <v>15</v>
      </c>
      <c r="S821" s="9">
        <f t="shared" si="73"/>
        <v>1.2999999999999972</v>
      </c>
      <c r="T821" s="9">
        <v>1.5</v>
      </c>
      <c r="U821" s="9">
        <f t="shared" si="74"/>
        <v>35.25</v>
      </c>
      <c r="V821" s="9">
        <f t="shared" si="75"/>
        <v>86.666666666666472</v>
      </c>
      <c r="W821" s="9">
        <f t="shared" si="76"/>
        <v>15.809342666666657</v>
      </c>
    </row>
    <row r="822" spans="1:23">
      <c r="A822" s="2" t="s">
        <v>335</v>
      </c>
      <c r="B822" s="2" t="s">
        <v>371</v>
      </c>
      <c r="C822" s="3">
        <v>245</v>
      </c>
      <c r="D822" s="3">
        <v>2.35</v>
      </c>
      <c r="E822" s="2" t="s">
        <v>413</v>
      </c>
      <c r="F822" s="4">
        <v>41687</v>
      </c>
      <c r="G822" s="3">
        <v>60.6</v>
      </c>
      <c r="H822" s="6"/>
      <c r="I822" s="4">
        <v>41687</v>
      </c>
      <c r="J822" s="3">
        <v>60.6</v>
      </c>
      <c r="K822" s="6"/>
      <c r="L822" s="3">
        <v>0</v>
      </c>
      <c r="M822" s="5">
        <v>0</v>
      </c>
      <c r="N822" s="6"/>
      <c r="O822" s="5">
        <v>0</v>
      </c>
      <c r="P822" s="5">
        <v>0</v>
      </c>
      <c r="Q822" s="5">
        <v>12.246853999999999</v>
      </c>
      <c r="R822" s="8">
        <f t="shared" si="72"/>
        <v>0</v>
      </c>
      <c r="S822" s="9">
        <f t="shared" si="73"/>
        <v>0</v>
      </c>
      <c r="T822" s="9">
        <v>1.5</v>
      </c>
      <c r="U822" s="9">
        <f t="shared" si="74"/>
        <v>0</v>
      </c>
      <c r="V822" s="9">
        <f t="shared" si="75"/>
        <v>0</v>
      </c>
      <c r="W822" s="9">
        <f t="shared" si="76"/>
        <v>12.246853999999999</v>
      </c>
    </row>
    <row r="823" spans="1:23">
      <c r="A823" s="2" t="s">
        <v>335</v>
      </c>
      <c r="B823" s="2" t="s">
        <v>371</v>
      </c>
      <c r="C823" s="3">
        <v>245</v>
      </c>
      <c r="D823" s="3">
        <v>2.35</v>
      </c>
      <c r="E823" s="2" t="s">
        <v>413</v>
      </c>
      <c r="F823" s="4">
        <v>41687</v>
      </c>
      <c r="G823" s="3">
        <v>60.6</v>
      </c>
      <c r="H823" s="6"/>
      <c r="I823" s="4">
        <v>41703</v>
      </c>
      <c r="J823" s="3">
        <v>56.2</v>
      </c>
      <c r="K823" s="6"/>
      <c r="L823" s="3">
        <v>16</v>
      </c>
      <c r="M823" s="5">
        <v>-4.3999999999999986</v>
      </c>
      <c r="N823" s="6"/>
      <c r="O823" s="5">
        <v>37.6</v>
      </c>
      <c r="P823" s="5">
        <v>-274.99999999999989</v>
      </c>
      <c r="Q823" s="5">
        <v>-1.6826439999999945</v>
      </c>
      <c r="R823" s="8">
        <f t="shared" si="72"/>
        <v>16</v>
      </c>
      <c r="S823" s="9">
        <f t="shared" si="73"/>
        <v>-4.3999999999999986</v>
      </c>
      <c r="T823" s="9">
        <v>1.5</v>
      </c>
      <c r="U823" s="9">
        <f t="shared" si="74"/>
        <v>37.6</v>
      </c>
      <c r="V823" s="9">
        <f t="shared" si="75"/>
        <v>-274.99999999999989</v>
      </c>
      <c r="W823" s="9">
        <f t="shared" si="76"/>
        <v>-1.6826439999999945</v>
      </c>
    </row>
    <row r="824" spans="1:23">
      <c r="A824" s="2" t="s">
        <v>335</v>
      </c>
      <c r="B824" s="2" t="s">
        <v>371</v>
      </c>
      <c r="C824" s="3">
        <v>245</v>
      </c>
      <c r="D824" s="3">
        <v>2.35</v>
      </c>
      <c r="E824" s="2" t="s">
        <v>413</v>
      </c>
      <c r="F824" s="4">
        <v>41687</v>
      </c>
      <c r="G824" s="3">
        <v>60.6</v>
      </c>
      <c r="H824" s="6"/>
      <c r="I824" s="4">
        <v>41716</v>
      </c>
      <c r="J824" s="3">
        <v>62.5</v>
      </c>
      <c r="K824" s="6"/>
      <c r="L824" s="3">
        <v>29</v>
      </c>
      <c r="M824" s="5">
        <v>1.8999999999999986</v>
      </c>
      <c r="N824" s="6"/>
      <c r="O824" s="5">
        <v>68.150000000000006</v>
      </c>
      <c r="P824" s="5">
        <v>65.517241379310292</v>
      </c>
      <c r="Q824" s="5">
        <v>15.637489499999996</v>
      </c>
      <c r="R824" s="8">
        <f t="shared" ref="R824:R887" si="77">IF(I824-F824=0,0,I824-I823)</f>
        <v>13</v>
      </c>
      <c r="S824" s="9">
        <f t="shared" ref="S824:S887" si="78">IF(R824=0,J824-G824,J824-J823)</f>
        <v>6.2999999999999972</v>
      </c>
      <c r="T824" s="9">
        <v>1.5</v>
      </c>
      <c r="U824" s="9">
        <f t="shared" ref="U824:U887" si="79">D824*R824</f>
        <v>30.55</v>
      </c>
      <c r="V824" s="9">
        <f t="shared" ref="V824:V887" si="80">IF(R824=0,0,(S824/R824*1000))</f>
        <v>484.61538461538441</v>
      </c>
      <c r="W824" s="9">
        <f t="shared" ref="W824:W887" si="81">IF(R824=0,(((G824)*0.16909+(V824/1000)*49.3)+2),((((G824+J824)/2)*0.16909+(V824/1000)*49.3)+2))</f>
        <v>36.299027961538449</v>
      </c>
    </row>
    <row r="825" spans="1:23">
      <c r="A825" s="2" t="s">
        <v>335</v>
      </c>
      <c r="B825" s="2" t="s">
        <v>371</v>
      </c>
      <c r="C825" s="3">
        <v>245</v>
      </c>
      <c r="D825" s="3">
        <v>2.35</v>
      </c>
      <c r="E825" s="2" t="s">
        <v>413</v>
      </c>
      <c r="F825" s="4">
        <v>41687</v>
      </c>
      <c r="G825" s="3">
        <v>60.6</v>
      </c>
      <c r="H825" s="6"/>
      <c r="I825" s="4">
        <v>41731</v>
      </c>
      <c r="J825" s="3">
        <v>65.599999999999994</v>
      </c>
      <c r="K825" s="6"/>
      <c r="L825" s="3">
        <v>44</v>
      </c>
      <c r="M825" s="5">
        <v>4.9999999999999929</v>
      </c>
      <c r="N825" s="6"/>
      <c r="O825" s="5">
        <v>103.4</v>
      </c>
      <c r="P825" s="5">
        <v>113.63636363636348</v>
      </c>
      <c r="Q825" s="5">
        <v>18.271851727272718</v>
      </c>
      <c r="R825" s="8">
        <f t="shared" si="77"/>
        <v>15</v>
      </c>
      <c r="S825" s="9">
        <f t="shared" si="78"/>
        <v>3.0999999999999943</v>
      </c>
      <c r="T825" s="9">
        <v>1.5</v>
      </c>
      <c r="U825" s="9">
        <f t="shared" si="79"/>
        <v>35.25</v>
      </c>
      <c r="V825" s="9">
        <f t="shared" si="80"/>
        <v>206.66666666666629</v>
      </c>
      <c r="W825" s="9">
        <f t="shared" si="81"/>
        <v>22.858245666666647</v>
      </c>
    </row>
    <row r="826" spans="1:23">
      <c r="A826" s="2" t="s">
        <v>335</v>
      </c>
      <c r="B826" s="2" t="s">
        <v>371</v>
      </c>
      <c r="C826" s="3">
        <v>245</v>
      </c>
      <c r="D826" s="3">
        <v>2.35</v>
      </c>
      <c r="E826" s="2" t="s">
        <v>414</v>
      </c>
      <c r="F826" s="4">
        <v>41687</v>
      </c>
      <c r="G826" s="3">
        <v>51.2</v>
      </c>
      <c r="H826" s="6"/>
      <c r="I826" s="4">
        <v>41687</v>
      </c>
      <c r="J826" s="3">
        <v>51.2</v>
      </c>
      <c r="K826" s="6"/>
      <c r="L826" s="3">
        <v>0</v>
      </c>
      <c r="M826" s="5">
        <v>0</v>
      </c>
      <c r="N826" s="6"/>
      <c r="O826" s="5">
        <v>0</v>
      </c>
      <c r="P826" s="5">
        <v>0</v>
      </c>
      <c r="Q826" s="5">
        <v>10.657408</v>
      </c>
      <c r="R826" s="8">
        <f t="shared" si="77"/>
        <v>0</v>
      </c>
      <c r="S826" s="9">
        <f t="shared" si="78"/>
        <v>0</v>
      </c>
      <c r="T826" s="9">
        <v>1.5</v>
      </c>
      <c r="U826" s="9">
        <f t="shared" si="79"/>
        <v>0</v>
      </c>
      <c r="V826" s="9">
        <f t="shared" si="80"/>
        <v>0</v>
      </c>
      <c r="W826" s="9">
        <f t="shared" si="81"/>
        <v>10.657408</v>
      </c>
    </row>
    <row r="827" spans="1:23">
      <c r="A827" s="2" t="s">
        <v>335</v>
      </c>
      <c r="B827" s="2" t="s">
        <v>371</v>
      </c>
      <c r="C827" s="3">
        <v>245</v>
      </c>
      <c r="D827" s="3">
        <v>2.35</v>
      </c>
      <c r="E827" s="2" t="s">
        <v>414</v>
      </c>
      <c r="F827" s="4">
        <v>41687</v>
      </c>
      <c r="G827" s="3">
        <v>51.2</v>
      </c>
      <c r="H827" s="6"/>
      <c r="I827" s="4">
        <v>41703</v>
      </c>
      <c r="J827" s="3">
        <v>49.4</v>
      </c>
      <c r="K827" s="6"/>
      <c r="L827" s="3">
        <v>16</v>
      </c>
      <c r="M827" s="5">
        <v>-1.8000000000000043</v>
      </c>
      <c r="N827" s="6"/>
      <c r="O827" s="5">
        <v>37.6</v>
      </c>
      <c r="P827" s="5">
        <v>-112.50000000000027</v>
      </c>
      <c r="Q827" s="5">
        <v>4.9589769999999866</v>
      </c>
      <c r="R827" s="8">
        <f t="shared" si="77"/>
        <v>16</v>
      </c>
      <c r="S827" s="9">
        <f t="shared" si="78"/>
        <v>-1.8000000000000043</v>
      </c>
      <c r="T827" s="9">
        <v>1.5</v>
      </c>
      <c r="U827" s="9">
        <f t="shared" si="79"/>
        <v>37.6</v>
      </c>
      <c r="V827" s="9">
        <f t="shared" si="80"/>
        <v>-112.50000000000027</v>
      </c>
      <c r="W827" s="9">
        <f t="shared" si="81"/>
        <v>4.9589769999999866</v>
      </c>
    </row>
    <row r="828" spans="1:23">
      <c r="A828" s="2" t="s">
        <v>335</v>
      </c>
      <c r="B828" s="2" t="s">
        <v>371</v>
      </c>
      <c r="C828" s="3">
        <v>245</v>
      </c>
      <c r="D828" s="3">
        <v>2.35</v>
      </c>
      <c r="E828" s="2" t="s">
        <v>414</v>
      </c>
      <c r="F828" s="4">
        <v>41687</v>
      </c>
      <c r="G828" s="3">
        <v>51.2</v>
      </c>
      <c r="H828" s="6"/>
      <c r="I828" s="4">
        <v>41716</v>
      </c>
      <c r="J828" s="3">
        <v>55</v>
      </c>
      <c r="K828" s="6"/>
      <c r="L828" s="3">
        <v>29</v>
      </c>
      <c r="M828" s="5">
        <v>3.7999999999999972</v>
      </c>
      <c r="N828" s="6"/>
      <c r="O828" s="5">
        <v>68.150000000000006</v>
      </c>
      <c r="P828" s="5">
        <v>131.03448275862058</v>
      </c>
      <c r="Q828" s="5">
        <v>17.438678999999993</v>
      </c>
      <c r="R828" s="8">
        <f t="shared" si="77"/>
        <v>13</v>
      </c>
      <c r="S828" s="9">
        <f t="shared" si="78"/>
        <v>5.6000000000000014</v>
      </c>
      <c r="T828" s="9">
        <v>1.5</v>
      </c>
      <c r="U828" s="9">
        <f t="shared" si="79"/>
        <v>30.55</v>
      </c>
      <c r="V828" s="9">
        <f t="shared" si="80"/>
        <v>430.76923076923089</v>
      </c>
      <c r="W828" s="9">
        <f t="shared" si="81"/>
        <v>32.215602076923084</v>
      </c>
    </row>
    <row r="829" spans="1:23">
      <c r="A829" s="2" t="s">
        <v>335</v>
      </c>
      <c r="B829" s="2" t="s">
        <v>371</v>
      </c>
      <c r="C829" s="3">
        <v>245</v>
      </c>
      <c r="D829" s="3">
        <v>2.35</v>
      </c>
      <c r="E829" s="2" t="s">
        <v>414</v>
      </c>
      <c r="F829" s="4">
        <v>41687</v>
      </c>
      <c r="G829" s="3">
        <v>51.2</v>
      </c>
      <c r="H829" s="6"/>
      <c r="I829" s="4">
        <v>41731</v>
      </c>
      <c r="J829" s="3">
        <v>53.2</v>
      </c>
      <c r="K829" s="6"/>
      <c r="L829" s="3">
        <v>44</v>
      </c>
      <c r="M829" s="5">
        <v>2</v>
      </c>
      <c r="N829" s="6"/>
      <c r="O829" s="5">
        <v>103.4</v>
      </c>
      <c r="P829" s="5">
        <v>45.454545454545453</v>
      </c>
      <c r="Q829" s="5">
        <v>13.067407090909091</v>
      </c>
      <c r="R829" s="8">
        <f t="shared" si="77"/>
        <v>15</v>
      </c>
      <c r="S829" s="9">
        <f t="shared" si="78"/>
        <v>-1.7999999999999972</v>
      </c>
      <c r="T829" s="9">
        <v>1.5</v>
      </c>
      <c r="U829" s="9">
        <f t="shared" si="79"/>
        <v>35.25</v>
      </c>
      <c r="V829" s="9">
        <f t="shared" si="80"/>
        <v>-119.99999999999982</v>
      </c>
      <c r="W829" s="9">
        <f t="shared" si="81"/>
        <v>4.9104980000000102</v>
      </c>
    </row>
    <row r="830" spans="1:23">
      <c r="A830" s="2" t="s">
        <v>335</v>
      </c>
      <c r="B830" s="2" t="s">
        <v>371</v>
      </c>
      <c r="C830" s="3">
        <v>245</v>
      </c>
      <c r="D830" s="3">
        <v>2.35</v>
      </c>
      <c r="E830" s="2" t="s">
        <v>415</v>
      </c>
      <c r="F830" s="4">
        <v>41687</v>
      </c>
      <c r="G830" s="3">
        <v>63.4</v>
      </c>
      <c r="H830" s="6"/>
      <c r="I830" s="4">
        <v>41687</v>
      </c>
      <c r="J830" s="3">
        <v>63.4</v>
      </c>
      <c r="K830" s="6"/>
      <c r="L830" s="3">
        <v>0</v>
      </c>
      <c r="M830" s="5">
        <v>0</v>
      </c>
      <c r="N830" s="6"/>
      <c r="O830" s="5">
        <v>0</v>
      </c>
      <c r="P830" s="5">
        <v>0</v>
      </c>
      <c r="Q830" s="5">
        <v>12.720305999999999</v>
      </c>
      <c r="R830" s="8">
        <f t="shared" si="77"/>
        <v>0</v>
      </c>
      <c r="S830" s="9">
        <f t="shared" si="78"/>
        <v>0</v>
      </c>
      <c r="T830" s="9">
        <v>1.5</v>
      </c>
      <c r="U830" s="9">
        <f t="shared" si="79"/>
        <v>0</v>
      </c>
      <c r="V830" s="9">
        <f t="shared" si="80"/>
        <v>0</v>
      </c>
      <c r="W830" s="9">
        <f t="shared" si="81"/>
        <v>12.720305999999999</v>
      </c>
    </row>
    <row r="831" spans="1:23">
      <c r="A831" s="2" t="s">
        <v>335</v>
      </c>
      <c r="B831" s="2" t="s">
        <v>371</v>
      </c>
      <c r="C831" s="3">
        <v>245</v>
      </c>
      <c r="D831" s="3">
        <v>2.35</v>
      </c>
      <c r="E831" s="2" t="s">
        <v>415</v>
      </c>
      <c r="F831" s="4">
        <v>41687</v>
      </c>
      <c r="G831" s="3">
        <v>63.4</v>
      </c>
      <c r="H831" s="6"/>
      <c r="I831" s="4">
        <v>41703</v>
      </c>
      <c r="J831" s="3">
        <v>64</v>
      </c>
      <c r="K831" s="6"/>
      <c r="L831" s="3">
        <v>16</v>
      </c>
      <c r="M831" s="5">
        <v>0.60000000000000142</v>
      </c>
      <c r="N831" s="6"/>
      <c r="O831" s="5">
        <v>37.6</v>
      </c>
      <c r="P831" s="5">
        <v>37.500000000000085</v>
      </c>
      <c r="Q831" s="5">
        <v>14.619783000000004</v>
      </c>
      <c r="R831" s="8">
        <f t="shared" si="77"/>
        <v>16</v>
      </c>
      <c r="S831" s="9">
        <f t="shared" si="78"/>
        <v>0.60000000000000142</v>
      </c>
      <c r="T831" s="9">
        <v>1.5</v>
      </c>
      <c r="U831" s="9">
        <f t="shared" si="79"/>
        <v>37.6</v>
      </c>
      <c r="V831" s="9">
        <f t="shared" si="80"/>
        <v>37.500000000000085</v>
      </c>
      <c r="W831" s="9">
        <f t="shared" si="81"/>
        <v>14.619783000000004</v>
      </c>
    </row>
    <row r="832" spans="1:23">
      <c r="A832" s="2" t="s">
        <v>335</v>
      </c>
      <c r="B832" s="2" t="s">
        <v>371</v>
      </c>
      <c r="C832" s="3">
        <v>245</v>
      </c>
      <c r="D832" s="3">
        <v>2.35</v>
      </c>
      <c r="E832" s="2" t="s">
        <v>415</v>
      </c>
      <c r="F832" s="4">
        <v>41687</v>
      </c>
      <c r="G832" s="3">
        <v>63.4</v>
      </c>
      <c r="H832" s="6"/>
      <c r="I832" s="4">
        <v>41716</v>
      </c>
      <c r="J832" s="3">
        <v>71</v>
      </c>
      <c r="K832" s="6"/>
      <c r="L832" s="3">
        <v>29</v>
      </c>
      <c r="M832" s="5">
        <v>7.6000000000000014</v>
      </c>
      <c r="N832" s="6"/>
      <c r="O832" s="5">
        <v>68.150000000000006</v>
      </c>
      <c r="P832" s="5">
        <v>262.06896551724139</v>
      </c>
      <c r="Q832" s="5">
        <v>26.282848000000001</v>
      </c>
      <c r="R832" s="8">
        <f t="shared" si="77"/>
        <v>13</v>
      </c>
      <c r="S832" s="9">
        <f t="shared" si="78"/>
        <v>7</v>
      </c>
      <c r="T832" s="9">
        <v>1.5</v>
      </c>
      <c r="U832" s="9">
        <f t="shared" si="79"/>
        <v>30.55</v>
      </c>
      <c r="V832" s="9">
        <f t="shared" si="80"/>
        <v>538.46153846153845</v>
      </c>
      <c r="W832" s="9">
        <f t="shared" si="81"/>
        <v>39.909001846153842</v>
      </c>
    </row>
    <row r="833" spans="1:23">
      <c r="A833" s="2" t="s">
        <v>335</v>
      </c>
      <c r="B833" s="2" t="s">
        <v>371</v>
      </c>
      <c r="C833" s="3">
        <v>245</v>
      </c>
      <c r="D833" s="3">
        <v>2.35</v>
      </c>
      <c r="E833" s="2" t="s">
        <v>415</v>
      </c>
      <c r="F833" s="4">
        <v>41687</v>
      </c>
      <c r="G833" s="3">
        <v>63.4</v>
      </c>
      <c r="H833" s="6"/>
      <c r="I833" s="4">
        <v>41731</v>
      </c>
      <c r="J833" s="3">
        <v>71.599999999999994</v>
      </c>
      <c r="K833" s="6"/>
      <c r="L833" s="3">
        <v>44</v>
      </c>
      <c r="M833" s="5">
        <v>8.1999999999999957</v>
      </c>
      <c r="N833" s="6"/>
      <c r="O833" s="5">
        <v>103.4</v>
      </c>
      <c r="P833" s="5">
        <v>186.36363636363626</v>
      </c>
      <c r="Q833" s="5">
        <v>22.601302272727267</v>
      </c>
      <c r="R833" s="8">
        <f t="shared" si="77"/>
        <v>15</v>
      </c>
      <c r="S833" s="9">
        <f t="shared" si="78"/>
        <v>0.59999999999999432</v>
      </c>
      <c r="T833" s="9">
        <v>1.5</v>
      </c>
      <c r="U833" s="9">
        <f t="shared" si="79"/>
        <v>35.25</v>
      </c>
      <c r="V833" s="9">
        <f t="shared" si="80"/>
        <v>39.999999999999616</v>
      </c>
      <c r="W833" s="9">
        <f t="shared" si="81"/>
        <v>15.385574999999982</v>
      </c>
    </row>
    <row r="834" spans="1:23">
      <c r="A834" s="2" t="s">
        <v>335</v>
      </c>
      <c r="B834" s="2" t="s">
        <v>371</v>
      </c>
      <c r="C834" s="3">
        <v>245</v>
      </c>
      <c r="D834" s="3">
        <v>2.35</v>
      </c>
      <c r="E834" s="2" t="s">
        <v>416</v>
      </c>
      <c r="F834" s="4">
        <v>41687</v>
      </c>
      <c r="G834" s="3">
        <v>57.4</v>
      </c>
      <c r="H834" s="6"/>
      <c r="I834" s="4">
        <v>41687</v>
      </c>
      <c r="J834" s="3">
        <v>57.4</v>
      </c>
      <c r="K834" s="6"/>
      <c r="L834" s="3">
        <v>0</v>
      </c>
      <c r="M834" s="5">
        <v>0</v>
      </c>
      <c r="N834" s="6"/>
      <c r="O834" s="5">
        <v>0</v>
      </c>
      <c r="P834" s="5">
        <v>0</v>
      </c>
      <c r="Q834" s="5">
        <v>11.705765999999999</v>
      </c>
      <c r="R834" s="8">
        <f t="shared" si="77"/>
        <v>0</v>
      </c>
      <c r="S834" s="9">
        <f t="shared" si="78"/>
        <v>0</v>
      </c>
      <c r="T834" s="9">
        <v>1.5</v>
      </c>
      <c r="U834" s="9">
        <f t="shared" si="79"/>
        <v>0</v>
      </c>
      <c r="V834" s="9">
        <f t="shared" si="80"/>
        <v>0</v>
      </c>
      <c r="W834" s="9">
        <f t="shared" si="81"/>
        <v>11.705765999999999</v>
      </c>
    </row>
    <row r="835" spans="1:23">
      <c r="A835" s="2" t="s">
        <v>335</v>
      </c>
      <c r="B835" s="2" t="s">
        <v>371</v>
      </c>
      <c r="C835" s="3">
        <v>245</v>
      </c>
      <c r="D835" s="3">
        <v>2.35</v>
      </c>
      <c r="E835" s="2" t="s">
        <v>416</v>
      </c>
      <c r="F835" s="4">
        <v>41687</v>
      </c>
      <c r="G835" s="3">
        <v>57.4</v>
      </c>
      <c r="H835" s="6"/>
      <c r="I835" s="4">
        <v>41703</v>
      </c>
      <c r="J835" s="3">
        <v>55.4</v>
      </c>
      <c r="K835" s="6"/>
      <c r="L835" s="3">
        <v>16</v>
      </c>
      <c r="M835" s="5">
        <v>-2</v>
      </c>
      <c r="N835" s="6"/>
      <c r="O835" s="5">
        <v>37.6</v>
      </c>
      <c r="P835" s="5">
        <v>-125</v>
      </c>
      <c r="Q835" s="5">
        <v>5.3741760000000003</v>
      </c>
      <c r="R835" s="8">
        <f t="shared" si="77"/>
        <v>16</v>
      </c>
      <c r="S835" s="9">
        <f t="shared" si="78"/>
        <v>-2</v>
      </c>
      <c r="T835" s="9">
        <v>1.5</v>
      </c>
      <c r="U835" s="9">
        <f t="shared" si="79"/>
        <v>37.6</v>
      </c>
      <c r="V835" s="9">
        <f t="shared" si="80"/>
        <v>-125</v>
      </c>
      <c r="W835" s="9">
        <f t="shared" si="81"/>
        <v>5.3741760000000003</v>
      </c>
    </row>
    <row r="836" spans="1:23">
      <c r="A836" s="2" t="s">
        <v>335</v>
      </c>
      <c r="B836" s="2" t="s">
        <v>371</v>
      </c>
      <c r="C836" s="3">
        <v>245</v>
      </c>
      <c r="D836" s="3">
        <v>2.35</v>
      </c>
      <c r="E836" s="2" t="s">
        <v>416</v>
      </c>
      <c r="F836" s="4">
        <v>41687</v>
      </c>
      <c r="G836" s="3">
        <v>57.4</v>
      </c>
      <c r="H836" s="6"/>
      <c r="I836" s="4">
        <v>41716</v>
      </c>
      <c r="J836" s="3">
        <v>60</v>
      </c>
      <c r="K836" s="6"/>
      <c r="L836" s="3">
        <v>29</v>
      </c>
      <c r="M836" s="5">
        <v>2.6000000000000014</v>
      </c>
      <c r="N836" s="6"/>
      <c r="O836" s="5">
        <v>68.150000000000006</v>
      </c>
      <c r="P836" s="5">
        <v>89.655172413793153</v>
      </c>
      <c r="Q836" s="5">
        <v>16.345583000000001</v>
      </c>
      <c r="R836" s="8">
        <f t="shared" si="77"/>
        <v>13</v>
      </c>
      <c r="S836" s="9">
        <f t="shared" si="78"/>
        <v>4.6000000000000014</v>
      </c>
      <c r="T836" s="9">
        <v>1.5</v>
      </c>
      <c r="U836" s="9">
        <f t="shared" si="79"/>
        <v>30.55</v>
      </c>
      <c r="V836" s="9">
        <f t="shared" si="80"/>
        <v>353.84615384615398</v>
      </c>
      <c r="W836" s="9">
        <f t="shared" si="81"/>
        <v>29.370198384615389</v>
      </c>
    </row>
    <row r="837" spans="1:23">
      <c r="A837" s="2" t="s">
        <v>335</v>
      </c>
      <c r="B837" s="2" t="s">
        <v>371</v>
      </c>
      <c r="C837" s="3">
        <v>245</v>
      </c>
      <c r="D837" s="3">
        <v>2.35</v>
      </c>
      <c r="E837" s="2" t="s">
        <v>416</v>
      </c>
      <c r="F837" s="4">
        <v>41687</v>
      </c>
      <c r="G837" s="3">
        <v>57.4</v>
      </c>
      <c r="H837" s="6"/>
      <c r="I837" s="4">
        <v>41731</v>
      </c>
      <c r="J837" s="3">
        <v>61</v>
      </c>
      <c r="K837" s="6"/>
      <c r="L837" s="3">
        <v>44</v>
      </c>
      <c r="M837" s="5">
        <v>3.6000000000000014</v>
      </c>
      <c r="N837" s="6"/>
      <c r="O837" s="5">
        <v>103.4</v>
      </c>
      <c r="P837" s="5">
        <v>81.818181818181841</v>
      </c>
      <c r="Q837" s="5">
        <v>16.043764363636363</v>
      </c>
      <c r="R837" s="8">
        <f t="shared" si="77"/>
        <v>15</v>
      </c>
      <c r="S837" s="9">
        <f t="shared" si="78"/>
        <v>1</v>
      </c>
      <c r="T837" s="9">
        <v>1.5</v>
      </c>
      <c r="U837" s="9">
        <f t="shared" si="79"/>
        <v>35.25</v>
      </c>
      <c r="V837" s="9">
        <f t="shared" si="80"/>
        <v>66.666666666666671</v>
      </c>
      <c r="W837" s="9">
        <f t="shared" si="81"/>
        <v>15.296794666666667</v>
      </c>
    </row>
    <row r="838" spans="1:23">
      <c r="A838" s="2" t="s">
        <v>335</v>
      </c>
      <c r="B838" s="2" t="s">
        <v>371</v>
      </c>
      <c r="C838" s="3">
        <v>245</v>
      </c>
      <c r="D838" s="3">
        <v>2.35</v>
      </c>
      <c r="E838" s="2" t="s">
        <v>417</v>
      </c>
      <c r="F838" s="4">
        <v>41687</v>
      </c>
      <c r="G838" s="3">
        <v>56.8</v>
      </c>
      <c r="H838" s="6"/>
      <c r="I838" s="4">
        <v>41687</v>
      </c>
      <c r="J838" s="3">
        <v>56.8</v>
      </c>
      <c r="K838" s="6"/>
      <c r="L838" s="3">
        <v>0</v>
      </c>
      <c r="M838" s="5">
        <v>0</v>
      </c>
      <c r="N838" s="6"/>
      <c r="O838" s="5">
        <v>0</v>
      </c>
      <c r="P838" s="5">
        <v>0</v>
      </c>
      <c r="Q838" s="5">
        <v>11.604311999999998</v>
      </c>
      <c r="R838" s="8">
        <f t="shared" si="77"/>
        <v>0</v>
      </c>
      <c r="S838" s="9">
        <f t="shared" si="78"/>
        <v>0</v>
      </c>
      <c r="T838" s="9">
        <v>1.5</v>
      </c>
      <c r="U838" s="9">
        <f t="shared" si="79"/>
        <v>0</v>
      </c>
      <c r="V838" s="9">
        <f t="shared" si="80"/>
        <v>0</v>
      </c>
      <c r="W838" s="9">
        <f t="shared" si="81"/>
        <v>11.604311999999998</v>
      </c>
    </row>
    <row r="839" spans="1:23">
      <c r="A839" s="2" t="s">
        <v>335</v>
      </c>
      <c r="B839" s="2" t="s">
        <v>371</v>
      </c>
      <c r="C839" s="3">
        <v>245</v>
      </c>
      <c r="D839" s="3">
        <v>2.35</v>
      </c>
      <c r="E839" s="2" t="s">
        <v>417</v>
      </c>
      <c r="F839" s="4">
        <v>41687</v>
      </c>
      <c r="G839" s="3">
        <v>56.8</v>
      </c>
      <c r="H839" s="6"/>
      <c r="I839" s="4">
        <v>41703</v>
      </c>
      <c r="J839" s="3">
        <v>59.2</v>
      </c>
      <c r="K839" s="6"/>
      <c r="L839" s="3">
        <v>16</v>
      </c>
      <c r="M839" s="5">
        <v>2.4000000000000057</v>
      </c>
      <c r="N839" s="6"/>
      <c r="O839" s="5">
        <v>37.6</v>
      </c>
      <c r="P839" s="5">
        <v>150.00000000000034</v>
      </c>
      <c r="Q839" s="5">
        <v>19.202220000000015</v>
      </c>
      <c r="R839" s="8">
        <f t="shared" si="77"/>
        <v>16</v>
      </c>
      <c r="S839" s="9">
        <f t="shared" si="78"/>
        <v>2.4000000000000057</v>
      </c>
      <c r="T839" s="9">
        <v>1.5</v>
      </c>
      <c r="U839" s="9">
        <f t="shared" si="79"/>
        <v>37.6</v>
      </c>
      <c r="V839" s="9">
        <f t="shared" si="80"/>
        <v>150.00000000000034</v>
      </c>
      <c r="W839" s="9">
        <f t="shared" si="81"/>
        <v>19.202220000000015</v>
      </c>
    </row>
    <row r="840" spans="1:23">
      <c r="A840" s="2" t="s">
        <v>335</v>
      </c>
      <c r="B840" s="2" t="s">
        <v>371</v>
      </c>
      <c r="C840" s="3">
        <v>245</v>
      </c>
      <c r="D840" s="3">
        <v>2.35</v>
      </c>
      <c r="E840" s="2" t="s">
        <v>417</v>
      </c>
      <c r="F840" s="4">
        <v>41687</v>
      </c>
      <c r="G840" s="3">
        <v>56.8</v>
      </c>
      <c r="H840" s="6"/>
      <c r="I840" s="4">
        <v>41716</v>
      </c>
      <c r="J840" s="3">
        <v>63</v>
      </c>
      <c r="K840" s="6"/>
      <c r="L840" s="3">
        <v>29</v>
      </c>
      <c r="M840" s="5">
        <v>6.2000000000000028</v>
      </c>
      <c r="N840" s="6"/>
      <c r="O840" s="5">
        <v>68.150000000000006</v>
      </c>
      <c r="P840" s="5">
        <v>213.79310344827596</v>
      </c>
      <c r="Q840" s="5">
        <v>22.668491000000003</v>
      </c>
      <c r="R840" s="8">
        <f t="shared" si="77"/>
        <v>13</v>
      </c>
      <c r="S840" s="9">
        <f t="shared" si="78"/>
        <v>3.7999999999999972</v>
      </c>
      <c r="T840" s="9">
        <v>1.5</v>
      </c>
      <c r="U840" s="9">
        <f t="shared" si="79"/>
        <v>30.55</v>
      </c>
      <c r="V840" s="9">
        <f t="shared" si="80"/>
        <v>292.30769230769209</v>
      </c>
      <c r="W840" s="9">
        <f t="shared" si="81"/>
        <v>26.539260230769216</v>
      </c>
    </row>
    <row r="841" spans="1:23">
      <c r="A841" s="2" t="s">
        <v>335</v>
      </c>
      <c r="B841" s="2" t="s">
        <v>371</v>
      </c>
      <c r="C841" s="3">
        <v>245</v>
      </c>
      <c r="D841" s="3">
        <v>2.35</v>
      </c>
      <c r="E841" s="2" t="s">
        <v>417</v>
      </c>
      <c r="F841" s="4">
        <v>41687</v>
      </c>
      <c r="G841" s="3">
        <v>56.8</v>
      </c>
      <c r="H841" s="6"/>
      <c r="I841" s="4">
        <v>41731</v>
      </c>
      <c r="J841" s="3">
        <v>65</v>
      </c>
      <c r="K841" s="6"/>
      <c r="L841" s="3">
        <v>44</v>
      </c>
      <c r="M841" s="5">
        <v>8.2000000000000028</v>
      </c>
      <c r="N841" s="6"/>
      <c r="O841" s="5">
        <v>103.4</v>
      </c>
      <c r="P841" s="5">
        <v>186.36363636363643</v>
      </c>
      <c r="Q841" s="5">
        <v>21.485308272727274</v>
      </c>
      <c r="R841" s="8">
        <f t="shared" si="77"/>
        <v>15</v>
      </c>
      <c r="S841" s="9">
        <f t="shared" si="78"/>
        <v>2</v>
      </c>
      <c r="T841" s="9">
        <v>1.5</v>
      </c>
      <c r="U841" s="9">
        <f t="shared" si="79"/>
        <v>35.25</v>
      </c>
      <c r="V841" s="9">
        <f t="shared" si="80"/>
        <v>133.33333333333334</v>
      </c>
      <c r="W841" s="9">
        <f t="shared" si="81"/>
        <v>18.870914333333332</v>
      </c>
    </row>
    <row r="842" spans="1:23">
      <c r="A842" s="2" t="s">
        <v>335</v>
      </c>
      <c r="B842" s="2" t="s">
        <v>371</v>
      </c>
      <c r="C842" s="3">
        <v>245</v>
      </c>
      <c r="D842" s="3">
        <v>2.35</v>
      </c>
      <c r="E842" s="2" t="s">
        <v>418</v>
      </c>
      <c r="F842" s="4">
        <v>41687</v>
      </c>
      <c r="G842" s="3">
        <v>54.4</v>
      </c>
      <c r="H842" s="6"/>
      <c r="I842" s="4">
        <v>41687</v>
      </c>
      <c r="J842" s="3">
        <v>54.4</v>
      </c>
      <c r="K842" s="6"/>
      <c r="L842" s="3">
        <v>0</v>
      </c>
      <c r="M842" s="5">
        <v>0</v>
      </c>
      <c r="N842" s="6"/>
      <c r="O842" s="5">
        <v>0</v>
      </c>
      <c r="P842" s="5">
        <v>0</v>
      </c>
      <c r="Q842" s="5">
        <v>11.198495999999999</v>
      </c>
      <c r="R842" s="8">
        <f t="shared" si="77"/>
        <v>0</v>
      </c>
      <c r="S842" s="9">
        <f t="shared" si="78"/>
        <v>0</v>
      </c>
      <c r="T842" s="9">
        <v>1.5</v>
      </c>
      <c r="U842" s="9">
        <f t="shared" si="79"/>
        <v>0</v>
      </c>
      <c r="V842" s="9">
        <f t="shared" si="80"/>
        <v>0</v>
      </c>
      <c r="W842" s="9">
        <f t="shared" si="81"/>
        <v>11.198495999999999</v>
      </c>
    </row>
    <row r="843" spans="1:23">
      <c r="A843" s="2" t="s">
        <v>335</v>
      </c>
      <c r="B843" s="2" t="s">
        <v>371</v>
      </c>
      <c r="C843" s="3">
        <v>245</v>
      </c>
      <c r="D843" s="3">
        <v>2.35</v>
      </c>
      <c r="E843" s="2" t="s">
        <v>418</v>
      </c>
      <c r="F843" s="4">
        <v>41687</v>
      </c>
      <c r="G843" s="3">
        <v>54.4</v>
      </c>
      <c r="H843" s="6"/>
      <c r="I843" s="4">
        <v>41703</v>
      </c>
      <c r="J843" s="3">
        <v>55.6</v>
      </c>
      <c r="K843" s="6"/>
      <c r="L843" s="3">
        <v>16</v>
      </c>
      <c r="M843" s="5">
        <v>1.2000000000000028</v>
      </c>
      <c r="N843" s="6"/>
      <c r="O843" s="5">
        <v>37.6</v>
      </c>
      <c r="P843" s="5">
        <v>75.000000000000171</v>
      </c>
      <c r="Q843" s="5">
        <v>14.997450000000008</v>
      </c>
      <c r="R843" s="8">
        <f t="shared" si="77"/>
        <v>16</v>
      </c>
      <c r="S843" s="9">
        <f t="shared" si="78"/>
        <v>1.2000000000000028</v>
      </c>
      <c r="T843" s="9">
        <v>1.5</v>
      </c>
      <c r="U843" s="9">
        <f t="shared" si="79"/>
        <v>37.6</v>
      </c>
      <c r="V843" s="9">
        <f t="shared" si="80"/>
        <v>75.000000000000171</v>
      </c>
      <c r="W843" s="9">
        <f t="shared" si="81"/>
        <v>14.997450000000008</v>
      </c>
    </row>
    <row r="844" spans="1:23">
      <c r="A844" s="2" t="s">
        <v>335</v>
      </c>
      <c r="B844" s="2" t="s">
        <v>371</v>
      </c>
      <c r="C844" s="3">
        <v>245</v>
      </c>
      <c r="D844" s="3">
        <v>2.35</v>
      </c>
      <c r="E844" s="2" t="s">
        <v>418</v>
      </c>
      <c r="F844" s="4">
        <v>41687</v>
      </c>
      <c r="G844" s="3">
        <v>54.4</v>
      </c>
      <c r="H844" s="6"/>
      <c r="I844" s="4">
        <v>41716</v>
      </c>
      <c r="J844" s="3">
        <v>59</v>
      </c>
      <c r="K844" s="6"/>
      <c r="L844" s="3">
        <v>29</v>
      </c>
      <c r="M844" s="5">
        <v>4.6000000000000014</v>
      </c>
      <c r="N844" s="6"/>
      <c r="O844" s="5">
        <v>68.150000000000006</v>
      </c>
      <c r="P844" s="5">
        <v>158.62068965517244</v>
      </c>
      <c r="Q844" s="5">
        <v>19.407403000000002</v>
      </c>
      <c r="R844" s="8">
        <f t="shared" si="77"/>
        <v>13</v>
      </c>
      <c r="S844" s="9">
        <f t="shared" si="78"/>
        <v>3.3999999999999986</v>
      </c>
      <c r="T844" s="9">
        <v>1.5</v>
      </c>
      <c r="U844" s="9">
        <f t="shared" si="79"/>
        <v>30.55</v>
      </c>
      <c r="V844" s="9">
        <f t="shared" si="80"/>
        <v>261.53846153846143</v>
      </c>
      <c r="W844" s="9">
        <f t="shared" si="81"/>
        <v>24.48124915384615</v>
      </c>
    </row>
    <row r="845" spans="1:23">
      <c r="A845" s="2" t="s">
        <v>335</v>
      </c>
      <c r="B845" s="2" t="s">
        <v>371</v>
      </c>
      <c r="C845" s="3">
        <v>245</v>
      </c>
      <c r="D845" s="3">
        <v>2.35</v>
      </c>
      <c r="E845" s="2" t="s">
        <v>418</v>
      </c>
      <c r="F845" s="4">
        <v>41687</v>
      </c>
      <c r="G845" s="3">
        <v>54.4</v>
      </c>
      <c r="H845" s="6"/>
      <c r="I845" s="4">
        <v>41731</v>
      </c>
      <c r="J845" s="3">
        <v>61</v>
      </c>
      <c r="K845" s="6"/>
      <c r="L845" s="3">
        <v>44</v>
      </c>
      <c r="M845" s="5">
        <v>6.6000000000000014</v>
      </c>
      <c r="N845" s="6"/>
      <c r="O845" s="5">
        <v>103.4</v>
      </c>
      <c r="P845" s="5">
        <v>150.00000000000003</v>
      </c>
      <c r="Q845" s="5">
        <v>19.151493000000002</v>
      </c>
      <c r="R845" s="8">
        <f t="shared" si="77"/>
        <v>15</v>
      </c>
      <c r="S845" s="9">
        <f t="shared" si="78"/>
        <v>2</v>
      </c>
      <c r="T845" s="9">
        <v>1.5</v>
      </c>
      <c r="U845" s="9">
        <f t="shared" si="79"/>
        <v>35.25</v>
      </c>
      <c r="V845" s="9">
        <f t="shared" si="80"/>
        <v>133.33333333333334</v>
      </c>
      <c r="W845" s="9">
        <f t="shared" si="81"/>
        <v>18.329826333333333</v>
      </c>
    </row>
    <row r="846" spans="1:23">
      <c r="A846" s="2" t="s">
        <v>335</v>
      </c>
      <c r="B846" s="2" t="s">
        <v>371</v>
      </c>
      <c r="C846" s="3">
        <v>245</v>
      </c>
      <c r="D846" s="3">
        <v>2.35</v>
      </c>
      <c r="E846" s="2" t="s">
        <v>419</v>
      </c>
      <c r="F846" s="4">
        <v>41687</v>
      </c>
      <c r="G846" s="3">
        <v>52.4</v>
      </c>
      <c r="H846" s="6"/>
      <c r="I846" s="4">
        <v>41687</v>
      </c>
      <c r="J846" s="3">
        <v>52.4</v>
      </c>
      <c r="K846" s="6"/>
      <c r="L846" s="3">
        <v>0</v>
      </c>
      <c r="M846" s="5">
        <v>0</v>
      </c>
      <c r="N846" s="6"/>
      <c r="O846" s="5">
        <v>0</v>
      </c>
      <c r="P846" s="5">
        <v>0</v>
      </c>
      <c r="Q846" s="5">
        <v>10.860315999999999</v>
      </c>
      <c r="R846" s="8">
        <f t="shared" si="77"/>
        <v>0</v>
      </c>
      <c r="S846" s="9">
        <f t="shared" si="78"/>
        <v>0</v>
      </c>
      <c r="T846" s="9">
        <v>1.5</v>
      </c>
      <c r="U846" s="9">
        <f t="shared" si="79"/>
        <v>0</v>
      </c>
      <c r="V846" s="9">
        <f t="shared" si="80"/>
        <v>0</v>
      </c>
      <c r="W846" s="9">
        <f t="shared" si="81"/>
        <v>10.860315999999999</v>
      </c>
    </row>
    <row r="847" spans="1:23">
      <c r="A847" s="2" t="s">
        <v>335</v>
      </c>
      <c r="B847" s="2" t="s">
        <v>371</v>
      </c>
      <c r="C847" s="3">
        <v>245</v>
      </c>
      <c r="D847" s="3">
        <v>2.35</v>
      </c>
      <c r="E847" s="2" t="s">
        <v>419</v>
      </c>
      <c r="F847" s="4">
        <v>41687</v>
      </c>
      <c r="G847" s="3">
        <v>52.4</v>
      </c>
      <c r="H847" s="6"/>
      <c r="I847" s="4">
        <v>41703</v>
      </c>
      <c r="J847" s="3">
        <v>55</v>
      </c>
      <c r="K847" s="6"/>
      <c r="L847" s="3">
        <v>16</v>
      </c>
      <c r="M847" s="5">
        <v>2.6000000000000014</v>
      </c>
      <c r="N847" s="6"/>
      <c r="O847" s="5">
        <v>37.6</v>
      </c>
      <c r="P847" s="5">
        <v>162.50000000000009</v>
      </c>
      <c r="Q847" s="5">
        <v>19.091383000000004</v>
      </c>
      <c r="R847" s="8">
        <f t="shared" si="77"/>
        <v>16</v>
      </c>
      <c r="S847" s="9">
        <f t="shared" si="78"/>
        <v>2.6000000000000014</v>
      </c>
      <c r="T847" s="9">
        <v>1.5</v>
      </c>
      <c r="U847" s="9">
        <f t="shared" si="79"/>
        <v>37.6</v>
      </c>
      <c r="V847" s="9">
        <f t="shared" si="80"/>
        <v>162.50000000000009</v>
      </c>
      <c r="W847" s="9">
        <f t="shared" si="81"/>
        <v>19.091383000000004</v>
      </c>
    </row>
    <row r="848" spans="1:23">
      <c r="A848" s="2" t="s">
        <v>335</v>
      </c>
      <c r="B848" s="2" t="s">
        <v>371</v>
      </c>
      <c r="C848" s="3">
        <v>245</v>
      </c>
      <c r="D848" s="3">
        <v>2.35</v>
      </c>
      <c r="E848" s="2" t="s">
        <v>419</v>
      </c>
      <c r="F848" s="4">
        <v>41687</v>
      </c>
      <c r="G848" s="3">
        <v>52.4</v>
      </c>
      <c r="H848" s="6"/>
      <c r="I848" s="4">
        <v>41716</v>
      </c>
      <c r="J848" s="3">
        <v>58.5</v>
      </c>
      <c r="K848" s="6"/>
      <c r="L848" s="3">
        <v>29</v>
      </c>
      <c r="M848" s="5">
        <v>6.1000000000000014</v>
      </c>
      <c r="N848" s="6"/>
      <c r="O848" s="5">
        <v>68.150000000000006</v>
      </c>
      <c r="P848" s="5">
        <v>210.34482758620695</v>
      </c>
      <c r="Q848" s="5">
        <v>21.746040500000003</v>
      </c>
      <c r="R848" s="8">
        <f t="shared" si="77"/>
        <v>13</v>
      </c>
      <c r="S848" s="9">
        <f t="shared" si="78"/>
        <v>3.5</v>
      </c>
      <c r="T848" s="9">
        <v>1.5</v>
      </c>
      <c r="U848" s="9">
        <f t="shared" si="79"/>
        <v>30.55</v>
      </c>
      <c r="V848" s="9">
        <f t="shared" si="80"/>
        <v>269.23076923076923</v>
      </c>
      <c r="W848" s="9">
        <f t="shared" si="81"/>
        <v>24.649117423076923</v>
      </c>
    </row>
    <row r="849" spans="1:23">
      <c r="A849" s="2" t="s">
        <v>335</v>
      </c>
      <c r="B849" s="2" t="s">
        <v>371</v>
      </c>
      <c r="C849" s="3">
        <v>245</v>
      </c>
      <c r="D849" s="3">
        <v>2.35</v>
      </c>
      <c r="E849" s="2" t="s">
        <v>419</v>
      </c>
      <c r="F849" s="4">
        <v>41687</v>
      </c>
      <c r="G849" s="3">
        <v>52.4</v>
      </c>
      <c r="H849" s="6"/>
      <c r="I849" s="4">
        <v>41731</v>
      </c>
      <c r="J849" s="3">
        <v>57</v>
      </c>
      <c r="K849" s="6"/>
      <c r="L849" s="3">
        <v>44</v>
      </c>
      <c r="M849" s="5">
        <v>4.6000000000000014</v>
      </c>
      <c r="N849" s="6"/>
      <c r="O849" s="5">
        <v>103.4</v>
      </c>
      <c r="P849" s="5">
        <v>104.54545454545458</v>
      </c>
      <c r="Q849" s="5">
        <v>16.403313909090912</v>
      </c>
      <c r="R849" s="8">
        <f t="shared" si="77"/>
        <v>15</v>
      </c>
      <c r="S849" s="9">
        <f t="shared" si="78"/>
        <v>-1.5</v>
      </c>
      <c r="T849" s="9">
        <v>1.5</v>
      </c>
      <c r="U849" s="9">
        <f t="shared" si="79"/>
        <v>35.25</v>
      </c>
      <c r="V849" s="9">
        <f t="shared" si="80"/>
        <v>-100</v>
      </c>
      <c r="W849" s="9">
        <f t="shared" si="81"/>
        <v>6.3192230000000009</v>
      </c>
    </row>
    <row r="850" spans="1:23">
      <c r="A850" s="2" t="s">
        <v>335</v>
      </c>
      <c r="B850" s="2" t="s">
        <v>371</v>
      </c>
      <c r="C850" s="3">
        <v>245</v>
      </c>
      <c r="D850" s="3">
        <v>2.35</v>
      </c>
      <c r="E850" s="2" t="s">
        <v>420</v>
      </c>
      <c r="F850" s="4">
        <v>41687</v>
      </c>
      <c r="G850" s="3">
        <v>52.8</v>
      </c>
      <c r="H850" s="6"/>
      <c r="I850" s="4">
        <v>41687</v>
      </c>
      <c r="J850" s="3">
        <v>52.8</v>
      </c>
      <c r="K850" s="6"/>
      <c r="L850" s="3">
        <v>0</v>
      </c>
      <c r="M850" s="5">
        <v>0</v>
      </c>
      <c r="N850" s="6"/>
      <c r="O850" s="5">
        <v>0</v>
      </c>
      <c r="P850" s="5">
        <v>0</v>
      </c>
      <c r="Q850" s="5">
        <v>10.927951999999999</v>
      </c>
      <c r="R850" s="8">
        <f t="shared" si="77"/>
        <v>0</v>
      </c>
      <c r="S850" s="9">
        <f t="shared" si="78"/>
        <v>0</v>
      </c>
      <c r="T850" s="9">
        <v>1.5</v>
      </c>
      <c r="U850" s="9">
        <f t="shared" si="79"/>
        <v>0</v>
      </c>
      <c r="V850" s="9">
        <f t="shared" si="80"/>
        <v>0</v>
      </c>
      <c r="W850" s="9">
        <f t="shared" si="81"/>
        <v>10.927951999999999</v>
      </c>
    </row>
    <row r="851" spans="1:23">
      <c r="A851" s="2" t="s">
        <v>335</v>
      </c>
      <c r="B851" s="2" t="s">
        <v>371</v>
      </c>
      <c r="C851" s="3">
        <v>245</v>
      </c>
      <c r="D851" s="3">
        <v>2.35</v>
      </c>
      <c r="E851" s="2" t="s">
        <v>420</v>
      </c>
      <c r="F851" s="4">
        <v>41687</v>
      </c>
      <c r="G851" s="3">
        <v>52.8</v>
      </c>
      <c r="H851" s="6"/>
      <c r="I851" s="4">
        <v>41703</v>
      </c>
      <c r="J851" s="3">
        <v>50.6</v>
      </c>
      <c r="K851" s="6"/>
      <c r="L851" s="3">
        <v>16</v>
      </c>
      <c r="M851" s="5">
        <v>-2.1999999999999957</v>
      </c>
      <c r="N851" s="6"/>
      <c r="O851" s="5">
        <v>37.6</v>
      </c>
      <c r="P851" s="5">
        <v>-137.49999999999974</v>
      </c>
      <c r="Q851" s="5">
        <v>3.9632030000000142</v>
      </c>
      <c r="R851" s="8">
        <f t="shared" si="77"/>
        <v>16</v>
      </c>
      <c r="S851" s="9">
        <f t="shared" si="78"/>
        <v>-2.1999999999999957</v>
      </c>
      <c r="T851" s="9">
        <v>1.5</v>
      </c>
      <c r="U851" s="9">
        <f t="shared" si="79"/>
        <v>37.6</v>
      </c>
      <c r="V851" s="9">
        <f t="shared" si="80"/>
        <v>-137.49999999999974</v>
      </c>
      <c r="W851" s="9">
        <f t="shared" si="81"/>
        <v>3.9632030000000142</v>
      </c>
    </row>
    <row r="852" spans="1:23">
      <c r="A852" s="2" t="s">
        <v>335</v>
      </c>
      <c r="B852" s="2" t="s">
        <v>371</v>
      </c>
      <c r="C852" s="3">
        <v>245</v>
      </c>
      <c r="D852" s="3">
        <v>2.35</v>
      </c>
      <c r="E852" s="2" t="s">
        <v>420</v>
      </c>
      <c r="F852" s="4">
        <v>41687</v>
      </c>
      <c r="G852" s="3">
        <v>52.8</v>
      </c>
      <c r="H852" s="6"/>
      <c r="I852" s="4">
        <v>41716</v>
      </c>
      <c r="J852" s="3">
        <v>56</v>
      </c>
      <c r="K852" s="6"/>
      <c r="L852" s="3">
        <v>29</v>
      </c>
      <c r="M852" s="5">
        <v>3.2000000000000028</v>
      </c>
      <c r="N852" s="6"/>
      <c r="O852" s="5">
        <v>68.150000000000006</v>
      </c>
      <c r="P852" s="5">
        <v>110.34482758620699</v>
      </c>
      <c r="Q852" s="5">
        <v>16.638496000000004</v>
      </c>
      <c r="R852" s="8">
        <f t="shared" si="77"/>
        <v>13</v>
      </c>
      <c r="S852" s="9">
        <f t="shared" si="78"/>
        <v>5.3999999999999986</v>
      </c>
      <c r="T852" s="9">
        <v>1.5</v>
      </c>
      <c r="U852" s="9">
        <f t="shared" si="79"/>
        <v>30.55</v>
      </c>
      <c r="V852" s="9">
        <f t="shared" si="80"/>
        <v>415.3846153846153</v>
      </c>
      <c r="W852" s="9">
        <f t="shared" si="81"/>
        <v>31.676957538461533</v>
      </c>
    </row>
    <row r="853" spans="1:23">
      <c r="A853" s="2" t="s">
        <v>335</v>
      </c>
      <c r="B853" s="2" t="s">
        <v>371</v>
      </c>
      <c r="C853" s="3">
        <v>245</v>
      </c>
      <c r="D853" s="3">
        <v>2.35</v>
      </c>
      <c r="E853" s="2" t="s">
        <v>420</v>
      </c>
      <c r="F853" s="4">
        <v>41687</v>
      </c>
      <c r="G853" s="3">
        <v>52.8</v>
      </c>
      <c r="H853" s="6"/>
      <c r="I853" s="4">
        <v>41731</v>
      </c>
      <c r="J853" s="3">
        <v>55</v>
      </c>
      <c r="K853" s="6"/>
      <c r="L853" s="3">
        <v>44</v>
      </c>
      <c r="M853" s="5">
        <v>2.2000000000000028</v>
      </c>
      <c r="N853" s="6"/>
      <c r="O853" s="5">
        <v>103.4</v>
      </c>
      <c r="P853" s="5">
        <v>50.000000000000064</v>
      </c>
      <c r="Q853" s="5">
        <v>13.578951000000002</v>
      </c>
      <c r="R853" s="8">
        <f t="shared" si="77"/>
        <v>15</v>
      </c>
      <c r="S853" s="9">
        <f t="shared" si="78"/>
        <v>-1</v>
      </c>
      <c r="T853" s="9">
        <v>1.5</v>
      </c>
      <c r="U853" s="9">
        <f t="shared" si="79"/>
        <v>35.25</v>
      </c>
      <c r="V853" s="9">
        <f t="shared" si="80"/>
        <v>-66.666666666666671</v>
      </c>
      <c r="W853" s="9">
        <f t="shared" si="81"/>
        <v>7.8272843333333313</v>
      </c>
    </row>
    <row r="854" spans="1:23">
      <c r="A854" s="2" t="s">
        <v>335</v>
      </c>
      <c r="B854" s="2" t="s">
        <v>371</v>
      </c>
      <c r="C854" s="3">
        <v>245</v>
      </c>
      <c r="D854" s="3">
        <v>2.35</v>
      </c>
      <c r="E854" s="2" t="s">
        <v>421</v>
      </c>
      <c r="F854" s="4">
        <v>41687</v>
      </c>
      <c r="G854" s="3">
        <v>54.4</v>
      </c>
      <c r="H854" s="6"/>
      <c r="I854" s="4">
        <v>41687</v>
      </c>
      <c r="J854" s="3">
        <v>54.4</v>
      </c>
      <c r="K854" s="6"/>
      <c r="L854" s="3">
        <v>0</v>
      </c>
      <c r="M854" s="5">
        <v>0</v>
      </c>
      <c r="N854" s="6"/>
      <c r="O854" s="5">
        <v>0</v>
      </c>
      <c r="P854" s="5">
        <v>0</v>
      </c>
      <c r="Q854" s="5">
        <v>11.198495999999999</v>
      </c>
      <c r="R854" s="8">
        <f t="shared" si="77"/>
        <v>0</v>
      </c>
      <c r="S854" s="9">
        <f t="shared" si="78"/>
        <v>0</v>
      </c>
      <c r="T854" s="9">
        <v>1.5</v>
      </c>
      <c r="U854" s="9">
        <f t="shared" si="79"/>
        <v>0</v>
      </c>
      <c r="V854" s="9">
        <f t="shared" si="80"/>
        <v>0</v>
      </c>
      <c r="W854" s="9">
        <f t="shared" si="81"/>
        <v>11.198495999999999</v>
      </c>
    </row>
    <row r="855" spans="1:23">
      <c r="A855" s="2" t="s">
        <v>335</v>
      </c>
      <c r="B855" s="2" t="s">
        <v>371</v>
      </c>
      <c r="C855" s="3">
        <v>245</v>
      </c>
      <c r="D855" s="3">
        <v>2.35</v>
      </c>
      <c r="E855" s="2" t="s">
        <v>421</v>
      </c>
      <c r="F855" s="4">
        <v>41687</v>
      </c>
      <c r="G855" s="3">
        <v>54.4</v>
      </c>
      <c r="H855" s="6"/>
      <c r="I855" s="4">
        <v>41703</v>
      </c>
      <c r="J855" s="3">
        <v>58.2</v>
      </c>
      <c r="K855" s="6"/>
      <c r="L855" s="3">
        <v>16</v>
      </c>
      <c r="M855" s="5">
        <v>3.8000000000000043</v>
      </c>
      <c r="N855" s="6"/>
      <c r="O855" s="5">
        <v>37.6</v>
      </c>
      <c r="P855" s="5">
        <v>237.50000000000026</v>
      </c>
      <c r="Q855" s="5">
        <v>23.228517000000011</v>
      </c>
      <c r="R855" s="8">
        <f t="shared" si="77"/>
        <v>16</v>
      </c>
      <c r="S855" s="9">
        <f t="shared" si="78"/>
        <v>3.8000000000000043</v>
      </c>
      <c r="T855" s="9">
        <v>1.5</v>
      </c>
      <c r="U855" s="9">
        <f t="shared" si="79"/>
        <v>37.6</v>
      </c>
      <c r="V855" s="9">
        <f t="shared" si="80"/>
        <v>237.50000000000026</v>
      </c>
      <c r="W855" s="9">
        <f t="shared" si="81"/>
        <v>23.228517000000011</v>
      </c>
    </row>
    <row r="856" spans="1:23">
      <c r="A856" s="2" t="s">
        <v>335</v>
      </c>
      <c r="B856" s="2" t="s">
        <v>371</v>
      </c>
      <c r="C856" s="3">
        <v>245</v>
      </c>
      <c r="D856" s="3">
        <v>2.35</v>
      </c>
      <c r="E856" s="2" t="s">
        <v>421</v>
      </c>
      <c r="F856" s="4">
        <v>41687</v>
      </c>
      <c r="G856" s="3">
        <v>54.4</v>
      </c>
      <c r="H856" s="6"/>
      <c r="I856" s="4">
        <v>41716</v>
      </c>
      <c r="J856" s="3">
        <v>63</v>
      </c>
      <c r="K856" s="6"/>
      <c r="L856" s="3">
        <v>29</v>
      </c>
      <c r="M856" s="5">
        <v>8.6000000000000014</v>
      </c>
      <c r="N856" s="6"/>
      <c r="O856" s="5">
        <v>68.150000000000006</v>
      </c>
      <c r="P856" s="5">
        <v>296.55172413793105</v>
      </c>
      <c r="Q856" s="5">
        <v>26.545583000000001</v>
      </c>
      <c r="R856" s="8">
        <f t="shared" si="77"/>
        <v>13</v>
      </c>
      <c r="S856" s="9">
        <f t="shared" si="78"/>
        <v>4.7999999999999972</v>
      </c>
      <c r="T856" s="9">
        <v>1.5</v>
      </c>
      <c r="U856" s="9">
        <f t="shared" si="79"/>
        <v>30.55</v>
      </c>
      <c r="V856" s="9">
        <f t="shared" si="80"/>
        <v>369.23076923076906</v>
      </c>
      <c r="W856" s="9">
        <f t="shared" si="81"/>
        <v>30.128659923076913</v>
      </c>
    </row>
    <row r="857" spans="1:23">
      <c r="A857" s="2" t="s">
        <v>335</v>
      </c>
      <c r="B857" s="2" t="s">
        <v>371</v>
      </c>
      <c r="C857" s="3">
        <v>245</v>
      </c>
      <c r="D857" s="3">
        <v>2.35</v>
      </c>
      <c r="E857" s="2" t="s">
        <v>421</v>
      </c>
      <c r="F857" s="4">
        <v>41687</v>
      </c>
      <c r="G857" s="3">
        <v>54.4</v>
      </c>
      <c r="H857" s="6"/>
      <c r="I857" s="4">
        <v>41731</v>
      </c>
      <c r="J857" s="3">
        <v>62.8</v>
      </c>
      <c r="K857" s="6"/>
      <c r="L857" s="3">
        <v>44</v>
      </c>
      <c r="M857" s="5">
        <v>8.3999999999999986</v>
      </c>
      <c r="N857" s="6"/>
      <c r="O857" s="5">
        <v>103.4</v>
      </c>
      <c r="P857" s="5">
        <v>190.90909090909088</v>
      </c>
      <c r="Q857" s="5">
        <v>21.320492181818178</v>
      </c>
      <c r="R857" s="8">
        <f t="shared" si="77"/>
        <v>15</v>
      </c>
      <c r="S857" s="9">
        <f t="shared" si="78"/>
        <v>-0.20000000000000284</v>
      </c>
      <c r="T857" s="9">
        <v>1.5</v>
      </c>
      <c r="U857" s="9">
        <f t="shared" si="79"/>
        <v>35.25</v>
      </c>
      <c r="V857" s="9">
        <f t="shared" si="80"/>
        <v>-13.333333333333524</v>
      </c>
      <c r="W857" s="9">
        <f t="shared" si="81"/>
        <v>11.251340666666655</v>
      </c>
    </row>
    <row r="858" spans="1:23">
      <c r="A858" s="2" t="s">
        <v>335</v>
      </c>
      <c r="B858" s="2" t="s">
        <v>371</v>
      </c>
      <c r="C858" s="3">
        <v>245</v>
      </c>
      <c r="D858" s="3">
        <v>2.35</v>
      </c>
      <c r="E858" s="2" t="s">
        <v>422</v>
      </c>
      <c r="F858" s="4">
        <v>41687</v>
      </c>
      <c r="G858" s="3">
        <v>57</v>
      </c>
      <c r="H858" s="6"/>
      <c r="I858" s="4">
        <v>41687</v>
      </c>
      <c r="J858" s="3">
        <v>57</v>
      </c>
      <c r="K858" s="6"/>
      <c r="L858" s="3">
        <v>0</v>
      </c>
      <c r="M858" s="5">
        <v>0</v>
      </c>
      <c r="N858" s="6"/>
      <c r="O858" s="5">
        <v>0</v>
      </c>
      <c r="P858" s="5">
        <v>0</v>
      </c>
      <c r="Q858" s="5">
        <v>11.63813</v>
      </c>
      <c r="R858" s="8">
        <f t="shared" si="77"/>
        <v>0</v>
      </c>
      <c r="S858" s="9">
        <f t="shared" si="78"/>
        <v>0</v>
      </c>
      <c r="T858" s="9">
        <v>1.5</v>
      </c>
      <c r="U858" s="9">
        <f t="shared" si="79"/>
        <v>0</v>
      </c>
      <c r="V858" s="9">
        <f t="shared" si="80"/>
        <v>0</v>
      </c>
      <c r="W858" s="9">
        <f t="shared" si="81"/>
        <v>11.63813</v>
      </c>
    </row>
    <row r="859" spans="1:23">
      <c r="A859" s="2" t="s">
        <v>335</v>
      </c>
      <c r="B859" s="2" t="s">
        <v>371</v>
      </c>
      <c r="C859" s="3">
        <v>245</v>
      </c>
      <c r="D859" s="3">
        <v>2.35</v>
      </c>
      <c r="E859" s="2" t="s">
        <v>422</v>
      </c>
      <c r="F859" s="4">
        <v>41687</v>
      </c>
      <c r="G859" s="3">
        <v>57</v>
      </c>
      <c r="H859" s="6"/>
      <c r="I859" s="4">
        <v>41703</v>
      </c>
      <c r="J859" s="3">
        <v>53</v>
      </c>
      <c r="K859" s="6"/>
      <c r="L859" s="3">
        <v>16</v>
      </c>
      <c r="M859" s="5">
        <v>-4</v>
      </c>
      <c r="N859" s="6"/>
      <c r="O859" s="5">
        <v>37.6</v>
      </c>
      <c r="P859" s="5">
        <v>-250</v>
      </c>
      <c r="Q859" s="5">
        <v>-1.0250500000000002</v>
      </c>
      <c r="R859" s="8">
        <f t="shared" si="77"/>
        <v>16</v>
      </c>
      <c r="S859" s="9">
        <f t="shared" si="78"/>
        <v>-4</v>
      </c>
      <c r="T859" s="9">
        <v>1.5</v>
      </c>
      <c r="U859" s="9">
        <f t="shared" si="79"/>
        <v>37.6</v>
      </c>
      <c r="V859" s="9">
        <f t="shared" si="80"/>
        <v>-250</v>
      </c>
      <c r="W859" s="9">
        <f t="shared" si="81"/>
        <v>-1.0250500000000002</v>
      </c>
    </row>
    <row r="860" spans="1:23">
      <c r="A860" s="2" t="s">
        <v>335</v>
      </c>
      <c r="B860" s="2" t="s">
        <v>371</v>
      </c>
      <c r="C860" s="3">
        <v>245</v>
      </c>
      <c r="D860" s="3">
        <v>2.35</v>
      </c>
      <c r="E860" s="2" t="s">
        <v>422</v>
      </c>
      <c r="F860" s="4">
        <v>41687</v>
      </c>
      <c r="G860" s="3">
        <v>57</v>
      </c>
      <c r="H860" s="6"/>
      <c r="I860" s="4">
        <v>41716</v>
      </c>
      <c r="J860" s="3">
        <v>53</v>
      </c>
      <c r="K860" s="6"/>
      <c r="L860" s="3">
        <v>29</v>
      </c>
      <c r="M860" s="5">
        <v>-4</v>
      </c>
      <c r="N860" s="6"/>
      <c r="O860" s="5">
        <v>68.150000000000006</v>
      </c>
      <c r="P860" s="5">
        <v>-137.93103448275861</v>
      </c>
      <c r="Q860" s="5">
        <v>4.4999499999999992</v>
      </c>
      <c r="R860" s="8">
        <f t="shared" si="77"/>
        <v>13</v>
      </c>
      <c r="S860" s="9">
        <f t="shared" si="78"/>
        <v>0</v>
      </c>
      <c r="T860" s="9">
        <v>1.5</v>
      </c>
      <c r="U860" s="9">
        <f t="shared" si="79"/>
        <v>30.55</v>
      </c>
      <c r="V860" s="9">
        <f t="shared" si="80"/>
        <v>0</v>
      </c>
      <c r="W860" s="9">
        <f t="shared" si="81"/>
        <v>11.299949999999999</v>
      </c>
    </row>
    <row r="861" spans="1:23">
      <c r="A861" s="2" t="s">
        <v>335</v>
      </c>
      <c r="B861" s="2" t="s">
        <v>371</v>
      </c>
      <c r="C861" s="3">
        <v>245</v>
      </c>
      <c r="D861" s="3">
        <v>2.35</v>
      </c>
      <c r="E861" s="2" t="s">
        <v>422</v>
      </c>
      <c r="F861" s="4">
        <v>41687</v>
      </c>
      <c r="G861" s="3">
        <v>57</v>
      </c>
      <c r="H861" s="6"/>
      <c r="I861" s="4">
        <v>41731</v>
      </c>
      <c r="J861" s="3">
        <v>71.599999999999994</v>
      </c>
      <c r="K861" s="6"/>
      <c r="L861" s="3">
        <v>44</v>
      </c>
      <c r="M861" s="5">
        <v>14.599999999999994</v>
      </c>
      <c r="N861" s="6"/>
      <c r="O861" s="5">
        <v>103.4</v>
      </c>
      <c r="P861" s="5">
        <v>331.8181818181817</v>
      </c>
      <c r="Q861" s="5">
        <v>29.231123363636357</v>
      </c>
      <c r="R861" s="8">
        <f t="shared" si="77"/>
        <v>15</v>
      </c>
      <c r="S861" s="9">
        <f t="shared" si="78"/>
        <v>18.599999999999994</v>
      </c>
      <c r="T861" s="9">
        <v>1.5</v>
      </c>
      <c r="U861" s="9">
        <f t="shared" si="79"/>
        <v>35.25</v>
      </c>
      <c r="V861" s="9">
        <f t="shared" si="80"/>
        <v>1239.9999999999995</v>
      </c>
      <c r="W861" s="9">
        <f t="shared" si="81"/>
        <v>74.004486999999983</v>
      </c>
    </row>
    <row r="862" spans="1:23">
      <c r="A862" s="2" t="s">
        <v>335</v>
      </c>
      <c r="B862" s="2" t="s">
        <v>371</v>
      </c>
      <c r="C862" s="3">
        <v>245</v>
      </c>
      <c r="D862" s="3">
        <v>2.35</v>
      </c>
      <c r="E862" s="2" t="s">
        <v>423</v>
      </c>
      <c r="F862" s="4">
        <v>41687</v>
      </c>
      <c r="G862" s="3">
        <v>54.2</v>
      </c>
      <c r="H862" s="6"/>
      <c r="I862" s="4">
        <v>41687</v>
      </c>
      <c r="J862" s="3">
        <v>54.2</v>
      </c>
      <c r="K862" s="6"/>
      <c r="L862" s="3">
        <v>0</v>
      </c>
      <c r="M862" s="5">
        <v>0</v>
      </c>
      <c r="N862" s="6"/>
      <c r="O862" s="5">
        <v>0</v>
      </c>
      <c r="P862" s="5">
        <v>0</v>
      </c>
      <c r="Q862" s="5">
        <v>11.164678</v>
      </c>
      <c r="R862" s="8">
        <f t="shared" si="77"/>
        <v>0</v>
      </c>
      <c r="S862" s="9">
        <f t="shared" si="78"/>
        <v>0</v>
      </c>
      <c r="T862" s="9">
        <v>1.5</v>
      </c>
      <c r="U862" s="9">
        <f t="shared" si="79"/>
        <v>0</v>
      </c>
      <c r="V862" s="9">
        <f t="shared" si="80"/>
        <v>0</v>
      </c>
      <c r="W862" s="9">
        <f t="shared" si="81"/>
        <v>11.164678</v>
      </c>
    </row>
    <row r="863" spans="1:23">
      <c r="A863" s="2" t="s">
        <v>335</v>
      </c>
      <c r="B863" s="2" t="s">
        <v>371</v>
      </c>
      <c r="C863" s="3">
        <v>245</v>
      </c>
      <c r="D863" s="3">
        <v>2.35</v>
      </c>
      <c r="E863" s="2" t="s">
        <v>423</v>
      </c>
      <c r="F863" s="4">
        <v>41687</v>
      </c>
      <c r="G863" s="3">
        <v>54.2</v>
      </c>
      <c r="H863" s="6"/>
      <c r="I863" s="4">
        <v>41703</v>
      </c>
      <c r="J863" s="3">
        <v>55.6</v>
      </c>
      <c r="K863" s="6"/>
      <c r="L863" s="3">
        <v>16</v>
      </c>
      <c r="M863" s="5">
        <v>1.3999999999999986</v>
      </c>
      <c r="N863" s="6"/>
      <c r="O863" s="5">
        <v>37.6</v>
      </c>
      <c r="P863" s="5">
        <v>87.499999999999915</v>
      </c>
      <c r="Q863" s="5">
        <v>15.596790999999996</v>
      </c>
      <c r="R863" s="8">
        <f t="shared" si="77"/>
        <v>16</v>
      </c>
      <c r="S863" s="9">
        <f t="shared" si="78"/>
        <v>1.3999999999999986</v>
      </c>
      <c r="T863" s="9">
        <v>1.5</v>
      </c>
      <c r="U863" s="9">
        <f t="shared" si="79"/>
        <v>37.6</v>
      </c>
      <c r="V863" s="9">
        <f t="shared" si="80"/>
        <v>87.499999999999915</v>
      </c>
      <c r="W863" s="9">
        <f t="shared" si="81"/>
        <v>15.596790999999996</v>
      </c>
    </row>
    <row r="864" spans="1:23">
      <c r="A864" s="2" t="s">
        <v>335</v>
      </c>
      <c r="B864" s="2" t="s">
        <v>371</v>
      </c>
      <c r="C864" s="3">
        <v>245</v>
      </c>
      <c r="D864" s="3">
        <v>2.35</v>
      </c>
      <c r="E864" s="2" t="s">
        <v>423</v>
      </c>
      <c r="F864" s="4">
        <v>41687</v>
      </c>
      <c r="G864" s="3">
        <v>54.2</v>
      </c>
      <c r="H864" s="6"/>
      <c r="I864" s="4">
        <v>41716</v>
      </c>
      <c r="J864" s="3">
        <v>60.5</v>
      </c>
      <c r="K864" s="6"/>
      <c r="L864" s="3">
        <v>29</v>
      </c>
      <c r="M864" s="5">
        <v>6.2999999999999972</v>
      </c>
      <c r="N864" s="6"/>
      <c r="O864" s="5">
        <v>68.150000000000006</v>
      </c>
      <c r="P864" s="5">
        <v>217.24137931034474</v>
      </c>
      <c r="Q864" s="5">
        <v>22.407311499999995</v>
      </c>
      <c r="R864" s="8">
        <f t="shared" si="77"/>
        <v>13</v>
      </c>
      <c r="S864" s="9">
        <f t="shared" si="78"/>
        <v>4.8999999999999986</v>
      </c>
      <c r="T864" s="9">
        <v>1.5</v>
      </c>
      <c r="U864" s="9">
        <f t="shared" si="79"/>
        <v>30.55</v>
      </c>
      <c r="V864" s="9">
        <f t="shared" si="80"/>
        <v>376.92307692307679</v>
      </c>
      <c r="W864" s="9">
        <f t="shared" si="81"/>
        <v>30.279619192307685</v>
      </c>
    </row>
    <row r="865" spans="1:23">
      <c r="A865" s="2" t="s">
        <v>335</v>
      </c>
      <c r="B865" s="2" t="s">
        <v>371</v>
      </c>
      <c r="C865" s="3">
        <v>245</v>
      </c>
      <c r="D865" s="3">
        <v>2.35</v>
      </c>
      <c r="E865" s="2" t="s">
        <v>423</v>
      </c>
      <c r="F865" s="4">
        <v>41687</v>
      </c>
      <c r="G865" s="3">
        <v>54.2</v>
      </c>
      <c r="H865" s="6"/>
      <c r="I865" s="4">
        <v>41731</v>
      </c>
      <c r="J865" s="3">
        <v>61.2</v>
      </c>
      <c r="K865" s="6"/>
      <c r="L865" s="3">
        <v>44</v>
      </c>
      <c r="M865" s="5">
        <v>7</v>
      </c>
      <c r="N865" s="6"/>
      <c r="O865" s="5">
        <v>103.4</v>
      </c>
      <c r="P865" s="5">
        <v>159.09090909090909</v>
      </c>
      <c r="Q865" s="5">
        <v>19.599674818181818</v>
      </c>
      <c r="R865" s="8">
        <f t="shared" si="77"/>
        <v>15</v>
      </c>
      <c r="S865" s="9">
        <f t="shared" si="78"/>
        <v>0.70000000000000284</v>
      </c>
      <c r="T865" s="9">
        <v>1.5</v>
      </c>
      <c r="U865" s="9">
        <f t="shared" si="79"/>
        <v>35.25</v>
      </c>
      <c r="V865" s="9">
        <f t="shared" si="80"/>
        <v>46.666666666666856</v>
      </c>
      <c r="W865" s="9">
        <f t="shared" si="81"/>
        <v>14.057159666666676</v>
      </c>
    </row>
    <row r="866" spans="1:23">
      <c r="A866" s="2" t="s">
        <v>335</v>
      </c>
      <c r="B866" s="2" t="s">
        <v>371</v>
      </c>
      <c r="C866" s="3">
        <v>245</v>
      </c>
      <c r="D866" s="3">
        <v>2.35</v>
      </c>
      <c r="E866" s="2" t="s">
        <v>424</v>
      </c>
      <c r="F866" s="4">
        <v>41687</v>
      </c>
      <c r="G866" s="3">
        <v>54.4</v>
      </c>
      <c r="H866" s="6"/>
      <c r="I866" s="4">
        <v>41687</v>
      </c>
      <c r="J866" s="3">
        <v>54.4</v>
      </c>
      <c r="K866" s="6"/>
      <c r="L866" s="3">
        <v>0</v>
      </c>
      <c r="M866" s="5">
        <v>0</v>
      </c>
      <c r="N866" s="6"/>
      <c r="O866" s="5">
        <v>0</v>
      </c>
      <c r="P866" s="5">
        <v>0</v>
      </c>
      <c r="Q866" s="5">
        <v>11.198495999999999</v>
      </c>
      <c r="R866" s="8">
        <f t="shared" si="77"/>
        <v>0</v>
      </c>
      <c r="S866" s="9">
        <f t="shared" si="78"/>
        <v>0</v>
      </c>
      <c r="T866" s="9">
        <v>1.5</v>
      </c>
      <c r="U866" s="9">
        <f t="shared" si="79"/>
        <v>0</v>
      </c>
      <c r="V866" s="9">
        <f t="shared" si="80"/>
        <v>0</v>
      </c>
      <c r="W866" s="9">
        <f t="shared" si="81"/>
        <v>11.198495999999999</v>
      </c>
    </row>
    <row r="867" spans="1:23">
      <c r="A867" s="2" t="s">
        <v>335</v>
      </c>
      <c r="B867" s="2" t="s">
        <v>371</v>
      </c>
      <c r="C867" s="3">
        <v>245</v>
      </c>
      <c r="D867" s="3">
        <v>2.35</v>
      </c>
      <c r="E867" s="2" t="s">
        <v>424</v>
      </c>
      <c r="F867" s="4">
        <v>41687</v>
      </c>
      <c r="G867" s="3">
        <v>54.4</v>
      </c>
      <c r="H867" s="6"/>
      <c r="I867" s="4">
        <v>41703</v>
      </c>
      <c r="J867" s="3">
        <v>54.2</v>
      </c>
      <c r="K867" s="6"/>
      <c r="L867" s="3">
        <v>16</v>
      </c>
      <c r="M867" s="5">
        <v>-0.19999999999999574</v>
      </c>
      <c r="N867" s="6"/>
      <c r="O867" s="5">
        <v>37.6</v>
      </c>
      <c r="P867" s="5">
        <v>-12.499999999999734</v>
      </c>
      <c r="Q867" s="5">
        <v>10.565337000000012</v>
      </c>
      <c r="R867" s="8">
        <f t="shared" si="77"/>
        <v>16</v>
      </c>
      <c r="S867" s="9">
        <f t="shared" si="78"/>
        <v>-0.19999999999999574</v>
      </c>
      <c r="T867" s="9">
        <v>1.5</v>
      </c>
      <c r="U867" s="9">
        <f t="shared" si="79"/>
        <v>37.6</v>
      </c>
      <c r="V867" s="9">
        <f t="shared" si="80"/>
        <v>-12.499999999999734</v>
      </c>
      <c r="W867" s="9">
        <f t="shared" si="81"/>
        <v>10.565337000000012</v>
      </c>
    </row>
    <row r="868" spans="1:23">
      <c r="A868" s="2" t="s">
        <v>335</v>
      </c>
      <c r="B868" s="2" t="s">
        <v>371</v>
      </c>
      <c r="C868" s="3">
        <v>245</v>
      </c>
      <c r="D868" s="3">
        <v>2.35</v>
      </c>
      <c r="E868" s="2" t="s">
        <v>424</v>
      </c>
      <c r="F868" s="4">
        <v>41687</v>
      </c>
      <c r="G868" s="3">
        <v>54.4</v>
      </c>
      <c r="H868" s="6"/>
      <c r="I868" s="4">
        <v>41716</v>
      </c>
      <c r="J868" s="3">
        <v>59.5</v>
      </c>
      <c r="K868" s="6"/>
      <c r="L868" s="3">
        <v>29</v>
      </c>
      <c r="M868" s="5">
        <v>5.1000000000000014</v>
      </c>
      <c r="N868" s="6"/>
      <c r="O868" s="5">
        <v>68.150000000000006</v>
      </c>
      <c r="P868" s="5">
        <v>175.8620689655173</v>
      </c>
      <c r="Q868" s="5">
        <v>20.299675499999999</v>
      </c>
      <c r="R868" s="8">
        <f t="shared" si="77"/>
        <v>13</v>
      </c>
      <c r="S868" s="9">
        <f t="shared" si="78"/>
        <v>5.2999999999999972</v>
      </c>
      <c r="T868" s="9">
        <v>1.5</v>
      </c>
      <c r="U868" s="9">
        <f t="shared" si="79"/>
        <v>30.55</v>
      </c>
      <c r="V868" s="9">
        <f t="shared" si="80"/>
        <v>407.69230769230745</v>
      </c>
      <c r="W868" s="9">
        <f t="shared" si="81"/>
        <v>31.728906269230755</v>
      </c>
    </row>
    <row r="869" spans="1:23">
      <c r="A869" s="2" t="s">
        <v>335</v>
      </c>
      <c r="B869" s="2" t="s">
        <v>371</v>
      </c>
      <c r="C869" s="3">
        <v>245</v>
      </c>
      <c r="D869" s="3">
        <v>2.35</v>
      </c>
      <c r="E869" s="2" t="s">
        <v>424</v>
      </c>
      <c r="F869" s="4">
        <v>41687</v>
      </c>
      <c r="G869" s="3">
        <v>54.4</v>
      </c>
      <c r="H869" s="6"/>
      <c r="I869" s="4">
        <v>41731</v>
      </c>
      <c r="J869" s="3">
        <v>59.2</v>
      </c>
      <c r="K869" s="6"/>
      <c r="L869" s="3">
        <v>44</v>
      </c>
      <c r="M869" s="5">
        <v>4.8000000000000043</v>
      </c>
      <c r="N869" s="6"/>
      <c r="O869" s="5">
        <v>103.4</v>
      </c>
      <c r="P869" s="5">
        <v>109.09090909090918</v>
      </c>
      <c r="Q869" s="5">
        <v>16.982493818181823</v>
      </c>
      <c r="R869" s="8">
        <f t="shared" si="77"/>
        <v>15</v>
      </c>
      <c r="S869" s="9">
        <f t="shared" si="78"/>
        <v>-0.29999999999999716</v>
      </c>
      <c r="T869" s="9">
        <v>1.5</v>
      </c>
      <c r="U869" s="9">
        <f t="shared" si="79"/>
        <v>35.25</v>
      </c>
      <c r="V869" s="9">
        <f t="shared" si="80"/>
        <v>-19.999999999999808</v>
      </c>
      <c r="W869" s="9">
        <f t="shared" si="81"/>
        <v>10.618312000000008</v>
      </c>
    </row>
    <row r="870" spans="1:23">
      <c r="A870" s="2" t="s">
        <v>335</v>
      </c>
      <c r="B870" s="2" t="s">
        <v>425</v>
      </c>
      <c r="C870" s="3">
        <v>161</v>
      </c>
      <c r="D870" s="3">
        <v>2.36</v>
      </c>
      <c r="E870" s="2" t="s">
        <v>426</v>
      </c>
      <c r="F870" s="4">
        <v>41687</v>
      </c>
      <c r="G870" s="3">
        <v>53.2</v>
      </c>
      <c r="H870" s="6"/>
      <c r="I870" s="4">
        <v>41687</v>
      </c>
      <c r="J870" s="3">
        <v>53.2</v>
      </c>
      <c r="K870" s="6"/>
      <c r="L870" s="3">
        <v>0</v>
      </c>
      <c r="M870" s="5">
        <v>0</v>
      </c>
      <c r="N870" s="6"/>
      <c r="O870" s="5">
        <v>0</v>
      </c>
      <c r="P870" s="5">
        <v>0</v>
      </c>
      <c r="Q870" s="5">
        <v>10.995588</v>
      </c>
      <c r="R870" s="8">
        <f t="shared" si="77"/>
        <v>0</v>
      </c>
      <c r="S870" s="9">
        <f t="shared" si="78"/>
        <v>0</v>
      </c>
      <c r="T870" s="9">
        <v>1.5</v>
      </c>
      <c r="U870" s="9">
        <f t="shared" si="79"/>
        <v>0</v>
      </c>
      <c r="V870" s="9">
        <f t="shared" si="80"/>
        <v>0</v>
      </c>
      <c r="W870" s="9">
        <f t="shared" si="81"/>
        <v>10.995588</v>
      </c>
    </row>
    <row r="871" spans="1:23">
      <c r="A871" s="2" t="s">
        <v>335</v>
      </c>
      <c r="B871" s="2" t="s">
        <v>425</v>
      </c>
      <c r="C871" s="3">
        <v>161</v>
      </c>
      <c r="D871" s="3">
        <v>2.36</v>
      </c>
      <c r="E871" s="2" t="s">
        <v>426</v>
      </c>
      <c r="F871" s="4">
        <v>41687</v>
      </c>
      <c r="G871" s="3">
        <v>53.2</v>
      </c>
      <c r="H871" s="6"/>
      <c r="I871" s="4">
        <v>41703</v>
      </c>
      <c r="J871" s="3">
        <v>58.6</v>
      </c>
      <c r="K871" s="6"/>
      <c r="L871" s="3">
        <v>16</v>
      </c>
      <c r="M871" s="5">
        <v>5.3999999999999986</v>
      </c>
      <c r="N871" s="6"/>
      <c r="O871" s="5">
        <v>37.76</v>
      </c>
      <c r="P871" s="5">
        <v>337.49999999999989</v>
      </c>
      <c r="Q871" s="5">
        <v>28.090880999999996</v>
      </c>
      <c r="R871" s="8">
        <f t="shared" si="77"/>
        <v>16</v>
      </c>
      <c r="S871" s="9">
        <f t="shared" si="78"/>
        <v>5.3999999999999986</v>
      </c>
      <c r="T871" s="9">
        <v>1.5</v>
      </c>
      <c r="U871" s="9">
        <f t="shared" si="79"/>
        <v>37.76</v>
      </c>
      <c r="V871" s="9">
        <f t="shared" si="80"/>
        <v>337.49999999999989</v>
      </c>
      <c r="W871" s="9">
        <f t="shared" si="81"/>
        <v>28.090880999999996</v>
      </c>
    </row>
    <row r="872" spans="1:23">
      <c r="A872" s="2" t="s">
        <v>335</v>
      </c>
      <c r="B872" s="2" t="s">
        <v>425</v>
      </c>
      <c r="C872" s="3">
        <v>161</v>
      </c>
      <c r="D872" s="3">
        <v>2.36</v>
      </c>
      <c r="E872" s="2" t="s">
        <v>426</v>
      </c>
      <c r="F872" s="4">
        <v>41687</v>
      </c>
      <c r="G872" s="3">
        <v>53.2</v>
      </c>
      <c r="H872" s="6"/>
      <c r="I872" s="4">
        <v>41716</v>
      </c>
      <c r="J872" s="3">
        <v>58.5</v>
      </c>
      <c r="K872" s="6"/>
      <c r="L872" s="3">
        <v>29</v>
      </c>
      <c r="M872" s="5">
        <v>5.2999999999999972</v>
      </c>
      <c r="N872" s="6"/>
      <c r="O872" s="5">
        <v>68.44</v>
      </c>
      <c r="P872" s="5">
        <v>182.75862068965506</v>
      </c>
      <c r="Q872" s="5">
        <v>20.453676499999993</v>
      </c>
      <c r="R872" s="8">
        <f t="shared" si="77"/>
        <v>13</v>
      </c>
      <c r="S872" s="9">
        <f t="shared" si="78"/>
        <v>-0.10000000000000142</v>
      </c>
      <c r="T872" s="9">
        <v>1.5</v>
      </c>
      <c r="U872" s="9">
        <f t="shared" si="79"/>
        <v>30.68</v>
      </c>
      <c r="V872" s="9">
        <f t="shared" si="80"/>
        <v>-7.6923076923078018</v>
      </c>
      <c r="W872" s="9">
        <f t="shared" si="81"/>
        <v>11.064445730769226</v>
      </c>
    </row>
    <row r="873" spans="1:23">
      <c r="A873" s="2" t="s">
        <v>335</v>
      </c>
      <c r="B873" s="2" t="s">
        <v>425</v>
      </c>
      <c r="C873" s="3">
        <v>161</v>
      </c>
      <c r="D873" s="3">
        <v>2.36</v>
      </c>
      <c r="E873" s="2" t="s">
        <v>426</v>
      </c>
      <c r="F873" s="4">
        <v>41687</v>
      </c>
      <c r="G873" s="3">
        <v>53.2</v>
      </c>
      <c r="H873" s="6"/>
      <c r="I873" s="4">
        <v>41731</v>
      </c>
      <c r="J873" s="3">
        <v>60.2</v>
      </c>
      <c r="K873" s="6"/>
      <c r="L873" s="3">
        <v>44</v>
      </c>
      <c r="M873" s="5">
        <v>7</v>
      </c>
      <c r="N873" s="6"/>
      <c r="O873" s="5">
        <v>103.83999999999999</v>
      </c>
      <c r="P873" s="5">
        <v>159.09090909090909</v>
      </c>
      <c r="Q873" s="5">
        <v>19.430584818181817</v>
      </c>
      <c r="R873" s="8">
        <f t="shared" si="77"/>
        <v>15</v>
      </c>
      <c r="S873" s="9">
        <f t="shared" si="78"/>
        <v>1.7000000000000028</v>
      </c>
      <c r="T873" s="9">
        <v>1.5</v>
      </c>
      <c r="U873" s="9">
        <f t="shared" si="79"/>
        <v>35.4</v>
      </c>
      <c r="V873" s="9">
        <f t="shared" si="80"/>
        <v>113.33333333333353</v>
      </c>
      <c r="W873" s="9">
        <f t="shared" si="81"/>
        <v>17.174736333333342</v>
      </c>
    </row>
    <row r="874" spans="1:23">
      <c r="A874" s="2" t="s">
        <v>335</v>
      </c>
      <c r="B874" s="2" t="s">
        <v>425</v>
      </c>
      <c r="C874" s="3">
        <v>161</v>
      </c>
      <c r="D874" s="3">
        <v>2.36</v>
      </c>
      <c r="E874" s="2" t="s">
        <v>427</v>
      </c>
      <c r="F874" s="4">
        <v>41687</v>
      </c>
      <c r="G874" s="3">
        <v>54.4</v>
      </c>
      <c r="H874" s="6"/>
      <c r="I874" s="4">
        <v>41687</v>
      </c>
      <c r="J874" s="3">
        <v>54.4</v>
      </c>
      <c r="K874" s="6"/>
      <c r="L874" s="3">
        <v>0</v>
      </c>
      <c r="M874" s="5">
        <v>0</v>
      </c>
      <c r="N874" s="6"/>
      <c r="O874" s="5">
        <v>0</v>
      </c>
      <c r="P874" s="5">
        <v>0</v>
      </c>
      <c r="Q874" s="5">
        <v>11.198495999999999</v>
      </c>
      <c r="R874" s="8">
        <f t="shared" si="77"/>
        <v>0</v>
      </c>
      <c r="S874" s="9">
        <f t="shared" si="78"/>
        <v>0</v>
      </c>
      <c r="T874" s="9">
        <v>1.5</v>
      </c>
      <c r="U874" s="9">
        <f t="shared" si="79"/>
        <v>0</v>
      </c>
      <c r="V874" s="9">
        <f t="shared" si="80"/>
        <v>0</v>
      </c>
      <c r="W874" s="9">
        <f t="shared" si="81"/>
        <v>11.198495999999999</v>
      </c>
    </row>
    <row r="875" spans="1:23">
      <c r="A875" s="2" t="s">
        <v>335</v>
      </c>
      <c r="B875" s="2" t="s">
        <v>425</v>
      </c>
      <c r="C875" s="3">
        <v>161</v>
      </c>
      <c r="D875" s="3">
        <v>2.36</v>
      </c>
      <c r="E875" s="2" t="s">
        <v>427</v>
      </c>
      <c r="F875" s="4">
        <v>41687</v>
      </c>
      <c r="G875" s="3">
        <v>54.4</v>
      </c>
      <c r="H875" s="6"/>
      <c r="I875" s="4">
        <v>41703</v>
      </c>
      <c r="J875" s="3">
        <v>59.8</v>
      </c>
      <c r="K875" s="6"/>
      <c r="L875" s="3">
        <v>16</v>
      </c>
      <c r="M875" s="5">
        <v>5.3999999999999986</v>
      </c>
      <c r="N875" s="6"/>
      <c r="O875" s="5">
        <v>37.76</v>
      </c>
      <c r="P875" s="5">
        <v>337.49999999999989</v>
      </c>
      <c r="Q875" s="5">
        <v>28.293788999999993</v>
      </c>
      <c r="R875" s="8">
        <f t="shared" si="77"/>
        <v>16</v>
      </c>
      <c r="S875" s="9">
        <f t="shared" si="78"/>
        <v>5.3999999999999986</v>
      </c>
      <c r="T875" s="9">
        <v>1.5</v>
      </c>
      <c r="U875" s="9">
        <f t="shared" si="79"/>
        <v>37.76</v>
      </c>
      <c r="V875" s="9">
        <f t="shared" si="80"/>
        <v>337.49999999999989</v>
      </c>
      <c r="W875" s="9">
        <f t="shared" si="81"/>
        <v>28.293788999999993</v>
      </c>
    </row>
    <row r="876" spans="1:23">
      <c r="A876" s="2" t="s">
        <v>335</v>
      </c>
      <c r="B876" s="2" t="s">
        <v>425</v>
      </c>
      <c r="C876" s="3">
        <v>161</v>
      </c>
      <c r="D876" s="3">
        <v>2.36</v>
      </c>
      <c r="E876" s="2" t="s">
        <v>427</v>
      </c>
      <c r="F876" s="4">
        <v>41687</v>
      </c>
      <c r="G876" s="3">
        <v>54.4</v>
      </c>
      <c r="H876" s="6"/>
      <c r="I876" s="4">
        <v>41716</v>
      </c>
      <c r="J876" s="3">
        <v>60</v>
      </c>
      <c r="K876" s="6"/>
      <c r="L876" s="3">
        <v>29</v>
      </c>
      <c r="M876" s="5">
        <v>5.6000000000000014</v>
      </c>
      <c r="N876" s="6"/>
      <c r="O876" s="5">
        <v>68.44</v>
      </c>
      <c r="P876" s="5">
        <v>193.10344827586212</v>
      </c>
      <c r="Q876" s="5">
        <v>21.191948000000004</v>
      </c>
      <c r="R876" s="8">
        <f t="shared" si="77"/>
        <v>13</v>
      </c>
      <c r="S876" s="9">
        <f t="shared" si="78"/>
        <v>0.20000000000000284</v>
      </c>
      <c r="T876" s="9">
        <v>1.5</v>
      </c>
      <c r="U876" s="9">
        <f t="shared" si="79"/>
        <v>30.68</v>
      </c>
      <c r="V876" s="9">
        <f t="shared" si="80"/>
        <v>15.384615384615604</v>
      </c>
      <c r="W876" s="9">
        <f t="shared" si="81"/>
        <v>12.43040953846155</v>
      </c>
    </row>
    <row r="877" spans="1:23">
      <c r="A877" s="2" t="s">
        <v>335</v>
      </c>
      <c r="B877" s="2" t="s">
        <v>425</v>
      </c>
      <c r="C877" s="3">
        <v>161</v>
      </c>
      <c r="D877" s="3">
        <v>2.36</v>
      </c>
      <c r="E877" s="2" t="s">
        <v>427</v>
      </c>
      <c r="F877" s="4">
        <v>41687</v>
      </c>
      <c r="G877" s="3">
        <v>54.4</v>
      </c>
      <c r="H877" s="6"/>
      <c r="I877" s="4">
        <v>41731</v>
      </c>
      <c r="J877" s="3">
        <v>60.8</v>
      </c>
      <c r="K877" s="6"/>
      <c r="L877" s="3">
        <v>44</v>
      </c>
      <c r="M877" s="5">
        <v>6.3999999999999986</v>
      </c>
      <c r="N877" s="6"/>
      <c r="O877" s="5">
        <v>103.83999999999999</v>
      </c>
      <c r="P877" s="5">
        <v>145.45454545454541</v>
      </c>
      <c r="Q877" s="5">
        <v>18.910493090909089</v>
      </c>
      <c r="R877" s="8">
        <f t="shared" si="77"/>
        <v>15</v>
      </c>
      <c r="S877" s="9">
        <f t="shared" si="78"/>
        <v>0.79999999999999716</v>
      </c>
      <c r="T877" s="9">
        <v>1.5</v>
      </c>
      <c r="U877" s="9">
        <f t="shared" si="79"/>
        <v>35.4</v>
      </c>
      <c r="V877" s="9">
        <f t="shared" si="80"/>
        <v>53.333333333333144</v>
      </c>
      <c r="W877" s="9">
        <f t="shared" si="81"/>
        <v>14.368917333333323</v>
      </c>
    </row>
    <row r="878" spans="1:23">
      <c r="A878" s="2" t="s">
        <v>335</v>
      </c>
      <c r="B878" s="2" t="s">
        <v>425</v>
      </c>
      <c r="C878" s="3">
        <v>161</v>
      </c>
      <c r="D878" s="3">
        <v>2.36</v>
      </c>
      <c r="E878" s="2" t="s">
        <v>428</v>
      </c>
      <c r="F878" s="4">
        <v>41687</v>
      </c>
      <c r="G878" s="3">
        <v>53.2</v>
      </c>
      <c r="H878" s="6"/>
      <c r="I878" s="4">
        <v>41687</v>
      </c>
      <c r="J878" s="3">
        <v>53.2</v>
      </c>
      <c r="K878" s="6"/>
      <c r="L878" s="3">
        <v>0</v>
      </c>
      <c r="M878" s="5">
        <v>0</v>
      </c>
      <c r="N878" s="6"/>
      <c r="O878" s="5">
        <v>0</v>
      </c>
      <c r="P878" s="5">
        <v>0</v>
      </c>
      <c r="Q878" s="5">
        <v>10.995588</v>
      </c>
      <c r="R878" s="8">
        <f t="shared" si="77"/>
        <v>0</v>
      </c>
      <c r="S878" s="9">
        <f t="shared" si="78"/>
        <v>0</v>
      </c>
      <c r="T878" s="9">
        <v>1.5</v>
      </c>
      <c r="U878" s="9">
        <f t="shared" si="79"/>
        <v>0</v>
      </c>
      <c r="V878" s="9">
        <f t="shared" si="80"/>
        <v>0</v>
      </c>
      <c r="W878" s="9">
        <f t="shared" si="81"/>
        <v>10.995588</v>
      </c>
    </row>
    <row r="879" spans="1:23">
      <c r="A879" s="2" t="s">
        <v>335</v>
      </c>
      <c r="B879" s="2" t="s">
        <v>425</v>
      </c>
      <c r="C879" s="3">
        <v>161</v>
      </c>
      <c r="D879" s="3">
        <v>2.36</v>
      </c>
      <c r="E879" s="2" t="s">
        <v>428</v>
      </c>
      <c r="F879" s="4">
        <v>41687</v>
      </c>
      <c r="G879" s="3">
        <v>53.2</v>
      </c>
      <c r="H879" s="6"/>
      <c r="I879" s="4">
        <v>41703</v>
      </c>
      <c r="J879" s="3">
        <v>60</v>
      </c>
      <c r="K879" s="6"/>
      <c r="L879" s="3">
        <v>16</v>
      </c>
      <c r="M879" s="5">
        <v>6.7999999999999972</v>
      </c>
      <c r="N879" s="6"/>
      <c r="O879" s="5">
        <v>37.76</v>
      </c>
      <c r="P879" s="5">
        <v>424.99999999999983</v>
      </c>
      <c r="Q879" s="5">
        <v>32.52299399999999</v>
      </c>
      <c r="R879" s="8">
        <f t="shared" si="77"/>
        <v>16</v>
      </c>
      <c r="S879" s="9">
        <f t="shared" si="78"/>
        <v>6.7999999999999972</v>
      </c>
      <c r="T879" s="9">
        <v>1.5</v>
      </c>
      <c r="U879" s="9">
        <f t="shared" si="79"/>
        <v>37.76</v>
      </c>
      <c r="V879" s="9">
        <f t="shared" si="80"/>
        <v>424.99999999999983</v>
      </c>
      <c r="W879" s="9">
        <f t="shared" si="81"/>
        <v>32.52299399999999</v>
      </c>
    </row>
    <row r="880" spans="1:23">
      <c r="A880" s="2" t="s">
        <v>335</v>
      </c>
      <c r="B880" s="2" t="s">
        <v>425</v>
      </c>
      <c r="C880" s="3">
        <v>161</v>
      </c>
      <c r="D880" s="3">
        <v>2.36</v>
      </c>
      <c r="E880" s="2" t="s">
        <v>428</v>
      </c>
      <c r="F880" s="4">
        <v>41687</v>
      </c>
      <c r="G880" s="3">
        <v>53.2</v>
      </c>
      <c r="H880" s="6"/>
      <c r="I880" s="4">
        <v>41716</v>
      </c>
      <c r="J880" s="3">
        <v>60</v>
      </c>
      <c r="K880" s="6"/>
      <c r="L880" s="3">
        <v>29</v>
      </c>
      <c r="M880" s="5">
        <v>6.7999999999999972</v>
      </c>
      <c r="N880" s="6"/>
      <c r="O880" s="5">
        <v>68.44</v>
      </c>
      <c r="P880" s="5">
        <v>234.48275862068957</v>
      </c>
      <c r="Q880" s="5">
        <v>23.130493999999995</v>
      </c>
      <c r="R880" s="8">
        <f t="shared" si="77"/>
        <v>13</v>
      </c>
      <c r="S880" s="9">
        <f t="shared" si="78"/>
        <v>0</v>
      </c>
      <c r="T880" s="9">
        <v>1.5</v>
      </c>
      <c r="U880" s="9">
        <f t="shared" si="79"/>
        <v>30.68</v>
      </c>
      <c r="V880" s="9">
        <f t="shared" si="80"/>
        <v>0</v>
      </c>
      <c r="W880" s="9">
        <f t="shared" si="81"/>
        <v>11.570494</v>
      </c>
    </row>
    <row r="881" spans="1:23">
      <c r="A881" s="2" t="s">
        <v>335</v>
      </c>
      <c r="B881" s="2" t="s">
        <v>425</v>
      </c>
      <c r="C881" s="3">
        <v>161</v>
      </c>
      <c r="D881" s="3">
        <v>2.36</v>
      </c>
      <c r="E881" s="2" t="s">
        <v>428</v>
      </c>
      <c r="F881" s="4">
        <v>41687</v>
      </c>
      <c r="G881" s="3">
        <v>53.2</v>
      </c>
      <c r="H881" s="6"/>
      <c r="I881" s="4">
        <v>41731</v>
      </c>
      <c r="J881" s="3">
        <v>60</v>
      </c>
      <c r="K881" s="6"/>
      <c r="L881" s="3">
        <v>44</v>
      </c>
      <c r="M881" s="5">
        <v>6.7999999999999972</v>
      </c>
      <c r="N881" s="6"/>
      <c r="O881" s="5">
        <v>103.83999999999999</v>
      </c>
      <c r="P881" s="5">
        <v>154.54545454545448</v>
      </c>
      <c r="Q881" s="5">
        <v>19.189584909090904</v>
      </c>
      <c r="R881" s="8">
        <f t="shared" si="77"/>
        <v>15</v>
      </c>
      <c r="S881" s="9">
        <f t="shared" si="78"/>
        <v>0</v>
      </c>
      <c r="T881" s="9">
        <v>1.5</v>
      </c>
      <c r="U881" s="9">
        <f t="shared" si="79"/>
        <v>35.4</v>
      </c>
      <c r="V881" s="9">
        <f t="shared" si="80"/>
        <v>0</v>
      </c>
      <c r="W881" s="9">
        <f t="shared" si="81"/>
        <v>11.570494</v>
      </c>
    </row>
    <row r="882" spans="1:23">
      <c r="A882" s="2" t="s">
        <v>335</v>
      </c>
      <c r="B882" s="2" t="s">
        <v>425</v>
      </c>
      <c r="C882" s="3">
        <v>161</v>
      </c>
      <c r="D882" s="3">
        <v>2.36</v>
      </c>
      <c r="E882" s="2" t="s">
        <v>429</v>
      </c>
      <c r="F882" s="4">
        <v>41687</v>
      </c>
      <c r="G882" s="3">
        <v>52.4</v>
      </c>
      <c r="H882" s="6"/>
      <c r="I882" s="4">
        <v>41687</v>
      </c>
      <c r="J882" s="3">
        <v>52.4</v>
      </c>
      <c r="K882" s="6"/>
      <c r="L882" s="3">
        <v>0</v>
      </c>
      <c r="M882" s="5">
        <v>0</v>
      </c>
      <c r="N882" s="6"/>
      <c r="O882" s="5">
        <v>0</v>
      </c>
      <c r="P882" s="5">
        <v>0</v>
      </c>
      <c r="Q882" s="5">
        <v>10.860315999999999</v>
      </c>
      <c r="R882" s="8">
        <f t="shared" si="77"/>
        <v>0</v>
      </c>
      <c r="S882" s="9">
        <f t="shared" si="78"/>
        <v>0</v>
      </c>
      <c r="T882" s="9">
        <v>1.5</v>
      </c>
      <c r="U882" s="9">
        <f t="shared" si="79"/>
        <v>0</v>
      </c>
      <c r="V882" s="9">
        <f t="shared" si="80"/>
        <v>0</v>
      </c>
      <c r="W882" s="9">
        <f t="shared" si="81"/>
        <v>10.860315999999999</v>
      </c>
    </row>
    <row r="883" spans="1:23">
      <c r="A883" s="2" t="s">
        <v>335</v>
      </c>
      <c r="B883" s="2" t="s">
        <v>425</v>
      </c>
      <c r="C883" s="3">
        <v>161</v>
      </c>
      <c r="D883" s="3">
        <v>2.36</v>
      </c>
      <c r="E883" s="2" t="s">
        <v>429</v>
      </c>
      <c r="F883" s="4">
        <v>41687</v>
      </c>
      <c r="G883" s="3">
        <v>52.4</v>
      </c>
      <c r="H883" s="6"/>
      <c r="I883" s="4">
        <v>41703</v>
      </c>
      <c r="J883" s="3">
        <v>57.8</v>
      </c>
      <c r="K883" s="6"/>
      <c r="L883" s="3">
        <v>16</v>
      </c>
      <c r="M883" s="5">
        <v>5.3999999999999986</v>
      </c>
      <c r="N883" s="6"/>
      <c r="O883" s="5">
        <v>37.76</v>
      </c>
      <c r="P883" s="5">
        <v>337.49999999999989</v>
      </c>
      <c r="Q883" s="5">
        <v>27.955608999999995</v>
      </c>
      <c r="R883" s="8">
        <f t="shared" si="77"/>
        <v>16</v>
      </c>
      <c r="S883" s="9">
        <f t="shared" si="78"/>
        <v>5.3999999999999986</v>
      </c>
      <c r="T883" s="9">
        <v>1.5</v>
      </c>
      <c r="U883" s="9">
        <f t="shared" si="79"/>
        <v>37.76</v>
      </c>
      <c r="V883" s="9">
        <f t="shared" si="80"/>
        <v>337.49999999999989</v>
      </c>
      <c r="W883" s="9">
        <f t="shared" si="81"/>
        <v>27.955608999999995</v>
      </c>
    </row>
    <row r="884" spans="1:23">
      <c r="A884" s="2" t="s">
        <v>335</v>
      </c>
      <c r="B884" s="2" t="s">
        <v>425</v>
      </c>
      <c r="C884" s="3">
        <v>161</v>
      </c>
      <c r="D884" s="3">
        <v>2.36</v>
      </c>
      <c r="E884" s="2" t="s">
        <v>429</v>
      </c>
      <c r="F884" s="4">
        <v>41687</v>
      </c>
      <c r="G884" s="3">
        <v>52.4</v>
      </c>
      <c r="H884" s="6"/>
      <c r="I884" s="4">
        <v>41716</v>
      </c>
      <c r="J884" s="3">
        <v>57.5</v>
      </c>
      <c r="K884" s="6"/>
      <c r="L884" s="3">
        <v>29</v>
      </c>
      <c r="M884" s="5">
        <v>5.1000000000000014</v>
      </c>
      <c r="N884" s="6"/>
      <c r="O884" s="5">
        <v>68.44</v>
      </c>
      <c r="P884" s="5">
        <v>175.8620689655173</v>
      </c>
      <c r="Q884" s="5">
        <v>19.961495500000002</v>
      </c>
      <c r="R884" s="8">
        <f t="shared" si="77"/>
        <v>13</v>
      </c>
      <c r="S884" s="9">
        <f t="shared" si="78"/>
        <v>-0.29999999999999716</v>
      </c>
      <c r="T884" s="9">
        <v>1.5</v>
      </c>
      <c r="U884" s="9">
        <f t="shared" si="79"/>
        <v>30.68</v>
      </c>
      <c r="V884" s="9">
        <f t="shared" si="80"/>
        <v>-23.07692307692286</v>
      </c>
      <c r="W884" s="9">
        <f t="shared" si="81"/>
        <v>10.153803192307702</v>
      </c>
    </row>
    <row r="885" spans="1:23">
      <c r="A885" s="2" t="s">
        <v>335</v>
      </c>
      <c r="B885" s="2" t="s">
        <v>425</v>
      </c>
      <c r="C885" s="3">
        <v>161</v>
      </c>
      <c r="D885" s="3">
        <v>2.36</v>
      </c>
      <c r="E885" s="2" t="s">
        <v>429</v>
      </c>
      <c r="F885" s="4">
        <v>41687</v>
      </c>
      <c r="G885" s="3">
        <v>52.4</v>
      </c>
      <c r="H885" s="6"/>
      <c r="I885" s="4">
        <v>41731</v>
      </c>
      <c r="J885" s="3">
        <v>59.8</v>
      </c>
      <c r="K885" s="6"/>
      <c r="L885" s="3">
        <v>44</v>
      </c>
      <c r="M885" s="5">
        <v>7.3999999999999986</v>
      </c>
      <c r="N885" s="6"/>
      <c r="O885" s="5">
        <v>103.83999999999999</v>
      </c>
      <c r="P885" s="5">
        <v>168.18181818181816</v>
      </c>
      <c r="Q885" s="5">
        <v>19.777312636363632</v>
      </c>
      <c r="R885" s="8">
        <f t="shared" si="77"/>
        <v>15</v>
      </c>
      <c r="S885" s="9">
        <f t="shared" si="78"/>
        <v>2.2999999999999972</v>
      </c>
      <c r="T885" s="9">
        <v>1.5</v>
      </c>
      <c r="U885" s="9">
        <f t="shared" si="79"/>
        <v>35.4</v>
      </c>
      <c r="V885" s="9">
        <f t="shared" si="80"/>
        <v>153.33333333333314</v>
      </c>
      <c r="W885" s="9">
        <f t="shared" si="81"/>
        <v>19.045282333333322</v>
      </c>
    </row>
    <row r="886" spans="1:23">
      <c r="A886" s="2" t="s">
        <v>335</v>
      </c>
      <c r="B886" s="2" t="s">
        <v>425</v>
      </c>
      <c r="C886" s="3">
        <v>161</v>
      </c>
      <c r="D886" s="3">
        <v>2.36</v>
      </c>
      <c r="E886" s="2" t="s">
        <v>430</v>
      </c>
      <c r="F886" s="4">
        <v>41687</v>
      </c>
      <c r="G886" s="3">
        <v>54.8</v>
      </c>
      <c r="H886" s="6"/>
      <c r="I886" s="4">
        <v>41687</v>
      </c>
      <c r="J886" s="3">
        <v>54.8</v>
      </c>
      <c r="K886" s="6"/>
      <c r="L886" s="3">
        <v>0</v>
      </c>
      <c r="M886" s="5">
        <v>0</v>
      </c>
      <c r="N886" s="6"/>
      <c r="O886" s="5">
        <v>0</v>
      </c>
      <c r="P886" s="5">
        <v>0</v>
      </c>
      <c r="Q886" s="5">
        <v>11.266131999999999</v>
      </c>
      <c r="R886" s="8">
        <f t="shared" si="77"/>
        <v>0</v>
      </c>
      <c r="S886" s="9">
        <f t="shared" si="78"/>
        <v>0</v>
      </c>
      <c r="T886" s="9">
        <v>1.5</v>
      </c>
      <c r="U886" s="9">
        <f t="shared" si="79"/>
        <v>0</v>
      </c>
      <c r="V886" s="9">
        <f t="shared" si="80"/>
        <v>0</v>
      </c>
      <c r="W886" s="9">
        <f t="shared" si="81"/>
        <v>11.266131999999999</v>
      </c>
    </row>
    <row r="887" spans="1:23">
      <c r="A887" s="2" t="s">
        <v>335</v>
      </c>
      <c r="B887" s="2" t="s">
        <v>425</v>
      </c>
      <c r="C887" s="3">
        <v>161</v>
      </c>
      <c r="D887" s="3">
        <v>2.36</v>
      </c>
      <c r="E887" s="2" t="s">
        <v>430</v>
      </c>
      <c r="F887" s="4">
        <v>41687</v>
      </c>
      <c r="G887" s="3">
        <v>54.8</v>
      </c>
      <c r="H887" s="6"/>
      <c r="I887" s="4">
        <v>41703</v>
      </c>
      <c r="J887" s="3">
        <v>62.8</v>
      </c>
      <c r="K887" s="6"/>
      <c r="L887" s="3">
        <v>16</v>
      </c>
      <c r="M887" s="5">
        <v>8</v>
      </c>
      <c r="N887" s="6"/>
      <c r="O887" s="5">
        <v>37.76</v>
      </c>
      <c r="P887" s="5">
        <v>500</v>
      </c>
      <c r="Q887" s="5">
        <v>36.592492</v>
      </c>
      <c r="R887" s="8">
        <f t="shared" si="77"/>
        <v>16</v>
      </c>
      <c r="S887" s="9">
        <f t="shared" si="78"/>
        <v>8</v>
      </c>
      <c r="T887" s="9">
        <v>1.5</v>
      </c>
      <c r="U887" s="9">
        <f t="shared" si="79"/>
        <v>37.76</v>
      </c>
      <c r="V887" s="9">
        <f t="shared" si="80"/>
        <v>500</v>
      </c>
      <c r="W887" s="9">
        <f t="shared" si="81"/>
        <v>36.592492</v>
      </c>
    </row>
    <row r="888" spans="1:23">
      <c r="A888" s="2" t="s">
        <v>335</v>
      </c>
      <c r="B888" s="2" t="s">
        <v>425</v>
      </c>
      <c r="C888" s="3">
        <v>161</v>
      </c>
      <c r="D888" s="3">
        <v>2.36</v>
      </c>
      <c r="E888" s="2" t="s">
        <v>430</v>
      </c>
      <c r="F888" s="4">
        <v>41687</v>
      </c>
      <c r="G888" s="3">
        <v>54.8</v>
      </c>
      <c r="H888" s="6"/>
      <c r="I888" s="4">
        <v>41716</v>
      </c>
      <c r="J888" s="3">
        <v>64.5</v>
      </c>
      <c r="K888" s="6"/>
      <c r="L888" s="3">
        <v>29</v>
      </c>
      <c r="M888" s="5">
        <v>9.7000000000000028</v>
      </c>
      <c r="N888" s="6"/>
      <c r="O888" s="5">
        <v>68.44</v>
      </c>
      <c r="P888" s="5">
        <v>334.48275862068976</v>
      </c>
      <c r="Q888" s="5">
        <v>28.576218500000003</v>
      </c>
      <c r="R888" s="8">
        <f t="shared" ref="R888:R951" si="82">IF(I888-F888=0,0,I888-I887)</f>
        <v>13</v>
      </c>
      <c r="S888" s="9">
        <f t="shared" ref="S888:S951" si="83">IF(R888=0,J888-G888,J888-J887)</f>
        <v>1.7000000000000028</v>
      </c>
      <c r="T888" s="9">
        <v>1.5</v>
      </c>
      <c r="U888" s="9">
        <f t="shared" ref="U888:U951" si="84">D888*R888</f>
        <v>30.68</v>
      </c>
      <c r="V888" s="9">
        <f t="shared" ref="V888:V951" si="85">IF(R888=0,0,(S888/R888*1000))</f>
        <v>130.769230769231</v>
      </c>
      <c r="W888" s="9">
        <f t="shared" ref="W888:W951" si="86">IF(R888=0,(((G888)*0.16909+(V888/1000)*49.3)+2),((((G888+J888)/2)*0.16909+(V888/1000)*49.3)+2))</f>
        <v>18.533141576923086</v>
      </c>
    </row>
    <row r="889" spans="1:23">
      <c r="A889" s="2" t="s">
        <v>335</v>
      </c>
      <c r="B889" s="2" t="s">
        <v>425</v>
      </c>
      <c r="C889" s="3">
        <v>161</v>
      </c>
      <c r="D889" s="3">
        <v>2.36</v>
      </c>
      <c r="E889" s="2" t="s">
        <v>430</v>
      </c>
      <c r="F889" s="4">
        <v>41687</v>
      </c>
      <c r="G889" s="3">
        <v>54.8</v>
      </c>
      <c r="H889" s="6"/>
      <c r="I889" s="4">
        <v>41731</v>
      </c>
      <c r="J889" s="3">
        <v>64.599999999999994</v>
      </c>
      <c r="K889" s="6"/>
      <c r="L889" s="3">
        <v>44</v>
      </c>
      <c r="M889" s="5">
        <v>9.7999999999999972</v>
      </c>
      <c r="N889" s="6"/>
      <c r="O889" s="5">
        <v>103.83999999999999</v>
      </c>
      <c r="P889" s="5">
        <v>222.72727272727266</v>
      </c>
      <c r="Q889" s="5">
        <v>23.075127545454542</v>
      </c>
      <c r="R889" s="8">
        <f t="shared" si="82"/>
        <v>15</v>
      </c>
      <c r="S889" s="9">
        <f t="shared" si="83"/>
        <v>9.9999999999994316E-2</v>
      </c>
      <c r="T889" s="9">
        <v>1.5</v>
      </c>
      <c r="U889" s="9">
        <f t="shared" si="84"/>
        <v>35.4</v>
      </c>
      <c r="V889" s="9">
        <f t="shared" si="85"/>
        <v>6.6666666666662877</v>
      </c>
      <c r="W889" s="9">
        <f t="shared" si="86"/>
        <v>12.423339666666646</v>
      </c>
    </row>
    <row r="890" spans="1:23">
      <c r="A890" s="2" t="s">
        <v>335</v>
      </c>
      <c r="B890" s="2" t="s">
        <v>425</v>
      </c>
      <c r="C890" s="3">
        <v>161</v>
      </c>
      <c r="D890" s="3">
        <v>2.36</v>
      </c>
      <c r="E890" s="2" t="s">
        <v>431</v>
      </c>
      <c r="F890" s="4">
        <v>41687</v>
      </c>
      <c r="G890" s="3">
        <v>54.6</v>
      </c>
      <c r="H890" s="6"/>
      <c r="I890" s="4">
        <v>41687</v>
      </c>
      <c r="J890" s="3">
        <v>54.6</v>
      </c>
      <c r="K890" s="6"/>
      <c r="L890" s="3">
        <v>0</v>
      </c>
      <c r="M890" s="5">
        <v>0</v>
      </c>
      <c r="N890" s="6"/>
      <c r="O890" s="5">
        <v>0</v>
      </c>
      <c r="P890" s="5">
        <v>0</v>
      </c>
      <c r="Q890" s="5">
        <v>11.232314000000001</v>
      </c>
      <c r="R890" s="8">
        <f t="shared" si="82"/>
        <v>0</v>
      </c>
      <c r="S890" s="9">
        <f t="shared" si="83"/>
        <v>0</v>
      </c>
      <c r="T890" s="9">
        <v>1.5</v>
      </c>
      <c r="U890" s="9">
        <f t="shared" si="84"/>
        <v>0</v>
      </c>
      <c r="V890" s="9">
        <f t="shared" si="85"/>
        <v>0</v>
      </c>
      <c r="W890" s="9">
        <f t="shared" si="86"/>
        <v>11.232314000000001</v>
      </c>
    </row>
    <row r="891" spans="1:23">
      <c r="A891" s="2" t="s">
        <v>335</v>
      </c>
      <c r="B891" s="2" t="s">
        <v>425</v>
      </c>
      <c r="C891" s="3">
        <v>161</v>
      </c>
      <c r="D891" s="3">
        <v>2.36</v>
      </c>
      <c r="E891" s="2" t="s">
        <v>431</v>
      </c>
      <c r="F891" s="4">
        <v>41687</v>
      </c>
      <c r="G891" s="3">
        <v>54.6</v>
      </c>
      <c r="H891" s="6"/>
      <c r="I891" s="4">
        <v>41703</v>
      </c>
      <c r="J891" s="3">
        <v>61.8</v>
      </c>
      <c r="K891" s="6"/>
      <c r="L891" s="3">
        <v>16</v>
      </c>
      <c r="M891" s="5">
        <v>7.1999999999999957</v>
      </c>
      <c r="N891" s="6"/>
      <c r="O891" s="5">
        <v>37.76</v>
      </c>
      <c r="P891" s="5">
        <v>449.99999999999972</v>
      </c>
      <c r="Q891" s="5">
        <v>34.026037999999986</v>
      </c>
      <c r="R891" s="8">
        <f t="shared" si="82"/>
        <v>16</v>
      </c>
      <c r="S891" s="9">
        <f t="shared" si="83"/>
        <v>7.1999999999999957</v>
      </c>
      <c r="T891" s="9">
        <v>1.5</v>
      </c>
      <c r="U891" s="9">
        <f t="shared" si="84"/>
        <v>37.76</v>
      </c>
      <c r="V891" s="9">
        <f t="shared" si="85"/>
        <v>449.99999999999972</v>
      </c>
      <c r="W891" s="9">
        <f t="shared" si="86"/>
        <v>34.026037999999986</v>
      </c>
    </row>
    <row r="892" spans="1:23">
      <c r="A892" s="2" t="s">
        <v>335</v>
      </c>
      <c r="B892" s="2" t="s">
        <v>425</v>
      </c>
      <c r="C892" s="3">
        <v>161</v>
      </c>
      <c r="D892" s="3">
        <v>2.36</v>
      </c>
      <c r="E892" s="2" t="s">
        <v>431</v>
      </c>
      <c r="F892" s="4">
        <v>41687</v>
      </c>
      <c r="G892" s="3">
        <v>54.6</v>
      </c>
      <c r="H892" s="6"/>
      <c r="I892" s="4">
        <v>41716</v>
      </c>
      <c r="J892" s="3">
        <v>62.5</v>
      </c>
      <c r="K892" s="6"/>
      <c r="L892" s="3">
        <v>29</v>
      </c>
      <c r="M892" s="5">
        <v>7.8999999999999986</v>
      </c>
      <c r="N892" s="6"/>
      <c r="O892" s="5">
        <v>68.44</v>
      </c>
      <c r="P892" s="5">
        <v>272.4137931034482</v>
      </c>
      <c r="Q892" s="5">
        <v>25.330219499999995</v>
      </c>
      <c r="R892" s="8">
        <f t="shared" si="82"/>
        <v>13</v>
      </c>
      <c r="S892" s="9">
        <f t="shared" si="83"/>
        <v>0.70000000000000284</v>
      </c>
      <c r="T892" s="9">
        <v>1.5</v>
      </c>
      <c r="U892" s="9">
        <f t="shared" si="84"/>
        <v>30.68</v>
      </c>
      <c r="V892" s="9">
        <f t="shared" si="85"/>
        <v>53.846153846154067</v>
      </c>
      <c r="W892" s="9">
        <f t="shared" si="86"/>
        <v>14.554834884615394</v>
      </c>
    </row>
    <row r="893" spans="1:23">
      <c r="A893" s="2" t="s">
        <v>335</v>
      </c>
      <c r="B893" s="2" t="s">
        <v>425</v>
      </c>
      <c r="C893" s="3">
        <v>161</v>
      </c>
      <c r="D893" s="3">
        <v>2.36</v>
      </c>
      <c r="E893" s="2" t="s">
        <v>431</v>
      </c>
      <c r="F893" s="4">
        <v>41687</v>
      </c>
      <c r="G893" s="3">
        <v>54.6</v>
      </c>
      <c r="H893" s="6"/>
      <c r="I893" s="4">
        <v>41731</v>
      </c>
      <c r="J893" s="3">
        <v>64.8</v>
      </c>
      <c r="K893" s="6"/>
      <c r="L893" s="3">
        <v>44</v>
      </c>
      <c r="M893" s="5">
        <v>10.199999999999996</v>
      </c>
      <c r="N893" s="6"/>
      <c r="O893" s="5">
        <v>103.83999999999999</v>
      </c>
      <c r="P893" s="5">
        <v>231.81818181818173</v>
      </c>
      <c r="Q893" s="5">
        <v>23.523309363636358</v>
      </c>
      <c r="R893" s="8">
        <f t="shared" si="82"/>
        <v>15</v>
      </c>
      <c r="S893" s="9">
        <f t="shared" si="83"/>
        <v>2.2999999999999972</v>
      </c>
      <c r="T893" s="9">
        <v>1.5</v>
      </c>
      <c r="U893" s="9">
        <f t="shared" si="84"/>
        <v>35.4</v>
      </c>
      <c r="V893" s="9">
        <f t="shared" si="85"/>
        <v>153.33333333333314</v>
      </c>
      <c r="W893" s="9">
        <f t="shared" si="86"/>
        <v>19.654006333333324</v>
      </c>
    </row>
    <row r="894" spans="1:23">
      <c r="A894" s="2" t="s">
        <v>335</v>
      </c>
      <c r="B894" s="2" t="s">
        <v>425</v>
      </c>
      <c r="C894" s="3">
        <v>161</v>
      </c>
      <c r="D894" s="3">
        <v>2.36</v>
      </c>
      <c r="E894" s="2" t="s">
        <v>432</v>
      </c>
      <c r="F894" s="4">
        <v>41687</v>
      </c>
      <c r="G894" s="3">
        <v>50.6</v>
      </c>
      <c r="H894" s="6"/>
      <c r="I894" s="4">
        <v>41687</v>
      </c>
      <c r="J894" s="3">
        <v>50.6</v>
      </c>
      <c r="K894" s="6"/>
      <c r="L894" s="3">
        <v>0</v>
      </c>
      <c r="M894" s="5">
        <v>0</v>
      </c>
      <c r="N894" s="6"/>
      <c r="O894" s="5">
        <v>0</v>
      </c>
      <c r="P894" s="5">
        <v>0</v>
      </c>
      <c r="Q894" s="5">
        <v>10.555954</v>
      </c>
      <c r="R894" s="8">
        <f t="shared" si="82"/>
        <v>0</v>
      </c>
      <c r="S894" s="9">
        <f t="shared" si="83"/>
        <v>0</v>
      </c>
      <c r="T894" s="9">
        <v>1.5</v>
      </c>
      <c r="U894" s="9">
        <f t="shared" si="84"/>
        <v>0</v>
      </c>
      <c r="V894" s="9">
        <f t="shared" si="85"/>
        <v>0</v>
      </c>
      <c r="W894" s="9">
        <f t="shared" si="86"/>
        <v>10.555954</v>
      </c>
    </row>
    <row r="895" spans="1:23">
      <c r="A895" s="2" t="s">
        <v>335</v>
      </c>
      <c r="B895" s="2" t="s">
        <v>425</v>
      </c>
      <c r="C895" s="3">
        <v>161</v>
      </c>
      <c r="D895" s="3">
        <v>2.36</v>
      </c>
      <c r="E895" s="2" t="s">
        <v>432</v>
      </c>
      <c r="F895" s="4">
        <v>41687</v>
      </c>
      <c r="G895" s="3">
        <v>50.6</v>
      </c>
      <c r="H895" s="6"/>
      <c r="I895" s="4">
        <v>41703</v>
      </c>
      <c r="J895" s="3">
        <v>57.4</v>
      </c>
      <c r="K895" s="6"/>
      <c r="L895" s="3">
        <v>16</v>
      </c>
      <c r="M895" s="5">
        <v>6.7999999999999972</v>
      </c>
      <c r="N895" s="6"/>
      <c r="O895" s="5">
        <v>37.76</v>
      </c>
      <c r="P895" s="5">
        <v>424.99999999999983</v>
      </c>
      <c r="Q895" s="5">
        <v>32.083359999999992</v>
      </c>
      <c r="R895" s="8">
        <f t="shared" si="82"/>
        <v>16</v>
      </c>
      <c r="S895" s="9">
        <f t="shared" si="83"/>
        <v>6.7999999999999972</v>
      </c>
      <c r="T895" s="9">
        <v>1.5</v>
      </c>
      <c r="U895" s="9">
        <f t="shared" si="84"/>
        <v>37.76</v>
      </c>
      <c r="V895" s="9">
        <f t="shared" si="85"/>
        <v>424.99999999999983</v>
      </c>
      <c r="W895" s="9">
        <f t="shared" si="86"/>
        <v>32.083359999999992</v>
      </c>
    </row>
    <row r="896" spans="1:23">
      <c r="A896" s="2" t="s">
        <v>335</v>
      </c>
      <c r="B896" s="2" t="s">
        <v>425</v>
      </c>
      <c r="C896" s="3">
        <v>161</v>
      </c>
      <c r="D896" s="3">
        <v>2.36</v>
      </c>
      <c r="E896" s="2" t="s">
        <v>432</v>
      </c>
      <c r="F896" s="4">
        <v>41687</v>
      </c>
      <c r="G896" s="3">
        <v>50.6</v>
      </c>
      <c r="H896" s="6"/>
      <c r="I896" s="4">
        <v>41716</v>
      </c>
      <c r="J896" s="3">
        <v>57</v>
      </c>
      <c r="K896" s="6"/>
      <c r="L896" s="3">
        <v>29</v>
      </c>
      <c r="M896" s="5">
        <v>6.3999999999999986</v>
      </c>
      <c r="N896" s="6"/>
      <c r="O896" s="5">
        <v>68.44</v>
      </c>
      <c r="P896" s="5">
        <v>220.68965517241372</v>
      </c>
      <c r="Q896" s="5">
        <v>21.977041999999997</v>
      </c>
      <c r="R896" s="8">
        <f t="shared" si="82"/>
        <v>13</v>
      </c>
      <c r="S896" s="9">
        <f t="shared" si="83"/>
        <v>-0.39999999999999858</v>
      </c>
      <c r="T896" s="9">
        <v>1.5</v>
      </c>
      <c r="U896" s="9">
        <f t="shared" si="84"/>
        <v>30.68</v>
      </c>
      <c r="V896" s="9">
        <f t="shared" si="85"/>
        <v>-30.76923076923066</v>
      </c>
      <c r="W896" s="9">
        <f t="shared" si="86"/>
        <v>9.5801189230769275</v>
      </c>
    </row>
    <row r="897" spans="1:23">
      <c r="A897" s="2" t="s">
        <v>335</v>
      </c>
      <c r="B897" s="2" t="s">
        <v>425</v>
      </c>
      <c r="C897" s="3">
        <v>161</v>
      </c>
      <c r="D897" s="3">
        <v>2.36</v>
      </c>
      <c r="E897" s="2" t="s">
        <v>432</v>
      </c>
      <c r="F897" s="4">
        <v>41687</v>
      </c>
      <c r="G897" s="3">
        <v>50.6</v>
      </c>
      <c r="H897" s="6"/>
      <c r="I897" s="4">
        <v>41731</v>
      </c>
      <c r="J897" s="3">
        <v>59.6</v>
      </c>
      <c r="K897" s="6"/>
      <c r="L897" s="3">
        <v>44</v>
      </c>
      <c r="M897" s="5">
        <v>9</v>
      </c>
      <c r="N897" s="6"/>
      <c r="O897" s="5">
        <v>103.83999999999999</v>
      </c>
      <c r="P897" s="5">
        <v>204.54545454545456</v>
      </c>
      <c r="Q897" s="5">
        <v>21.400949909090908</v>
      </c>
      <c r="R897" s="8">
        <f t="shared" si="82"/>
        <v>15</v>
      </c>
      <c r="S897" s="9">
        <f t="shared" si="83"/>
        <v>2.6000000000000014</v>
      </c>
      <c r="T897" s="9">
        <v>1.5</v>
      </c>
      <c r="U897" s="9">
        <f t="shared" si="84"/>
        <v>35.4</v>
      </c>
      <c r="V897" s="9">
        <f t="shared" si="85"/>
        <v>173.33333333333343</v>
      </c>
      <c r="W897" s="9">
        <f t="shared" si="86"/>
        <v>19.862192333333336</v>
      </c>
    </row>
    <row r="898" spans="1:23">
      <c r="A898" s="2" t="s">
        <v>335</v>
      </c>
      <c r="B898" s="2" t="s">
        <v>425</v>
      </c>
      <c r="C898" s="3">
        <v>161</v>
      </c>
      <c r="D898" s="3">
        <v>2.36</v>
      </c>
      <c r="E898" s="2" t="s">
        <v>433</v>
      </c>
      <c r="F898" s="4">
        <v>41687</v>
      </c>
      <c r="G898" s="3">
        <v>54.6</v>
      </c>
      <c r="H898" s="6"/>
      <c r="I898" s="4">
        <v>41687</v>
      </c>
      <c r="J898" s="3">
        <v>54.6</v>
      </c>
      <c r="K898" s="6"/>
      <c r="L898" s="3">
        <v>0</v>
      </c>
      <c r="M898" s="5">
        <v>0</v>
      </c>
      <c r="N898" s="6"/>
      <c r="O898" s="5">
        <v>0</v>
      </c>
      <c r="P898" s="5">
        <v>0</v>
      </c>
      <c r="Q898" s="5">
        <v>11.232314000000001</v>
      </c>
      <c r="R898" s="8">
        <f t="shared" si="82"/>
        <v>0</v>
      </c>
      <c r="S898" s="9">
        <f t="shared" si="83"/>
        <v>0</v>
      </c>
      <c r="T898" s="9">
        <v>1.5</v>
      </c>
      <c r="U898" s="9">
        <f t="shared" si="84"/>
        <v>0</v>
      </c>
      <c r="V898" s="9">
        <f t="shared" si="85"/>
        <v>0</v>
      </c>
      <c r="W898" s="9">
        <f t="shared" si="86"/>
        <v>11.232314000000001</v>
      </c>
    </row>
    <row r="899" spans="1:23">
      <c r="A899" s="2" t="s">
        <v>335</v>
      </c>
      <c r="B899" s="2" t="s">
        <v>425</v>
      </c>
      <c r="C899" s="3">
        <v>161</v>
      </c>
      <c r="D899" s="3">
        <v>2.36</v>
      </c>
      <c r="E899" s="2" t="s">
        <v>433</v>
      </c>
      <c r="F899" s="4">
        <v>41687</v>
      </c>
      <c r="G899" s="3">
        <v>54.6</v>
      </c>
      <c r="H899" s="6"/>
      <c r="I899" s="4">
        <v>41703</v>
      </c>
      <c r="J899" s="3">
        <v>60.8</v>
      </c>
      <c r="K899" s="6"/>
      <c r="L899" s="3">
        <v>16</v>
      </c>
      <c r="M899" s="5">
        <v>6.1999999999999957</v>
      </c>
      <c r="N899" s="6"/>
      <c r="O899" s="5">
        <v>37.76</v>
      </c>
      <c r="P899" s="5">
        <v>387.49999999999972</v>
      </c>
      <c r="Q899" s="5">
        <v>30.86024299999999</v>
      </c>
      <c r="R899" s="8">
        <f t="shared" si="82"/>
        <v>16</v>
      </c>
      <c r="S899" s="9">
        <f t="shared" si="83"/>
        <v>6.1999999999999957</v>
      </c>
      <c r="T899" s="9">
        <v>1.5</v>
      </c>
      <c r="U899" s="9">
        <f t="shared" si="84"/>
        <v>37.76</v>
      </c>
      <c r="V899" s="9">
        <f t="shared" si="85"/>
        <v>387.49999999999972</v>
      </c>
      <c r="W899" s="9">
        <f t="shared" si="86"/>
        <v>30.86024299999999</v>
      </c>
    </row>
    <row r="900" spans="1:23">
      <c r="A900" s="2" t="s">
        <v>335</v>
      </c>
      <c r="B900" s="2" t="s">
        <v>425</v>
      </c>
      <c r="C900" s="3">
        <v>161</v>
      </c>
      <c r="D900" s="3">
        <v>2.36</v>
      </c>
      <c r="E900" s="2" t="s">
        <v>433</v>
      </c>
      <c r="F900" s="4">
        <v>41687</v>
      </c>
      <c r="G900" s="3">
        <v>54.6</v>
      </c>
      <c r="H900" s="6"/>
      <c r="I900" s="4">
        <v>41716</v>
      </c>
      <c r="J900" s="3">
        <v>62.5</v>
      </c>
      <c r="K900" s="6"/>
      <c r="L900" s="3">
        <v>29</v>
      </c>
      <c r="M900" s="5">
        <v>7.8999999999999986</v>
      </c>
      <c r="N900" s="6"/>
      <c r="O900" s="5">
        <v>68.44</v>
      </c>
      <c r="P900" s="5">
        <v>272.4137931034482</v>
      </c>
      <c r="Q900" s="5">
        <v>25.330219499999995</v>
      </c>
      <c r="R900" s="8">
        <f t="shared" si="82"/>
        <v>13</v>
      </c>
      <c r="S900" s="9">
        <f t="shared" si="83"/>
        <v>1.7000000000000028</v>
      </c>
      <c r="T900" s="9">
        <v>1.5</v>
      </c>
      <c r="U900" s="9">
        <f t="shared" si="84"/>
        <v>30.68</v>
      </c>
      <c r="V900" s="9">
        <f t="shared" si="85"/>
        <v>130.769230769231</v>
      </c>
      <c r="W900" s="9">
        <f t="shared" si="86"/>
        <v>18.347142576923087</v>
      </c>
    </row>
    <row r="901" spans="1:23">
      <c r="A901" s="2" t="s">
        <v>335</v>
      </c>
      <c r="B901" s="2" t="s">
        <v>425</v>
      </c>
      <c r="C901" s="3">
        <v>161</v>
      </c>
      <c r="D901" s="3">
        <v>2.36</v>
      </c>
      <c r="E901" s="2" t="s">
        <v>433</v>
      </c>
      <c r="F901" s="4">
        <v>41687</v>
      </c>
      <c r="G901" s="3">
        <v>54.6</v>
      </c>
      <c r="H901" s="6"/>
      <c r="I901" s="4">
        <v>41731</v>
      </c>
      <c r="J901" s="3">
        <v>63.6</v>
      </c>
      <c r="K901" s="6"/>
      <c r="L901" s="3">
        <v>44</v>
      </c>
      <c r="M901" s="5">
        <v>9</v>
      </c>
      <c r="N901" s="6"/>
      <c r="O901" s="5">
        <v>103.83999999999999</v>
      </c>
      <c r="P901" s="5">
        <v>204.54545454545456</v>
      </c>
      <c r="Q901" s="5">
        <v>22.077309909090907</v>
      </c>
      <c r="R901" s="8">
        <f t="shared" si="82"/>
        <v>15</v>
      </c>
      <c r="S901" s="9">
        <f t="shared" si="83"/>
        <v>1.1000000000000014</v>
      </c>
      <c r="T901" s="9">
        <v>1.5</v>
      </c>
      <c r="U901" s="9">
        <f t="shared" si="84"/>
        <v>35.4</v>
      </c>
      <c r="V901" s="9">
        <f t="shared" si="85"/>
        <v>73.333333333333428</v>
      </c>
      <c r="W901" s="9">
        <f t="shared" si="86"/>
        <v>15.608552333333337</v>
      </c>
    </row>
    <row r="902" spans="1:23">
      <c r="A902" s="2" t="s">
        <v>335</v>
      </c>
      <c r="B902" s="2" t="s">
        <v>425</v>
      </c>
      <c r="C902" s="3">
        <v>161</v>
      </c>
      <c r="D902" s="3">
        <v>2.36</v>
      </c>
      <c r="E902" s="2" t="s">
        <v>434</v>
      </c>
      <c r="F902" s="4">
        <v>41687</v>
      </c>
      <c r="G902" s="3">
        <v>51</v>
      </c>
      <c r="H902" s="6"/>
      <c r="I902" s="4">
        <v>41687</v>
      </c>
      <c r="J902" s="3">
        <v>51</v>
      </c>
      <c r="K902" s="6"/>
      <c r="L902" s="3">
        <v>0</v>
      </c>
      <c r="M902" s="5">
        <v>0</v>
      </c>
      <c r="N902" s="6"/>
      <c r="O902" s="5">
        <v>0</v>
      </c>
      <c r="P902" s="5">
        <v>0</v>
      </c>
      <c r="Q902" s="5">
        <v>10.62359</v>
      </c>
      <c r="R902" s="8">
        <f t="shared" si="82"/>
        <v>0</v>
      </c>
      <c r="S902" s="9">
        <f t="shared" si="83"/>
        <v>0</v>
      </c>
      <c r="T902" s="9">
        <v>1.5</v>
      </c>
      <c r="U902" s="9">
        <f t="shared" si="84"/>
        <v>0</v>
      </c>
      <c r="V902" s="9">
        <f t="shared" si="85"/>
        <v>0</v>
      </c>
      <c r="W902" s="9">
        <f t="shared" si="86"/>
        <v>10.62359</v>
      </c>
    </row>
    <row r="903" spans="1:23">
      <c r="A903" s="2" t="s">
        <v>335</v>
      </c>
      <c r="B903" s="2" t="s">
        <v>425</v>
      </c>
      <c r="C903" s="3">
        <v>161</v>
      </c>
      <c r="D903" s="3">
        <v>2.36</v>
      </c>
      <c r="E903" s="2" t="s">
        <v>434</v>
      </c>
      <c r="F903" s="4">
        <v>41687</v>
      </c>
      <c r="G903" s="3">
        <v>51</v>
      </c>
      <c r="H903" s="6"/>
      <c r="I903" s="4">
        <v>41703</v>
      </c>
      <c r="J903" s="3">
        <v>57</v>
      </c>
      <c r="K903" s="6"/>
      <c r="L903" s="3">
        <v>16</v>
      </c>
      <c r="M903" s="5">
        <v>6</v>
      </c>
      <c r="N903" s="6"/>
      <c r="O903" s="5">
        <v>37.76</v>
      </c>
      <c r="P903" s="5">
        <v>375</v>
      </c>
      <c r="Q903" s="5">
        <v>29.618359999999996</v>
      </c>
      <c r="R903" s="8">
        <f t="shared" si="82"/>
        <v>16</v>
      </c>
      <c r="S903" s="9">
        <f t="shared" si="83"/>
        <v>6</v>
      </c>
      <c r="T903" s="9">
        <v>1.5</v>
      </c>
      <c r="U903" s="9">
        <f t="shared" si="84"/>
        <v>37.76</v>
      </c>
      <c r="V903" s="9">
        <f t="shared" si="85"/>
        <v>375</v>
      </c>
      <c r="W903" s="9">
        <f t="shared" si="86"/>
        <v>29.618359999999996</v>
      </c>
    </row>
    <row r="904" spans="1:23">
      <c r="A904" s="2" t="s">
        <v>335</v>
      </c>
      <c r="B904" s="2" t="s">
        <v>425</v>
      </c>
      <c r="C904" s="3">
        <v>161</v>
      </c>
      <c r="D904" s="3">
        <v>2.36</v>
      </c>
      <c r="E904" s="2" t="s">
        <v>434</v>
      </c>
      <c r="F904" s="4">
        <v>41687</v>
      </c>
      <c r="G904" s="3">
        <v>51</v>
      </c>
      <c r="H904" s="6"/>
      <c r="I904" s="4">
        <v>41716</v>
      </c>
      <c r="J904" s="3">
        <v>58.5</v>
      </c>
      <c r="K904" s="6"/>
      <c r="L904" s="3">
        <v>29</v>
      </c>
      <c r="M904" s="5">
        <v>7.5</v>
      </c>
      <c r="N904" s="6"/>
      <c r="O904" s="5">
        <v>68.44</v>
      </c>
      <c r="P904" s="5">
        <v>258.62068965517244</v>
      </c>
      <c r="Q904" s="5">
        <v>24.0076775</v>
      </c>
      <c r="R904" s="8">
        <f t="shared" si="82"/>
        <v>13</v>
      </c>
      <c r="S904" s="9">
        <f t="shared" si="83"/>
        <v>1.5</v>
      </c>
      <c r="T904" s="9">
        <v>1.5</v>
      </c>
      <c r="U904" s="9">
        <f t="shared" si="84"/>
        <v>30.68</v>
      </c>
      <c r="V904" s="9">
        <f t="shared" si="85"/>
        <v>115.38461538461539</v>
      </c>
      <c r="W904" s="9">
        <f t="shared" si="86"/>
        <v>16.946139038461538</v>
      </c>
    </row>
    <row r="905" spans="1:23">
      <c r="A905" s="2" t="s">
        <v>335</v>
      </c>
      <c r="B905" s="2" t="s">
        <v>425</v>
      </c>
      <c r="C905" s="3">
        <v>161</v>
      </c>
      <c r="D905" s="3">
        <v>2.36</v>
      </c>
      <c r="E905" s="2" t="s">
        <v>434</v>
      </c>
      <c r="F905" s="4">
        <v>41687</v>
      </c>
      <c r="G905" s="3">
        <v>51</v>
      </c>
      <c r="H905" s="6"/>
      <c r="I905" s="4">
        <v>41731</v>
      </c>
      <c r="J905" s="3">
        <v>58.6</v>
      </c>
      <c r="K905" s="6"/>
      <c r="L905" s="3">
        <v>44</v>
      </c>
      <c r="M905" s="5">
        <v>7.6000000000000014</v>
      </c>
      <c r="N905" s="6"/>
      <c r="O905" s="5">
        <v>103.83999999999999</v>
      </c>
      <c r="P905" s="5">
        <v>172.72727272727275</v>
      </c>
      <c r="Q905" s="5">
        <v>19.781586545454545</v>
      </c>
      <c r="R905" s="8">
        <f t="shared" si="82"/>
        <v>15</v>
      </c>
      <c r="S905" s="9">
        <f t="shared" si="83"/>
        <v>0.10000000000000142</v>
      </c>
      <c r="T905" s="9">
        <v>1.5</v>
      </c>
      <c r="U905" s="9">
        <f t="shared" si="84"/>
        <v>35.4</v>
      </c>
      <c r="V905" s="9">
        <f t="shared" si="85"/>
        <v>6.666666666666762</v>
      </c>
      <c r="W905" s="9">
        <f t="shared" si="86"/>
        <v>11.594798666666669</v>
      </c>
    </row>
    <row r="906" spans="1:23">
      <c r="A906" s="2" t="s">
        <v>335</v>
      </c>
      <c r="B906" s="2" t="s">
        <v>425</v>
      </c>
      <c r="C906" s="3">
        <v>161</v>
      </c>
      <c r="D906" s="3">
        <v>2.36</v>
      </c>
      <c r="E906" s="2" t="s">
        <v>435</v>
      </c>
      <c r="F906" s="4">
        <v>41687</v>
      </c>
      <c r="G906" s="3">
        <v>52.8</v>
      </c>
      <c r="H906" s="6"/>
      <c r="I906" s="4">
        <v>41687</v>
      </c>
      <c r="J906" s="3">
        <v>52.8</v>
      </c>
      <c r="K906" s="6"/>
      <c r="L906" s="3">
        <v>0</v>
      </c>
      <c r="M906" s="5">
        <v>0</v>
      </c>
      <c r="N906" s="6"/>
      <c r="O906" s="5">
        <v>0</v>
      </c>
      <c r="P906" s="5">
        <v>0</v>
      </c>
      <c r="Q906" s="5">
        <v>10.927951999999999</v>
      </c>
      <c r="R906" s="8">
        <f t="shared" si="82"/>
        <v>0</v>
      </c>
      <c r="S906" s="9">
        <f t="shared" si="83"/>
        <v>0</v>
      </c>
      <c r="T906" s="9">
        <v>1.5</v>
      </c>
      <c r="U906" s="9">
        <f t="shared" si="84"/>
        <v>0</v>
      </c>
      <c r="V906" s="9">
        <f t="shared" si="85"/>
        <v>0</v>
      </c>
      <c r="W906" s="9">
        <f t="shared" si="86"/>
        <v>10.927951999999999</v>
      </c>
    </row>
    <row r="907" spans="1:23">
      <c r="A907" s="2" t="s">
        <v>335</v>
      </c>
      <c r="B907" s="2" t="s">
        <v>425</v>
      </c>
      <c r="C907" s="3">
        <v>161</v>
      </c>
      <c r="D907" s="3">
        <v>2.36</v>
      </c>
      <c r="E907" s="2" t="s">
        <v>435</v>
      </c>
      <c r="F907" s="4">
        <v>41687</v>
      </c>
      <c r="G907" s="3">
        <v>52.8</v>
      </c>
      <c r="H907" s="6"/>
      <c r="I907" s="4">
        <v>41703</v>
      </c>
      <c r="J907" s="3">
        <v>57.6</v>
      </c>
      <c r="K907" s="6"/>
      <c r="L907" s="3">
        <v>16</v>
      </c>
      <c r="M907" s="5">
        <v>4.8000000000000043</v>
      </c>
      <c r="N907" s="6"/>
      <c r="O907" s="5">
        <v>37.76</v>
      </c>
      <c r="P907" s="5">
        <v>300.00000000000028</v>
      </c>
      <c r="Q907" s="5">
        <v>26.123768000000013</v>
      </c>
      <c r="R907" s="8">
        <f t="shared" si="82"/>
        <v>16</v>
      </c>
      <c r="S907" s="9">
        <f t="shared" si="83"/>
        <v>4.8000000000000043</v>
      </c>
      <c r="T907" s="9">
        <v>1.5</v>
      </c>
      <c r="U907" s="9">
        <f t="shared" si="84"/>
        <v>37.76</v>
      </c>
      <c r="V907" s="9">
        <f t="shared" si="85"/>
        <v>300.00000000000028</v>
      </c>
      <c r="W907" s="9">
        <f t="shared" si="86"/>
        <v>26.123768000000013</v>
      </c>
    </row>
    <row r="908" spans="1:23">
      <c r="A908" s="2" t="s">
        <v>335</v>
      </c>
      <c r="B908" s="2" t="s">
        <v>425</v>
      </c>
      <c r="C908" s="3">
        <v>161</v>
      </c>
      <c r="D908" s="3">
        <v>2.36</v>
      </c>
      <c r="E908" s="2" t="s">
        <v>435</v>
      </c>
      <c r="F908" s="4">
        <v>41687</v>
      </c>
      <c r="G908" s="3">
        <v>52.8</v>
      </c>
      <c r="H908" s="6"/>
      <c r="I908" s="4">
        <v>41716</v>
      </c>
      <c r="J908" s="3">
        <v>59.5</v>
      </c>
      <c r="K908" s="6"/>
      <c r="L908" s="3">
        <v>29</v>
      </c>
      <c r="M908" s="5">
        <v>6.7000000000000028</v>
      </c>
      <c r="N908" s="6"/>
      <c r="O908" s="5">
        <v>68.44</v>
      </c>
      <c r="P908" s="5">
        <v>231.03448275862078</v>
      </c>
      <c r="Q908" s="5">
        <v>22.884403500000005</v>
      </c>
      <c r="R908" s="8">
        <f t="shared" si="82"/>
        <v>13</v>
      </c>
      <c r="S908" s="9">
        <f t="shared" si="83"/>
        <v>1.8999999999999986</v>
      </c>
      <c r="T908" s="9">
        <v>1.5</v>
      </c>
      <c r="U908" s="9">
        <f t="shared" si="84"/>
        <v>30.68</v>
      </c>
      <c r="V908" s="9">
        <f t="shared" si="85"/>
        <v>146.15384615384605</v>
      </c>
      <c r="W908" s="9">
        <f t="shared" si="86"/>
        <v>18.699788115384607</v>
      </c>
    </row>
    <row r="909" spans="1:23">
      <c r="A909" s="2" t="s">
        <v>335</v>
      </c>
      <c r="B909" s="2" t="s">
        <v>425</v>
      </c>
      <c r="C909" s="3">
        <v>161</v>
      </c>
      <c r="D909" s="3">
        <v>2.36</v>
      </c>
      <c r="E909" s="2" t="s">
        <v>435</v>
      </c>
      <c r="F909" s="4">
        <v>41687</v>
      </c>
      <c r="G909" s="3">
        <v>52.8</v>
      </c>
      <c r="H909" s="6"/>
      <c r="I909" s="4">
        <v>41731</v>
      </c>
      <c r="J909" s="3">
        <v>58.4</v>
      </c>
      <c r="K909" s="6"/>
      <c r="L909" s="3">
        <v>44</v>
      </c>
      <c r="M909" s="5">
        <v>5.6000000000000014</v>
      </c>
      <c r="N909" s="6"/>
      <c r="O909" s="5">
        <v>103.83999999999999</v>
      </c>
      <c r="P909" s="5">
        <v>127.27272727272731</v>
      </c>
      <c r="Q909" s="5">
        <v>17.675949454545453</v>
      </c>
      <c r="R909" s="8">
        <f t="shared" si="82"/>
        <v>15</v>
      </c>
      <c r="S909" s="9">
        <f t="shared" si="83"/>
        <v>-1.1000000000000014</v>
      </c>
      <c r="T909" s="9">
        <v>1.5</v>
      </c>
      <c r="U909" s="9">
        <f t="shared" si="84"/>
        <v>35.4</v>
      </c>
      <c r="V909" s="9">
        <f t="shared" si="85"/>
        <v>-73.333333333333428</v>
      </c>
      <c r="W909" s="9">
        <f t="shared" si="86"/>
        <v>7.7860706666666601</v>
      </c>
    </row>
    <row r="910" spans="1:23">
      <c r="A910" s="2" t="s">
        <v>335</v>
      </c>
      <c r="B910" s="2" t="s">
        <v>425</v>
      </c>
      <c r="C910" s="3">
        <v>161</v>
      </c>
      <c r="D910" s="3">
        <v>2.36</v>
      </c>
      <c r="E910" s="2" t="s">
        <v>436</v>
      </c>
      <c r="F910" s="4">
        <v>41687</v>
      </c>
      <c r="G910" s="3">
        <v>56.2</v>
      </c>
      <c r="H910" s="6"/>
      <c r="I910" s="4">
        <v>41687</v>
      </c>
      <c r="J910" s="3">
        <v>56.2</v>
      </c>
      <c r="K910" s="6"/>
      <c r="L910" s="3">
        <v>0</v>
      </c>
      <c r="M910" s="5">
        <v>0</v>
      </c>
      <c r="N910" s="6"/>
      <c r="O910" s="5">
        <v>0</v>
      </c>
      <c r="P910" s="5">
        <v>0</v>
      </c>
      <c r="Q910" s="5">
        <v>11.502858</v>
      </c>
      <c r="R910" s="8">
        <f t="shared" si="82"/>
        <v>0</v>
      </c>
      <c r="S910" s="9">
        <f t="shared" si="83"/>
        <v>0</v>
      </c>
      <c r="T910" s="9">
        <v>1.5</v>
      </c>
      <c r="U910" s="9">
        <f t="shared" si="84"/>
        <v>0</v>
      </c>
      <c r="V910" s="9">
        <f t="shared" si="85"/>
        <v>0</v>
      </c>
      <c r="W910" s="9">
        <f t="shared" si="86"/>
        <v>11.502858</v>
      </c>
    </row>
    <row r="911" spans="1:23">
      <c r="A911" s="2" t="s">
        <v>335</v>
      </c>
      <c r="B911" s="2" t="s">
        <v>425</v>
      </c>
      <c r="C911" s="3">
        <v>161</v>
      </c>
      <c r="D911" s="3">
        <v>2.36</v>
      </c>
      <c r="E911" s="2" t="s">
        <v>436</v>
      </c>
      <c r="F911" s="4">
        <v>41687</v>
      </c>
      <c r="G911" s="3">
        <v>56.2</v>
      </c>
      <c r="H911" s="6"/>
      <c r="I911" s="4">
        <v>41703</v>
      </c>
      <c r="J911" s="3">
        <v>64.400000000000006</v>
      </c>
      <c r="K911" s="6"/>
      <c r="L911" s="3">
        <v>16</v>
      </c>
      <c r="M911" s="5">
        <v>8.2000000000000028</v>
      </c>
      <c r="N911" s="6"/>
      <c r="O911" s="5">
        <v>37.76</v>
      </c>
      <c r="P911" s="5">
        <v>512.50000000000023</v>
      </c>
      <c r="Q911" s="5">
        <v>37.462377000000004</v>
      </c>
      <c r="R911" s="8">
        <f t="shared" si="82"/>
        <v>16</v>
      </c>
      <c r="S911" s="9">
        <f t="shared" si="83"/>
        <v>8.2000000000000028</v>
      </c>
      <c r="T911" s="9">
        <v>1.5</v>
      </c>
      <c r="U911" s="9">
        <f t="shared" si="84"/>
        <v>37.76</v>
      </c>
      <c r="V911" s="9">
        <f t="shared" si="85"/>
        <v>512.50000000000023</v>
      </c>
      <c r="W911" s="9">
        <f t="shared" si="86"/>
        <v>37.462377000000004</v>
      </c>
    </row>
    <row r="912" spans="1:23">
      <c r="A912" s="2" t="s">
        <v>335</v>
      </c>
      <c r="B912" s="2" t="s">
        <v>425</v>
      </c>
      <c r="C912" s="3">
        <v>161</v>
      </c>
      <c r="D912" s="3">
        <v>2.36</v>
      </c>
      <c r="E912" s="2" t="s">
        <v>436</v>
      </c>
      <c r="F912" s="4">
        <v>41687</v>
      </c>
      <c r="G912" s="3">
        <v>56.2</v>
      </c>
      <c r="H912" s="6"/>
      <c r="I912" s="4">
        <v>41716</v>
      </c>
      <c r="J912" s="3">
        <v>62.5</v>
      </c>
      <c r="K912" s="6"/>
      <c r="L912" s="3">
        <v>29</v>
      </c>
      <c r="M912" s="5">
        <v>6.2999999999999972</v>
      </c>
      <c r="N912" s="6"/>
      <c r="O912" s="5">
        <v>68.44</v>
      </c>
      <c r="P912" s="5">
        <v>217.24137931034474</v>
      </c>
      <c r="Q912" s="5">
        <v>22.745491499999993</v>
      </c>
      <c r="R912" s="8">
        <f t="shared" si="82"/>
        <v>13</v>
      </c>
      <c r="S912" s="9">
        <f t="shared" si="83"/>
        <v>-1.9000000000000057</v>
      </c>
      <c r="T912" s="9">
        <v>1.5</v>
      </c>
      <c r="U912" s="9">
        <f t="shared" si="84"/>
        <v>30.68</v>
      </c>
      <c r="V912" s="9">
        <f t="shared" si="85"/>
        <v>-146.15384615384659</v>
      </c>
      <c r="W912" s="9">
        <f t="shared" si="86"/>
        <v>4.830106884615363</v>
      </c>
    </row>
    <row r="913" spans="1:23">
      <c r="A913" s="2" t="s">
        <v>335</v>
      </c>
      <c r="B913" s="2" t="s">
        <v>425</v>
      </c>
      <c r="C913" s="3">
        <v>161</v>
      </c>
      <c r="D913" s="3">
        <v>2.36</v>
      </c>
      <c r="E913" s="2" t="s">
        <v>436</v>
      </c>
      <c r="F913" s="4">
        <v>41687</v>
      </c>
      <c r="G913" s="3">
        <v>56.2</v>
      </c>
      <c r="H913" s="6"/>
      <c r="I913" s="4">
        <v>41731</v>
      </c>
      <c r="J913" s="3">
        <v>60.8</v>
      </c>
      <c r="K913" s="6"/>
      <c r="L913" s="3">
        <v>44</v>
      </c>
      <c r="M913" s="5">
        <v>4.5999999999999943</v>
      </c>
      <c r="N913" s="6"/>
      <c r="O913" s="5">
        <v>103.83999999999999</v>
      </c>
      <c r="P913" s="5">
        <v>104.54545454545442</v>
      </c>
      <c r="Q913" s="5">
        <v>17.045855909090903</v>
      </c>
      <c r="R913" s="8">
        <f t="shared" si="82"/>
        <v>15</v>
      </c>
      <c r="S913" s="9">
        <f t="shared" si="83"/>
        <v>-1.7000000000000028</v>
      </c>
      <c r="T913" s="9">
        <v>1.5</v>
      </c>
      <c r="U913" s="9">
        <f t="shared" si="84"/>
        <v>35.4</v>
      </c>
      <c r="V913" s="9">
        <f t="shared" si="85"/>
        <v>-113.33333333333353</v>
      </c>
      <c r="W913" s="9">
        <f t="shared" si="86"/>
        <v>6.3044316666666571</v>
      </c>
    </row>
    <row r="914" spans="1:23">
      <c r="A914" s="2" t="s">
        <v>335</v>
      </c>
      <c r="B914" s="2" t="s">
        <v>425</v>
      </c>
      <c r="C914" s="3">
        <v>161</v>
      </c>
      <c r="D914" s="3">
        <v>2.36</v>
      </c>
      <c r="E914" s="2" t="s">
        <v>437</v>
      </c>
      <c r="F914" s="4">
        <v>41687</v>
      </c>
      <c r="G914" s="3">
        <v>53.4</v>
      </c>
      <c r="H914" s="6"/>
      <c r="I914" s="4">
        <v>41687</v>
      </c>
      <c r="J914" s="3">
        <v>53.4</v>
      </c>
      <c r="K914" s="6"/>
      <c r="L914" s="3">
        <v>0</v>
      </c>
      <c r="M914" s="5">
        <v>0</v>
      </c>
      <c r="N914" s="6"/>
      <c r="O914" s="5">
        <v>0</v>
      </c>
      <c r="P914" s="5">
        <v>0</v>
      </c>
      <c r="Q914" s="5">
        <v>11.029406</v>
      </c>
      <c r="R914" s="8">
        <f t="shared" si="82"/>
        <v>0</v>
      </c>
      <c r="S914" s="9">
        <f t="shared" si="83"/>
        <v>0</v>
      </c>
      <c r="T914" s="9">
        <v>1.5</v>
      </c>
      <c r="U914" s="9">
        <f t="shared" si="84"/>
        <v>0</v>
      </c>
      <c r="V914" s="9">
        <f t="shared" si="85"/>
        <v>0</v>
      </c>
      <c r="W914" s="9">
        <f t="shared" si="86"/>
        <v>11.029406</v>
      </c>
    </row>
    <row r="915" spans="1:23">
      <c r="A915" s="2" t="s">
        <v>335</v>
      </c>
      <c r="B915" s="2" t="s">
        <v>425</v>
      </c>
      <c r="C915" s="3">
        <v>161</v>
      </c>
      <c r="D915" s="3">
        <v>2.36</v>
      </c>
      <c r="E915" s="2" t="s">
        <v>437</v>
      </c>
      <c r="F915" s="4">
        <v>41687</v>
      </c>
      <c r="G915" s="3">
        <v>53.4</v>
      </c>
      <c r="H915" s="6"/>
      <c r="I915" s="4">
        <v>41703</v>
      </c>
      <c r="J915" s="3">
        <v>58</v>
      </c>
      <c r="K915" s="6"/>
      <c r="L915" s="3">
        <v>16</v>
      </c>
      <c r="M915" s="5">
        <v>4.6000000000000014</v>
      </c>
      <c r="N915" s="6"/>
      <c r="O915" s="5">
        <v>37.76</v>
      </c>
      <c r="P915" s="5">
        <v>287.50000000000011</v>
      </c>
      <c r="Q915" s="5">
        <v>25.592063000000003</v>
      </c>
      <c r="R915" s="8">
        <f t="shared" si="82"/>
        <v>16</v>
      </c>
      <c r="S915" s="9">
        <f t="shared" si="83"/>
        <v>4.6000000000000014</v>
      </c>
      <c r="T915" s="9">
        <v>1.5</v>
      </c>
      <c r="U915" s="9">
        <f t="shared" si="84"/>
        <v>37.76</v>
      </c>
      <c r="V915" s="9">
        <f t="shared" si="85"/>
        <v>287.50000000000011</v>
      </c>
      <c r="W915" s="9">
        <f t="shared" si="86"/>
        <v>25.592063000000003</v>
      </c>
    </row>
    <row r="916" spans="1:23">
      <c r="A916" s="2" t="s">
        <v>335</v>
      </c>
      <c r="B916" s="2" t="s">
        <v>425</v>
      </c>
      <c r="C916" s="3">
        <v>161</v>
      </c>
      <c r="D916" s="3">
        <v>2.36</v>
      </c>
      <c r="E916" s="2" t="s">
        <v>437</v>
      </c>
      <c r="F916" s="4">
        <v>41687</v>
      </c>
      <c r="G916" s="3">
        <v>53.4</v>
      </c>
      <c r="H916" s="6"/>
      <c r="I916" s="4">
        <v>41716</v>
      </c>
      <c r="J916" s="3">
        <v>56.5</v>
      </c>
      <c r="K916" s="6"/>
      <c r="L916" s="3">
        <v>29</v>
      </c>
      <c r="M916" s="5">
        <v>3.1000000000000014</v>
      </c>
      <c r="N916" s="6"/>
      <c r="O916" s="5">
        <v>68.44</v>
      </c>
      <c r="P916" s="5">
        <v>106.89655172413798</v>
      </c>
      <c r="Q916" s="5">
        <v>16.561495500000003</v>
      </c>
      <c r="R916" s="8">
        <f t="shared" si="82"/>
        <v>13</v>
      </c>
      <c r="S916" s="9">
        <f t="shared" si="83"/>
        <v>-1.5</v>
      </c>
      <c r="T916" s="9">
        <v>1.5</v>
      </c>
      <c r="U916" s="9">
        <f t="shared" si="84"/>
        <v>30.68</v>
      </c>
      <c r="V916" s="9">
        <f t="shared" si="85"/>
        <v>-115.38461538461539</v>
      </c>
      <c r="W916" s="9">
        <f t="shared" si="86"/>
        <v>5.6030339615384612</v>
      </c>
    </row>
    <row r="917" spans="1:23">
      <c r="A917" s="2" t="s">
        <v>335</v>
      </c>
      <c r="B917" s="2" t="s">
        <v>425</v>
      </c>
      <c r="C917" s="3">
        <v>161</v>
      </c>
      <c r="D917" s="3">
        <v>2.36</v>
      </c>
      <c r="E917" s="2" t="s">
        <v>437</v>
      </c>
      <c r="F917" s="4">
        <v>41687</v>
      </c>
      <c r="G917" s="3">
        <v>53.4</v>
      </c>
      <c r="H917" s="6"/>
      <c r="I917" s="4">
        <v>41731</v>
      </c>
      <c r="J917" s="3">
        <v>55.2</v>
      </c>
      <c r="K917" s="6"/>
      <c r="L917" s="3">
        <v>44</v>
      </c>
      <c r="M917" s="5">
        <v>1.8000000000000043</v>
      </c>
      <c r="N917" s="6"/>
      <c r="O917" s="5">
        <v>103.83999999999999</v>
      </c>
      <c r="P917" s="5">
        <v>40.909090909091006</v>
      </c>
      <c r="Q917" s="5">
        <v>13.198405181818185</v>
      </c>
      <c r="R917" s="8">
        <f t="shared" si="82"/>
        <v>15</v>
      </c>
      <c r="S917" s="9">
        <f t="shared" si="83"/>
        <v>-1.2999999999999972</v>
      </c>
      <c r="T917" s="9">
        <v>1.5</v>
      </c>
      <c r="U917" s="9">
        <f t="shared" si="84"/>
        <v>35.4</v>
      </c>
      <c r="V917" s="9">
        <f t="shared" si="85"/>
        <v>-86.666666666666472</v>
      </c>
      <c r="W917" s="9">
        <f t="shared" si="86"/>
        <v>6.9089203333333415</v>
      </c>
    </row>
    <row r="918" spans="1:23">
      <c r="A918" s="2" t="s">
        <v>335</v>
      </c>
      <c r="B918" s="2" t="s">
        <v>425</v>
      </c>
      <c r="C918" s="3">
        <v>161</v>
      </c>
      <c r="D918" s="3">
        <v>2.36</v>
      </c>
      <c r="E918" s="2" t="s">
        <v>438</v>
      </c>
      <c r="F918" s="4">
        <v>41687</v>
      </c>
      <c r="G918" s="3">
        <v>55.4</v>
      </c>
      <c r="H918" s="6"/>
      <c r="I918" s="4">
        <v>41687</v>
      </c>
      <c r="J918" s="3">
        <v>55.4</v>
      </c>
      <c r="K918" s="6"/>
      <c r="L918" s="3">
        <v>0</v>
      </c>
      <c r="M918" s="5">
        <v>0</v>
      </c>
      <c r="N918" s="6"/>
      <c r="O918" s="5">
        <v>0</v>
      </c>
      <c r="P918" s="5">
        <v>0</v>
      </c>
      <c r="Q918" s="5">
        <v>11.367585999999999</v>
      </c>
      <c r="R918" s="8">
        <f t="shared" si="82"/>
        <v>0</v>
      </c>
      <c r="S918" s="9">
        <f t="shared" si="83"/>
        <v>0</v>
      </c>
      <c r="T918" s="9">
        <v>1.5</v>
      </c>
      <c r="U918" s="9">
        <f t="shared" si="84"/>
        <v>0</v>
      </c>
      <c r="V918" s="9">
        <f t="shared" si="85"/>
        <v>0</v>
      </c>
      <c r="W918" s="9">
        <f t="shared" si="86"/>
        <v>11.367585999999999</v>
      </c>
    </row>
    <row r="919" spans="1:23">
      <c r="A919" s="2" t="s">
        <v>335</v>
      </c>
      <c r="B919" s="2" t="s">
        <v>425</v>
      </c>
      <c r="C919" s="3">
        <v>161</v>
      </c>
      <c r="D919" s="3">
        <v>2.36</v>
      </c>
      <c r="E919" s="2" t="s">
        <v>438</v>
      </c>
      <c r="F919" s="4">
        <v>41687</v>
      </c>
      <c r="G919" s="3">
        <v>55.4</v>
      </c>
      <c r="H919" s="6"/>
      <c r="I919" s="4">
        <v>41703</v>
      </c>
      <c r="J919" s="3">
        <v>58.6</v>
      </c>
      <c r="K919" s="6"/>
      <c r="L919" s="3">
        <v>16</v>
      </c>
      <c r="M919" s="5">
        <v>3.2000000000000028</v>
      </c>
      <c r="N919" s="6"/>
      <c r="O919" s="5">
        <v>37.76</v>
      </c>
      <c r="P919" s="5">
        <v>200.00000000000017</v>
      </c>
      <c r="Q919" s="5">
        <v>21.49813000000001</v>
      </c>
      <c r="R919" s="8">
        <f t="shared" si="82"/>
        <v>16</v>
      </c>
      <c r="S919" s="9">
        <f t="shared" si="83"/>
        <v>3.2000000000000028</v>
      </c>
      <c r="T919" s="9">
        <v>1.5</v>
      </c>
      <c r="U919" s="9">
        <f t="shared" si="84"/>
        <v>37.76</v>
      </c>
      <c r="V919" s="9">
        <f t="shared" si="85"/>
        <v>200.00000000000017</v>
      </c>
      <c r="W919" s="9">
        <f t="shared" si="86"/>
        <v>21.49813000000001</v>
      </c>
    </row>
    <row r="920" spans="1:23">
      <c r="A920" s="2" t="s">
        <v>335</v>
      </c>
      <c r="B920" s="2" t="s">
        <v>425</v>
      </c>
      <c r="C920" s="3">
        <v>161</v>
      </c>
      <c r="D920" s="3">
        <v>2.36</v>
      </c>
      <c r="E920" s="2" t="s">
        <v>438</v>
      </c>
      <c r="F920" s="4">
        <v>41687</v>
      </c>
      <c r="G920" s="3">
        <v>55.4</v>
      </c>
      <c r="H920" s="6"/>
      <c r="I920" s="4">
        <v>41716</v>
      </c>
      <c r="J920" s="3">
        <v>60.5</v>
      </c>
      <c r="K920" s="6"/>
      <c r="L920" s="3">
        <v>29</v>
      </c>
      <c r="M920" s="5">
        <v>5.1000000000000014</v>
      </c>
      <c r="N920" s="6"/>
      <c r="O920" s="5">
        <v>68.44</v>
      </c>
      <c r="P920" s="5">
        <v>175.8620689655173</v>
      </c>
      <c r="Q920" s="5">
        <v>20.468765500000003</v>
      </c>
      <c r="R920" s="8">
        <f t="shared" si="82"/>
        <v>13</v>
      </c>
      <c r="S920" s="9">
        <f t="shared" si="83"/>
        <v>1.8999999999999986</v>
      </c>
      <c r="T920" s="9">
        <v>1.5</v>
      </c>
      <c r="U920" s="9">
        <f t="shared" si="84"/>
        <v>30.68</v>
      </c>
      <c r="V920" s="9">
        <f t="shared" si="85"/>
        <v>146.15384615384605</v>
      </c>
      <c r="W920" s="9">
        <f t="shared" si="86"/>
        <v>19.004150115384611</v>
      </c>
    </row>
    <row r="921" spans="1:23">
      <c r="A921" s="2" t="s">
        <v>335</v>
      </c>
      <c r="B921" s="2" t="s">
        <v>425</v>
      </c>
      <c r="C921" s="3">
        <v>161</v>
      </c>
      <c r="D921" s="3">
        <v>2.36</v>
      </c>
      <c r="E921" s="2" t="s">
        <v>438</v>
      </c>
      <c r="F921" s="4">
        <v>41687</v>
      </c>
      <c r="G921" s="3">
        <v>55.4</v>
      </c>
      <c r="H921" s="6"/>
      <c r="I921" s="4">
        <v>41731</v>
      </c>
      <c r="J921" s="3">
        <v>60.6</v>
      </c>
      <c r="K921" s="6"/>
      <c r="L921" s="3">
        <v>44</v>
      </c>
      <c r="M921" s="5">
        <v>5.2000000000000028</v>
      </c>
      <c r="N921" s="6"/>
      <c r="O921" s="5">
        <v>103.83999999999999</v>
      </c>
      <c r="P921" s="5">
        <v>118.18181818181824</v>
      </c>
      <c r="Q921" s="5">
        <v>17.633583636363639</v>
      </c>
      <c r="R921" s="8">
        <f t="shared" si="82"/>
        <v>15</v>
      </c>
      <c r="S921" s="9">
        <f t="shared" si="83"/>
        <v>0.10000000000000142</v>
      </c>
      <c r="T921" s="9">
        <v>1.5</v>
      </c>
      <c r="U921" s="9">
        <f t="shared" si="84"/>
        <v>35.4</v>
      </c>
      <c r="V921" s="9">
        <f t="shared" si="85"/>
        <v>6.666666666666762</v>
      </c>
      <c r="W921" s="9">
        <f t="shared" si="86"/>
        <v>12.135886666666671</v>
      </c>
    </row>
    <row r="922" spans="1:23">
      <c r="A922" s="2" t="s">
        <v>335</v>
      </c>
      <c r="B922" s="2" t="s">
        <v>425</v>
      </c>
      <c r="C922" s="3">
        <v>161</v>
      </c>
      <c r="D922" s="3">
        <v>2.36</v>
      </c>
      <c r="E922" s="2" t="s">
        <v>439</v>
      </c>
      <c r="F922" s="4">
        <v>41687</v>
      </c>
      <c r="G922" s="3">
        <v>61.2</v>
      </c>
      <c r="H922" s="6"/>
      <c r="I922" s="4">
        <v>41687</v>
      </c>
      <c r="J922" s="3">
        <v>61.2</v>
      </c>
      <c r="K922" s="6"/>
      <c r="L922" s="3">
        <v>0</v>
      </c>
      <c r="M922" s="5">
        <v>0</v>
      </c>
      <c r="N922" s="6"/>
      <c r="O922" s="5">
        <v>0</v>
      </c>
      <c r="P922" s="5">
        <v>0</v>
      </c>
      <c r="Q922" s="5">
        <v>12.348307999999999</v>
      </c>
      <c r="R922" s="8">
        <f t="shared" si="82"/>
        <v>0</v>
      </c>
      <c r="S922" s="9">
        <f t="shared" si="83"/>
        <v>0</v>
      </c>
      <c r="T922" s="9">
        <v>1.5</v>
      </c>
      <c r="U922" s="9">
        <f t="shared" si="84"/>
        <v>0</v>
      </c>
      <c r="V922" s="9">
        <f t="shared" si="85"/>
        <v>0</v>
      </c>
      <c r="W922" s="9">
        <f t="shared" si="86"/>
        <v>12.348307999999999</v>
      </c>
    </row>
    <row r="923" spans="1:23">
      <c r="A923" s="2" t="s">
        <v>335</v>
      </c>
      <c r="B923" s="2" t="s">
        <v>425</v>
      </c>
      <c r="C923" s="3">
        <v>161</v>
      </c>
      <c r="D923" s="3">
        <v>2.36</v>
      </c>
      <c r="E923" s="2" t="s">
        <v>439</v>
      </c>
      <c r="F923" s="4">
        <v>41687</v>
      </c>
      <c r="G923" s="3">
        <v>61.2</v>
      </c>
      <c r="H923" s="6"/>
      <c r="I923" s="4">
        <v>41703</v>
      </c>
      <c r="J923" s="3">
        <v>67.2</v>
      </c>
      <c r="K923" s="6"/>
      <c r="L923" s="3">
        <v>16</v>
      </c>
      <c r="M923" s="5">
        <v>6</v>
      </c>
      <c r="N923" s="6"/>
      <c r="O923" s="5">
        <v>37.76</v>
      </c>
      <c r="P923" s="5">
        <v>375</v>
      </c>
      <c r="Q923" s="5">
        <v>31.343077999999998</v>
      </c>
      <c r="R923" s="8">
        <f t="shared" si="82"/>
        <v>16</v>
      </c>
      <c r="S923" s="9">
        <f t="shared" si="83"/>
        <v>6</v>
      </c>
      <c r="T923" s="9">
        <v>1.5</v>
      </c>
      <c r="U923" s="9">
        <f t="shared" si="84"/>
        <v>37.76</v>
      </c>
      <c r="V923" s="9">
        <f t="shared" si="85"/>
        <v>375</v>
      </c>
      <c r="W923" s="9">
        <f t="shared" si="86"/>
        <v>31.343077999999998</v>
      </c>
    </row>
    <row r="924" spans="1:23">
      <c r="A924" s="2" t="s">
        <v>335</v>
      </c>
      <c r="B924" s="2" t="s">
        <v>425</v>
      </c>
      <c r="C924" s="3">
        <v>161</v>
      </c>
      <c r="D924" s="3">
        <v>2.36</v>
      </c>
      <c r="E924" s="2" t="s">
        <v>439</v>
      </c>
      <c r="F924" s="4">
        <v>41687</v>
      </c>
      <c r="G924" s="3">
        <v>61.2</v>
      </c>
      <c r="H924" s="6"/>
      <c r="I924" s="4">
        <v>41716</v>
      </c>
      <c r="J924" s="3">
        <v>70</v>
      </c>
      <c r="K924" s="6"/>
      <c r="L924" s="3">
        <v>29</v>
      </c>
      <c r="M924" s="5">
        <v>8.7999999999999972</v>
      </c>
      <c r="N924" s="6"/>
      <c r="O924" s="5">
        <v>68.44</v>
      </c>
      <c r="P924" s="5">
        <v>303.44827586206884</v>
      </c>
      <c r="Q924" s="5">
        <v>28.052303999999992</v>
      </c>
      <c r="R924" s="8">
        <f t="shared" si="82"/>
        <v>13</v>
      </c>
      <c r="S924" s="9">
        <f t="shared" si="83"/>
        <v>2.7999999999999972</v>
      </c>
      <c r="T924" s="9">
        <v>1.5</v>
      </c>
      <c r="U924" s="9">
        <f t="shared" si="84"/>
        <v>30.68</v>
      </c>
      <c r="V924" s="9">
        <f t="shared" si="85"/>
        <v>215.38461538461519</v>
      </c>
      <c r="W924" s="9">
        <f t="shared" si="86"/>
        <v>23.710765538461526</v>
      </c>
    </row>
    <row r="925" spans="1:23">
      <c r="A925" s="2" t="s">
        <v>335</v>
      </c>
      <c r="B925" s="2" t="s">
        <v>425</v>
      </c>
      <c r="C925" s="3">
        <v>161</v>
      </c>
      <c r="D925" s="3">
        <v>2.36</v>
      </c>
      <c r="E925" s="2" t="s">
        <v>439</v>
      </c>
      <c r="F925" s="4">
        <v>41687</v>
      </c>
      <c r="G925" s="3">
        <v>61.2</v>
      </c>
      <c r="H925" s="6"/>
      <c r="I925" s="4">
        <v>41731</v>
      </c>
      <c r="J925" s="3">
        <v>69.400000000000006</v>
      </c>
      <c r="K925" s="6"/>
      <c r="L925" s="3">
        <v>44</v>
      </c>
      <c r="M925" s="5">
        <v>8.2000000000000028</v>
      </c>
      <c r="N925" s="6"/>
      <c r="O925" s="5">
        <v>103.83999999999999</v>
      </c>
      <c r="P925" s="5">
        <v>186.36363636363643</v>
      </c>
      <c r="Q925" s="5">
        <v>22.229304272727276</v>
      </c>
      <c r="R925" s="8">
        <f t="shared" si="82"/>
        <v>15</v>
      </c>
      <c r="S925" s="9">
        <f t="shared" si="83"/>
        <v>-0.59999999999999432</v>
      </c>
      <c r="T925" s="9">
        <v>1.5</v>
      </c>
      <c r="U925" s="9">
        <f t="shared" si="84"/>
        <v>35.4</v>
      </c>
      <c r="V925" s="9">
        <f t="shared" si="85"/>
        <v>-39.999999999999616</v>
      </c>
      <c r="W925" s="9">
        <f t="shared" si="86"/>
        <v>11.06957700000002</v>
      </c>
    </row>
    <row r="926" spans="1:23">
      <c r="A926" s="2" t="s">
        <v>335</v>
      </c>
      <c r="B926" s="2" t="s">
        <v>425</v>
      </c>
      <c r="C926" s="3">
        <v>161</v>
      </c>
      <c r="D926" s="3">
        <v>2.36</v>
      </c>
      <c r="E926" s="2" t="s">
        <v>440</v>
      </c>
      <c r="F926" s="4">
        <v>41687</v>
      </c>
      <c r="G926" s="3">
        <v>51</v>
      </c>
      <c r="H926" s="6"/>
      <c r="I926" s="4">
        <v>41687</v>
      </c>
      <c r="J926" s="3">
        <v>51</v>
      </c>
      <c r="K926" s="6"/>
      <c r="L926" s="3">
        <v>0</v>
      </c>
      <c r="M926" s="5">
        <v>0</v>
      </c>
      <c r="N926" s="6"/>
      <c r="O926" s="5">
        <v>0</v>
      </c>
      <c r="P926" s="5">
        <v>0</v>
      </c>
      <c r="Q926" s="5">
        <v>10.62359</v>
      </c>
      <c r="R926" s="8">
        <f t="shared" si="82"/>
        <v>0</v>
      </c>
      <c r="S926" s="9">
        <f t="shared" si="83"/>
        <v>0</v>
      </c>
      <c r="T926" s="9">
        <v>1.5</v>
      </c>
      <c r="U926" s="9">
        <f t="shared" si="84"/>
        <v>0</v>
      </c>
      <c r="V926" s="9">
        <f t="shared" si="85"/>
        <v>0</v>
      </c>
      <c r="W926" s="9">
        <f t="shared" si="86"/>
        <v>10.62359</v>
      </c>
    </row>
    <row r="927" spans="1:23">
      <c r="A927" s="2" t="s">
        <v>335</v>
      </c>
      <c r="B927" s="2" t="s">
        <v>425</v>
      </c>
      <c r="C927" s="3">
        <v>161</v>
      </c>
      <c r="D927" s="3">
        <v>2.36</v>
      </c>
      <c r="E927" s="2" t="s">
        <v>440</v>
      </c>
      <c r="F927" s="4">
        <v>41687</v>
      </c>
      <c r="G927" s="3">
        <v>51</v>
      </c>
      <c r="H927" s="6"/>
      <c r="I927" s="4">
        <v>41703</v>
      </c>
      <c r="J927" s="3">
        <v>53</v>
      </c>
      <c r="K927" s="6"/>
      <c r="L927" s="3">
        <v>16</v>
      </c>
      <c r="M927" s="5">
        <v>2</v>
      </c>
      <c r="N927" s="6"/>
      <c r="O927" s="5">
        <v>37.76</v>
      </c>
      <c r="P927" s="5">
        <v>125</v>
      </c>
      <c r="Q927" s="5">
        <v>16.955179999999999</v>
      </c>
      <c r="R927" s="8">
        <f t="shared" si="82"/>
        <v>16</v>
      </c>
      <c r="S927" s="9">
        <f t="shared" si="83"/>
        <v>2</v>
      </c>
      <c r="T927" s="9">
        <v>1.5</v>
      </c>
      <c r="U927" s="9">
        <f t="shared" si="84"/>
        <v>37.76</v>
      </c>
      <c r="V927" s="9">
        <f t="shared" si="85"/>
        <v>125</v>
      </c>
      <c r="W927" s="9">
        <f t="shared" si="86"/>
        <v>16.955179999999999</v>
      </c>
    </row>
    <row r="928" spans="1:23">
      <c r="A928" s="2" t="s">
        <v>335</v>
      </c>
      <c r="B928" s="2" t="s">
        <v>425</v>
      </c>
      <c r="C928" s="3">
        <v>161</v>
      </c>
      <c r="D928" s="3">
        <v>2.36</v>
      </c>
      <c r="E928" s="2" t="s">
        <v>440</v>
      </c>
      <c r="F928" s="4">
        <v>41687</v>
      </c>
      <c r="G928" s="3">
        <v>51</v>
      </c>
      <c r="H928" s="6"/>
      <c r="I928" s="4">
        <v>41716</v>
      </c>
      <c r="J928" s="3">
        <v>54</v>
      </c>
      <c r="K928" s="6"/>
      <c r="L928" s="3">
        <v>29</v>
      </c>
      <c r="M928" s="5">
        <v>3</v>
      </c>
      <c r="N928" s="6"/>
      <c r="O928" s="5">
        <v>68.44</v>
      </c>
      <c r="P928" s="5">
        <v>103.44827586206897</v>
      </c>
      <c r="Q928" s="5">
        <v>15.977224999999999</v>
      </c>
      <c r="R928" s="8">
        <f t="shared" si="82"/>
        <v>13</v>
      </c>
      <c r="S928" s="9">
        <f t="shared" si="83"/>
        <v>1</v>
      </c>
      <c r="T928" s="9">
        <v>1.5</v>
      </c>
      <c r="U928" s="9">
        <f t="shared" si="84"/>
        <v>30.68</v>
      </c>
      <c r="V928" s="9">
        <f t="shared" si="85"/>
        <v>76.923076923076934</v>
      </c>
      <c r="W928" s="9">
        <f t="shared" si="86"/>
        <v>14.669532692307691</v>
      </c>
    </row>
    <row r="929" spans="1:23">
      <c r="A929" s="2" t="s">
        <v>335</v>
      </c>
      <c r="B929" s="2" t="s">
        <v>425</v>
      </c>
      <c r="C929" s="3">
        <v>161</v>
      </c>
      <c r="D929" s="3">
        <v>2.36</v>
      </c>
      <c r="E929" s="2" t="s">
        <v>440</v>
      </c>
      <c r="F929" s="4">
        <v>41687</v>
      </c>
      <c r="G929" s="3">
        <v>51</v>
      </c>
      <c r="H929" s="6"/>
      <c r="I929" s="4">
        <v>41731</v>
      </c>
      <c r="J929" s="3">
        <v>51</v>
      </c>
      <c r="K929" s="6"/>
      <c r="L929" s="3">
        <v>44</v>
      </c>
      <c r="M929" s="5">
        <v>0</v>
      </c>
      <c r="N929" s="6"/>
      <c r="O929" s="5">
        <v>103.83999999999999</v>
      </c>
      <c r="P929" s="5">
        <v>0</v>
      </c>
      <c r="Q929" s="5">
        <v>10.62359</v>
      </c>
      <c r="R929" s="8">
        <f t="shared" si="82"/>
        <v>15</v>
      </c>
      <c r="S929" s="9">
        <f t="shared" si="83"/>
        <v>-3</v>
      </c>
      <c r="T929" s="9">
        <v>1.5</v>
      </c>
      <c r="U929" s="9">
        <f t="shared" si="84"/>
        <v>35.4</v>
      </c>
      <c r="V929" s="9">
        <f t="shared" si="85"/>
        <v>-200</v>
      </c>
      <c r="W929" s="9">
        <f t="shared" si="86"/>
        <v>0.76359000000000066</v>
      </c>
    </row>
    <row r="930" spans="1:23">
      <c r="A930" s="2" t="s">
        <v>335</v>
      </c>
      <c r="B930" s="2" t="s">
        <v>425</v>
      </c>
      <c r="C930" s="3">
        <v>161</v>
      </c>
      <c r="D930" s="3">
        <v>2.36</v>
      </c>
      <c r="E930" s="2" t="s">
        <v>441</v>
      </c>
      <c r="F930" s="4">
        <v>41687</v>
      </c>
      <c r="G930" s="3">
        <v>51.4</v>
      </c>
      <c r="H930" s="6"/>
      <c r="I930" s="4">
        <v>41687</v>
      </c>
      <c r="J930" s="3">
        <v>51.4</v>
      </c>
      <c r="K930" s="6"/>
      <c r="L930" s="3">
        <v>0</v>
      </c>
      <c r="M930" s="5">
        <v>0</v>
      </c>
      <c r="N930" s="6"/>
      <c r="O930" s="5">
        <v>0</v>
      </c>
      <c r="P930" s="5">
        <v>0</v>
      </c>
      <c r="Q930" s="5">
        <v>10.691225999999999</v>
      </c>
      <c r="R930" s="8">
        <f t="shared" si="82"/>
        <v>0</v>
      </c>
      <c r="S930" s="9">
        <f t="shared" si="83"/>
        <v>0</v>
      </c>
      <c r="T930" s="9">
        <v>1.5</v>
      </c>
      <c r="U930" s="9">
        <f t="shared" si="84"/>
        <v>0</v>
      </c>
      <c r="V930" s="9">
        <f t="shared" si="85"/>
        <v>0</v>
      </c>
      <c r="W930" s="9">
        <f t="shared" si="86"/>
        <v>10.691225999999999</v>
      </c>
    </row>
    <row r="931" spans="1:23">
      <c r="A931" s="2" t="s">
        <v>335</v>
      </c>
      <c r="B931" s="2" t="s">
        <v>425</v>
      </c>
      <c r="C931" s="3">
        <v>161</v>
      </c>
      <c r="D931" s="3">
        <v>2.36</v>
      </c>
      <c r="E931" s="2" t="s">
        <v>441</v>
      </c>
      <c r="F931" s="4">
        <v>41687</v>
      </c>
      <c r="G931" s="3">
        <v>51.4</v>
      </c>
      <c r="H931" s="6"/>
      <c r="I931" s="4">
        <v>41703</v>
      </c>
      <c r="J931" s="3">
        <v>55.6</v>
      </c>
      <c r="K931" s="6"/>
      <c r="L931" s="3">
        <v>16</v>
      </c>
      <c r="M931" s="5">
        <v>4.2000000000000028</v>
      </c>
      <c r="N931" s="6"/>
      <c r="O931" s="5">
        <v>37.76</v>
      </c>
      <c r="P931" s="5">
        <v>262.50000000000017</v>
      </c>
      <c r="Q931" s="5">
        <v>23.987565000000007</v>
      </c>
      <c r="R931" s="8">
        <f t="shared" si="82"/>
        <v>16</v>
      </c>
      <c r="S931" s="9">
        <f t="shared" si="83"/>
        <v>4.2000000000000028</v>
      </c>
      <c r="T931" s="9">
        <v>1.5</v>
      </c>
      <c r="U931" s="9">
        <f t="shared" si="84"/>
        <v>37.76</v>
      </c>
      <c r="V931" s="9">
        <f t="shared" si="85"/>
        <v>262.50000000000017</v>
      </c>
      <c r="W931" s="9">
        <f t="shared" si="86"/>
        <v>23.987565000000007</v>
      </c>
    </row>
    <row r="932" spans="1:23">
      <c r="A932" s="2" t="s">
        <v>335</v>
      </c>
      <c r="B932" s="2" t="s">
        <v>425</v>
      </c>
      <c r="C932" s="3">
        <v>161</v>
      </c>
      <c r="D932" s="3">
        <v>2.36</v>
      </c>
      <c r="E932" s="2" t="s">
        <v>441</v>
      </c>
      <c r="F932" s="4">
        <v>41687</v>
      </c>
      <c r="G932" s="3">
        <v>51.4</v>
      </c>
      <c r="H932" s="6"/>
      <c r="I932" s="4">
        <v>41716</v>
      </c>
      <c r="J932" s="3">
        <v>55</v>
      </c>
      <c r="K932" s="6"/>
      <c r="L932" s="3">
        <v>29</v>
      </c>
      <c r="M932" s="5">
        <v>3.6000000000000014</v>
      </c>
      <c r="N932" s="6"/>
      <c r="O932" s="5">
        <v>68.44</v>
      </c>
      <c r="P932" s="5">
        <v>124.13793103448282</v>
      </c>
      <c r="Q932" s="5">
        <v>17.115588000000002</v>
      </c>
      <c r="R932" s="8">
        <f t="shared" si="82"/>
        <v>13</v>
      </c>
      <c r="S932" s="9">
        <f t="shared" si="83"/>
        <v>-0.60000000000000142</v>
      </c>
      <c r="T932" s="9">
        <v>1.5</v>
      </c>
      <c r="U932" s="9">
        <f t="shared" si="84"/>
        <v>30.68</v>
      </c>
      <c r="V932" s="9">
        <f t="shared" si="85"/>
        <v>-46.15384615384626</v>
      </c>
      <c r="W932" s="9">
        <f t="shared" si="86"/>
        <v>8.7202033846153792</v>
      </c>
    </row>
    <row r="933" spans="1:23">
      <c r="A933" s="2" t="s">
        <v>335</v>
      </c>
      <c r="B933" s="2" t="s">
        <v>425</v>
      </c>
      <c r="C933" s="3">
        <v>161</v>
      </c>
      <c r="D933" s="3">
        <v>2.36</v>
      </c>
      <c r="E933" s="2" t="s">
        <v>441</v>
      </c>
      <c r="F933" s="4">
        <v>41687</v>
      </c>
      <c r="G933" s="3">
        <v>51.4</v>
      </c>
      <c r="H933" s="6"/>
      <c r="I933" s="4">
        <v>41731</v>
      </c>
      <c r="J933" s="3">
        <v>55.6</v>
      </c>
      <c r="K933" s="6"/>
      <c r="L933" s="3">
        <v>44</v>
      </c>
      <c r="M933" s="5">
        <v>4.2000000000000028</v>
      </c>
      <c r="N933" s="6"/>
      <c r="O933" s="5">
        <v>103.83999999999999</v>
      </c>
      <c r="P933" s="5">
        <v>95.45454545454551</v>
      </c>
      <c r="Q933" s="5">
        <v>15.752224090909094</v>
      </c>
      <c r="R933" s="8">
        <f t="shared" si="82"/>
        <v>15</v>
      </c>
      <c r="S933" s="9">
        <f t="shared" si="83"/>
        <v>0.60000000000000142</v>
      </c>
      <c r="T933" s="9">
        <v>1.5</v>
      </c>
      <c r="U933" s="9">
        <f t="shared" si="84"/>
        <v>35.4</v>
      </c>
      <c r="V933" s="9">
        <f t="shared" si="85"/>
        <v>40.000000000000099</v>
      </c>
      <c r="W933" s="9">
        <f t="shared" si="86"/>
        <v>13.018315000000005</v>
      </c>
    </row>
    <row r="934" spans="1:23">
      <c r="A934" s="2" t="s">
        <v>335</v>
      </c>
      <c r="B934" s="2" t="s">
        <v>425</v>
      </c>
      <c r="C934" s="3">
        <v>161</v>
      </c>
      <c r="D934" s="3">
        <v>2.36</v>
      </c>
      <c r="E934" s="2" t="s">
        <v>442</v>
      </c>
      <c r="F934" s="4">
        <v>41687</v>
      </c>
      <c r="G934" s="3">
        <v>54.2</v>
      </c>
      <c r="H934" s="6"/>
      <c r="I934" s="4">
        <v>41687</v>
      </c>
      <c r="J934" s="3">
        <v>54.2</v>
      </c>
      <c r="K934" s="6"/>
      <c r="L934" s="3">
        <v>0</v>
      </c>
      <c r="M934" s="5">
        <v>0</v>
      </c>
      <c r="N934" s="6"/>
      <c r="O934" s="5">
        <v>0</v>
      </c>
      <c r="P934" s="5">
        <v>0</v>
      </c>
      <c r="Q934" s="5">
        <v>11.164678</v>
      </c>
      <c r="R934" s="8">
        <f t="shared" si="82"/>
        <v>0</v>
      </c>
      <c r="S934" s="9">
        <f t="shared" si="83"/>
        <v>0</v>
      </c>
      <c r="T934" s="9">
        <v>1.5</v>
      </c>
      <c r="U934" s="9">
        <f t="shared" si="84"/>
        <v>0</v>
      </c>
      <c r="V934" s="9">
        <f t="shared" si="85"/>
        <v>0</v>
      </c>
      <c r="W934" s="9">
        <f t="shared" si="86"/>
        <v>11.164678</v>
      </c>
    </row>
    <row r="935" spans="1:23">
      <c r="A935" s="2" t="s">
        <v>335</v>
      </c>
      <c r="B935" s="2" t="s">
        <v>425</v>
      </c>
      <c r="C935" s="3">
        <v>161</v>
      </c>
      <c r="D935" s="3">
        <v>2.36</v>
      </c>
      <c r="E935" s="2" t="s">
        <v>442</v>
      </c>
      <c r="F935" s="4">
        <v>41687</v>
      </c>
      <c r="G935" s="3">
        <v>54.2</v>
      </c>
      <c r="H935" s="6"/>
      <c r="I935" s="4">
        <v>41703</v>
      </c>
      <c r="J935" s="3">
        <v>60</v>
      </c>
      <c r="K935" s="6"/>
      <c r="L935" s="3">
        <v>16</v>
      </c>
      <c r="M935" s="5">
        <v>5.7999999999999972</v>
      </c>
      <c r="N935" s="6"/>
      <c r="O935" s="5">
        <v>37.76</v>
      </c>
      <c r="P935" s="5">
        <v>362.49999999999983</v>
      </c>
      <c r="Q935" s="5">
        <v>29.526288999999991</v>
      </c>
      <c r="R935" s="8">
        <f t="shared" si="82"/>
        <v>16</v>
      </c>
      <c r="S935" s="9">
        <f t="shared" si="83"/>
        <v>5.7999999999999972</v>
      </c>
      <c r="T935" s="9">
        <v>1.5</v>
      </c>
      <c r="U935" s="9">
        <f t="shared" si="84"/>
        <v>37.76</v>
      </c>
      <c r="V935" s="9">
        <f t="shared" si="85"/>
        <v>362.49999999999983</v>
      </c>
      <c r="W935" s="9">
        <f t="shared" si="86"/>
        <v>29.526288999999991</v>
      </c>
    </row>
    <row r="936" spans="1:23">
      <c r="A936" s="2" t="s">
        <v>335</v>
      </c>
      <c r="B936" s="2" t="s">
        <v>425</v>
      </c>
      <c r="C936" s="3">
        <v>161</v>
      </c>
      <c r="D936" s="3">
        <v>2.36</v>
      </c>
      <c r="E936" s="2" t="s">
        <v>442</v>
      </c>
      <c r="F936" s="4">
        <v>41687</v>
      </c>
      <c r="G936" s="3">
        <v>54.2</v>
      </c>
      <c r="H936" s="6"/>
      <c r="I936" s="4">
        <v>41716</v>
      </c>
      <c r="J936" s="3">
        <v>59.5</v>
      </c>
      <c r="K936" s="6"/>
      <c r="L936" s="3">
        <v>29</v>
      </c>
      <c r="M936" s="5">
        <v>5.2999999999999972</v>
      </c>
      <c r="N936" s="6"/>
      <c r="O936" s="5">
        <v>68.44</v>
      </c>
      <c r="P936" s="5">
        <v>182.75862068965506</v>
      </c>
      <c r="Q936" s="5">
        <v>20.622766499999994</v>
      </c>
      <c r="R936" s="8">
        <f t="shared" si="82"/>
        <v>13</v>
      </c>
      <c r="S936" s="9">
        <f t="shared" si="83"/>
        <v>-0.5</v>
      </c>
      <c r="T936" s="9">
        <v>1.5</v>
      </c>
      <c r="U936" s="9">
        <f t="shared" si="84"/>
        <v>30.68</v>
      </c>
      <c r="V936" s="9">
        <f t="shared" si="85"/>
        <v>-38.461538461538467</v>
      </c>
      <c r="W936" s="9">
        <f t="shared" si="86"/>
        <v>9.7166126538461537</v>
      </c>
    </row>
    <row r="937" spans="1:23">
      <c r="A937" s="2" t="s">
        <v>335</v>
      </c>
      <c r="B937" s="2" t="s">
        <v>425</v>
      </c>
      <c r="C937" s="3">
        <v>161</v>
      </c>
      <c r="D937" s="3">
        <v>2.36</v>
      </c>
      <c r="E937" s="2" t="s">
        <v>442</v>
      </c>
      <c r="F937" s="4">
        <v>41687</v>
      </c>
      <c r="G937" s="3">
        <v>54.2</v>
      </c>
      <c r="H937" s="6"/>
      <c r="I937" s="4">
        <v>41731</v>
      </c>
      <c r="J937" s="3">
        <v>58.8</v>
      </c>
      <c r="K937" s="6"/>
      <c r="L937" s="3">
        <v>44</v>
      </c>
      <c r="M937" s="5">
        <v>4.5999999999999943</v>
      </c>
      <c r="N937" s="6"/>
      <c r="O937" s="5">
        <v>103.83999999999999</v>
      </c>
      <c r="P937" s="5">
        <v>104.54545454545442</v>
      </c>
      <c r="Q937" s="5">
        <v>16.707675909090902</v>
      </c>
      <c r="R937" s="8">
        <f t="shared" si="82"/>
        <v>15</v>
      </c>
      <c r="S937" s="9">
        <f t="shared" si="83"/>
        <v>-0.70000000000000284</v>
      </c>
      <c r="T937" s="9">
        <v>1.5</v>
      </c>
      <c r="U937" s="9">
        <f t="shared" si="84"/>
        <v>35.4</v>
      </c>
      <c r="V937" s="9">
        <f t="shared" si="85"/>
        <v>-46.666666666666856</v>
      </c>
      <c r="W937" s="9">
        <f t="shared" si="86"/>
        <v>9.2529183333333247</v>
      </c>
    </row>
    <row r="938" spans="1:23">
      <c r="A938" s="2" t="s">
        <v>335</v>
      </c>
      <c r="B938" s="2" t="s">
        <v>425</v>
      </c>
      <c r="C938" s="3">
        <v>161</v>
      </c>
      <c r="D938" s="3">
        <v>2.36</v>
      </c>
      <c r="E938" s="2" t="s">
        <v>443</v>
      </c>
      <c r="F938" s="4">
        <v>41687</v>
      </c>
      <c r="G938" s="3">
        <v>56</v>
      </c>
      <c r="H938" s="6"/>
      <c r="I938" s="4">
        <v>41687</v>
      </c>
      <c r="J938" s="3">
        <v>56</v>
      </c>
      <c r="K938" s="6"/>
      <c r="L938" s="3">
        <v>0</v>
      </c>
      <c r="M938" s="5">
        <v>0</v>
      </c>
      <c r="N938" s="6"/>
      <c r="O938" s="5">
        <v>0</v>
      </c>
      <c r="P938" s="5">
        <v>0</v>
      </c>
      <c r="Q938" s="5">
        <v>11.46904</v>
      </c>
      <c r="R938" s="8">
        <f t="shared" si="82"/>
        <v>0</v>
      </c>
      <c r="S938" s="9">
        <f t="shared" si="83"/>
        <v>0</v>
      </c>
      <c r="T938" s="9">
        <v>1.5</v>
      </c>
      <c r="U938" s="9">
        <f t="shared" si="84"/>
        <v>0</v>
      </c>
      <c r="V938" s="9">
        <f t="shared" si="85"/>
        <v>0</v>
      </c>
      <c r="W938" s="9">
        <f t="shared" si="86"/>
        <v>11.46904</v>
      </c>
    </row>
    <row r="939" spans="1:23">
      <c r="A939" s="2" t="s">
        <v>335</v>
      </c>
      <c r="B939" s="2" t="s">
        <v>425</v>
      </c>
      <c r="C939" s="3">
        <v>161</v>
      </c>
      <c r="D939" s="3">
        <v>2.36</v>
      </c>
      <c r="E939" s="2" t="s">
        <v>443</v>
      </c>
      <c r="F939" s="4">
        <v>41687</v>
      </c>
      <c r="G939" s="3">
        <v>56</v>
      </c>
      <c r="H939" s="6"/>
      <c r="I939" s="4">
        <v>41703</v>
      </c>
      <c r="J939" s="3">
        <v>60</v>
      </c>
      <c r="K939" s="6"/>
      <c r="L939" s="3">
        <v>16</v>
      </c>
      <c r="M939" s="5">
        <v>4</v>
      </c>
      <c r="N939" s="6"/>
      <c r="O939" s="5">
        <v>37.76</v>
      </c>
      <c r="P939" s="5">
        <v>250</v>
      </c>
      <c r="Q939" s="5">
        <v>24.132219999999997</v>
      </c>
      <c r="R939" s="8">
        <f t="shared" si="82"/>
        <v>16</v>
      </c>
      <c r="S939" s="9">
        <f t="shared" si="83"/>
        <v>4</v>
      </c>
      <c r="T939" s="9">
        <v>1.5</v>
      </c>
      <c r="U939" s="9">
        <f t="shared" si="84"/>
        <v>37.76</v>
      </c>
      <c r="V939" s="9">
        <f t="shared" si="85"/>
        <v>250</v>
      </c>
      <c r="W939" s="9">
        <f t="shared" si="86"/>
        <v>24.132219999999997</v>
      </c>
    </row>
    <row r="940" spans="1:23">
      <c r="A940" s="2" t="s">
        <v>335</v>
      </c>
      <c r="B940" s="2" t="s">
        <v>425</v>
      </c>
      <c r="C940" s="3">
        <v>161</v>
      </c>
      <c r="D940" s="3">
        <v>2.36</v>
      </c>
      <c r="E940" s="2" t="s">
        <v>443</v>
      </c>
      <c r="F940" s="4">
        <v>41687</v>
      </c>
      <c r="G940" s="3">
        <v>56</v>
      </c>
      <c r="H940" s="6"/>
      <c r="I940" s="4">
        <v>41716</v>
      </c>
      <c r="J940" s="3">
        <v>60</v>
      </c>
      <c r="K940" s="6"/>
      <c r="L940" s="3">
        <v>29</v>
      </c>
      <c r="M940" s="5">
        <v>4</v>
      </c>
      <c r="N940" s="6"/>
      <c r="O940" s="5">
        <v>68.44</v>
      </c>
      <c r="P940" s="5">
        <v>137.93103448275861</v>
      </c>
      <c r="Q940" s="5">
        <v>18.607219999999998</v>
      </c>
      <c r="R940" s="8">
        <f t="shared" si="82"/>
        <v>13</v>
      </c>
      <c r="S940" s="9">
        <f t="shared" si="83"/>
        <v>0</v>
      </c>
      <c r="T940" s="9">
        <v>1.5</v>
      </c>
      <c r="U940" s="9">
        <f t="shared" si="84"/>
        <v>30.68</v>
      </c>
      <c r="V940" s="9">
        <f t="shared" si="85"/>
        <v>0</v>
      </c>
      <c r="W940" s="9">
        <f t="shared" si="86"/>
        <v>11.807219999999999</v>
      </c>
    </row>
    <row r="941" spans="1:23">
      <c r="A941" s="2" t="s">
        <v>335</v>
      </c>
      <c r="B941" s="2" t="s">
        <v>425</v>
      </c>
      <c r="C941" s="3">
        <v>161</v>
      </c>
      <c r="D941" s="3">
        <v>2.36</v>
      </c>
      <c r="E941" s="2" t="s">
        <v>443</v>
      </c>
      <c r="F941" s="4">
        <v>41687</v>
      </c>
      <c r="G941" s="3">
        <v>56</v>
      </c>
      <c r="H941" s="6"/>
      <c r="I941" s="4">
        <v>41731</v>
      </c>
      <c r="J941" s="3">
        <v>63.2</v>
      </c>
      <c r="K941" s="6"/>
      <c r="L941" s="3">
        <v>44</v>
      </c>
      <c r="M941" s="5">
        <v>7.2000000000000028</v>
      </c>
      <c r="N941" s="6"/>
      <c r="O941" s="5">
        <v>103.83999999999999</v>
      </c>
      <c r="P941" s="5">
        <v>163.63636363636368</v>
      </c>
      <c r="Q941" s="5">
        <v>20.145036727272732</v>
      </c>
      <c r="R941" s="8">
        <f t="shared" si="82"/>
        <v>15</v>
      </c>
      <c r="S941" s="9">
        <f t="shared" si="83"/>
        <v>3.2000000000000028</v>
      </c>
      <c r="T941" s="9">
        <v>1.5</v>
      </c>
      <c r="U941" s="9">
        <f t="shared" si="84"/>
        <v>35.4</v>
      </c>
      <c r="V941" s="9">
        <f t="shared" si="85"/>
        <v>213.33333333333351</v>
      </c>
      <c r="W941" s="9">
        <f t="shared" si="86"/>
        <v>22.595097333333342</v>
      </c>
    </row>
    <row r="942" spans="1:23">
      <c r="A942" s="2" t="s">
        <v>335</v>
      </c>
      <c r="B942" s="2" t="s">
        <v>425</v>
      </c>
      <c r="C942" s="3">
        <v>161</v>
      </c>
      <c r="D942" s="3">
        <v>2.36</v>
      </c>
      <c r="E942" s="2" t="s">
        <v>444</v>
      </c>
      <c r="F942" s="4">
        <v>41687</v>
      </c>
      <c r="G942" s="3">
        <v>63.2</v>
      </c>
      <c r="H942" s="6"/>
      <c r="I942" s="4">
        <v>41687</v>
      </c>
      <c r="J942" s="3">
        <v>63.2</v>
      </c>
      <c r="K942" s="6"/>
      <c r="L942" s="3">
        <v>0</v>
      </c>
      <c r="M942" s="5">
        <v>0</v>
      </c>
      <c r="N942" s="6"/>
      <c r="O942" s="5">
        <v>0</v>
      </c>
      <c r="P942" s="5">
        <v>0</v>
      </c>
      <c r="Q942" s="5">
        <v>12.686488000000001</v>
      </c>
      <c r="R942" s="8">
        <f t="shared" si="82"/>
        <v>0</v>
      </c>
      <c r="S942" s="9">
        <f t="shared" si="83"/>
        <v>0</v>
      </c>
      <c r="T942" s="9">
        <v>1.5</v>
      </c>
      <c r="U942" s="9">
        <f t="shared" si="84"/>
        <v>0</v>
      </c>
      <c r="V942" s="9">
        <f t="shared" si="85"/>
        <v>0</v>
      </c>
      <c r="W942" s="9">
        <f t="shared" si="86"/>
        <v>12.686488000000001</v>
      </c>
    </row>
    <row r="943" spans="1:23">
      <c r="A943" s="2" t="s">
        <v>335</v>
      </c>
      <c r="B943" s="2" t="s">
        <v>425</v>
      </c>
      <c r="C943" s="3">
        <v>161</v>
      </c>
      <c r="D943" s="3">
        <v>2.36</v>
      </c>
      <c r="E943" s="2" t="s">
        <v>444</v>
      </c>
      <c r="F943" s="4">
        <v>41687</v>
      </c>
      <c r="G943" s="3">
        <v>63.2</v>
      </c>
      <c r="H943" s="6"/>
      <c r="I943" s="4">
        <v>41703</v>
      </c>
      <c r="J943" s="3">
        <v>69.2</v>
      </c>
      <c r="K943" s="6"/>
      <c r="L943" s="3">
        <v>16</v>
      </c>
      <c r="M943" s="5">
        <v>6</v>
      </c>
      <c r="N943" s="6"/>
      <c r="O943" s="5">
        <v>37.76</v>
      </c>
      <c r="P943" s="5">
        <v>375</v>
      </c>
      <c r="Q943" s="5">
        <v>31.681257999999996</v>
      </c>
      <c r="R943" s="8">
        <f t="shared" si="82"/>
        <v>16</v>
      </c>
      <c r="S943" s="9">
        <f t="shared" si="83"/>
        <v>6</v>
      </c>
      <c r="T943" s="9">
        <v>1.5</v>
      </c>
      <c r="U943" s="9">
        <f t="shared" si="84"/>
        <v>37.76</v>
      </c>
      <c r="V943" s="9">
        <f t="shared" si="85"/>
        <v>375</v>
      </c>
      <c r="W943" s="9">
        <f t="shared" si="86"/>
        <v>31.681257999999996</v>
      </c>
    </row>
    <row r="944" spans="1:23">
      <c r="A944" s="2" t="s">
        <v>335</v>
      </c>
      <c r="B944" s="2" t="s">
        <v>425</v>
      </c>
      <c r="C944" s="3">
        <v>161</v>
      </c>
      <c r="D944" s="3">
        <v>2.36</v>
      </c>
      <c r="E944" s="2" t="s">
        <v>444</v>
      </c>
      <c r="F944" s="4">
        <v>41687</v>
      </c>
      <c r="G944" s="3">
        <v>63.2</v>
      </c>
      <c r="H944" s="6"/>
      <c r="I944" s="4">
        <v>41716</v>
      </c>
      <c r="J944" s="3">
        <v>68</v>
      </c>
      <c r="K944" s="6"/>
      <c r="L944" s="3">
        <v>29</v>
      </c>
      <c r="M944" s="5">
        <v>4.7999999999999972</v>
      </c>
      <c r="N944" s="6"/>
      <c r="O944" s="5">
        <v>68.44</v>
      </c>
      <c r="P944" s="5">
        <v>165.51724137931026</v>
      </c>
      <c r="Q944" s="5">
        <v>21.252303999999995</v>
      </c>
      <c r="R944" s="8">
        <f t="shared" si="82"/>
        <v>13</v>
      </c>
      <c r="S944" s="9">
        <f t="shared" si="83"/>
        <v>-1.2000000000000028</v>
      </c>
      <c r="T944" s="9">
        <v>1.5</v>
      </c>
      <c r="U944" s="9">
        <f t="shared" si="84"/>
        <v>30.68</v>
      </c>
      <c r="V944" s="9">
        <f t="shared" si="85"/>
        <v>-92.30769230769252</v>
      </c>
      <c r="W944" s="9">
        <f t="shared" si="86"/>
        <v>8.5415347692307577</v>
      </c>
    </row>
    <row r="945" spans="1:23">
      <c r="A945" s="2" t="s">
        <v>335</v>
      </c>
      <c r="B945" s="2" t="s">
        <v>425</v>
      </c>
      <c r="C945" s="3">
        <v>161</v>
      </c>
      <c r="D945" s="3">
        <v>2.36</v>
      </c>
      <c r="E945" s="2" t="s">
        <v>444</v>
      </c>
      <c r="F945" s="4">
        <v>41687</v>
      </c>
      <c r="G945" s="3">
        <v>63.2</v>
      </c>
      <c r="H945" s="6"/>
      <c r="I945" s="4">
        <v>41731</v>
      </c>
      <c r="J945" s="3">
        <v>70.599999999999994</v>
      </c>
      <c r="K945" s="6"/>
      <c r="L945" s="3">
        <v>44</v>
      </c>
      <c r="M945" s="5">
        <v>7.3999999999999915</v>
      </c>
      <c r="N945" s="6"/>
      <c r="O945" s="5">
        <v>103.83999999999999</v>
      </c>
      <c r="P945" s="5">
        <v>168.18181818181799</v>
      </c>
      <c r="Q945" s="5">
        <v>21.603484636363625</v>
      </c>
      <c r="R945" s="8">
        <f t="shared" si="82"/>
        <v>15</v>
      </c>
      <c r="S945" s="9">
        <f t="shared" si="83"/>
        <v>2.5999999999999943</v>
      </c>
      <c r="T945" s="9">
        <v>1.5</v>
      </c>
      <c r="U945" s="9">
        <f t="shared" si="84"/>
        <v>35.4</v>
      </c>
      <c r="V945" s="9">
        <f t="shared" si="85"/>
        <v>173.33333333333294</v>
      </c>
      <c r="W945" s="9">
        <f t="shared" si="86"/>
        <v>21.857454333333315</v>
      </c>
    </row>
    <row r="946" spans="1:23">
      <c r="A946" s="2" t="s">
        <v>335</v>
      </c>
      <c r="B946" s="2" t="s">
        <v>425</v>
      </c>
      <c r="C946" s="3">
        <v>161</v>
      </c>
      <c r="D946" s="3">
        <v>2.36</v>
      </c>
      <c r="E946" s="2" t="s">
        <v>445</v>
      </c>
      <c r="F946" s="4">
        <v>41687</v>
      </c>
      <c r="G946" s="3">
        <v>55.6</v>
      </c>
      <c r="H946" s="6"/>
      <c r="I946" s="4">
        <v>41687</v>
      </c>
      <c r="J946" s="3">
        <v>55.6</v>
      </c>
      <c r="K946" s="6"/>
      <c r="L946" s="3">
        <v>0</v>
      </c>
      <c r="M946" s="5">
        <v>0</v>
      </c>
      <c r="N946" s="6"/>
      <c r="O946" s="5">
        <v>0</v>
      </c>
      <c r="P946" s="5">
        <v>0</v>
      </c>
      <c r="Q946" s="5">
        <v>11.401403999999999</v>
      </c>
      <c r="R946" s="8">
        <f t="shared" si="82"/>
        <v>0</v>
      </c>
      <c r="S946" s="9">
        <f t="shared" si="83"/>
        <v>0</v>
      </c>
      <c r="T946" s="9">
        <v>1.5</v>
      </c>
      <c r="U946" s="9">
        <f t="shared" si="84"/>
        <v>0</v>
      </c>
      <c r="V946" s="9">
        <f t="shared" si="85"/>
        <v>0</v>
      </c>
      <c r="W946" s="9">
        <f t="shared" si="86"/>
        <v>11.401403999999999</v>
      </c>
    </row>
    <row r="947" spans="1:23">
      <c r="A947" s="2" t="s">
        <v>335</v>
      </c>
      <c r="B947" s="2" t="s">
        <v>425</v>
      </c>
      <c r="C947" s="3">
        <v>161</v>
      </c>
      <c r="D947" s="3">
        <v>2.36</v>
      </c>
      <c r="E947" s="2" t="s">
        <v>445</v>
      </c>
      <c r="F947" s="4">
        <v>41687</v>
      </c>
      <c r="G947" s="3">
        <v>55.6</v>
      </c>
      <c r="H947" s="6"/>
      <c r="I947" s="4">
        <v>41703</v>
      </c>
      <c r="J947" s="3">
        <v>62</v>
      </c>
      <c r="K947" s="6"/>
      <c r="L947" s="3">
        <v>16</v>
      </c>
      <c r="M947" s="5">
        <v>6.3999999999999986</v>
      </c>
      <c r="N947" s="6"/>
      <c r="O947" s="5">
        <v>37.76</v>
      </c>
      <c r="P947" s="5">
        <v>399.99999999999989</v>
      </c>
      <c r="Q947" s="5">
        <v>31.662491999999993</v>
      </c>
      <c r="R947" s="8">
        <f t="shared" si="82"/>
        <v>16</v>
      </c>
      <c r="S947" s="9">
        <f t="shared" si="83"/>
        <v>6.3999999999999986</v>
      </c>
      <c r="T947" s="9">
        <v>1.5</v>
      </c>
      <c r="U947" s="9">
        <f t="shared" si="84"/>
        <v>37.76</v>
      </c>
      <c r="V947" s="9">
        <f t="shared" si="85"/>
        <v>399.99999999999989</v>
      </c>
      <c r="W947" s="9">
        <f t="shared" si="86"/>
        <v>31.662491999999993</v>
      </c>
    </row>
    <row r="948" spans="1:23">
      <c r="A948" s="2" t="s">
        <v>335</v>
      </c>
      <c r="B948" s="2" t="s">
        <v>425</v>
      </c>
      <c r="C948" s="3">
        <v>161</v>
      </c>
      <c r="D948" s="3">
        <v>2.36</v>
      </c>
      <c r="E948" s="2" t="s">
        <v>445</v>
      </c>
      <c r="F948" s="4">
        <v>41687</v>
      </c>
      <c r="G948" s="3">
        <v>55.6</v>
      </c>
      <c r="H948" s="6"/>
      <c r="I948" s="4">
        <v>41716</v>
      </c>
      <c r="J948" s="3">
        <v>61</v>
      </c>
      <c r="K948" s="6"/>
      <c r="L948" s="3">
        <v>29</v>
      </c>
      <c r="M948" s="5">
        <v>5.3999999999999986</v>
      </c>
      <c r="N948" s="6"/>
      <c r="O948" s="5">
        <v>68.44</v>
      </c>
      <c r="P948" s="5">
        <v>186.2068965517241</v>
      </c>
      <c r="Q948" s="5">
        <v>21.037946999999996</v>
      </c>
      <c r="R948" s="8">
        <f t="shared" si="82"/>
        <v>13</v>
      </c>
      <c r="S948" s="9">
        <f t="shared" si="83"/>
        <v>-1</v>
      </c>
      <c r="T948" s="9">
        <v>1.5</v>
      </c>
      <c r="U948" s="9">
        <f t="shared" si="84"/>
        <v>30.68</v>
      </c>
      <c r="V948" s="9">
        <f t="shared" si="85"/>
        <v>-76.923076923076934</v>
      </c>
      <c r="W948" s="9">
        <f t="shared" si="86"/>
        <v>8.0656393076923081</v>
      </c>
    </row>
    <row r="949" spans="1:23">
      <c r="A949" s="2" t="s">
        <v>335</v>
      </c>
      <c r="B949" s="2" t="s">
        <v>425</v>
      </c>
      <c r="C949" s="3">
        <v>161</v>
      </c>
      <c r="D949" s="3">
        <v>2.36</v>
      </c>
      <c r="E949" s="2" t="s">
        <v>445</v>
      </c>
      <c r="F949" s="4">
        <v>41687</v>
      </c>
      <c r="G949" s="3">
        <v>55.6</v>
      </c>
      <c r="H949" s="6"/>
      <c r="I949" s="4">
        <v>41731</v>
      </c>
      <c r="J949" s="3">
        <v>64</v>
      </c>
      <c r="K949" s="6"/>
      <c r="L949" s="3">
        <v>44</v>
      </c>
      <c r="M949" s="5">
        <v>8.3999999999999986</v>
      </c>
      <c r="N949" s="6"/>
      <c r="O949" s="5">
        <v>103.83999999999999</v>
      </c>
      <c r="P949" s="5">
        <v>190.90909090909088</v>
      </c>
      <c r="Q949" s="5">
        <v>21.523400181818179</v>
      </c>
      <c r="R949" s="8">
        <f t="shared" si="82"/>
        <v>15</v>
      </c>
      <c r="S949" s="9">
        <f t="shared" si="83"/>
        <v>3</v>
      </c>
      <c r="T949" s="9">
        <v>1.5</v>
      </c>
      <c r="U949" s="9">
        <f t="shared" si="84"/>
        <v>35.4</v>
      </c>
      <c r="V949" s="9">
        <f t="shared" si="85"/>
        <v>200</v>
      </c>
      <c r="W949" s="9">
        <f t="shared" si="86"/>
        <v>21.971581999999998</v>
      </c>
    </row>
    <row r="950" spans="1:23">
      <c r="A950" s="2" t="s">
        <v>335</v>
      </c>
      <c r="B950" s="2" t="s">
        <v>425</v>
      </c>
      <c r="C950" s="3">
        <v>161</v>
      </c>
      <c r="D950" s="3">
        <v>2.36</v>
      </c>
      <c r="E950" s="2" t="s">
        <v>446</v>
      </c>
      <c r="F950" s="4">
        <v>41687</v>
      </c>
      <c r="G950" s="3">
        <v>58.4</v>
      </c>
      <c r="H950" s="6"/>
      <c r="I950" s="4">
        <v>41687</v>
      </c>
      <c r="J950" s="3">
        <v>58.4</v>
      </c>
      <c r="K950" s="6"/>
      <c r="L950" s="3">
        <v>0</v>
      </c>
      <c r="M950" s="5">
        <v>0</v>
      </c>
      <c r="N950" s="6"/>
      <c r="O950" s="5">
        <v>0</v>
      </c>
      <c r="P950" s="5">
        <v>0</v>
      </c>
      <c r="Q950" s="5">
        <v>11.874855999999999</v>
      </c>
      <c r="R950" s="8">
        <f t="shared" si="82"/>
        <v>0</v>
      </c>
      <c r="S950" s="9">
        <f t="shared" si="83"/>
        <v>0</v>
      </c>
      <c r="T950" s="9">
        <v>1.5</v>
      </c>
      <c r="U950" s="9">
        <f t="shared" si="84"/>
        <v>0</v>
      </c>
      <c r="V950" s="9">
        <f t="shared" si="85"/>
        <v>0</v>
      </c>
      <c r="W950" s="9">
        <f t="shared" si="86"/>
        <v>11.874855999999999</v>
      </c>
    </row>
    <row r="951" spans="1:23">
      <c r="A951" s="2" t="s">
        <v>335</v>
      </c>
      <c r="B951" s="2" t="s">
        <v>425</v>
      </c>
      <c r="C951" s="3">
        <v>161</v>
      </c>
      <c r="D951" s="3">
        <v>2.36</v>
      </c>
      <c r="E951" s="2" t="s">
        <v>446</v>
      </c>
      <c r="F951" s="4">
        <v>41687</v>
      </c>
      <c r="G951" s="3">
        <v>58.4</v>
      </c>
      <c r="H951" s="6"/>
      <c r="I951" s="4">
        <v>41703</v>
      </c>
      <c r="J951" s="3">
        <v>62.6</v>
      </c>
      <c r="K951" s="6"/>
      <c r="L951" s="3">
        <v>16</v>
      </c>
      <c r="M951" s="5">
        <v>4.2000000000000028</v>
      </c>
      <c r="N951" s="6"/>
      <c r="O951" s="5">
        <v>37.76</v>
      </c>
      <c r="P951" s="5">
        <v>262.50000000000017</v>
      </c>
      <c r="Q951" s="5">
        <v>25.171195000000004</v>
      </c>
      <c r="R951" s="8">
        <f t="shared" si="82"/>
        <v>16</v>
      </c>
      <c r="S951" s="9">
        <f t="shared" si="83"/>
        <v>4.2000000000000028</v>
      </c>
      <c r="T951" s="9">
        <v>1.5</v>
      </c>
      <c r="U951" s="9">
        <f t="shared" si="84"/>
        <v>37.76</v>
      </c>
      <c r="V951" s="9">
        <f t="shared" si="85"/>
        <v>262.50000000000017</v>
      </c>
      <c r="W951" s="9">
        <f t="shared" si="86"/>
        <v>25.171195000000004</v>
      </c>
    </row>
    <row r="952" spans="1:23">
      <c r="A952" s="2" t="s">
        <v>335</v>
      </c>
      <c r="B952" s="2" t="s">
        <v>425</v>
      </c>
      <c r="C952" s="3">
        <v>161</v>
      </c>
      <c r="D952" s="3">
        <v>2.36</v>
      </c>
      <c r="E952" s="2" t="s">
        <v>446</v>
      </c>
      <c r="F952" s="4">
        <v>41687</v>
      </c>
      <c r="G952" s="3">
        <v>58.4</v>
      </c>
      <c r="H952" s="6"/>
      <c r="I952" s="4">
        <v>41716</v>
      </c>
      <c r="J952" s="3">
        <v>62</v>
      </c>
      <c r="K952" s="6"/>
      <c r="L952" s="3">
        <v>29</v>
      </c>
      <c r="M952" s="5">
        <v>3.6000000000000014</v>
      </c>
      <c r="N952" s="6"/>
      <c r="O952" s="5">
        <v>68.44</v>
      </c>
      <c r="P952" s="5">
        <v>124.13793103448282</v>
      </c>
      <c r="Q952" s="5">
        <v>18.299218000000003</v>
      </c>
      <c r="R952" s="8">
        <f t="shared" ref="R952:R1015" si="87">IF(I952-F952=0,0,I952-I951)</f>
        <v>13</v>
      </c>
      <c r="S952" s="9">
        <f t="shared" ref="S952:S1015" si="88">IF(R952=0,J952-G952,J952-J951)</f>
        <v>-0.60000000000000142</v>
      </c>
      <c r="T952" s="9">
        <v>1.5</v>
      </c>
      <c r="U952" s="9">
        <f t="shared" ref="U952:U1015" si="89">D952*R952</f>
        <v>30.68</v>
      </c>
      <c r="V952" s="9">
        <f t="shared" ref="V952:V1015" si="90">IF(R952=0,0,(S952/R952*1000))</f>
        <v>-46.15384615384626</v>
      </c>
      <c r="W952" s="9">
        <f t="shared" ref="W952:W1015" si="91">IF(R952=0,(((G952)*0.16909+(V952/1000)*49.3)+2),((((G952+J952)/2)*0.16909+(V952/1000)*49.3)+2))</f>
        <v>9.9038333846153801</v>
      </c>
    </row>
    <row r="953" spans="1:23">
      <c r="A953" s="2" t="s">
        <v>335</v>
      </c>
      <c r="B953" s="2" t="s">
        <v>425</v>
      </c>
      <c r="C953" s="3">
        <v>161</v>
      </c>
      <c r="D953" s="3">
        <v>2.36</v>
      </c>
      <c r="E953" s="2" t="s">
        <v>446</v>
      </c>
      <c r="F953" s="4">
        <v>41687</v>
      </c>
      <c r="G953" s="3">
        <v>58.4</v>
      </c>
      <c r="H953" s="6"/>
      <c r="I953" s="4">
        <v>41731</v>
      </c>
      <c r="J953" s="3">
        <v>63</v>
      </c>
      <c r="K953" s="6"/>
      <c r="L953" s="3">
        <v>44</v>
      </c>
      <c r="M953" s="5">
        <v>4.6000000000000014</v>
      </c>
      <c r="N953" s="6"/>
      <c r="O953" s="5">
        <v>103.83999999999999</v>
      </c>
      <c r="P953" s="5">
        <v>104.54545454545458</v>
      </c>
      <c r="Q953" s="5">
        <v>17.417853909090908</v>
      </c>
      <c r="R953" s="8">
        <f t="shared" si="87"/>
        <v>15</v>
      </c>
      <c r="S953" s="9">
        <f t="shared" si="88"/>
        <v>1</v>
      </c>
      <c r="T953" s="9">
        <v>1.5</v>
      </c>
      <c r="U953" s="9">
        <f t="shared" si="89"/>
        <v>35.4</v>
      </c>
      <c r="V953" s="9">
        <f t="shared" si="90"/>
        <v>66.666666666666671</v>
      </c>
      <c r="W953" s="9">
        <f t="shared" si="91"/>
        <v>15.550429666666666</v>
      </c>
    </row>
    <row r="954" spans="1:23">
      <c r="A954" s="2" t="s">
        <v>335</v>
      </c>
      <c r="B954" s="2" t="s">
        <v>425</v>
      </c>
      <c r="C954" s="3">
        <v>161</v>
      </c>
      <c r="D954" s="3">
        <v>2.36</v>
      </c>
      <c r="E954" s="2" t="s">
        <v>447</v>
      </c>
      <c r="F954" s="4">
        <v>41687</v>
      </c>
      <c r="G954" s="3">
        <v>53.4</v>
      </c>
      <c r="H954" s="6"/>
      <c r="I954" s="4">
        <v>41687</v>
      </c>
      <c r="J954" s="3">
        <v>53.4</v>
      </c>
      <c r="K954" s="6"/>
      <c r="L954" s="3">
        <v>0</v>
      </c>
      <c r="M954" s="5">
        <v>0</v>
      </c>
      <c r="N954" s="6"/>
      <c r="O954" s="5">
        <v>0</v>
      </c>
      <c r="P954" s="5">
        <v>0</v>
      </c>
      <c r="Q954" s="5">
        <v>11.029406</v>
      </c>
      <c r="R954" s="8">
        <f t="shared" si="87"/>
        <v>0</v>
      </c>
      <c r="S954" s="9">
        <f t="shared" si="88"/>
        <v>0</v>
      </c>
      <c r="T954" s="9">
        <v>1.5</v>
      </c>
      <c r="U954" s="9">
        <f t="shared" si="89"/>
        <v>0</v>
      </c>
      <c r="V954" s="9">
        <f t="shared" si="90"/>
        <v>0</v>
      </c>
      <c r="W954" s="9">
        <f t="shared" si="91"/>
        <v>11.029406</v>
      </c>
    </row>
    <row r="955" spans="1:23">
      <c r="A955" s="2" t="s">
        <v>335</v>
      </c>
      <c r="B955" s="2" t="s">
        <v>425</v>
      </c>
      <c r="C955" s="3">
        <v>161</v>
      </c>
      <c r="D955" s="3">
        <v>2.36</v>
      </c>
      <c r="E955" s="2" t="s">
        <v>447</v>
      </c>
      <c r="F955" s="4">
        <v>41687</v>
      </c>
      <c r="G955" s="3">
        <v>53.4</v>
      </c>
      <c r="H955" s="6"/>
      <c r="I955" s="4">
        <v>41703</v>
      </c>
      <c r="J955" s="3">
        <v>55.8</v>
      </c>
      <c r="K955" s="6"/>
      <c r="L955" s="3">
        <v>16</v>
      </c>
      <c r="M955" s="5">
        <v>2.3999999999999986</v>
      </c>
      <c r="N955" s="6"/>
      <c r="O955" s="5">
        <v>37.76</v>
      </c>
      <c r="P955" s="5">
        <v>149.99999999999991</v>
      </c>
      <c r="Q955" s="5">
        <v>18.627313999999995</v>
      </c>
      <c r="R955" s="8">
        <f t="shared" si="87"/>
        <v>16</v>
      </c>
      <c r="S955" s="9">
        <f t="shared" si="88"/>
        <v>2.3999999999999986</v>
      </c>
      <c r="T955" s="9">
        <v>1.5</v>
      </c>
      <c r="U955" s="9">
        <f t="shared" si="89"/>
        <v>37.76</v>
      </c>
      <c r="V955" s="9">
        <f t="shared" si="90"/>
        <v>149.99999999999991</v>
      </c>
      <c r="W955" s="9">
        <f t="shared" si="91"/>
        <v>18.627313999999995</v>
      </c>
    </row>
    <row r="956" spans="1:23">
      <c r="A956" s="2" t="s">
        <v>335</v>
      </c>
      <c r="B956" s="2" t="s">
        <v>425</v>
      </c>
      <c r="C956" s="3">
        <v>161</v>
      </c>
      <c r="D956" s="3">
        <v>2.36</v>
      </c>
      <c r="E956" s="2" t="s">
        <v>447</v>
      </c>
      <c r="F956" s="4">
        <v>41687</v>
      </c>
      <c r="G956" s="3">
        <v>53.4</v>
      </c>
      <c r="H956" s="6"/>
      <c r="I956" s="4">
        <v>41716</v>
      </c>
      <c r="J956" s="3">
        <v>56.5</v>
      </c>
      <c r="K956" s="6"/>
      <c r="L956" s="3">
        <v>29</v>
      </c>
      <c r="M956" s="5">
        <v>3.1000000000000014</v>
      </c>
      <c r="N956" s="6"/>
      <c r="O956" s="5">
        <v>68.44</v>
      </c>
      <c r="P956" s="5">
        <v>106.89655172413798</v>
      </c>
      <c r="Q956" s="5">
        <v>16.561495500000003</v>
      </c>
      <c r="R956" s="8">
        <f t="shared" si="87"/>
        <v>13</v>
      </c>
      <c r="S956" s="9">
        <f t="shared" si="88"/>
        <v>0.70000000000000284</v>
      </c>
      <c r="T956" s="9">
        <v>1.5</v>
      </c>
      <c r="U956" s="9">
        <f t="shared" si="89"/>
        <v>30.68</v>
      </c>
      <c r="V956" s="9">
        <f t="shared" si="90"/>
        <v>53.846153846154067</v>
      </c>
      <c r="W956" s="9">
        <f t="shared" si="91"/>
        <v>13.946110884615395</v>
      </c>
    </row>
    <row r="957" spans="1:23">
      <c r="A957" s="2" t="s">
        <v>335</v>
      </c>
      <c r="B957" s="2" t="s">
        <v>425</v>
      </c>
      <c r="C957" s="3">
        <v>161</v>
      </c>
      <c r="D957" s="3">
        <v>2.36</v>
      </c>
      <c r="E957" s="2" t="s">
        <v>447</v>
      </c>
      <c r="F957" s="4">
        <v>41687</v>
      </c>
      <c r="G957" s="3">
        <v>53.4</v>
      </c>
      <c r="H957" s="6"/>
      <c r="I957" s="4">
        <v>41731</v>
      </c>
      <c r="J957" s="3">
        <v>57</v>
      </c>
      <c r="K957" s="6"/>
      <c r="L957" s="3">
        <v>44</v>
      </c>
      <c r="M957" s="5">
        <v>3.6000000000000014</v>
      </c>
      <c r="N957" s="6"/>
      <c r="O957" s="5">
        <v>103.83999999999999</v>
      </c>
      <c r="P957" s="5">
        <v>81.818181818181841</v>
      </c>
      <c r="Q957" s="5">
        <v>15.367404363636364</v>
      </c>
      <c r="R957" s="8">
        <f t="shared" si="87"/>
        <v>15</v>
      </c>
      <c r="S957" s="9">
        <f t="shared" si="88"/>
        <v>0.5</v>
      </c>
      <c r="T957" s="9">
        <v>1.5</v>
      </c>
      <c r="U957" s="9">
        <f t="shared" si="89"/>
        <v>35.4</v>
      </c>
      <c r="V957" s="9">
        <f t="shared" si="90"/>
        <v>33.333333333333336</v>
      </c>
      <c r="W957" s="9">
        <f t="shared" si="91"/>
        <v>12.977101333333332</v>
      </c>
    </row>
    <row r="958" spans="1:23">
      <c r="A958" s="2" t="s">
        <v>335</v>
      </c>
      <c r="B958" s="2" t="s">
        <v>425</v>
      </c>
      <c r="C958" s="3">
        <v>161</v>
      </c>
      <c r="D958" s="3">
        <v>2.36</v>
      </c>
      <c r="E958" s="2" t="s">
        <v>448</v>
      </c>
      <c r="F958" s="4">
        <v>41687</v>
      </c>
      <c r="G958" s="3">
        <v>51.4</v>
      </c>
      <c r="H958" s="6"/>
      <c r="I958" s="4">
        <v>41687</v>
      </c>
      <c r="J958" s="3">
        <v>51.4</v>
      </c>
      <c r="K958" s="6"/>
      <c r="L958" s="3">
        <v>0</v>
      </c>
      <c r="M958" s="5">
        <v>0</v>
      </c>
      <c r="N958" s="6"/>
      <c r="O958" s="5">
        <v>0</v>
      </c>
      <c r="P958" s="5">
        <v>0</v>
      </c>
      <c r="Q958" s="5">
        <v>10.691225999999999</v>
      </c>
      <c r="R958" s="8">
        <f t="shared" si="87"/>
        <v>0</v>
      </c>
      <c r="S958" s="9">
        <f t="shared" si="88"/>
        <v>0</v>
      </c>
      <c r="T958" s="9">
        <v>1.5</v>
      </c>
      <c r="U958" s="9">
        <f t="shared" si="89"/>
        <v>0</v>
      </c>
      <c r="V958" s="9">
        <f t="shared" si="90"/>
        <v>0</v>
      </c>
      <c r="W958" s="9">
        <f t="shared" si="91"/>
        <v>10.691225999999999</v>
      </c>
    </row>
    <row r="959" spans="1:23">
      <c r="A959" s="2" t="s">
        <v>335</v>
      </c>
      <c r="B959" s="2" t="s">
        <v>425</v>
      </c>
      <c r="C959" s="3">
        <v>161</v>
      </c>
      <c r="D959" s="3">
        <v>2.36</v>
      </c>
      <c r="E959" s="2" t="s">
        <v>448</v>
      </c>
      <c r="F959" s="4">
        <v>41687</v>
      </c>
      <c r="G959" s="3">
        <v>51.4</v>
      </c>
      <c r="H959" s="6"/>
      <c r="I959" s="4">
        <v>41703</v>
      </c>
      <c r="J959" s="3">
        <v>57.8</v>
      </c>
      <c r="K959" s="6"/>
      <c r="L959" s="3">
        <v>16</v>
      </c>
      <c r="M959" s="5">
        <v>6.3999999999999986</v>
      </c>
      <c r="N959" s="6"/>
      <c r="O959" s="5">
        <v>37.76</v>
      </c>
      <c r="P959" s="5">
        <v>399.99999999999989</v>
      </c>
      <c r="Q959" s="5">
        <v>30.952313999999994</v>
      </c>
      <c r="R959" s="8">
        <f t="shared" si="87"/>
        <v>16</v>
      </c>
      <c r="S959" s="9">
        <f t="shared" si="88"/>
        <v>6.3999999999999986</v>
      </c>
      <c r="T959" s="9">
        <v>1.5</v>
      </c>
      <c r="U959" s="9">
        <f t="shared" si="89"/>
        <v>37.76</v>
      </c>
      <c r="V959" s="9">
        <f t="shared" si="90"/>
        <v>399.99999999999989</v>
      </c>
      <c r="W959" s="9">
        <f t="shared" si="91"/>
        <v>30.952313999999994</v>
      </c>
    </row>
    <row r="960" spans="1:23">
      <c r="A960" s="2" t="s">
        <v>335</v>
      </c>
      <c r="B960" s="2" t="s">
        <v>425</v>
      </c>
      <c r="C960" s="3">
        <v>161</v>
      </c>
      <c r="D960" s="3">
        <v>2.36</v>
      </c>
      <c r="E960" s="2" t="s">
        <v>448</v>
      </c>
      <c r="F960" s="4">
        <v>41687</v>
      </c>
      <c r="G960" s="3">
        <v>51.4</v>
      </c>
      <c r="H960" s="6"/>
      <c r="I960" s="4">
        <v>41716</v>
      </c>
      <c r="J960" s="3">
        <v>57.5</v>
      </c>
      <c r="K960" s="6"/>
      <c r="L960" s="3">
        <v>29</v>
      </c>
      <c r="M960" s="5">
        <v>6.1000000000000014</v>
      </c>
      <c r="N960" s="6"/>
      <c r="O960" s="5">
        <v>68.44</v>
      </c>
      <c r="P960" s="5">
        <v>210.34482758620695</v>
      </c>
      <c r="Q960" s="5">
        <v>21.576950500000002</v>
      </c>
      <c r="R960" s="8">
        <f t="shared" si="87"/>
        <v>13</v>
      </c>
      <c r="S960" s="9">
        <f t="shared" si="88"/>
        <v>-0.29999999999999716</v>
      </c>
      <c r="T960" s="9">
        <v>1.5</v>
      </c>
      <c r="U960" s="9">
        <f t="shared" si="89"/>
        <v>30.68</v>
      </c>
      <c r="V960" s="9">
        <f t="shared" si="90"/>
        <v>-23.07692307692286</v>
      </c>
      <c r="W960" s="9">
        <f t="shared" si="91"/>
        <v>10.069258192307704</v>
      </c>
    </row>
    <row r="961" spans="1:23">
      <c r="A961" s="2" t="s">
        <v>335</v>
      </c>
      <c r="B961" s="2" t="s">
        <v>425</v>
      </c>
      <c r="C961" s="3">
        <v>161</v>
      </c>
      <c r="D961" s="3">
        <v>2.36</v>
      </c>
      <c r="E961" s="2" t="s">
        <v>448</v>
      </c>
      <c r="F961" s="4">
        <v>41687</v>
      </c>
      <c r="G961" s="3">
        <v>51.4</v>
      </c>
      <c r="H961" s="6"/>
      <c r="I961" s="4">
        <v>41731</v>
      </c>
      <c r="J961" s="3">
        <v>58</v>
      </c>
      <c r="K961" s="6"/>
      <c r="L961" s="3">
        <v>44</v>
      </c>
      <c r="M961" s="5">
        <v>6.6000000000000014</v>
      </c>
      <c r="N961" s="6"/>
      <c r="O961" s="5">
        <v>103.83999999999999</v>
      </c>
      <c r="P961" s="5">
        <v>150.00000000000003</v>
      </c>
      <c r="Q961" s="5">
        <v>18.644223</v>
      </c>
      <c r="R961" s="8">
        <f t="shared" si="87"/>
        <v>15</v>
      </c>
      <c r="S961" s="9">
        <f t="shared" si="88"/>
        <v>0.5</v>
      </c>
      <c r="T961" s="9">
        <v>1.5</v>
      </c>
      <c r="U961" s="9">
        <f t="shared" si="89"/>
        <v>35.4</v>
      </c>
      <c r="V961" s="9">
        <f t="shared" si="90"/>
        <v>33.333333333333336</v>
      </c>
      <c r="W961" s="9">
        <f t="shared" si="91"/>
        <v>12.892556333333333</v>
      </c>
    </row>
    <row r="962" spans="1:23">
      <c r="A962" s="2" t="s">
        <v>335</v>
      </c>
      <c r="B962" s="2" t="s">
        <v>425</v>
      </c>
      <c r="C962" s="3">
        <v>161</v>
      </c>
      <c r="D962" s="3">
        <v>2.36</v>
      </c>
      <c r="E962" s="2" t="s">
        <v>449</v>
      </c>
      <c r="F962" s="4">
        <v>41687</v>
      </c>
      <c r="G962" s="3">
        <v>51.6</v>
      </c>
      <c r="H962" s="6"/>
      <c r="I962" s="4">
        <v>41687</v>
      </c>
      <c r="J962" s="3">
        <v>51.6</v>
      </c>
      <c r="K962" s="6"/>
      <c r="L962" s="3">
        <v>0</v>
      </c>
      <c r="M962" s="5">
        <v>0</v>
      </c>
      <c r="N962" s="6"/>
      <c r="O962" s="5">
        <v>0</v>
      </c>
      <c r="P962" s="5">
        <v>0</v>
      </c>
      <c r="Q962" s="5">
        <v>10.725044</v>
      </c>
      <c r="R962" s="8">
        <f t="shared" si="87"/>
        <v>0</v>
      </c>
      <c r="S962" s="9">
        <f t="shared" si="88"/>
        <v>0</v>
      </c>
      <c r="T962" s="9">
        <v>1.5</v>
      </c>
      <c r="U962" s="9">
        <f t="shared" si="89"/>
        <v>0</v>
      </c>
      <c r="V962" s="9">
        <f t="shared" si="90"/>
        <v>0</v>
      </c>
      <c r="W962" s="9">
        <f t="shared" si="91"/>
        <v>10.725044</v>
      </c>
    </row>
    <row r="963" spans="1:23">
      <c r="A963" s="2" t="s">
        <v>335</v>
      </c>
      <c r="B963" s="2" t="s">
        <v>425</v>
      </c>
      <c r="C963" s="3">
        <v>161</v>
      </c>
      <c r="D963" s="3">
        <v>2.36</v>
      </c>
      <c r="E963" s="2" t="s">
        <v>449</v>
      </c>
      <c r="F963" s="4">
        <v>41687</v>
      </c>
      <c r="G963" s="3">
        <v>51.6</v>
      </c>
      <c r="H963" s="6"/>
      <c r="I963" s="4">
        <v>41703</v>
      </c>
      <c r="J963" s="3">
        <v>57.6</v>
      </c>
      <c r="K963" s="6"/>
      <c r="L963" s="3">
        <v>16</v>
      </c>
      <c r="M963" s="5">
        <v>6</v>
      </c>
      <c r="N963" s="6"/>
      <c r="O963" s="5">
        <v>37.76</v>
      </c>
      <c r="P963" s="5">
        <v>375</v>
      </c>
      <c r="Q963" s="5">
        <v>29.719814</v>
      </c>
      <c r="R963" s="8">
        <f t="shared" si="87"/>
        <v>16</v>
      </c>
      <c r="S963" s="9">
        <f t="shared" si="88"/>
        <v>6</v>
      </c>
      <c r="T963" s="9">
        <v>1.5</v>
      </c>
      <c r="U963" s="9">
        <f t="shared" si="89"/>
        <v>37.76</v>
      </c>
      <c r="V963" s="9">
        <f t="shared" si="90"/>
        <v>375</v>
      </c>
      <c r="W963" s="9">
        <f t="shared" si="91"/>
        <v>29.719814</v>
      </c>
    </row>
    <row r="964" spans="1:23">
      <c r="A964" s="2" t="s">
        <v>335</v>
      </c>
      <c r="B964" s="2" t="s">
        <v>425</v>
      </c>
      <c r="C964" s="3">
        <v>161</v>
      </c>
      <c r="D964" s="3">
        <v>2.36</v>
      </c>
      <c r="E964" s="2" t="s">
        <v>449</v>
      </c>
      <c r="F964" s="4">
        <v>41687</v>
      </c>
      <c r="G964" s="3">
        <v>51.6</v>
      </c>
      <c r="H964" s="6"/>
      <c r="I964" s="4">
        <v>41716</v>
      </c>
      <c r="J964" s="3">
        <v>58.5</v>
      </c>
      <c r="K964" s="6"/>
      <c r="L964" s="3">
        <v>29</v>
      </c>
      <c r="M964" s="5">
        <v>6.8999999999999986</v>
      </c>
      <c r="N964" s="6"/>
      <c r="O964" s="5">
        <v>68.44</v>
      </c>
      <c r="P964" s="5">
        <v>237.93103448275858</v>
      </c>
      <c r="Q964" s="5">
        <v>23.038404499999995</v>
      </c>
      <c r="R964" s="8">
        <f t="shared" si="87"/>
        <v>13</v>
      </c>
      <c r="S964" s="9">
        <f t="shared" si="88"/>
        <v>0.89999999999999858</v>
      </c>
      <c r="T964" s="9">
        <v>1.5</v>
      </c>
      <c r="U964" s="9">
        <f t="shared" si="89"/>
        <v>30.68</v>
      </c>
      <c r="V964" s="9">
        <f t="shared" si="90"/>
        <v>69.230769230769127</v>
      </c>
      <c r="W964" s="9">
        <f t="shared" si="91"/>
        <v>14.721481423076916</v>
      </c>
    </row>
    <row r="965" spans="1:23">
      <c r="A965" s="2" t="s">
        <v>335</v>
      </c>
      <c r="B965" s="2" t="s">
        <v>425</v>
      </c>
      <c r="C965" s="3">
        <v>161</v>
      </c>
      <c r="D965" s="3">
        <v>2.36</v>
      </c>
      <c r="E965" s="2" t="s">
        <v>449</v>
      </c>
      <c r="F965" s="4">
        <v>41687</v>
      </c>
      <c r="G965" s="3">
        <v>51.6</v>
      </c>
      <c r="H965" s="6"/>
      <c r="I965" s="4">
        <v>41731</v>
      </c>
      <c r="J965" s="3">
        <v>56.8</v>
      </c>
      <c r="K965" s="6"/>
      <c r="L965" s="3">
        <v>44</v>
      </c>
      <c r="M965" s="5">
        <v>5.1999999999999957</v>
      </c>
      <c r="N965" s="6"/>
      <c r="O965" s="5">
        <v>103.83999999999999</v>
      </c>
      <c r="P965" s="5">
        <v>118.18181818181809</v>
      </c>
      <c r="Q965" s="5">
        <v>16.991041636363633</v>
      </c>
      <c r="R965" s="8">
        <f t="shared" si="87"/>
        <v>15</v>
      </c>
      <c r="S965" s="9">
        <f t="shared" si="88"/>
        <v>-1.7000000000000028</v>
      </c>
      <c r="T965" s="9">
        <v>1.5</v>
      </c>
      <c r="U965" s="9">
        <f t="shared" si="89"/>
        <v>35.4</v>
      </c>
      <c r="V965" s="9">
        <f t="shared" si="90"/>
        <v>-113.33333333333353</v>
      </c>
      <c r="W965" s="9">
        <f t="shared" si="91"/>
        <v>5.577344666666658</v>
      </c>
    </row>
    <row r="966" spans="1:23">
      <c r="A966" s="2" t="s">
        <v>335</v>
      </c>
      <c r="B966" s="2" t="s">
        <v>425</v>
      </c>
      <c r="C966" s="3">
        <v>161</v>
      </c>
      <c r="D966" s="3">
        <v>2.36</v>
      </c>
      <c r="E966" s="2" t="s">
        <v>450</v>
      </c>
      <c r="F966" s="4">
        <v>41687</v>
      </c>
      <c r="G966" s="3">
        <v>55.8</v>
      </c>
      <c r="H966" s="6"/>
      <c r="I966" s="4">
        <v>41687</v>
      </c>
      <c r="J966" s="3">
        <v>55.8</v>
      </c>
      <c r="K966" s="6"/>
      <c r="L966" s="3">
        <v>0</v>
      </c>
      <c r="M966" s="5">
        <v>0</v>
      </c>
      <c r="N966" s="6"/>
      <c r="O966" s="5">
        <v>0</v>
      </c>
      <c r="P966" s="5">
        <v>0</v>
      </c>
      <c r="Q966" s="5">
        <v>11.435222</v>
      </c>
      <c r="R966" s="8">
        <f t="shared" si="87"/>
        <v>0</v>
      </c>
      <c r="S966" s="9">
        <f t="shared" si="88"/>
        <v>0</v>
      </c>
      <c r="T966" s="9">
        <v>1.5</v>
      </c>
      <c r="U966" s="9">
        <f t="shared" si="89"/>
        <v>0</v>
      </c>
      <c r="V966" s="9">
        <f t="shared" si="90"/>
        <v>0</v>
      </c>
      <c r="W966" s="9">
        <f t="shared" si="91"/>
        <v>11.435222</v>
      </c>
    </row>
    <row r="967" spans="1:23">
      <c r="A967" s="2" t="s">
        <v>335</v>
      </c>
      <c r="B967" s="2" t="s">
        <v>425</v>
      </c>
      <c r="C967" s="3">
        <v>161</v>
      </c>
      <c r="D967" s="3">
        <v>2.36</v>
      </c>
      <c r="E967" s="2" t="s">
        <v>450</v>
      </c>
      <c r="F967" s="4">
        <v>41687</v>
      </c>
      <c r="G967" s="3">
        <v>55.8</v>
      </c>
      <c r="H967" s="6"/>
      <c r="I967" s="4">
        <v>41703</v>
      </c>
      <c r="J967" s="3">
        <v>59.8</v>
      </c>
      <c r="K967" s="6"/>
      <c r="L967" s="3">
        <v>16</v>
      </c>
      <c r="M967" s="5">
        <v>4</v>
      </c>
      <c r="N967" s="6"/>
      <c r="O967" s="5">
        <v>37.76</v>
      </c>
      <c r="P967" s="5">
        <v>250</v>
      </c>
      <c r="Q967" s="5">
        <v>24.098402</v>
      </c>
      <c r="R967" s="8">
        <f t="shared" si="87"/>
        <v>16</v>
      </c>
      <c r="S967" s="9">
        <f t="shared" si="88"/>
        <v>4</v>
      </c>
      <c r="T967" s="9">
        <v>1.5</v>
      </c>
      <c r="U967" s="9">
        <f t="shared" si="89"/>
        <v>37.76</v>
      </c>
      <c r="V967" s="9">
        <f t="shared" si="90"/>
        <v>250</v>
      </c>
      <c r="W967" s="9">
        <f t="shared" si="91"/>
        <v>24.098402</v>
      </c>
    </row>
    <row r="968" spans="1:23">
      <c r="A968" s="2" t="s">
        <v>335</v>
      </c>
      <c r="B968" s="2" t="s">
        <v>425</v>
      </c>
      <c r="C968" s="3">
        <v>161</v>
      </c>
      <c r="D968" s="3">
        <v>2.36</v>
      </c>
      <c r="E968" s="2" t="s">
        <v>450</v>
      </c>
      <c r="F968" s="4">
        <v>41687</v>
      </c>
      <c r="G968" s="3">
        <v>55.8</v>
      </c>
      <c r="H968" s="6"/>
      <c r="I968" s="4">
        <v>41716</v>
      </c>
      <c r="J968" s="3">
        <v>61.5</v>
      </c>
      <c r="K968" s="6"/>
      <c r="L968" s="3">
        <v>29</v>
      </c>
      <c r="M968" s="5">
        <v>5.7000000000000028</v>
      </c>
      <c r="N968" s="6"/>
      <c r="O968" s="5">
        <v>68.44</v>
      </c>
      <c r="P968" s="5">
        <v>196.55172413793113</v>
      </c>
      <c r="Q968" s="5">
        <v>21.607128500000002</v>
      </c>
      <c r="R968" s="8">
        <f t="shared" si="87"/>
        <v>13</v>
      </c>
      <c r="S968" s="9">
        <f t="shared" si="88"/>
        <v>1.7000000000000028</v>
      </c>
      <c r="T968" s="9">
        <v>1.5</v>
      </c>
      <c r="U968" s="9">
        <f t="shared" si="89"/>
        <v>30.68</v>
      </c>
      <c r="V968" s="9">
        <f t="shared" si="90"/>
        <v>130.769230769231</v>
      </c>
      <c r="W968" s="9">
        <f t="shared" si="91"/>
        <v>18.364051576923085</v>
      </c>
    </row>
    <row r="969" spans="1:23">
      <c r="A969" s="2" t="s">
        <v>335</v>
      </c>
      <c r="B969" s="2" t="s">
        <v>425</v>
      </c>
      <c r="C969" s="3">
        <v>161</v>
      </c>
      <c r="D969" s="3">
        <v>2.36</v>
      </c>
      <c r="E969" s="2" t="s">
        <v>450</v>
      </c>
      <c r="F969" s="4">
        <v>41687</v>
      </c>
      <c r="G969" s="3">
        <v>55.8</v>
      </c>
      <c r="H969" s="6"/>
      <c r="I969" s="4">
        <v>41731</v>
      </c>
      <c r="J969" s="3">
        <v>61</v>
      </c>
      <c r="K969" s="6"/>
      <c r="L969" s="3">
        <v>44</v>
      </c>
      <c r="M969" s="5">
        <v>5.2000000000000028</v>
      </c>
      <c r="N969" s="6"/>
      <c r="O969" s="5">
        <v>103.83999999999999</v>
      </c>
      <c r="P969" s="5">
        <v>118.18181818181824</v>
      </c>
      <c r="Q969" s="5">
        <v>17.701219636363639</v>
      </c>
      <c r="R969" s="8">
        <f t="shared" si="87"/>
        <v>15</v>
      </c>
      <c r="S969" s="9">
        <f t="shared" si="88"/>
        <v>-0.5</v>
      </c>
      <c r="T969" s="9">
        <v>1.5</v>
      </c>
      <c r="U969" s="9">
        <f t="shared" si="89"/>
        <v>35.4</v>
      </c>
      <c r="V969" s="9">
        <f t="shared" si="90"/>
        <v>-33.333333333333336</v>
      </c>
      <c r="W969" s="9">
        <f t="shared" si="91"/>
        <v>10.231522666666667</v>
      </c>
    </row>
    <row r="970" spans="1:23">
      <c r="A970" s="2" t="s">
        <v>335</v>
      </c>
      <c r="B970" s="2" t="s">
        <v>425</v>
      </c>
      <c r="C970" s="3">
        <v>161</v>
      </c>
      <c r="D970" s="3">
        <v>2.36</v>
      </c>
      <c r="E970" s="2" t="s">
        <v>451</v>
      </c>
      <c r="F970" s="4">
        <v>41687</v>
      </c>
      <c r="G970" s="3">
        <v>55.6</v>
      </c>
      <c r="H970" s="6"/>
      <c r="I970" s="4">
        <v>41687</v>
      </c>
      <c r="J970" s="3">
        <v>55.6</v>
      </c>
      <c r="K970" s="6"/>
      <c r="L970" s="3">
        <v>0</v>
      </c>
      <c r="M970" s="5">
        <v>0</v>
      </c>
      <c r="N970" s="6"/>
      <c r="O970" s="5">
        <v>0</v>
      </c>
      <c r="P970" s="5">
        <v>0</v>
      </c>
      <c r="Q970" s="5">
        <v>11.401403999999999</v>
      </c>
      <c r="R970" s="8">
        <f t="shared" si="87"/>
        <v>0</v>
      </c>
      <c r="S970" s="9">
        <f t="shared" si="88"/>
        <v>0</v>
      </c>
      <c r="T970" s="9">
        <v>1.5</v>
      </c>
      <c r="U970" s="9">
        <f t="shared" si="89"/>
        <v>0</v>
      </c>
      <c r="V970" s="9">
        <f t="shared" si="90"/>
        <v>0</v>
      </c>
      <c r="W970" s="9">
        <f t="shared" si="91"/>
        <v>11.401403999999999</v>
      </c>
    </row>
    <row r="971" spans="1:23">
      <c r="A971" s="2" t="s">
        <v>335</v>
      </c>
      <c r="B971" s="2" t="s">
        <v>425</v>
      </c>
      <c r="C971" s="3">
        <v>161</v>
      </c>
      <c r="D971" s="3">
        <v>2.36</v>
      </c>
      <c r="E971" s="2" t="s">
        <v>451</v>
      </c>
      <c r="F971" s="4">
        <v>41687</v>
      </c>
      <c r="G971" s="3">
        <v>55.6</v>
      </c>
      <c r="H971" s="6"/>
      <c r="I971" s="4">
        <v>41703</v>
      </c>
      <c r="J971" s="3">
        <v>63.4</v>
      </c>
      <c r="K971" s="6"/>
      <c r="L971" s="3">
        <v>16</v>
      </c>
      <c r="M971" s="5">
        <v>7.7999999999999972</v>
      </c>
      <c r="N971" s="6"/>
      <c r="O971" s="5">
        <v>37.76</v>
      </c>
      <c r="P971" s="5">
        <v>487.49999999999983</v>
      </c>
      <c r="Q971" s="5">
        <v>36.094604999999987</v>
      </c>
      <c r="R971" s="8">
        <f t="shared" si="87"/>
        <v>16</v>
      </c>
      <c r="S971" s="9">
        <f t="shared" si="88"/>
        <v>7.7999999999999972</v>
      </c>
      <c r="T971" s="9">
        <v>1.5</v>
      </c>
      <c r="U971" s="9">
        <f t="shared" si="89"/>
        <v>37.76</v>
      </c>
      <c r="V971" s="9">
        <f t="shared" si="90"/>
        <v>487.49999999999983</v>
      </c>
      <c r="W971" s="9">
        <f t="shared" si="91"/>
        <v>36.094604999999987</v>
      </c>
    </row>
    <row r="972" spans="1:23">
      <c r="A972" s="2" t="s">
        <v>335</v>
      </c>
      <c r="B972" s="2" t="s">
        <v>425</v>
      </c>
      <c r="C972" s="3">
        <v>161</v>
      </c>
      <c r="D972" s="3">
        <v>2.36</v>
      </c>
      <c r="E972" s="2" t="s">
        <v>451</v>
      </c>
      <c r="F972" s="4">
        <v>41687</v>
      </c>
      <c r="G972" s="3">
        <v>55.6</v>
      </c>
      <c r="H972" s="6"/>
      <c r="I972" s="4">
        <v>41716</v>
      </c>
      <c r="J972" s="3">
        <v>61.5</v>
      </c>
      <c r="K972" s="6"/>
      <c r="L972" s="3">
        <v>29</v>
      </c>
      <c r="M972" s="5">
        <v>5.8999999999999986</v>
      </c>
      <c r="N972" s="6"/>
      <c r="O972" s="5">
        <v>68.44</v>
      </c>
      <c r="P972" s="5">
        <v>203.44827586206893</v>
      </c>
      <c r="Q972" s="5">
        <v>21.930219499999996</v>
      </c>
      <c r="R972" s="8">
        <f t="shared" si="87"/>
        <v>13</v>
      </c>
      <c r="S972" s="9">
        <f t="shared" si="88"/>
        <v>-1.8999999999999986</v>
      </c>
      <c r="T972" s="9">
        <v>1.5</v>
      </c>
      <c r="U972" s="9">
        <f t="shared" si="89"/>
        <v>30.68</v>
      </c>
      <c r="V972" s="9">
        <f t="shared" si="90"/>
        <v>-146.15384615384605</v>
      </c>
      <c r="W972" s="9">
        <f t="shared" si="91"/>
        <v>4.6948348846153891</v>
      </c>
    </row>
    <row r="973" spans="1:23">
      <c r="A973" s="2" t="s">
        <v>335</v>
      </c>
      <c r="B973" s="2" t="s">
        <v>425</v>
      </c>
      <c r="C973" s="3">
        <v>161</v>
      </c>
      <c r="D973" s="3">
        <v>2.36</v>
      </c>
      <c r="E973" s="2" t="s">
        <v>451</v>
      </c>
      <c r="F973" s="4">
        <v>41687</v>
      </c>
      <c r="G973" s="3">
        <v>55.6</v>
      </c>
      <c r="H973" s="6"/>
      <c r="I973" s="4">
        <v>41731</v>
      </c>
      <c r="J973" s="3">
        <v>60.8</v>
      </c>
      <c r="K973" s="6"/>
      <c r="L973" s="3">
        <v>44</v>
      </c>
      <c r="M973" s="5">
        <v>5.1999999999999957</v>
      </c>
      <c r="N973" s="6"/>
      <c r="O973" s="5">
        <v>103.83999999999999</v>
      </c>
      <c r="P973" s="5">
        <v>118.18181818181809</v>
      </c>
      <c r="Q973" s="5">
        <v>17.667401636363628</v>
      </c>
      <c r="R973" s="8">
        <f t="shared" si="87"/>
        <v>15</v>
      </c>
      <c r="S973" s="9">
        <f t="shared" si="88"/>
        <v>-0.70000000000000284</v>
      </c>
      <c r="T973" s="9">
        <v>1.5</v>
      </c>
      <c r="U973" s="9">
        <f t="shared" si="89"/>
        <v>35.4</v>
      </c>
      <c r="V973" s="9">
        <f t="shared" si="90"/>
        <v>-46.666666666666856</v>
      </c>
      <c r="W973" s="9">
        <f t="shared" si="91"/>
        <v>9.540371333333324</v>
      </c>
    </row>
    <row r="974" spans="1:23">
      <c r="A974" s="2" t="s">
        <v>335</v>
      </c>
      <c r="B974" s="2" t="s">
        <v>425</v>
      </c>
      <c r="C974" s="3">
        <v>161</v>
      </c>
      <c r="D974" s="3">
        <v>2.36</v>
      </c>
      <c r="E974" s="2" t="s">
        <v>452</v>
      </c>
      <c r="F974" s="4">
        <v>41687</v>
      </c>
      <c r="G974" s="3">
        <v>53.6</v>
      </c>
      <c r="H974" s="6"/>
      <c r="I974" s="4">
        <v>41687</v>
      </c>
      <c r="J974" s="3">
        <v>53.6</v>
      </c>
      <c r="K974" s="6"/>
      <c r="L974" s="3">
        <v>0</v>
      </c>
      <c r="M974" s="5">
        <v>0</v>
      </c>
      <c r="N974" s="6"/>
      <c r="O974" s="5">
        <v>0</v>
      </c>
      <c r="P974" s="5">
        <v>0</v>
      </c>
      <c r="Q974" s="5">
        <v>11.063224</v>
      </c>
      <c r="R974" s="8">
        <f t="shared" si="87"/>
        <v>0</v>
      </c>
      <c r="S974" s="9">
        <f t="shared" si="88"/>
        <v>0</v>
      </c>
      <c r="T974" s="9">
        <v>1.5</v>
      </c>
      <c r="U974" s="9">
        <f t="shared" si="89"/>
        <v>0</v>
      </c>
      <c r="V974" s="9">
        <f t="shared" si="90"/>
        <v>0</v>
      </c>
      <c r="W974" s="9">
        <f t="shared" si="91"/>
        <v>11.063224</v>
      </c>
    </row>
    <row r="975" spans="1:23">
      <c r="A975" s="2" t="s">
        <v>335</v>
      </c>
      <c r="B975" s="2" t="s">
        <v>425</v>
      </c>
      <c r="C975" s="3">
        <v>161</v>
      </c>
      <c r="D975" s="3">
        <v>2.36</v>
      </c>
      <c r="E975" s="2" t="s">
        <v>452</v>
      </c>
      <c r="F975" s="4">
        <v>41687</v>
      </c>
      <c r="G975" s="3">
        <v>53.6</v>
      </c>
      <c r="H975" s="6"/>
      <c r="I975" s="4">
        <v>41703</v>
      </c>
      <c r="J975" s="3">
        <v>56.6</v>
      </c>
      <c r="K975" s="6"/>
      <c r="L975" s="3">
        <v>16</v>
      </c>
      <c r="M975" s="5">
        <v>3</v>
      </c>
      <c r="N975" s="6"/>
      <c r="O975" s="5">
        <v>37.76</v>
      </c>
      <c r="P975" s="5">
        <v>187.5</v>
      </c>
      <c r="Q975" s="5">
        <v>20.560608999999999</v>
      </c>
      <c r="R975" s="8">
        <f t="shared" si="87"/>
        <v>16</v>
      </c>
      <c r="S975" s="9">
        <f t="shared" si="88"/>
        <v>3</v>
      </c>
      <c r="T975" s="9">
        <v>1.5</v>
      </c>
      <c r="U975" s="9">
        <f t="shared" si="89"/>
        <v>37.76</v>
      </c>
      <c r="V975" s="9">
        <f t="shared" si="90"/>
        <v>187.5</v>
      </c>
      <c r="W975" s="9">
        <f t="shared" si="91"/>
        <v>20.560608999999999</v>
      </c>
    </row>
    <row r="976" spans="1:23">
      <c r="A976" s="2" t="s">
        <v>335</v>
      </c>
      <c r="B976" s="2" t="s">
        <v>425</v>
      </c>
      <c r="C976" s="3">
        <v>161</v>
      </c>
      <c r="D976" s="3">
        <v>2.36</v>
      </c>
      <c r="E976" s="2" t="s">
        <v>452</v>
      </c>
      <c r="F976" s="4">
        <v>41687</v>
      </c>
      <c r="G976" s="3">
        <v>53.6</v>
      </c>
      <c r="H976" s="6"/>
      <c r="I976" s="4">
        <v>41716</v>
      </c>
      <c r="J976" s="3">
        <v>57.5</v>
      </c>
      <c r="K976" s="6"/>
      <c r="L976" s="3">
        <v>29</v>
      </c>
      <c r="M976" s="5">
        <v>3.8999999999999986</v>
      </c>
      <c r="N976" s="6"/>
      <c r="O976" s="5">
        <v>68.44</v>
      </c>
      <c r="P976" s="5">
        <v>134.48275862068962</v>
      </c>
      <c r="Q976" s="5">
        <v>18.022949499999996</v>
      </c>
      <c r="R976" s="8">
        <f t="shared" si="87"/>
        <v>13</v>
      </c>
      <c r="S976" s="9">
        <f t="shared" si="88"/>
        <v>0.89999999999999858</v>
      </c>
      <c r="T976" s="9">
        <v>1.5</v>
      </c>
      <c r="U976" s="9">
        <f t="shared" si="89"/>
        <v>30.68</v>
      </c>
      <c r="V976" s="9">
        <f t="shared" si="90"/>
        <v>69.230769230769127</v>
      </c>
      <c r="W976" s="9">
        <f t="shared" si="91"/>
        <v>14.806026423076917</v>
      </c>
    </row>
    <row r="977" spans="1:23">
      <c r="A977" s="2" t="s">
        <v>335</v>
      </c>
      <c r="B977" s="2" t="s">
        <v>425</v>
      </c>
      <c r="C977" s="3">
        <v>161</v>
      </c>
      <c r="D977" s="3">
        <v>2.36</v>
      </c>
      <c r="E977" s="2" t="s">
        <v>452</v>
      </c>
      <c r="F977" s="4">
        <v>41687</v>
      </c>
      <c r="G977" s="3">
        <v>53.6</v>
      </c>
      <c r="H977" s="6"/>
      <c r="I977" s="4">
        <v>41731</v>
      </c>
      <c r="J977" s="3">
        <v>54.8</v>
      </c>
      <c r="K977" s="6"/>
      <c r="L977" s="3">
        <v>44</v>
      </c>
      <c r="M977" s="5">
        <v>1.1999999999999957</v>
      </c>
      <c r="N977" s="6"/>
      <c r="O977" s="5">
        <v>103.83999999999999</v>
      </c>
      <c r="P977" s="5">
        <v>27.272727272727174</v>
      </c>
      <c r="Q977" s="5">
        <v>12.509223454545451</v>
      </c>
      <c r="R977" s="8">
        <f t="shared" si="87"/>
        <v>15</v>
      </c>
      <c r="S977" s="9">
        <f t="shared" si="88"/>
        <v>-2.7000000000000028</v>
      </c>
      <c r="T977" s="9">
        <v>1.5</v>
      </c>
      <c r="U977" s="9">
        <f t="shared" si="89"/>
        <v>35.4</v>
      </c>
      <c r="V977" s="9">
        <f t="shared" si="90"/>
        <v>-180.0000000000002</v>
      </c>
      <c r="W977" s="9">
        <f t="shared" si="91"/>
        <v>2.2906779999999909</v>
      </c>
    </row>
    <row r="978" spans="1:23">
      <c r="A978" s="2" t="s">
        <v>335</v>
      </c>
      <c r="B978" s="2" t="s">
        <v>425</v>
      </c>
      <c r="C978" s="3">
        <v>161</v>
      </c>
      <c r="D978" s="3">
        <v>2.36</v>
      </c>
      <c r="E978" s="2" t="s">
        <v>453</v>
      </c>
      <c r="F978" s="4">
        <v>41687</v>
      </c>
      <c r="G978" s="3">
        <v>57.6</v>
      </c>
      <c r="H978" s="6"/>
      <c r="I978" s="4">
        <v>41687</v>
      </c>
      <c r="J978" s="3">
        <v>57.6</v>
      </c>
      <c r="K978" s="6"/>
      <c r="L978" s="3">
        <v>0</v>
      </c>
      <c r="M978" s="5">
        <v>0</v>
      </c>
      <c r="N978" s="6"/>
      <c r="O978" s="5">
        <v>0</v>
      </c>
      <c r="P978" s="5">
        <v>0</v>
      </c>
      <c r="Q978" s="5">
        <v>11.739583999999999</v>
      </c>
      <c r="R978" s="8">
        <f t="shared" si="87"/>
        <v>0</v>
      </c>
      <c r="S978" s="9">
        <f t="shared" si="88"/>
        <v>0</v>
      </c>
      <c r="T978" s="9">
        <v>1.5</v>
      </c>
      <c r="U978" s="9">
        <f t="shared" si="89"/>
        <v>0</v>
      </c>
      <c r="V978" s="9">
        <f t="shared" si="90"/>
        <v>0</v>
      </c>
      <c r="W978" s="9">
        <f t="shared" si="91"/>
        <v>11.739583999999999</v>
      </c>
    </row>
    <row r="979" spans="1:23">
      <c r="A979" s="2" t="s">
        <v>335</v>
      </c>
      <c r="B979" s="2" t="s">
        <v>425</v>
      </c>
      <c r="C979" s="3">
        <v>161</v>
      </c>
      <c r="D979" s="3">
        <v>2.36</v>
      </c>
      <c r="E979" s="2" t="s">
        <v>453</v>
      </c>
      <c r="F979" s="4">
        <v>41687</v>
      </c>
      <c r="G979" s="3">
        <v>57.6</v>
      </c>
      <c r="H979" s="6"/>
      <c r="I979" s="4">
        <v>41703</v>
      </c>
      <c r="J979" s="3">
        <v>62.2</v>
      </c>
      <c r="K979" s="6"/>
      <c r="L979" s="3">
        <v>16</v>
      </c>
      <c r="M979" s="5">
        <v>4.6000000000000014</v>
      </c>
      <c r="N979" s="6"/>
      <c r="O979" s="5">
        <v>37.76</v>
      </c>
      <c r="P979" s="5">
        <v>287.50000000000011</v>
      </c>
      <c r="Q979" s="5">
        <v>26.302241000000002</v>
      </c>
      <c r="R979" s="8">
        <f t="shared" si="87"/>
        <v>16</v>
      </c>
      <c r="S979" s="9">
        <f t="shared" si="88"/>
        <v>4.6000000000000014</v>
      </c>
      <c r="T979" s="9">
        <v>1.5</v>
      </c>
      <c r="U979" s="9">
        <f t="shared" si="89"/>
        <v>37.76</v>
      </c>
      <c r="V979" s="9">
        <f t="shared" si="90"/>
        <v>287.50000000000011</v>
      </c>
      <c r="W979" s="9">
        <f t="shared" si="91"/>
        <v>26.302241000000002</v>
      </c>
    </row>
    <row r="980" spans="1:23">
      <c r="A980" s="2" t="s">
        <v>335</v>
      </c>
      <c r="B980" s="2" t="s">
        <v>425</v>
      </c>
      <c r="C980" s="3">
        <v>161</v>
      </c>
      <c r="D980" s="3">
        <v>2.36</v>
      </c>
      <c r="E980" s="2" t="s">
        <v>453</v>
      </c>
      <c r="F980" s="4">
        <v>41687</v>
      </c>
      <c r="G980" s="3">
        <v>57.6</v>
      </c>
      <c r="H980" s="6"/>
      <c r="I980" s="4">
        <v>41716</v>
      </c>
      <c r="J980" s="3">
        <v>62</v>
      </c>
      <c r="K980" s="6"/>
      <c r="L980" s="3">
        <v>29</v>
      </c>
      <c r="M980" s="5">
        <v>4.3999999999999986</v>
      </c>
      <c r="N980" s="6"/>
      <c r="O980" s="5">
        <v>68.44</v>
      </c>
      <c r="P980" s="5">
        <v>151.72413793103442</v>
      </c>
      <c r="Q980" s="5">
        <v>19.591581999999995</v>
      </c>
      <c r="R980" s="8">
        <f t="shared" si="87"/>
        <v>13</v>
      </c>
      <c r="S980" s="9">
        <f t="shared" si="88"/>
        <v>-0.20000000000000284</v>
      </c>
      <c r="T980" s="9">
        <v>1.5</v>
      </c>
      <c r="U980" s="9">
        <f t="shared" si="89"/>
        <v>30.68</v>
      </c>
      <c r="V980" s="9">
        <f t="shared" si="90"/>
        <v>-15.384615384615604</v>
      </c>
      <c r="W980" s="9">
        <f t="shared" si="91"/>
        <v>11.353120461538449</v>
      </c>
    </row>
    <row r="981" spans="1:23">
      <c r="A981" s="2" t="s">
        <v>335</v>
      </c>
      <c r="B981" s="2" t="s">
        <v>425</v>
      </c>
      <c r="C981" s="3">
        <v>161</v>
      </c>
      <c r="D981" s="3">
        <v>2.36</v>
      </c>
      <c r="E981" s="2" t="s">
        <v>453</v>
      </c>
      <c r="F981" s="4">
        <v>41687</v>
      </c>
      <c r="G981" s="3">
        <v>57.6</v>
      </c>
      <c r="H981" s="6"/>
      <c r="I981" s="4">
        <v>41731</v>
      </c>
      <c r="J981" s="3">
        <v>60.6</v>
      </c>
      <c r="K981" s="6"/>
      <c r="L981" s="3">
        <v>44</v>
      </c>
      <c r="M981" s="5">
        <v>3</v>
      </c>
      <c r="N981" s="6"/>
      <c r="O981" s="5">
        <v>103.83999999999999</v>
      </c>
      <c r="P981" s="5">
        <v>68.181818181818173</v>
      </c>
      <c r="Q981" s="5">
        <v>15.354582636363636</v>
      </c>
      <c r="R981" s="8">
        <f t="shared" si="87"/>
        <v>15</v>
      </c>
      <c r="S981" s="9">
        <f t="shared" si="88"/>
        <v>-1.3999999999999986</v>
      </c>
      <c r="T981" s="9">
        <v>1.5</v>
      </c>
      <c r="U981" s="9">
        <f t="shared" si="89"/>
        <v>35.4</v>
      </c>
      <c r="V981" s="9">
        <f t="shared" si="90"/>
        <v>-93.333333333333243</v>
      </c>
      <c r="W981" s="9">
        <f t="shared" si="91"/>
        <v>7.3918856666666715</v>
      </c>
    </row>
    <row r="982" spans="1:23">
      <c r="A982" s="2" t="s">
        <v>335</v>
      </c>
      <c r="B982" s="2" t="s">
        <v>425</v>
      </c>
      <c r="C982" s="3">
        <v>161</v>
      </c>
      <c r="D982" s="3">
        <v>2.36</v>
      </c>
      <c r="E982" s="2" t="s">
        <v>454</v>
      </c>
      <c r="F982" s="4">
        <v>41687</v>
      </c>
      <c r="G982" s="3">
        <v>50.4</v>
      </c>
      <c r="H982" s="6"/>
      <c r="I982" s="4">
        <v>41687</v>
      </c>
      <c r="J982" s="3">
        <v>50.4</v>
      </c>
      <c r="K982" s="6"/>
      <c r="L982" s="3">
        <v>0</v>
      </c>
      <c r="M982" s="5">
        <v>0</v>
      </c>
      <c r="N982" s="6"/>
      <c r="O982" s="5">
        <v>0</v>
      </c>
      <c r="P982" s="5">
        <v>0</v>
      </c>
      <c r="Q982" s="5">
        <v>10.522136</v>
      </c>
      <c r="R982" s="8">
        <f t="shared" si="87"/>
        <v>0</v>
      </c>
      <c r="S982" s="9">
        <f t="shared" si="88"/>
        <v>0</v>
      </c>
      <c r="T982" s="9">
        <v>1.5</v>
      </c>
      <c r="U982" s="9">
        <f t="shared" si="89"/>
        <v>0</v>
      </c>
      <c r="V982" s="9">
        <f t="shared" si="90"/>
        <v>0</v>
      </c>
      <c r="W982" s="9">
        <f t="shared" si="91"/>
        <v>10.522136</v>
      </c>
    </row>
    <row r="983" spans="1:23">
      <c r="A983" s="2" t="s">
        <v>335</v>
      </c>
      <c r="B983" s="2" t="s">
        <v>425</v>
      </c>
      <c r="C983" s="3">
        <v>161</v>
      </c>
      <c r="D983" s="3">
        <v>2.36</v>
      </c>
      <c r="E983" s="2" t="s">
        <v>454</v>
      </c>
      <c r="F983" s="4">
        <v>41687</v>
      </c>
      <c r="G983" s="3">
        <v>50.4</v>
      </c>
      <c r="H983" s="6"/>
      <c r="I983" s="4">
        <v>41703</v>
      </c>
      <c r="J983" s="3">
        <v>52.4</v>
      </c>
      <c r="K983" s="6"/>
      <c r="L983" s="3">
        <v>16</v>
      </c>
      <c r="M983" s="5">
        <v>2</v>
      </c>
      <c r="N983" s="6"/>
      <c r="O983" s="5">
        <v>37.76</v>
      </c>
      <c r="P983" s="5">
        <v>125</v>
      </c>
      <c r="Q983" s="5">
        <v>16.853725999999998</v>
      </c>
      <c r="R983" s="8">
        <f t="shared" si="87"/>
        <v>16</v>
      </c>
      <c r="S983" s="9">
        <f t="shared" si="88"/>
        <v>2</v>
      </c>
      <c r="T983" s="9">
        <v>1.5</v>
      </c>
      <c r="U983" s="9">
        <f t="shared" si="89"/>
        <v>37.76</v>
      </c>
      <c r="V983" s="9">
        <f t="shared" si="90"/>
        <v>125</v>
      </c>
      <c r="W983" s="9">
        <f t="shared" si="91"/>
        <v>16.853725999999998</v>
      </c>
    </row>
    <row r="984" spans="1:23">
      <c r="A984" s="2" t="s">
        <v>335</v>
      </c>
      <c r="B984" s="2" t="s">
        <v>425</v>
      </c>
      <c r="C984" s="3">
        <v>161</v>
      </c>
      <c r="D984" s="3">
        <v>2.36</v>
      </c>
      <c r="E984" s="2" t="s">
        <v>454</v>
      </c>
      <c r="F984" s="4">
        <v>41687</v>
      </c>
      <c r="G984" s="3">
        <v>50.4</v>
      </c>
      <c r="H984" s="6"/>
      <c r="I984" s="4">
        <v>41716</v>
      </c>
      <c r="J984" s="3">
        <v>52</v>
      </c>
      <c r="K984" s="6"/>
      <c r="L984" s="3">
        <v>29</v>
      </c>
      <c r="M984" s="5">
        <v>1.6000000000000014</v>
      </c>
      <c r="N984" s="6"/>
      <c r="O984" s="5">
        <v>68.44</v>
      </c>
      <c r="P984" s="5">
        <v>55.172413793103495</v>
      </c>
      <c r="Q984" s="5">
        <v>13.377408000000003</v>
      </c>
      <c r="R984" s="8">
        <f t="shared" si="87"/>
        <v>13</v>
      </c>
      <c r="S984" s="9">
        <f t="shared" si="88"/>
        <v>-0.39999999999999858</v>
      </c>
      <c r="T984" s="9">
        <v>1.5</v>
      </c>
      <c r="U984" s="9">
        <f t="shared" si="89"/>
        <v>30.68</v>
      </c>
      <c r="V984" s="9">
        <f t="shared" si="90"/>
        <v>-30.76923076923066</v>
      </c>
      <c r="W984" s="9">
        <f t="shared" si="91"/>
        <v>9.1404849230769294</v>
      </c>
    </row>
    <row r="985" spans="1:23">
      <c r="A985" s="2" t="s">
        <v>335</v>
      </c>
      <c r="B985" s="2" t="s">
        <v>425</v>
      </c>
      <c r="C985" s="3">
        <v>161</v>
      </c>
      <c r="D985" s="3">
        <v>2.36</v>
      </c>
      <c r="E985" s="2" t="s">
        <v>454</v>
      </c>
      <c r="F985" s="4">
        <v>41687</v>
      </c>
      <c r="G985" s="3">
        <v>50.4</v>
      </c>
      <c r="H985" s="6"/>
      <c r="I985" s="4">
        <v>41731</v>
      </c>
      <c r="J985" s="3">
        <v>52.2</v>
      </c>
      <c r="K985" s="6"/>
      <c r="L985" s="3">
        <v>44</v>
      </c>
      <c r="M985" s="5">
        <v>1.8000000000000043</v>
      </c>
      <c r="N985" s="6"/>
      <c r="O985" s="5">
        <v>103.83999999999999</v>
      </c>
      <c r="P985" s="5">
        <v>40.909090909091006</v>
      </c>
      <c r="Q985" s="5">
        <v>12.691135181818185</v>
      </c>
      <c r="R985" s="8">
        <f t="shared" si="87"/>
        <v>15</v>
      </c>
      <c r="S985" s="9">
        <f t="shared" si="88"/>
        <v>0.20000000000000284</v>
      </c>
      <c r="T985" s="9">
        <v>1.5</v>
      </c>
      <c r="U985" s="9">
        <f t="shared" si="89"/>
        <v>35.4</v>
      </c>
      <c r="V985" s="9">
        <f t="shared" si="90"/>
        <v>13.333333333333524</v>
      </c>
      <c r="W985" s="9">
        <f t="shared" si="91"/>
        <v>11.331650333333341</v>
      </c>
    </row>
    <row r="986" spans="1:23">
      <c r="A986" s="2" t="s">
        <v>335</v>
      </c>
      <c r="B986" s="2" t="s">
        <v>425</v>
      </c>
      <c r="C986" s="3">
        <v>161</v>
      </c>
      <c r="D986" s="3">
        <v>2.36</v>
      </c>
      <c r="E986" s="2" t="s">
        <v>455</v>
      </c>
      <c r="F986" s="4">
        <v>41687</v>
      </c>
      <c r="G986" s="3">
        <v>49.6</v>
      </c>
      <c r="H986" s="6"/>
      <c r="I986" s="4">
        <v>41687</v>
      </c>
      <c r="J986" s="3">
        <v>49.6</v>
      </c>
      <c r="K986" s="6"/>
      <c r="L986" s="3">
        <v>0</v>
      </c>
      <c r="M986" s="5">
        <v>0</v>
      </c>
      <c r="N986" s="6"/>
      <c r="O986" s="5">
        <v>0</v>
      </c>
      <c r="P986" s="5">
        <v>0</v>
      </c>
      <c r="Q986" s="5">
        <v>10.386863999999999</v>
      </c>
      <c r="R986" s="8">
        <f t="shared" si="87"/>
        <v>0</v>
      </c>
      <c r="S986" s="9">
        <f t="shared" si="88"/>
        <v>0</v>
      </c>
      <c r="T986" s="9">
        <v>1.5</v>
      </c>
      <c r="U986" s="9">
        <f t="shared" si="89"/>
        <v>0</v>
      </c>
      <c r="V986" s="9">
        <f t="shared" si="90"/>
        <v>0</v>
      </c>
      <c r="W986" s="9">
        <f t="shared" si="91"/>
        <v>10.386863999999999</v>
      </c>
    </row>
    <row r="987" spans="1:23">
      <c r="A987" s="2" t="s">
        <v>335</v>
      </c>
      <c r="B987" s="2" t="s">
        <v>425</v>
      </c>
      <c r="C987" s="3">
        <v>161</v>
      </c>
      <c r="D987" s="3">
        <v>2.36</v>
      </c>
      <c r="E987" s="2" t="s">
        <v>455</v>
      </c>
      <c r="F987" s="4">
        <v>41687</v>
      </c>
      <c r="G987" s="3">
        <v>49.6</v>
      </c>
      <c r="H987" s="6"/>
      <c r="I987" s="4">
        <v>41703</v>
      </c>
      <c r="J987" s="3">
        <v>52.8</v>
      </c>
      <c r="K987" s="6"/>
      <c r="L987" s="3">
        <v>16</v>
      </c>
      <c r="M987" s="5">
        <v>3.1999999999999957</v>
      </c>
      <c r="N987" s="6"/>
      <c r="O987" s="5">
        <v>37.76</v>
      </c>
      <c r="P987" s="5">
        <v>199.99999999999974</v>
      </c>
      <c r="Q987" s="5">
        <v>20.517407999999989</v>
      </c>
      <c r="R987" s="8">
        <f t="shared" si="87"/>
        <v>16</v>
      </c>
      <c r="S987" s="9">
        <f t="shared" si="88"/>
        <v>3.1999999999999957</v>
      </c>
      <c r="T987" s="9">
        <v>1.5</v>
      </c>
      <c r="U987" s="9">
        <f t="shared" si="89"/>
        <v>37.76</v>
      </c>
      <c r="V987" s="9">
        <f t="shared" si="90"/>
        <v>199.99999999999974</v>
      </c>
      <c r="W987" s="9">
        <f t="shared" si="91"/>
        <v>20.517407999999989</v>
      </c>
    </row>
    <row r="988" spans="1:23">
      <c r="A988" s="2" t="s">
        <v>335</v>
      </c>
      <c r="B988" s="2" t="s">
        <v>425</v>
      </c>
      <c r="C988" s="3">
        <v>161</v>
      </c>
      <c r="D988" s="3">
        <v>2.36</v>
      </c>
      <c r="E988" s="2" t="s">
        <v>455</v>
      </c>
      <c r="F988" s="4">
        <v>41687</v>
      </c>
      <c r="G988" s="3">
        <v>49.6</v>
      </c>
      <c r="H988" s="6"/>
      <c r="I988" s="4">
        <v>41716</v>
      </c>
      <c r="J988" s="3">
        <v>56.5</v>
      </c>
      <c r="K988" s="6"/>
      <c r="L988" s="3">
        <v>29</v>
      </c>
      <c r="M988" s="5">
        <v>6.8999999999999986</v>
      </c>
      <c r="N988" s="6"/>
      <c r="O988" s="5">
        <v>68.44</v>
      </c>
      <c r="P988" s="5">
        <v>237.93103448275858</v>
      </c>
      <c r="Q988" s="5">
        <v>22.700224499999997</v>
      </c>
      <c r="R988" s="8">
        <f t="shared" si="87"/>
        <v>13</v>
      </c>
      <c r="S988" s="9">
        <f t="shared" si="88"/>
        <v>3.7000000000000028</v>
      </c>
      <c r="T988" s="9">
        <v>1.5</v>
      </c>
      <c r="U988" s="9">
        <f t="shared" si="89"/>
        <v>30.68</v>
      </c>
      <c r="V988" s="9">
        <f t="shared" si="90"/>
        <v>284.61538461538481</v>
      </c>
      <c r="W988" s="9">
        <f t="shared" si="91"/>
        <v>25.001762961538468</v>
      </c>
    </row>
    <row r="989" spans="1:23">
      <c r="A989" s="2" t="s">
        <v>335</v>
      </c>
      <c r="B989" s="2" t="s">
        <v>425</v>
      </c>
      <c r="C989" s="3">
        <v>161</v>
      </c>
      <c r="D989" s="3">
        <v>2.36</v>
      </c>
      <c r="E989" s="2" t="s">
        <v>455</v>
      </c>
      <c r="F989" s="4">
        <v>41687</v>
      </c>
      <c r="G989" s="3">
        <v>49.6</v>
      </c>
      <c r="H989" s="6"/>
      <c r="I989" s="4">
        <v>41731</v>
      </c>
      <c r="J989" s="3">
        <v>56.6</v>
      </c>
      <c r="K989" s="6"/>
      <c r="L989" s="3">
        <v>44</v>
      </c>
      <c r="M989" s="5">
        <v>7</v>
      </c>
      <c r="N989" s="6"/>
      <c r="O989" s="5">
        <v>103.83999999999999</v>
      </c>
      <c r="P989" s="5">
        <v>159.09090909090909</v>
      </c>
      <c r="Q989" s="5">
        <v>18.821860818181818</v>
      </c>
      <c r="R989" s="8">
        <f t="shared" si="87"/>
        <v>15</v>
      </c>
      <c r="S989" s="9">
        <f t="shared" si="88"/>
        <v>0.10000000000000142</v>
      </c>
      <c r="T989" s="9">
        <v>1.5</v>
      </c>
      <c r="U989" s="9">
        <f t="shared" si="89"/>
        <v>35.4</v>
      </c>
      <c r="V989" s="9">
        <f t="shared" si="90"/>
        <v>6.666666666666762</v>
      </c>
      <c r="W989" s="9">
        <f t="shared" si="91"/>
        <v>11.30734566666667</v>
      </c>
    </row>
    <row r="990" spans="1:23">
      <c r="A990" s="2" t="s">
        <v>335</v>
      </c>
      <c r="B990" s="2" t="s">
        <v>425</v>
      </c>
      <c r="C990" s="3">
        <v>161</v>
      </c>
      <c r="D990" s="3">
        <v>2.36</v>
      </c>
      <c r="E990" s="2" t="s">
        <v>456</v>
      </c>
      <c r="F990" s="4">
        <v>41687</v>
      </c>
      <c r="G990" s="3">
        <v>49.4</v>
      </c>
      <c r="H990" s="6"/>
      <c r="I990" s="4">
        <v>41687</v>
      </c>
      <c r="J990" s="3">
        <v>49.4</v>
      </c>
      <c r="K990" s="6"/>
      <c r="L990" s="3">
        <v>0</v>
      </c>
      <c r="M990" s="5">
        <v>0</v>
      </c>
      <c r="N990" s="6"/>
      <c r="O990" s="5">
        <v>0</v>
      </c>
      <c r="P990" s="5">
        <v>0</v>
      </c>
      <c r="Q990" s="5">
        <v>10.353045999999999</v>
      </c>
      <c r="R990" s="8">
        <f t="shared" si="87"/>
        <v>0</v>
      </c>
      <c r="S990" s="9">
        <f t="shared" si="88"/>
        <v>0</v>
      </c>
      <c r="T990" s="9">
        <v>1.5</v>
      </c>
      <c r="U990" s="9">
        <f t="shared" si="89"/>
        <v>0</v>
      </c>
      <c r="V990" s="9">
        <f t="shared" si="90"/>
        <v>0</v>
      </c>
      <c r="W990" s="9">
        <f t="shared" si="91"/>
        <v>10.353045999999999</v>
      </c>
    </row>
    <row r="991" spans="1:23">
      <c r="A991" s="2" t="s">
        <v>335</v>
      </c>
      <c r="B991" s="2" t="s">
        <v>425</v>
      </c>
      <c r="C991" s="3">
        <v>161</v>
      </c>
      <c r="D991" s="3">
        <v>2.36</v>
      </c>
      <c r="E991" s="2" t="s">
        <v>456</v>
      </c>
      <c r="F991" s="4">
        <v>41687</v>
      </c>
      <c r="G991" s="3">
        <v>49.4</v>
      </c>
      <c r="H991" s="6"/>
      <c r="I991" s="4">
        <v>41703</v>
      </c>
      <c r="J991" s="3">
        <v>55.2</v>
      </c>
      <c r="K991" s="6"/>
      <c r="L991" s="3">
        <v>16</v>
      </c>
      <c r="M991" s="5">
        <v>5.8000000000000043</v>
      </c>
      <c r="N991" s="6"/>
      <c r="O991" s="5">
        <v>37.76</v>
      </c>
      <c r="P991" s="5">
        <v>362.50000000000028</v>
      </c>
      <c r="Q991" s="5">
        <v>28.71465700000001</v>
      </c>
      <c r="R991" s="8">
        <f t="shared" si="87"/>
        <v>16</v>
      </c>
      <c r="S991" s="9">
        <f t="shared" si="88"/>
        <v>5.8000000000000043</v>
      </c>
      <c r="T991" s="9">
        <v>1.5</v>
      </c>
      <c r="U991" s="9">
        <f t="shared" si="89"/>
        <v>37.76</v>
      </c>
      <c r="V991" s="9">
        <f t="shared" si="90"/>
        <v>362.50000000000028</v>
      </c>
      <c r="W991" s="9">
        <f t="shared" si="91"/>
        <v>28.71465700000001</v>
      </c>
    </row>
    <row r="992" spans="1:23">
      <c r="A992" s="2" t="s">
        <v>335</v>
      </c>
      <c r="B992" s="2" t="s">
        <v>425</v>
      </c>
      <c r="C992" s="3">
        <v>161</v>
      </c>
      <c r="D992" s="3">
        <v>2.36</v>
      </c>
      <c r="E992" s="2" t="s">
        <v>456</v>
      </c>
      <c r="F992" s="4">
        <v>41687</v>
      </c>
      <c r="G992" s="3">
        <v>49.4</v>
      </c>
      <c r="H992" s="6"/>
      <c r="I992" s="4">
        <v>41716</v>
      </c>
      <c r="J992" s="3">
        <v>54</v>
      </c>
      <c r="K992" s="6"/>
      <c r="L992" s="3">
        <v>29</v>
      </c>
      <c r="M992" s="5">
        <v>4.6000000000000014</v>
      </c>
      <c r="N992" s="6"/>
      <c r="O992" s="5">
        <v>68.44</v>
      </c>
      <c r="P992" s="5">
        <v>158.62068965517244</v>
      </c>
      <c r="Q992" s="5">
        <v>18.561953000000003</v>
      </c>
      <c r="R992" s="8">
        <f t="shared" si="87"/>
        <v>13</v>
      </c>
      <c r="S992" s="9">
        <f t="shared" si="88"/>
        <v>-1.2000000000000028</v>
      </c>
      <c r="T992" s="9">
        <v>1.5</v>
      </c>
      <c r="U992" s="9">
        <f t="shared" si="89"/>
        <v>30.68</v>
      </c>
      <c r="V992" s="9">
        <f t="shared" si="90"/>
        <v>-92.30769230769252</v>
      </c>
      <c r="W992" s="9">
        <f t="shared" si="91"/>
        <v>6.1911837692307596</v>
      </c>
    </row>
    <row r="993" spans="1:23">
      <c r="A993" s="2" t="s">
        <v>335</v>
      </c>
      <c r="B993" s="2" t="s">
        <v>425</v>
      </c>
      <c r="C993" s="3">
        <v>161</v>
      </c>
      <c r="D993" s="3">
        <v>2.36</v>
      </c>
      <c r="E993" s="2" t="s">
        <v>456</v>
      </c>
      <c r="F993" s="4">
        <v>41687</v>
      </c>
      <c r="G993" s="3">
        <v>49.4</v>
      </c>
      <c r="H993" s="6"/>
      <c r="I993" s="4">
        <v>41731</v>
      </c>
      <c r="J993" s="3">
        <v>55.6</v>
      </c>
      <c r="K993" s="6"/>
      <c r="L993" s="3">
        <v>44</v>
      </c>
      <c r="M993" s="5">
        <v>6.2000000000000028</v>
      </c>
      <c r="N993" s="6"/>
      <c r="O993" s="5">
        <v>103.83999999999999</v>
      </c>
      <c r="P993" s="5">
        <v>140.90909090909099</v>
      </c>
      <c r="Q993" s="5">
        <v>17.824043181818183</v>
      </c>
      <c r="R993" s="8">
        <f t="shared" si="87"/>
        <v>15</v>
      </c>
      <c r="S993" s="9">
        <f t="shared" si="88"/>
        <v>1.6000000000000014</v>
      </c>
      <c r="T993" s="9">
        <v>1.5</v>
      </c>
      <c r="U993" s="9">
        <f t="shared" si="89"/>
        <v>35.4</v>
      </c>
      <c r="V993" s="9">
        <f t="shared" si="90"/>
        <v>106.66666666666676</v>
      </c>
      <c r="W993" s="9">
        <f t="shared" si="91"/>
        <v>16.135891666666669</v>
      </c>
    </row>
    <row r="994" spans="1:23">
      <c r="A994" s="2" t="s">
        <v>335</v>
      </c>
      <c r="B994" s="2" t="s">
        <v>425</v>
      </c>
      <c r="C994" s="3">
        <v>161</v>
      </c>
      <c r="D994" s="3">
        <v>2.36</v>
      </c>
      <c r="E994" s="2" t="s">
        <v>457</v>
      </c>
      <c r="F994" s="4">
        <v>41687</v>
      </c>
      <c r="G994" s="3">
        <v>60.4</v>
      </c>
      <c r="H994" s="6"/>
      <c r="I994" s="4">
        <v>41687</v>
      </c>
      <c r="J994" s="3">
        <v>60.4</v>
      </c>
      <c r="K994" s="6"/>
      <c r="L994" s="3">
        <v>0</v>
      </c>
      <c r="M994" s="5">
        <v>0</v>
      </c>
      <c r="N994" s="6"/>
      <c r="O994" s="5">
        <v>0</v>
      </c>
      <c r="P994" s="5">
        <v>0</v>
      </c>
      <c r="Q994" s="5">
        <v>12.213035999999999</v>
      </c>
      <c r="R994" s="8">
        <f t="shared" si="87"/>
        <v>0</v>
      </c>
      <c r="S994" s="9">
        <f t="shared" si="88"/>
        <v>0</v>
      </c>
      <c r="T994" s="9">
        <v>1.5</v>
      </c>
      <c r="U994" s="9">
        <f t="shared" si="89"/>
        <v>0</v>
      </c>
      <c r="V994" s="9">
        <f t="shared" si="90"/>
        <v>0</v>
      </c>
      <c r="W994" s="9">
        <f t="shared" si="91"/>
        <v>12.213035999999999</v>
      </c>
    </row>
    <row r="995" spans="1:23">
      <c r="A995" s="2" t="s">
        <v>335</v>
      </c>
      <c r="B995" s="2" t="s">
        <v>425</v>
      </c>
      <c r="C995" s="3">
        <v>161</v>
      </c>
      <c r="D995" s="3">
        <v>2.36</v>
      </c>
      <c r="E995" s="2" t="s">
        <v>457</v>
      </c>
      <c r="F995" s="4">
        <v>41687</v>
      </c>
      <c r="G995" s="3">
        <v>60.4</v>
      </c>
      <c r="H995" s="6"/>
      <c r="I995" s="4">
        <v>41703</v>
      </c>
      <c r="J995" s="3">
        <v>63.8</v>
      </c>
      <c r="K995" s="6"/>
      <c r="L995" s="3">
        <v>16</v>
      </c>
      <c r="M995" s="5">
        <v>3.3999999999999986</v>
      </c>
      <c r="N995" s="6"/>
      <c r="O995" s="5">
        <v>37.76</v>
      </c>
      <c r="P995" s="5">
        <v>212.49999999999991</v>
      </c>
      <c r="Q995" s="5">
        <v>22.976738999999995</v>
      </c>
      <c r="R995" s="8">
        <f t="shared" si="87"/>
        <v>16</v>
      </c>
      <c r="S995" s="9">
        <f t="shared" si="88"/>
        <v>3.3999999999999986</v>
      </c>
      <c r="T995" s="9">
        <v>1.5</v>
      </c>
      <c r="U995" s="9">
        <f t="shared" si="89"/>
        <v>37.76</v>
      </c>
      <c r="V995" s="9">
        <f t="shared" si="90"/>
        <v>212.49999999999991</v>
      </c>
      <c r="W995" s="9">
        <f t="shared" si="91"/>
        <v>22.976738999999995</v>
      </c>
    </row>
    <row r="996" spans="1:23">
      <c r="A996" s="2" t="s">
        <v>335</v>
      </c>
      <c r="B996" s="2" t="s">
        <v>425</v>
      </c>
      <c r="C996" s="3">
        <v>161</v>
      </c>
      <c r="D996" s="3">
        <v>2.36</v>
      </c>
      <c r="E996" s="2" t="s">
        <v>457</v>
      </c>
      <c r="F996" s="4">
        <v>41687</v>
      </c>
      <c r="G996" s="3">
        <v>60.4</v>
      </c>
      <c r="H996" s="6"/>
      <c r="I996" s="4">
        <v>41716</v>
      </c>
      <c r="J996" s="3">
        <v>63.5</v>
      </c>
      <c r="K996" s="6"/>
      <c r="L996" s="3">
        <v>29</v>
      </c>
      <c r="M996" s="5">
        <v>3.1000000000000014</v>
      </c>
      <c r="N996" s="6"/>
      <c r="O996" s="5">
        <v>68.44</v>
      </c>
      <c r="P996" s="5">
        <v>106.89655172413798</v>
      </c>
      <c r="Q996" s="5">
        <v>17.745125500000004</v>
      </c>
      <c r="R996" s="8">
        <f t="shared" si="87"/>
        <v>13</v>
      </c>
      <c r="S996" s="9">
        <f t="shared" si="88"/>
        <v>-0.29999999999999716</v>
      </c>
      <c r="T996" s="9">
        <v>1.5</v>
      </c>
      <c r="U996" s="9">
        <f t="shared" si="89"/>
        <v>30.68</v>
      </c>
      <c r="V996" s="9">
        <f t="shared" si="90"/>
        <v>-23.07692307692286</v>
      </c>
      <c r="W996" s="9">
        <f t="shared" si="91"/>
        <v>11.337433192307703</v>
      </c>
    </row>
    <row r="997" spans="1:23">
      <c r="A997" s="2" t="s">
        <v>335</v>
      </c>
      <c r="B997" s="2" t="s">
        <v>425</v>
      </c>
      <c r="C997" s="3">
        <v>161</v>
      </c>
      <c r="D997" s="3">
        <v>2.36</v>
      </c>
      <c r="E997" s="2" t="s">
        <v>457</v>
      </c>
      <c r="F997" s="4">
        <v>41687</v>
      </c>
      <c r="G997" s="3">
        <v>60.4</v>
      </c>
      <c r="H997" s="6"/>
      <c r="I997" s="4">
        <v>41731</v>
      </c>
      <c r="J997" s="3">
        <v>68</v>
      </c>
      <c r="K997" s="6"/>
      <c r="L997" s="3">
        <v>44</v>
      </c>
      <c r="M997" s="5">
        <v>7.6000000000000014</v>
      </c>
      <c r="N997" s="6"/>
      <c r="O997" s="5">
        <v>103.83999999999999</v>
      </c>
      <c r="P997" s="5">
        <v>172.72727272727275</v>
      </c>
      <c r="Q997" s="5">
        <v>21.371032545454547</v>
      </c>
      <c r="R997" s="8">
        <f t="shared" si="87"/>
        <v>15</v>
      </c>
      <c r="S997" s="9">
        <f t="shared" si="88"/>
        <v>4.5</v>
      </c>
      <c r="T997" s="9">
        <v>1.5</v>
      </c>
      <c r="U997" s="9">
        <f t="shared" si="89"/>
        <v>35.4</v>
      </c>
      <c r="V997" s="9">
        <f t="shared" si="90"/>
        <v>300</v>
      </c>
      <c r="W997" s="9">
        <f t="shared" si="91"/>
        <v>27.645578</v>
      </c>
    </row>
    <row r="998" spans="1:23">
      <c r="A998" s="2" t="s">
        <v>335</v>
      </c>
      <c r="B998" s="2" t="s">
        <v>425</v>
      </c>
      <c r="C998" s="3">
        <v>161</v>
      </c>
      <c r="D998" s="3">
        <v>2.36</v>
      </c>
      <c r="E998" s="2" t="s">
        <v>458</v>
      </c>
      <c r="F998" s="4">
        <v>41687</v>
      </c>
      <c r="G998" s="3">
        <v>58</v>
      </c>
      <c r="H998" s="6"/>
      <c r="I998" s="4">
        <v>41687</v>
      </c>
      <c r="J998" s="3">
        <v>58</v>
      </c>
      <c r="K998" s="6"/>
      <c r="L998" s="3">
        <v>0</v>
      </c>
      <c r="M998" s="5">
        <v>0</v>
      </c>
      <c r="N998" s="6"/>
      <c r="O998" s="5">
        <v>0</v>
      </c>
      <c r="P998" s="5">
        <v>0</v>
      </c>
      <c r="Q998" s="5">
        <v>11.807219999999999</v>
      </c>
      <c r="R998" s="8">
        <f t="shared" si="87"/>
        <v>0</v>
      </c>
      <c r="S998" s="9">
        <f t="shared" si="88"/>
        <v>0</v>
      </c>
      <c r="T998" s="9">
        <v>1.5</v>
      </c>
      <c r="U998" s="9">
        <f t="shared" si="89"/>
        <v>0</v>
      </c>
      <c r="V998" s="9">
        <f t="shared" si="90"/>
        <v>0</v>
      </c>
      <c r="W998" s="9">
        <f t="shared" si="91"/>
        <v>11.807219999999999</v>
      </c>
    </row>
    <row r="999" spans="1:23">
      <c r="A999" s="2" t="s">
        <v>335</v>
      </c>
      <c r="B999" s="2" t="s">
        <v>425</v>
      </c>
      <c r="C999" s="3">
        <v>161</v>
      </c>
      <c r="D999" s="3">
        <v>2.36</v>
      </c>
      <c r="E999" s="2" t="s">
        <v>458</v>
      </c>
      <c r="F999" s="4">
        <v>41687</v>
      </c>
      <c r="G999" s="3">
        <v>58</v>
      </c>
      <c r="H999" s="6"/>
      <c r="I999" s="4">
        <v>41703</v>
      </c>
      <c r="J999" s="3">
        <v>65.8</v>
      </c>
      <c r="K999" s="6"/>
      <c r="L999" s="3">
        <v>16</v>
      </c>
      <c r="M999" s="5">
        <v>7.7999999999999972</v>
      </c>
      <c r="N999" s="6"/>
      <c r="O999" s="5">
        <v>37.76</v>
      </c>
      <c r="P999" s="5">
        <v>487.49999999999983</v>
      </c>
      <c r="Q999" s="5">
        <v>36.500420999999989</v>
      </c>
      <c r="R999" s="8">
        <f t="shared" si="87"/>
        <v>16</v>
      </c>
      <c r="S999" s="9">
        <f t="shared" si="88"/>
        <v>7.7999999999999972</v>
      </c>
      <c r="T999" s="9">
        <v>1.5</v>
      </c>
      <c r="U999" s="9">
        <f t="shared" si="89"/>
        <v>37.76</v>
      </c>
      <c r="V999" s="9">
        <f t="shared" si="90"/>
        <v>487.49999999999983</v>
      </c>
      <c r="W999" s="9">
        <f t="shared" si="91"/>
        <v>36.500420999999989</v>
      </c>
    </row>
    <row r="1000" spans="1:23">
      <c r="A1000" s="2" t="s">
        <v>335</v>
      </c>
      <c r="B1000" s="2" t="s">
        <v>425</v>
      </c>
      <c r="C1000" s="3">
        <v>161</v>
      </c>
      <c r="D1000" s="3">
        <v>2.36</v>
      </c>
      <c r="E1000" s="2" t="s">
        <v>458</v>
      </c>
      <c r="F1000" s="4">
        <v>41687</v>
      </c>
      <c r="G1000" s="3">
        <v>58</v>
      </c>
      <c r="H1000" s="6"/>
      <c r="I1000" s="4">
        <v>41716</v>
      </c>
      <c r="J1000" s="3">
        <v>67</v>
      </c>
      <c r="K1000" s="6"/>
      <c r="L1000" s="3">
        <v>29</v>
      </c>
      <c r="M1000" s="5">
        <v>9</v>
      </c>
      <c r="N1000" s="6"/>
      <c r="O1000" s="5">
        <v>68.44</v>
      </c>
      <c r="P1000" s="5">
        <v>310.34482758620692</v>
      </c>
      <c r="Q1000" s="5">
        <v>27.868124999999999</v>
      </c>
      <c r="R1000" s="8">
        <f t="shared" si="87"/>
        <v>13</v>
      </c>
      <c r="S1000" s="9">
        <f t="shared" si="88"/>
        <v>1.2000000000000028</v>
      </c>
      <c r="T1000" s="9">
        <v>1.5</v>
      </c>
      <c r="U1000" s="9">
        <f t="shared" si="89"/>
        <v>30.68</v>
      </c>
      <c r="V1000" s="9">
        <f t="shared" si="90"/>
        <v>92.30769230769252</v>
      </c>
      <c r="W1000" s="9">
        <f t="shared" si="91"/>
        <v>17.118894230769243</v>
      </c>
    </row>
    <row r="1001" spans="1:23">
      <c r="A1001" s="2" t="s">
        <v>335</v>
      </c>
      <c r="B1001" s="2" t="s">
        <v>425</v>
      </c>
      <c r="C1001" s="3">
        <v>161</v>
      </c>
      <c r="D1001" s="3">
        <v>2.36</v>
      </c>
      <c r="E1001" s="2" t="s">
        <v>458</v>
      </c>
      <c r="F1001" s="4">
        <v>41687</v>
      </c>
      <c r="G1001" s="3">
        <v>58</v>
      </c>
      <c r="H1001" s="6"/>
      <c r="I1001" s="4">
        <v>41731</v>
      </c>
      <c r="J1001" s="3">
        <v>71.599999999999994</v>
      </c>
      <c r="K1001" s="6"/>
      <c r="L1001" s="3">
        <v>44</v>
      </c>
      <c r="M1001" s="5">
        <v>13.599999999999994</v>
      </c>
      <c r="N1001" s="6"/>
      <c r="O1001" s="5">
        <v>103.83999999999999</v>
      </c>
      <c r="P1001" s="5">
        <v>309.09090909090895</v>
      </c>
      <c r="Q1001" s="5">
        <v>28.195213818181809</v>
      </c>
      <c r="R1001" s="8">
        <f t="shared" si="87"/>
        <v>15</v>
      </c>
      <c r="S1001" s="9">
        <f t="shared" si="88"/>
        <v>4.5999999999999943</v>
      </c>
      <c r="T1001" s="9">
        <v>1.5</v>
      </c>
      <c r="U1001" s="9">
        <f t="shared" si="89"/>
        <v>35.4</v>
      </c>
      <c r="V1001" s="9">
        <f t="shared" si="90"/>
        <v>306.66666666666629</v>
      </c>
      <c r="W1001" s="9">
        <f t="shared" si="91"/>
        <v>28.075698666666646</v>
      </c>
    </row>
    <row r="1002" spans="1:23">
      <c r="A1002" s="2" t="s">
        <v>335</v>
      </c>
      <c r="B1002" s="2" t="s">
        <v>425</v>
      </c>
      <c r="C1002" s="3">
        <v>161</v>
      </c>
      <c r="D1002" s="3">
        <v>2.36</v>
      </c>
      <c r="E1002" s="2" t="s">
        <v>459</v>
      </c>
      <c r="F1002" s="4">
        <v>41687</v>
      </c>
      <c r="G1002" s="3">
        <v>52.6</v>
      </c>
      <c r="H1002" s="6"/>
      <c r="I1002" s="4">
        <v>41687</v>
      </c>
      <c r="J1002" s="3">
        <v>52.6</v>
      </c>
      <c r="K1002" s="6"/>
      <c r="L1002" s="3">
        <v>0</v>
      </c>
      <c r="M1002" s="5">
        <v>0</v>
      </c>
      <c r="N1002" s="6"/>
      <c r="O1002" s="5">
        <v>0</v>
      </c>
      <c r="P1002" s="5">
        <v>0</v>
      </c>
      <c r="Q1002" s="5">
        <v>10.894133999999999</v>
      </c>
      <c r="R1002" s="8">
        <f t="shared" si="87"/>
        <v>0</v>
      </c>
      <c r="S1002" s="9">
        <f t="shared" si="88"/>
        <v>0</v>
      </c>
      <c r="T1002" s="9">
        <v>1.5</v>
      </c>
      <c r="U1002" s="9">
        <f t="shared" si="89"/>
        <v>0</v>
      </c>
      <c r="V1002" s="9">
        <f t="shared" si="90"/>
        <v>0</v>
      </c>
      <c r="W1002" s="9">
        <f t="shared" si="91"/>
        <v>10.894133999999999</v>
      </c>
    </row>
    <row r="1003" spans="1:23">
      <c r="A1003" s="2" t="s">
        <v>335</v>
      </c>
      <c r="B1003" s="2" t="s">
        <v>425</v>
      </c>
      <c r="C1003" s="3">
        <v>161</v>
      </c>
      <c r="D1003" s="3">
        <v>2.36</v>
      </c>
      <c r="E1003" s="2" t="s">
        <v>459</v>
      </c>
      <c r="F1003" s="4">
        <v>41687</v>
      </c>
      <c r="G1003" s="3">
        <v>52.6</v>
      </c>
      <c r="H1003" s="6"/>
      <c r="I1003" s="4">
        <v>41703</v>
      </c>
      <c r="J1003" s="3">
        <v>53.6</v>
      </c>
      <c r="K1003" s="6"/>
      <c r="L1003" s="3">
        <v>16</v>
      </c>
      <c r="M1003" s="5">
        <v>1</v>
      </c>
      <c r="N1003" s="6"/>
      <c r="O1003" s="5">
        <v>37.76</v>
      </c>
      <c r="P1003" s="5">
        <v>62.5</v>
      </c>
      <c r="Q1003" s="5">
        <v>14.059929</v>
      </c>
      <c r="R1003" s="8">
        <f t="shared" si="87"/>
        <v>16</v>
      </c>
      <c r="S1003" s="9">
        <f t="shared" si="88"/>
        <v>1</v>
      </c>
      <c r="T1003" s="9">
        <v>1.5</v>
      </c>
      <c r="U1003" s="9">
        <f t="shared" si="89"/>
        <v>37.76</v>
      </c>
      <c r="V1003" s="9">
        <f t="shared" si="90"/>
        <v>62.5</v>
      </c>
      <c r="W1003" s="9">
        <f t="shared" si="91"/>
        <v>14.059929</v>
      </c>
    </row>
    <row r="1004" spans="1:23">
      <c r="A1004" s="2" t="s">
        <v>335</v>
      </c>
      <c r="B1004" s="2" t="s">
        <v>425</v>
      </c>
      <c r="C1004" s="3">
        <v>161</v>
      </c>
      <c r="D1004" s="3">
        <v>2.36</v>
      </c>
      <c r="E1004" s="2" t="s">
        <v>459</v>
      </c>
      <c r="F1004" s="4">
        <v>41687</v>
      </c>
      <c r="G1004" s="3">
        <v>52.6</v>
      </c>
      <c r="H1004" s="6"/>
      <c r="I1004" s="4">
        <v>41716</v>
      </c>
      <c r="J1004" s="3">
        <v>52.5</v>
      </c>
      <c r="K1004" s="6"/>
      <c r="L1004" s="3">
        <v>29</v>
      </c>
      <c r="M1004" s="5">
        <v>-0.10000000000000142</v>
      </c>
      <c r="N1004" s="6"/>
      <c r="O1004" s="5">
        <v>68.44</v>
      </c>
      <c r="P1004" s="5">
        <v>-3.4482758620690146</v>
      </c>
      <c r="Q1004" s="5">
        <v>10.715679499999997</v>
      </c>
      <c r="R1004" s="8">
        <f t="shared" si="87"/>
        <v>13</v>
      </c>
      <c r="S1004" s="9">
        <f t="shared" si="88"/>
        <v>-1.1000000000000014</v>
      </c>
      <c r="T1004" s="9">
        <v>1.5</v>
      </c>
      <c r="U1004" s="9">
        <f t="shared" si="89"/>
        <v>30.68</v>
      </c>
      <c r="V1004" s="9">
        <f t="shared" si="90"/>
        <v>-84.615384615384727</v>
      </c>
      <c r="W1004" s="9">
        <f t="shared" si="91"/>
        <v>6.7141410384615314</v>
      </c>
    </row>
    <row r="1005" spans="1:23">
      <c r="A1005" s="2" t="s">
        <v>335</v>
      </c>
      <c r="B1005" s="2" t="s">
        <v>425</v>
      </c>
      <c r="C1005" s="3">
        <v>161</v>
      </c>
      <c r="D1005" s="3">
        <v>2.36</v>
      </c>
      <c r="E1005" s="2" t="s">
        <v>459</v>
      </c>
      <c r="F1005" s="4">
        <v>41687</v>
      </c>
      <c r="G1005" s="3">
        <v>52.6</v>
      </c>
      <c r="H1005" s="6"/>
      <c r="I1005" s="4">
        <v>41731</v>
      </c>
      <c r="J1005" s="3">
        <v>52.8</v>
      </c>
      <c r="K1005" s="6"/>
      <c r="L1005" s="3">
        <v>44</v>
      </c>
      <c r="M1005" s="5">
        <v>0.19999999999999574</v>
      </c>
      <c r="N1005" s="6"/>
      <c r="O1005" s="5">
        <v>103.83999999999999</v>
      </c>
      <c r="P1005" s="5">
        <v>4.545454545454449</v>
      </c>
      <c r="Q1005" s="5">
        <v>11.135133909090904</v>
      </c>
      <c r="R1005" s="8">
        <f t="shared" si="87"/>
        <v>15</v>
      </c>
      <c r="S1005" s="9">
        <f t="shared" si="88"/>
        <v>0.29999999999999716</v>
      </c>
      <c r="T1005" s="9">
        <v>1.5</v>
      </c>
      <c r="U1005" s="9">
        <f t="shared" si="89"/>
        <v>35.4</v>
      </c>
      <c r="V1005" s="9">
        <f t="shared" si="90"/>
        <v>19.999999999999808</v>
      </c>
      <c r="W1005" s="9">
        <f t="shared" si="91"/>
        <v>11.897042999999989</v>
      </c>
    </row>
    <row r="1006" spans="1:23">
      <c r="A1006" s="2" t="s">
        <v>335</v>
      </c>
      <c r="B1006" s="2" t="s">
        <v>425</v>
      </c>
      <c r="C1006" s="3">
        <v>161</v>
      </c>
      <c r="D1006" s="3">
        <v>2.36</v>
      </c>
      <c r="E1006" s="2" t="s">
        <v>460</v>
      </c>
      <c r="F1006" s="4">
        <v>41687</v>
      </c>
      <c r="G1006" s="3">
        <v>56.6</v>
      </c>
      <c r="H1006" s="6"/>
      <c r="I1006" s="4">
        <v>41687</v>
      </c>
      <c r="J1006" s="3">
        <v>56.6</v>
      </c>
      <c r="K1006" s="6"/>
      <c r="L1006" s="3">
        <v>0</v>
      </c>
      <c r="M1006" s="5">
        <v>0</v>
      </c>
      <c r="N1006" s="6"/>
      <c r="O1006" s="5">
        <v>0</v>
      </c>
      <c r="P1006" s="5">
        <v>0</v>
      </c>
      <c r="Q1006" s="5">
        <v>11.570494</v>
      </c>
      <c r="R1006" s="8">
        <f t="shared" si="87"/>
        <v>0</v>
      </c>
      <c r="S1006" s="9">
        <f t="shared" si="88"/>
        <v>0</v>
      </c>
      <c r="T1006" s="9">
        <v>1.5</v>
      </c>
      <c r="U1006" s="9">
        <f t="shared" si="89"/>
        <v>0</v>
      </c>
      <c r="V1006" s="9">
        <f t="shared" si="90"/>
        <v>0</v>
      </c>
      <c r="W1006" s="9">
        <f t="shared" si="91"/>
        <v>11.570494</v>
      </c>
    </row>
    <row r="1007" spans="1:23">
      <c r="A1007" s="2" t="s">
        <v>335</v>
      </c>
      <c r="B1007" s="2" t="s">
        <v>425</v>
      </c>
      <c r="C1007" s="3">
        <v>161</v>
      </c>
      <c r="D1007" s="3">
        <v>2.36</v>
      </c>
      <c r="E1007" s="2" t="s">
        <v>460</v>
      </c>
      <c r="F1007" s="4">
        <v>41687</v>
      </c>
      <c r="G1007" s="3">
        <v>56.6</v>
      </c>
      <c r="H1007" s="6"/>
      <c r="I1007" s="4">
        <v>41703</v>
      </c>
      <c r="J1007" s="3">
        <v>62.4</v>
      </c>
      <c r="K1007" s="6"/>
      <c r="L1007" s="3">
        <v>16</v>
      </c>
      <c r="M1007" s="5">
        <v>5.7999999999999972</v>
      </c>
      <c r="N1007" s="6"/>
      <c r="O1007" s="5">
        <v>37.76</v>
      </c>
      <c r="P1007" s="5">
        <v>362.49999999999983</v>
      </c>
      <c r="Q1007" s="5">
        <v>29.932104999999989</v>
      </c>
      <c r="R1007" s="8">
        <f t="shared" si="87"/>
        <v>16</v>
      </c>
      <c r="S1007" s="9">
        <f t="shared" si="88"/>
        <v>5.7999999999999972</v>
      </c>
      <c r="T1007" s="9">
        <v>1.5</v>
      </c>
      <c r="U1007" s="9">
        <f t="shared" si="89"/>
        <v>37.76</v>
      </c>
      <c r="V1007" s="9">
        <f t="shared" si="90"/>
        <v>362.49999999999983</v>
      </c>
      <c r="W1007" s="9">
        <f t="shared" si="91"/>
        <v>29.932104999999989</v>
      </c>
    </row>
    <row r="1008" spans="1:23">
      <c r="A1008" s="2" t="s">
        <v>335</v>
      </c>
      <c r="B1008" s="2" t="s">
        <v>425</v>
      </c>
      <c r="C1008" s="3">
        <v>161</v>
      </c>
      <c r="D1008" s="3">
        <v>2.36</v>
      </c>
      <c r="E1008" s="2" t="s">
        <v>460</v>
      </c>
      <c r="F1008" s="4">
        <v>41687</v>
      </c>
      <c r="G1008" s="3">
        <v>56.6</v>
      </c>
      <c r="H1008" s="6"/>
      <c r="I1008" s="4">
        <v>41716</v>
      </c>
      <c r="J1008" s="3">
        <v>61.5</v>
      </c>
      <c r="K1008" s="6"/>
      <c r="L1008" s="3">
        <v>29</v>
      </c>
      <c r="M1008" s="5">
        <v>4.8999999999999986</v>
      </c>
      <c r="N1008" s="6"/>
      <c r="O1008" s="5">
        <v>68.44</v>
      </c>
      <c r="P1008" s="5">
        <v>168.96551724137925</v>
      </c>
      <c r="Q1008" s="5">
        <v>20.314764499999995</v>
      </c>
      <c r="R1008" s="8">
        <f t="shared" si="87"/>
        <v>13</v>
      </c>
      <c r="S1008" s="9">
        <f t="shared" si="88"/>
        <v>-0.89999999999999858</v>
      </c>
      <c r="T1008" s="9">
        <v>1.5</v>
      </c>
      <c r="U1008" s="9">
        <f t="shared" si="89"/>
        <v>30.68</v>
      </c>
      <c r="V1008" s="9">
        <f t="shared" si="90"/>
        <v>-69.230769230769127</v>
      </c>
      <c r="W1008" s="9">
        <f t="shared" si="91"/>
        <v>8.5716875769230807</v>
      </c>
    </row>
    <row r="1009" spans="1:23">
      <c r="A1009" s="2" t="s">
        <v>335</v>
      </c>
      <c r="B1009" s="2" t="s">
        <v>425</v>
      </c>
      <c r="C1009" s="3">
        <v>161</v>
      </c>
      <c r="D1009" s="3">
        <v>2.36</v>
      </c>
      <c r="E1009" s="2" t="s">
        <v>460</v>
      </c>
      <c r="F1009" s="4">
        <v>41687</v>
      </c>
      <c r="G1009" s="3">
        <v>56.6</v>
      </c>
      <c r="H1009" s="6"/>
      <c r="I1009" s="4">
        <v>41731</v>
      </c>
      <c r="J1009" s="3">
        <v>58.6</v>
      </c>
      <c r="K1009" s="6"/>
      <c r="L1009" s="3">
        <v>44</v>
      </c>
      <c r="M1009" s="5">
        <v>2</v>
      </c>
      <c r="N1009" s="6"/>
      <c r="O1009" s="5">
        <v>103.83999999999999</v>
      </c>
      <c r="P1009" s="5">
        <v>45.454545454545453</v>
      </c>
      <c r="Q1009" s="5">
        <v>13.980493090909089</v>
      </c>
      <c r="R1009" s="8">
        <f t="shared" si="87"/>
        <v>15</v>
      </c>
      <c r="S1009" s="9">
        <f t="shared" si="88"/>
        <v>-2.8999999999999986</v>
      </c>
      <c r="T1009" s="9">
        <v>1.5</v>
      </c>
      <c r="U1009" s="9">
        <f t="shared" si="89"/>
        <v>35.4</v>
      </c>
      <c r="V1009" s="9">
        <f t="shared" si="90"/>
        <v>-193.33333333333326</v>
      </c>
      <c r="W1009" s="9">
        <f t="shared" si="91"/>
        <v>2.2082506666666699</v>
      </c>
    </row>
    <row r="1010" spans="1:23">
      <c r="A1010" s="2" t="s">
        <v>335</v>
      </c>
      <c r="B1010" s="2" t="s">
        <v>425</v>
      </c>
      <c r="C1010" s="3">
        <v>161</v>
      </c>
      <c r="D1010" s="3">
        <v>2.36</v>
      </c>
      <c r="E1010" s="2" t="s">
        <v>461</v>
      </c>
      <c r="F1010" s="4">
        <v>41687</v>
      </c>
      <c r="G1010" s="3">
        <v>58.6</v>
      </c>
      <c r="H1010" s="6"/>
      <c r="I1010" s="4">
        <v>41687</v>
      </c>
      <c r="J1010" s="3">
        <v>58.6</v>
      </c>
      <c r="K1010" s="6"/>
      <c r="L1010" s="3">
        <v>0</v>
      </c>
      <c r="M1010" s="5">
        <v>0</v>
      </c>
      <c r="N1010" s="6"/>
      <c r="O1010" s="5">
        <v>0</v>
      </c>
      <c r="P1010" s="5">
        <v>0</v>
      </c>
      <c r="Q1010" s="5">
        <v>11.908674</v>
      </c>
      <c r="R1010" s="8">
        <f t="shared" si="87"/>
        <v>0</v>
      </c>
      <c r="S1010" s="9">
        <f t="shared" si="88"/>
        <v>0</v>
      </c>
      <c r="T1010" s="9">
        <v>1.5</v>
      </c>
      <c r="U1010" s="9">
        <f t="shared" si="89"/>
        <v>0</v>
      </c>
      <c r="V1010" s="9">
        <f t="shared" si="90"/>
        <v>0</v>
      </c>
      <c r="W1010" s="9">
        <f t="shared" si="91"/>
        <v>11.908674</v>
      </c>
    </row>
    <row r="1011" spans="1:23">
      <c r="A1011" s="2" t="s">
        <v>335</v>
      </c>
      <c r="B1011" s="2" t="s">
        <v>425</v>
      </c>
      <c r="C1011" s="3">
        <v>161</v>
      </c>
      <c r="D1011" s="3">
        <v>2.36</v>
      </c>
      <c r="E1011" s="2" t="s">
        <v>461</v>
      </c>
      <c r="F1011" s="4">
        <v>41687</v>
      </c>
      <c r="G1011" s="3">
        <v>58.6</v>
      </c>
      <c r="H1011" s="6"/>
      <c r="I1011" s="4">
        <v>41703</v>
      </c>
      <c r="J1011" s="3">
        <v>66.2</v>
      </c>
      <c r="K1011" s="6"/>
      <c r="L1011" s="3">
        <v>16</v>
      </c>
      <c r="M1011" s="5">
        <v>7.6000000000000014</v>
      </c>
      <c r="N1011" s="6"/>
      <c r="O1011" s="5">
        <v>37.76</v>
      </c>
      <c r="P1011" s="5">
        <v>475.00000000000011</v>
      </c>
      <c r="Q1011" s="5">
        <v>35.968716000000001</v>
      </c>
      <c r="R1011" s="8">
        <f t="shared" si="87"/>
        <v>16</v>
      </c>
      <c r="S1011" s="9">
        <f t="shared" si="88"/>
        <v>7.6000000000000014</v>
      </c>
      <c r="T1011" s="9">
        <v>1.5</v>
      </c>
      <c r="U1011" s="9">
        <f t="shared" si="89"/>
        <v>37.76</v>
      </c>
      <c r="V1011" s="9">
        <f t="shared" si="90"/>
        <v>475.00000000000011</v>
      </c>
      <c r="W1011" s="9">
        <f t="shared" si="91"/>
        <v>35.968716000000001</v>
      </c>
    </row>
    <row r="1012" spans="1:23">
      <c r="A1012" s="2" t="s">
        <v>335</v>
      </c>
      <c r="B1012" s="2" t="s">
        <v>425</v>
      </c>
      <c r="C1012" s="3">
        <v>161</v>
      </c>
      <c r="D1012" s="3">
        <v>2.36</v>
      </c>
      <c r="E1012" s="2" t="s">
        <v>461</v>
      </c>
      <c r="F1012" s="4">
        <v>41687</v>
      </c>
      <c r="G1012" s="3">
        <v>58.6</v>
      </c>
      <c r="H1012" s="6"/>
      <c r="I1012" s="4">
        <v>41716</v>
      </c>
      <c r="J1012" s="3">
        <v>64.5</v>
      </c>
      <c r="K1012" s="6"/>
      <c r="L1012" s="3">
        <v>29</v>
      </c>
      <c r="M1012" s="5">
        <v>5.8999999999999986</v>
      </c>
      <c r="N1012" s="6"/>
      <c r="O1012" s="5">
        <v>68.44</v>
      </c>
      <c r="P1012" s="5">
        <v>203.44827586206893</v>
      </c>
      <c r="Q1012" s="5">
        <v>22.437489499999998</v>
      </c>
      <c r="R1012" s="8">
        <f t="shared" si="87"/>
        <v>13</v>
      </c>
      <c r="S1012" s="9">
        <f t="shared" si="88"/>
        <v>-1.7000000000000028</v>
      </c>
      <c r="T1012" s="9">
        <v>1.5</v>
      </c>
      <c r="U1012" s="9">
        <f t="shared" si="89"/>
        <v>30.68</v>
      </c>
      <c r="V1012" s="9">
        <f t="shared" si="90"/>
        <v>-130.769230769231</v>
      </c>
      <c r="W1012" s="9">
        <f t="shared" si="91"/>
        <v>5.9605664230769113</v>
      </c>
    </row>
    <row r="1013" spans="1:23">
      <c r="A1013" s="2" t="s">
        <v>335</v>
      </c>
      <c r="B1013" s="2" t="s">
        <v>425</v>
      </c>
      <c r="C1013" s="3">
        <v>161</v>
      </c>
      <c r="D1013" s="3">
        <v>2.36</v>
      </c>
      <c r="E1013" s="2" t="s">
        <v>461</v>
      </c>
      <c r="F1013" s="4">
        <v>41687</v>
      </c>
      <c r="G1013" s="3">
        <v>58.6</v>
      </c>
      <c r="H1013" s="6"/>
      <c r="I1013" s="4">
        <v>41731</v>
      </c>
      <c r="J1013" s="3">
        <v>68.400000000000006</v>
      </c>
      <c r="K1013" s="6"/>
      <c r="L1013" s="3">
        <v>44</v>
      </c>
      <c r="M1013" s="5">
        <v>9.8000000000000043</v>
      </c>
      <c r="N1013" s="6"/>
      <c r="O1013" s="5">
        <v>103.83999999999999</v>
      </c>
      <c r="P1013" s="5">
        <v>222.72727272727283</v>
      </c>
      <c r="Q1013" s="5">
        <v>23.717669545454548</v>
      </c>
      <c r="R1013" s="8">
        <f t="shared" si="87"/>
        <v>15</v>
      </c>
      <c r="S1013" s="9">
        <f t="shared" si="88"/>
        <v>3.9000000000000057</v>
      </c>
      <c r="T1013" s="9">
        <v>1.5</v>
      </c>
      <c r="U1013" s="9">
        <f t="shared" si="89"/>
        <v>35.4</v>
      </c>
      <c r="V1013" s="9">
        <f t="shared" si="90"/>
        <v>260.0000000000004</v>
      </c>
      <c r="W1013" s="9">
        <f t="shared" si="91"/>
        <v>25.555215000000018</v>
      </c>
    </row>
    <row r="1014" spans="1:23">
      <c r="A1014" s="2" t="s">
        <v>335</v>
      </c>
      <c r="B1014" s="2" t="s">
        <v>425</v>
      </c>
      <c r="C1014" s="3">
        <v>161</v>
      </c>
      <c r="D1014" s="3">
        <v>2.36</v>
      </c>
      <c r="E1014" s="2" t="s">
        <v>462</v>
      </c>
      <c r="F1014" s="4">
        <v>41687</v>
      </c>
      <c r="G1014" s="3">
        <v>56.6</v>
      </c>
      <c r="H1014" s="6"/>
      <c r="I1014" s="4">
        <v>41687</v>
      </c>
      <c r="J1014" s="3">
        <v>56.6</v>
      </c>
      <c r="K1014" s="6"/>
      <c r="L1014" s="3">
        <v>0</v>
      </c>
      <c r="M1014" s="5">
        <v>0</v>
      </c>
      <c r="N1014" s="6"/>
      <c r="O1014" s="5">
        <v>0</v>
      </c>
      <c r="P1014" s="5">
        <v>0</v>
      </c>
      <c r="Q1014" s="5">
        <v>11.570494</v>
      </c>
      <c r="R1014" s="8">
        <f t="shared" si="87"/>
        <v>0</v>
      </c>
      <c r="S1014" s="9">
        <f t="shared" si="88"/>
        <v>0</v>
      </c>
      <c r="T1014" s="9">
        <v>1.5</v>
      </c>
      <c r="U1014" s="9">
        <f t="shared" si="89"/>
        <v>0</v>
      </c>
      <c r="V1014" s="9">
        <f t="shared" si="90"/>
        <v>0</v>
      </c>
      <c r="W1014" s="9">
        <f t="shared" si="91"/>
        <v>11.570494</v>
      </c>
    </row>
    <row r="1015" spans="1:23">
      <c r="A1015" s="2" t="s">
        <v>335</v>
      </c>
      <c r="B1015" s="2" t="s">
        <v>425</v>
      </c>
      <c r="C1015" s="3">
        <v>161</v>
      </c>
      <c r="D1015" s="3">
        <v>2.36</v>
      </c>
      <c r="E1015" s="2" t="s">
        <v>462</v>
      </c>
      <c r="F1015" s="4">
        <v>41687</v>
      </c>
      <c r="G1015" s="3">
        <v>56.6</v>
      </c>
      <c r="H1015" s="6"/>
      <c r="I1015" s="4">
        <v>41703</v>
      </c>
      <c r="J1015" s="3">
        <v>60.8</v>
      </c>
      <c r="K1015" s="6"/>
      <c r="L1015" s="3">
        <v>16</v>
      </c>
      <c r="M1015" s="5">
        <v>4.1999999999999957</v>
      </c>
      <c r="N1015" s="6"/>
      <c r="O1015" s="5">
        <v>37.76</v>
      </c>
      <c r="P1015" s="5">
        <v>262.49999999999972</v>
      </c>
      <c r="Q1015" s="5">
        <v>24.866832999999986</v>
      </c>
      <c r="R1015" s="8">
        <f t="shared" si="87"/>
        <v>16</v>
      </c>
      <c r="S1015" s="9">
        <f t="shared" si="88"/>
        <v>4.1999999999999957</v>
      </c>
      <c r="T1015" s="9">
        <v>1.5</v>
      </c>
      <c r="U1015" s="9">
        <f t="shared" si="89"/>
        <v>37.76</v>
      </c>
      <c r="V1015" s="9">
        <f t="shared" si="90"/>
        <v>262.49999999999972</v>
      </c>
      <c r="W1015" s="9">
        <f t="shared" si="91"/>
        <v>24.866832999999986</v>
      </c>
    </row>
    <row r="1016" spans="1:23">
      <c r="A1016" s="2" t="s">
        <v>335</v>
      </c>
      <c r="B1016" s="2" t="s">
        <v>425</v>
      </c>
      <c r="C1016" s="3">
        <v>161</v>
      </c>
      <c r="D1016" s="3">
        <v>2.36</v>
      </c>
      <c r="E1016" s="2" t="s">
        <v>462</v>
      </c>
      <c r="F1016" s="4">
        <v>41687</v>
      </c>
      <c r="G1016" s="3">
        <v>56.6</v>
      </c>
      <c r="H1016" s="6"/>
      <c r="I1016" s="4">
        <v>41716</v>
      </c>
      <c r="J1016" s="3">
        <v>59</v>
      </c>
      <c r="K1016" s="6"/>
      <c r="L1016" s="3">
        <v>29</v>
      </c>
      <c r="M1016" s="5">
        <v>2.3999999999999986</v>
      </c>
      <c r="N1016" s="6"/>
      <c r="O1016" s="5">
        <v>68.44</v>
      </c>
      <c r="P1016" s="5">
        <v>82.758620689655132</v>
      </c>
      <c r="Q1016" s="5">
        <v>15.853401999999996</v>
      </c>
      <c r="R1016" s="8">
        <f t="shared" ref="R1016:R1079" si="92">IF(I1016-F1016=0,0,I1016-I1015)</f>
        <v>13</v>
      </c>
      <c r="S1016" s="9">
        <f t="shared" ref="S1016:S1079" si="93">IF(R1016=0,J1016-G1016,J1016-J1015)</f>
        <v>-1.7999999999999972</v>
      </c>
      <c r="T1016" s="9">
        <v>1.5</v>
      </c>
      <c r="U1016" s="9">
        <f t="shared" ref="U1016:U1079" si="94">D1016*R1016</f>
        <v>30.68</v>
      </c>
      <c r="V1016" s="9">
        <f t="shared" ref="V1016:V1079" si="95">IF(R1016=0,0,(S1016/R1016*1000))</f>
        <v>-138.46153846153825</v>
      </c>
      <c r="W1016" s="9">
        <f t="shared" ref="W1016:W1079" si="96">IF(R1016=0,(((G1016)*0.16909+(V1016/1000)*49.3)+2),((((G1016+J1016)/2)*0.16909+(V1016/1000)*49.3)+2))</f>
        <v>4.9472481538461635</v>
      </c>
    </row>
    <row r="1017" spans="1:23">
      <c r="A1017" s="2" t="s">
        <v>335</v>
      </c>
      <c r="B1017" s="2" t="s">
        <v>425</v>
      </c>
      <c r="C1017" s="3">
        <v>161</v>
      </c>
      <c r="D1017" s="3">
        <v>2.36</v>
      </c>
      <c r="E1017" s="2" t="s">
        <v>462</v>
      </c>
      <c r="F1017" s="4">
        <v>41687</v>
      </c>
      <c r="G1017" s="3">
        <v>56.6</v>
      </c>
      <c r="H1017" s="6"/>
      <c r="I1017" s="4">
        <v>41731</v>
      </c>
      <c r="J1017" s="3">
        <v>58.2</v>
      </c>
      <c r="K1017" s="6"/>
      <c r="L1017" s="3">
        <v>44</v>
      </c>
      <c r="M1017" s="5">
        <v>1.6000000000000014</v>
      </c>
      <c r="N1017" s="6"/>
      <c r="O1017" s="5">
        <v>103.83999999999999</v>
      </c>
      <c r="P1017" s="5">
        <v>36.363636363636395</v>
      </c>
      <c r="Q1017" s="5">
        <v>13.498493272727275</v>
      </c>
      <c r="R1017" s="8">
        <f t="shared" si="92"/>
        <v>15</v>
      </c>
      <c r="S1017" s="9">
        <f t="shared" si="93"/>
        <v>-0.79999999999999716</v>
      </c>
      <c r="T1017" s="9">
        <v>1.5</v>
      </c>
      <c r="U1017" s="9">
        <f t="shared" si="94"/>
        <v>35.4</v>
      </c>
      <c r="V1017" s="9">
        <f t="shared" si="95"/>
        <v>-53.333333333333144</v>
      </c>
      <c r="W1017" s="9">
        <f t="shared" si="96"/>
        <v>9.0764326666666761</v>
      </c>
    </row>
    <row r="1018" spans="1:23">
      <c r="A1018" s="2" t="s">
        <v>335</v>
      </c>
      <c r="B1018" s="2" t="s">
        <v>425</v>
      </c>
      <c r="C1018" s="3">
        <v>161</v>
      </c>
      <c r="D1018" s="3">
        <v>2.36</v>
      </c>
      <c r="E1018" s="2" t="s">
        <v>463</v>
      </c>
      <c r="F1018" s="4">
        <v>41687</v>
      </c>
      <c r="G1018" s="3">
        <v>64</v>
      </c>
      <c r="H1018" s="6"/>
      <c r="I1018" s="4">
        <v>41687</v>
      </c>
      <c r="J1018" s="3">
        <v>64</v>
      </c>
      <c r="K1018" s="6"/>
      <c r="L1018" s="3">
        <v>0</v>
      </c>
      <c r="M1018" s="5">
        <v>0</v>
      </c>
      <c r="N1018" s="6"/>
      <c r="O1018" s="5">
        <v>0</v>
      </c>
      <c r="P1018" s="5">
        <v>0</v>
      </c>
      <c r="Q1018" s="5">
        <v>12.821759999999999</v>
      </c>
      <c r="R1018" s="8">
        <f t="shared" si="92"/>
        <v>0</v>
      </c>
      <c r="S1018" s="9">
        <f t="shared" si="93"/>
        <v>0</v>
      </c>
      <c r="T1018" s="9">
        <v>1.5</v>
      </c>
      <c r="U1018" s="9">
        <f t="shared" si="94"/>
        <v>0</v>
      </c>
      <c r="V1018" s="9">
        <f t="shared" si="95"/>
        <v>0</v>
      </c>
      <c r="W1018" s="9">
        <f t="shared" si="96"/>
        <v>12.821759999999999</v>
      </c>
    </row>
    <row r="1019" spans="1:23">
      <c r="A1019" s="2" t="s">
        <v>335</v>
      </c>
      <c r="B1019" s="2" t="s">
        <v>425</v>
      </c>
      <c r="C1019" s="3">
        <v>161</v>
      </c>
      <c r="D1019" s="3">
        <v>2.36</v>
      </c>
      <c r="E1019" s="2" t="s">
        <v>463</v>
      </c>
      <c r="F1019" s="4">
        <v>41687</v>
      </c>
      <c r="G1019" s="3">
        <v>64</v>
      </c>
      <c r="H1019" s="6"/>
      <c r="I1019" s="4">
        <v>41703</v>
      </c>
      <c r="J1019" s="3">
        <v>69.599999999999994</v>
      </c>
      <c r="K1019" s="6"/>
      <c r="L1019" s="3">
        <v>16</v>
      </c>
      <c r="M1019" s="5">
        <v>5.5999999999999943</v>
      </c>
      <c r="N1019" s="6"/>
      <c r="O1019" s="5">
        <v>37.76</v>
      </c>
      <c r="P1019" s="5">
        <v>349.99999999999966</v>
      </c>
      <c r="Q1019" s="5">
        <v>30.550211999999981</v>
      </c>
      <c r="R1019" s="8">
        <f t="shared" si="92"/>
        <v>16</v>
      </c>
      <c r="S1019" s="9">
        <f t="shared" si="93"/>
        <v>5.5999999999999943</v>
      </c>
      <c r="T1019" s="9">
        <v>1.5</v>
      </c>
      <c r="U1019" s="9">
        <f t="shared" si="94"/>
        <v>37.76</v>
      </c>
      <c r="V1019" s="9">
        <f t="shared" si="95"/>
        <v>349.99999999999966</v>
      </c>
      <c r="W1019" s="9">
        <f t="shared" si="96"/>
        <v>30.550211999999981</v>
      </c>
    </row>
    <row r="1020" spans="1:23">
      <c r="A1020" s="2" t="s">
        <v>335</v>
      </c>
      <c r="B1020" s="2" t="s">
        <v>425</v>
      </c>
      <c r="C1020" s="3">
        <v>161</v>
      </c>
      <c r="D1020" s="3">
        <v>2.36</v>
      </c>
      <c r="E1020" s="2" t="s">
        <v>463</v>
      </c>
      <c r="F1020" s="4">
        <v>41687</v>
      </c>
      <c r="G1020" s="3">
        <v>64</v>
      </c>
      <c r="H1020" s="6"/>
      <c r="I1020" s="4">
        <v>41716</v>
      </c>
      <c r="J1020" s="3">
        <v>68.5</v>
      </c>
      <c r="K1020" s="6"/>
      <c r="L1020" s="3">
        <v>29</v>
      </c>
      <c r="M1020" s="5">
        <v>4.5</v>
      </c>
      <c r="N1020" s="6"/>
      <c r="O1020" s="5">
        <v>68.44</v>
      </c>
      <c r="P1020" s="5">
        <v>155.17241379310346</v>
      </c>
      <c r="Q1020" s="5">
        <v>20.8522125</v>
      </c>
      <c r="R1020" s="8">
        <f t="shared" si="92"/>
        <v>13</v>
      </c>
      <c r="S1020" s="9">
        <f t="shared" si="93"/>
        <v>-1.0999999999999943</v>
      </c>
      <c r="T1020" s="9">
        <v>1.5</v>
      </c>
      <c r="U1020" s="9">
        <f t="shared" si="94"/>
        <v>30.68</v>
      </c>
      <c r="V1020" s="9">
        <f t="shared" si="95"/>
        <v>-84.615384615384173</v>
      </c>
      <c r="W1020" s="9">
        <f t="shared" si="96"/>
        <v>9.0306740384615605</v>
      </c>
    </row>
    <row r="1021" spans="1:23">
      <c r="A1021" s="2" t="s">
        <v>335</v>
      </c>
      <c r="B1021" s="2" t="s">
        <v>425</v>
      </c>
      <c r="C1021" s="3">
        <v>161</v>
      </c>
      <c r="D1021" s="3">
        <v>2.36</v>
      </c>
      <c r="E1021" s="2" t="s">
        <v>463</v>
      </c>
      <c r="F1021" s="4">
        <v>41687</v>
      </c>
      <c r="G1021" s="3">
        <v>64</v>
      </c>
      <c r="H1021" s="6"/>
      <c r="I1021" s="4">
        <v>41731</v>
      </c>
      <c r="J1021" s="3">
        <v>70.2</v>
      </c>
      <c r="K1021" s="6"/>
      <c r="L1021" s="3">
        <v>44</v>
      </c>
      <c r="M1021" s="5">
        <v>6.2000000000000028</v>
      </c>
      <c r="N1021" s="6"/>
      <c r="O1021" s="5">
        <v>103.83999999999999</v>
      </c>
      <c r="P1021" s="5">
        <v>140.90909090909099</v>
      </c>
      <c r="Q1021" s="5">
        <v>20.292757181818182</v>
      </c>
      <c r="R1021" s="8">
        <f t="shared" si="92"/>
        <v>15</v>
      </c>
      <c r="S1021" s="9">
        <f t="shared" si="93"/>
        <v>1.7000000000000028</v>
      </c>
      <c r="T1021" s="9">
        <v>1.5</v>
      </c>
      <c r="U1021" s="9">
        <f t="shared" si="94"/>
        <v>35.4</v>
      </c>
      <c r="V1021" s="9">
        <f t="shared" si="95"/>
        <v>113.33333333333353</v>
      </c>
      <c r="W1021" s="9">
        <f t="shared" si="96"/>
        <v>18.933272333333342</v>
      </c>
    </row>
    <row r="1022" spans="1:23">
      <c r="A1022" s="2" t="s">
        <v>335</v>
      </c>
      <c r="B1022" s="2" t="s">
        <v>425</v>
      </c>
      <c r="C1022" s="3">
        <v>161</v>
      </c>
      <c r="D1022" s="3">
        <v>2.36</v>
      </c>
      <c r="E1022" s="2" t="s">
        <v>464</v>
      </c>
      <c r="F1022" s="4">
        <v>41687</v>
      </c>
      <c r="G1022" s="3">
        <v>51.4</v>
      </c>
      <c r="H1022" s="6"/>
      <c r="I1022" s="4">
        <v>41687</v>
      </c>
      <c r="J1022" s="3">
        <v>51.4</v>
      </c>
      <c r="K1022" s="6"/>
      <c r="L1022" s="3">
        <v>0</v>
      </c>
      <c r="M1022" s="5">
        <v>0</v>
      </c>
      <c r="N1022" s="6"/>
      <c r="O1022" s="5">
        <v>0</v>
      </c>
      <c r="P1022" s="5">
        <v>0</v>
      </c>
      <c r="Q1022" s="5">
        <v>10.691225999999999</v>
      </c>
      <c r="R1022" s="8">
        <f t="shared" si="92"/>
        <v>0</v>
      </c>
      <c r="S1022" s="9">
        <f t="shared" si="93"/>
        <v>0</v>
      </c>
      <c r="T1022" s="9">
        <v>1.5</v>
      </c>
      <c r="U1022" s="9">
        <f t="shared" si="94"/>
        <v>0</v>
      </c>
      <c r="V1022" s="9">
        <f t="shared" si="95"/>
        <v>0</v>
      </c>
      <c r="W1022" s="9">
        <f t="shared" si="96"/>
        <v>10.691225999999999</v>
      </c>
    </row>
    <row r="1023" spans="1:23">
      <c r="A1023" s="2" t="s">
        <v>335</v>
      </c>
      <c r="B1023" s="2" t="s">
        <v>425</v>
      </c>
      <c r="C1023" s="3">
        <v>161</v>
      </c>
      <c r="D1023" s="3">
        <v>2.36</v>
      </c>
      <c r="E1023" s="2" t="s">
        <v>464</v>
      </c>
      <c r="F1023" s="4">
        <v>41687</v>
      </c>
      <c r="G1023" s="3">
        <v>51.4</v>
      </c>
      <c r="H1023" s="6"/>
      <c r="I1023" s="4">
        <v>41703</v>
      </c>
      <c r="J1023" s="3">
        <v>57.4</v>
      </c>
      <c r="K1023" s="6"/>
      <c r="L1023" s="3">
        <v>16</v>
      </c>
      <c r="M1023" s="5">
        <v>6</v>
      </c>
      <c r="N1023" s="6"/>
      <c r="O1023" s="5">
        <v>37.76</v>
      </c>
      <c r="P1023" s="5">
        <v>375</v>
      </c>
      <c r="Q1023" s="5">
        <v>29.685995999999996</v>
      </c>
      <c r="R1023" s="8">
        <f t="shared" si="92"/>
        <v>16</v>
      </c>
      <c r="S1023" s="9">
        <f t="shared" si="93"/>
        <v>6</v>
      </c>
      <c r="T1023" s="9">
        <v>1.5</v>
      </c>
      <c r="U1023" s="9">
        <f t="shared" si="94"/>
        <v>37.76</v>
      </c>
      <c r="V1023" s="9">
        <f t="shared" si="95"/>
        <v>375</v>
      </c>
      <c r="W1023" s="9">
        <f t="shared" si="96"/>
        <v>29.685995999999996</v>
      </c>
    </row>
    <row r="1024" spans="1:23">
      <c r="A1024" s="2" t="s">
        <v>335</v>
      </c>
      <c r="B1024" s="2" t="s">
        <v>425</v>
      </c>
      <c r="C1024" s="3">
        <v>161</v>
      </c>
      <c r="D1024" s="3">
        <v>2.36</v>
      </c>
      <c r="E1024" s="2" t="s">
        <v>464</v>
      </c>
      <c r="F1024" s="4">
        <v>41687</v>
      </c>
      <c r="G1024" s="3">
        <v>51.4</v>
      </c>
      <c r="H1024" s="6"/>
      <c r="I1024" s="4">
        <v>41716</v>
      </c>
      <c r="J1024" s="3">
        <v>56.5</v>
      </c>
      <c r="K1024" s="6"/>
      <c r="L1024" s="3">
        <v>29</v>
      </c>
      <c r="M1024" s="5">
        <v>5.1000000000000014</v>
      </c>
      <c r="N1024" s="6"/>
      <c r="O1024" s="5">
        <v>68.44</v>
      </c>
      <c r="P1024" s="5">
        <v>175.8620689655173</v>
      </c>
      <c r="Q1024" s="5">
        <v>19.792405500000001</v>
      </c>
      <c r="R1024" s="8">
        <f t="shared" si="92"/>
        <v>13</v>
      </c>
      <c r="S1024" s="9">
        <f t="shared" si="93"/>
        <v>-0.89999999999999858</v>
      </c>
      <c r="T1024" s="9">
        <v>1.5</v>
      </c>
      <c r="U1024" s="9">
        <f t="shared" si="94"/>
        <v>30.68</v>
      </c>
      <c r="V1024" s="9">
        <f t="shared" si="95"/>
        <v>-69.230769230769127</v>
      </c>
      <c r="W1024" s="9">
        <f t="shared" si="96"/>
        <v>7.709328576923081</v>
      </c>
    </row>
    <row r="1025" spans="1:23">
      <c r="A1025" s="2" t="s">
        <v>335</v>
      </c>
      <c r="B1025" s="2" t="s">
        <v>425</v>
      </c>
      <c r="C1025" s="3">
        <v>161</v>
      </c>
      <c r="D1025" s="3">
        <v>2.36</v>
      </c>
      <c r="E1025" s="2" t="s">
        <v>464</v>
      </c>
      <c r="F1025" s="4">
        <v>41687</v>
      </c>
      <c r="G1025" s="3">
        <v>51.4</v>
      </c>
      <c r="H1025" s="6"/>
      <c r="I1025" s="4">
        <v>41731</v>
      </c>
      <c r="J1025" s="3">
        <v>60.2</v>
      </c>
      <c r="K1025" s="6"/>
      <c r="L1025" s="3">
        <v>44</v>
      </c>
      <c r="M1025" s="5">
        <v>8.8000000000000043</v>
      </c>
      <c r="N1025" s="6"/>
      <c r="O1025" s="5">
        <v>103.83999999999999</v>
      </c>
      <c r="P1025" s="5">
        <v>200.00000000000009</v>
      </c>
      <c r="Q1025" s="5">
        <v>21.295222000000003</v>
      </c>
      <c r="R1025" s="8">
        <f t="shared" si="92"/>
        <v>15</v>
      </c>
      <c r="S1025" s="9">
        <f t="shared" si="93"/>
        <v>3.7000000000000028</v>
      </c>
      <c r="T1025" s="9">
        <v>1.5</v>
      </c>
      <c r="U1025" s="9">
        <f t="shared" si="94"/>
        <v>35.4</v>
      </c>
      <c r="V1025" s="9">
        <f t="shared" si="95"/>
        <v>246.66666666666686</v>
      </c>
      <c r="W1025" s="9">
        <f t="shared" si="96"/>
        <v>23.595888666666674</v>
      </c>
    </row>
    <row r="1026" spans="1:23">
      <c r="A1026" s="2" t="s">
        <v>335</v>
      </c>
      <c r="B1026" s="2" t="s">
        <v>425</v>
      </c>
      <c r="C1026" s="3">
        <v>161</v>
      </c>
      <c r="D1026" s="3">
        <v>2.36</v>
      </c>
      <c r="E1026" s="2" t="s">
        <v>465</v>
      </c>
      <c r="F1026" s="4">
        <v>41687</v>
      </c>
      <c r="G1026" s="3">
        <v>49</v>
      </c>
      <c r="H1026" s="6"/>
      <c r="I1026" s="4">
        <v>41687</v>
      </c>
      <c r="J1026" s="3">
        <v>49</v>
      </c>
      <c r="K1026" s="6"/>
      <c r="L1026" s="3">
        <v>0</v>
      </c>
      <c r="M1026" s="5">
        <v>0</v>
      </c>
      <c r="N1026" s="6"/>
      <c r="O1026" s="5">
        <v>0</v>
      </c>
      <c r="P1026" s="5">
        <v>0</v>
      </c>
      <c r="Q1026" s="5">
        <v>10.285409999999999</v>
      </c>
      <c r="R1026" s="8">
        <f t="shared" si="92"/>
        <v>0</v>
      </c>
      <c r="S1026" s="9">
        <f t="shared" si="93"/>
        <v>0</v>
      </c>
      <c r="T1026" s="9">
        <v>1.5</v>
      </c>
      <c r="U1026" s="9">
        <f t="shared" si="94"/>
        <v>0</v>
      </c>
      <c r="V1026" s="9">
        <f t="shared" si="95"/>
        <v>0</v>
      </c>
      <c r="W1026" s="9">
        <f t="shared" si="96"/>
        <v>10.285409999999999</v>
      </c>
    </row>
    <row r="1027" spans="1:23">
      <c r="A1027" s="2" t="s">
        <v>335</v>
      </c>
      <c r="B1027" s="2" t="s">
        <v>425</v>
      </c>
      <c r="C1027" s="3">
        <v>161</v>
      </c>
      <c r="D1027" s="3">
        <v>2.36</v>
      </c>
      <c r="E1027" s="2" t="s">
        <v>465</v>
      </c>
      <c r="F1027" s="4">
        <v>41687</v>
      </c>
      <c r="G1027" s="3">
        <v>49</v>
      </c>
      <c r="H1027" s="6"/>
      <c r="I1027" s="4">
        <v>41703</v>
      </c>
      <c r="J1027" s="3">
        <v>51</v>
      </c>
      <c r="K1027" s="6"/>
      <c r="L1027" s="3">
        <v>16</v>
      </c>
      <c r="M1027" s="5">
        <v>2</v>
      </c>
      <c r="N1027" s="6"/>
      <c r="O1027" s="5">
        <v>37.76</v>
      </c>
      <c r="P1027" s="5">
        <v>125</v>
      </c>
      <c r="Q1027" s="5">
        <v>16.616999999999997</v>
      </c>
      <c r="R1027" s="8">
        <f t="shared" si="92"/>
        <v>16</v>
      </c>
      <c r="S1027" s="9">
        <f t="shared" si="93"/>
        <v>2</v>
      </c>
      <c r="T1027" s="9">
        <v>1.5</v>
      </c>
      <c r="U1027" s="9">
        <f t="shared" si="94"/>
        <v>37.76</v>
      </c>
      <c r="V1027" s="9">
        <f t="shared" si="95"/>
        <v>125</v>
      </c>
      <c r="W1027" s="9">
        <f t="shared" si="96"/>
        <v>16.616999999999997</v>
      </c>
    </row>
    <row r="1028" spans="1:23">
      <c r="A1028" s="2" t="s">
        <v>335</v>
      </c>
      <c r="B1028" s="2" t="s">
        <v>425</v>
      </c>
      <c r="C1028" s="3">
        <v>161</v>
      </c>
      <c r="D1028" s="3">
        <v>2.36</v>
      </c>
      <c r="E1028" s="2" t="s">
        <v>465</v>
      </c>
      <c r="F1028" s="4">
        <v>41687</v>
      </c>
      <c r="G1028" s="3">
        <v>49</v>
      </c>
      <c r="H1028" s="6"/>
      <c r="I1028" s="4">
        <v>41716</v>
      </c>
      <c r="J1028" s="3">
        <v>49.5</v>
      </c>
      <c r="K1028" s="6"/>
      <c r="L1028" s="3">
        <v>29</v>
      </c>
      <c r="M1028" s="5">
        <v>0.5</v>
      </c>
      <c r="N1028" s="6"/>
      <c r="O1028" s="5">
        <v>68.44</v>
      </c>
      <c r="P1028" s="5">
        <v>17.241379310344826</v>
      </c>
      <c r="Q1028" s="5">
        <v>11.1776825</v>
      </c>
      <c r="R1028" s="8">
        <f t="shared" si="92"/>
        <v>13</v>
      </c>
      <c r="S1028" s="9">
        <f t="shared" si="93"/>
        <v>-1.5</v>
      </c>
      <c r="T1028" s="9">
        <v>1.5</v>
      </c>
      <c r="U1028" s="9">
        <f t="shared" si="94"/>
        <v>30.68</v>
      </c>
      <c r="V1028" s="9">
        <f t="shared" si="95"/>
        <v>-115.38461538461539</v>
      </c>
      <c r="W1028" s="9">
        <f t="shared" si="96"/>
        <v>4.6392209615384612</v>
      </c>
    </row>
    <row r="1029" spans="1:23">
      <c r="A1029" s="2" t="s">
        <v>335</v>
      </c>
      <c r="B1029" s="2" t="s">
        <v>425</v>
      </c>
      <c r="C1029" s="3">
        <v>161</v>
      </c>
      <c r="D1029" s="3">
        <v>2.36</v>
      </c>
      <c r="E1029" s="2" t="s">
        <v>465</v>
      </c>
      <c r="F1029" s="4">
        <v>41687</v>
      </c>
      <c r="G1029" s="3">
        <v>49</v>
      </c>
      <c r="H1029" s="6"/>
      <c r="I1029" s="4">
        <v>41731</v>
      </c>
      <c r="J1029" s="3">
        <v>51.8</v>
      </c>
      <c r="K1029" s="6"/>
      <c r="L1029" s="3">
        <v>44</v>
      </c>
      <c r="M1029" s="5">
        <v>2.7999999999999972</v>
      </c>
      <c r="N1029" s="6"/>
      <c r="O1029" s="5">
        <v>103.83999999999999</v>
      </c>
      <c r="P1029" s="5">
        <v>63.636363636363576</v>
      </c>
      <c r="Q1029" s="5">
        <v>13.659408727272723</v>
      </c>
      <c r="R1029" s="8">
        <f t="shared" si="92"/>
        <v>15</v>
      </c>
      <c r="S1029" s="9">
        <f t="shared" si="93"/>
        <v>2.2999999999999972</v>
      </c>
      <c r="T1029" s="9">
        <v>1.5</v>
      </c>
      <c r="U1029" s="9">
        <f t="shared" si="94"/>
        <v>35.4</v>
      </c>
      <c r="V1029" s="9">
        <f t="shared" si="95"/>
        <v>153.33333333333314</v>
      </c>
      <c r="W1029" s="9">
        <f t="shared" si="96"/>
        <v>18.081469333333324</v>
      </c>
    </row>
    <row r="1030" spans="1:23">
      <c r="A1030" s="2" t="s">
        <v>335</v>
      </c>
      <c r="B1030" s="2" t="s">
        <v>425</v>
      </c>
      <c r="C1030" s="3">
        <v>161</v>
      </c>
      <c r="D1030" s="3">
        <v>2.36</v>
      </c>
      <c r="E1030" s="2" t="s">
        <v>466</v>
      </c>
      <c r="F1030" s="4">
        <v>41687</v>
      </c>
      <c r="G1030" s="3">
        <v>53</v>
      </c>
      <c r="H1030" s="6"/>
      <c r="I1030" s="4">
        <v>41687</v>
      </c>
      <c r="J1030" s="3">
        <v>53</v>
      </c>
      <c r="K1030" s="6"/>
      <c r="L1030" s="3">
        <v>0</v>
      </c>
      <c r="M1030" s="5">
        <v>0</v>
      </c>
      <c r="N1030" s="6"/>
      <c r="O1030" s="5">
        <v>0</v>
      </c>
      <c r="P1030" s="5">
        <v>0</v>
      </c>
      <c r="Q1030" s="5">
        <v>10.96177</v>
      </c>
      <c r="R1030" s="8">
        <f t="shared" si="92"/>
        <v>0</v>
      </c>
      <c r="S1030" s="9">
        <f t="shared" si="93"/>
        <v>0</v>
      </c>
      <c r="T1030" s="9">
        <v>1.5</v>
      </c>
      <c r="U1030" s="9">
        <f t="shared" si="94"/>
        <v>0</v>
      </c>
      <c r="V1030" s="9">
        <f t="shared" si="95"/>
        <v>0</v>
      </c>
      <c r="W1030" s="9">
        <f t="shared" si="96"/>
        <v>10.96177</v>
      </c>
    </row>
    <row r="1031" spans="1:23">
      <c r="A1031" s="2" t="s">
        <v>335</v>
      </c>
      <c r="B1031" s="2" t="s">
        <v>425</v>
      </c>
      <c r="C1031" s="3">
        <v>161</v>
      </c>
      <c r="D1031" s="3">
        <v>2.36</v>
      </c>
      <c r="E1031" s="2" t="s">
        <v>466</v>
      </c>
      <c r="F1031" s="4">
        <v>41687</v>
      </c>
      <c r="G1031" s="3">
        <v>53</v>
      </c>
      <c r="H1031" s="6"/>
      <c r="I1031" s="4">
        <v>41703</v>
      </c>
      <c r="J1031" s="3">
        <v>57.6</v>
      </c>
      <c r="K1031" s="6"/>
      <c r="L1031" s="3">
        <v>16</v>
      </c>
      <c r="M1031" s="5">
        <v>4.6000000000000014</v>
      </c>
      <c r="N1031" s="6"/>
      <c r="O1031" s="5">
        <v>37.76</v>
      </c>
      <c r="P1031" s="5">
        <v>287.50000000000011</v>
      </c>
      <c r="Q1031" s="5">
        <v>25.524427000000003</v>
      </c>
      <c r="R1031" s="8">
        <f t="shared" si="92"/>
        <v>16</v>
      </c>
      <c r="S1031" s="9">
        <f t="shared" si="93"/>
        <v>4.6000000000000014</v>
      </c>
      <c r="T1031" s="9">
        <v>1.5</v>
      </c>
      <c r="U1031" s="9">
        <f t="shared" si="94"/>
        <v>37.76</v>
      </c>
      <c r="V1031" s="9">
        <f t="shared" si="95"/>
        <v>287.50000000000011</v>
      </c>
      <c r="W1031" s="9">
        <f t="shared" si="96"/>
        <v>25.524427000000003</v>
      </c>
    </row>
    <row r="1032" spans="1:23">
      <c r="A1032" s="2" t="s">
        <v>335</v>
      </c>
      <c r="B1032" s="2" t="s">
        <v>425</v>
      </c>
      <c r="C1032" s="3">
        <v>161</v>
      </c>
      <c r="D1032" s="3">
        <v>2.36</v>
      </c>
      <c r="E1032" s="2" t="s">
        <v>466</v>
      </c>
      <c r="F1032" s="4">
        <v>41687</v>
      </c>
      <c r="G1032" s="3">
        <v>53</v>
      </c>
      <c r="H1032" s="6"/>
      <c r="I1032" s="4">
        <v>41716</v>
      </c>
      <c r="J1032" s="3">
        <v>59</v>
      </c>
      <c r="K1032" s="6"/>
      <c r="L1032" s="3">
        <v>29</v>
      </c>
      <c r="M1032" s="5">
        <v>6</v>
      </c>
      <c r="N1032" s="6"/>
      <c r="O1032" s="5">
        <v>68.44</v>
      </c>
      <c r="P1032" s="5">
        <v>206.89655172413794</v>
      </c>
      <c r="Q1032" s="5">
        <v>21.669039999999999</v>
      </c>
      <c r="R1032" s="8">
        <f t="shared" si="92"/>
        <v>13</v>
      </c>
      <c r="S1032" s="9">
        <f t="shared" si="93"/>
        <v>1.3999999999999986</v>
      </c>
      <c r="T1032" s="9">
        <v>1.5</v>
      </c>
      <c r="U1032" s="9">
        <f t="shared" si="94"/>
        <v>30.68</v>
      </c>
      <c r="V1032" s="9">
        <f t="shared" si="95"/>
        <v>107.69230769230759</v>
      </c>
      <c r="W1032" s="9">
        <f t="shared" si="96"/>
        <v>16.778270769230765</v>
      </c>
    </row>
    <row r="1033" spans="1:23">
      <c r="A1033" s="2" t="s">
        <v>335</v>
      </c>
      <c r="B1033" s="2" t="s">
        <v>425</v>
      </c>
      <c r="C1033" s="3">
        <v>161</v>
      </c>
      <c r="D1033" s="3">
        <v>2.36</v>
      </c>
      <c r="E1033" s="2" t="s">
        <v>466</v>
      </c>
      <c r="F1033" s="4">
        <v>41687</v>
      </c>
      <c r="G1033" s="3">
        <v>53</v>
      </c>
      <c r="H1033" s="6"/>
      <c r="I1033" s="4">
        <v>41731</v>
      </c>
      <c r="J1033" s="3">
        <v>59.6</v>
      </c>
      <c r="K1033" s="6"/>
      <c r="L1033" s="3">
        <v>44</v>
      </c>
      <c r="M1033" s="5">
        <v>6.6000000000000014</v>
      </c>
      <c r="N1033" s="6"/>
      <c r="O1033" s="5">
        <v>103.83999999999999</v>
      </c>
      <c r="P1033" s="5">
        <v>150.00000000000003</v>
      </c>
      <c r="Q1033" s="5">
        <v>18.914766999999998</v>
      </c>
      <c r="R1033" s="8">
        <f t="shared" si="92"/>
        <v>15</v>
      </c>
      <c r="S1033" s="9">
        <f t="shared" si="93"/>
        <v>0.60000000000000142</v>
      </c>
      <c r="T1033" s="9">
        <v>1.5</v>
      </c>
      <c r="U1033" s="9">
        <f t="shared" si="94"/>
        <v>35.4</v>
      </c>
      <c r="V1033" s="9">
        <f t="shared" si="95"/>
        <v>40.000000000000099</v>
      </c>
      <c r="W1033" s="9">
        <f t="shared" si="96"/>
        <v>13.491767000000003</v>
      </c>
    </row>
    <row r="1034" spans="1:23">
      <c r="A1034" s="2" t="s">
        <v>335</v>
      </c>
      <c r="B1034" s="2" t="s">
        <v>425</v>
      </c>
      <c r="C1034" s="3">
        <v>161</v>
      </c>
      <c r="D1034" s="3">
        <v>2.36</v>
      </c>
      <c r="E1034" s="2" t="s">
        <v>467</v>
      </c>
      <c r="F1034" s="4">
        <v>41687</v>
      </c>
      <c r="G1034" s="3">
        <v>53.8</v>
      </c>
      <c r="H1034" s="6"/>
      <c r="I1034" s="4">
        <v>41687</v>
      </c>
      <c r="J1034" s="3">
        <v>53.8</v>
      </c>
      <c r="K1034" s="6"/>
      <c r="L1034" s="3">
        <v>0</v>
      </c>
      <c r="M1034" s="5">
        <v>0</v>
      </c>
      <c r="N1034" s="6"/>
      <c r="O1034" s="5">
        <v>0</v>
      </c>
      <c r="P1034" s="5">
        <v>0</v>
      </c>
      <c r="Q1034" s="5">
        <v>11.097041999999998</v>
      </c>
      <c r="R1034" s="8">
        <f t="shared" si="92"/>
        <v>0</v>
      </c>
      <c r="S1034" s="9">
        <f t="shared" si="93"/>
        <v>0</v>
      </c>
      <c r="T1034" s="9">
        <v>1.5</v>
      </c>
      <c r="U1034" s="9">
        <f t="shared" si="94"/>
        <v>0</v>
      </c>
      <c r="V1034" s="9">
        <f t="shared" si="95"/>
        <v>0</v>
      </c>
      <c r="W1034" s="9">
        <f t="shared" si="96"/>
        <v>11.097041999999998</v>
      </c>
    </row>
    <row r="1035" spans="1:23">
      <c r="A1035" s="2" t="s">
        <v>335</v>
      </c>
      <c r="B1035" s="2" t="s">
        <v>425</v>
      </c>
      <c r="C1035" s="3">
        <v>161</v>
      </c>
      <c r="D1035" s="3">
        <v>2.36</v>
      </c>
      <c r="E1035" s="2" t="s">
        <v>467</v>
      </c>
      <c r="F1035" s="4">
        <v>41687</v>
      </c>
      <c r="G1035" s="3">
        <v>53.8</v>
      </c>
      <c r="H1035" s="6"/>
      <c r="I1035" s="4">
        <v>41703</v>
      </c>
      <c r="J1035" s="3">
        <v>57.8</v>
      </c>
      <c r="K1035" s="6"/>
      <c r="L1035" s="3">
        <v>16</v>
      </c>
      <c r="M1035" s="5">
        <v>4</v>
      </c>
      <c r="N1035" s="6"/>
      <c r="O1035" s="5">
        <v>37.76</v>
      </c>
      <c r="P1035" s="5">
        <v>250</v>
      </c>
      <c r="Q1035" s="5">
        <v>23.760221999999999</v>
      </c>
      <c r="R1035" s="8">
        <f t="shared" si="92"/>
        <v>16</v>
      </c>
      <c r="S1035" s="9">
        <f t="shared" si="93"/>
        <v>4</v>
      </c>
      <c r="T1035" s="9">
        <v>1.5</v>
      </c>
      <c r="U1035" s="9">
        <f t="shared" si="94"/>
        <v>37.76</v>
      </c>
      <c r="V1035" s="9">
        <f t="shared" si="95"/>
        <v>250</v>
      </c>
      <c r="W1035" s="9">
        <f t="shared" si="96"/>
        <v>23.760221999999999</v>
      </c>
    </row>
    <row r="1036" spans="1:23">
      <c r="A1036" s="2" t="s">
        <v>335</v>
      </c>
      <c r="B1036" s="2" t="s">
        <v>425</v>
      </c>
      <c r="C1036" s="3">
        <v>161</v>
      </c>
      <c r="D1036" s="3">
        <v>2.36</v>
      </c>
      <c r="E1036" s="2" t="s">
        <v>467</v>
      </c>
      <c r="F1036" s="4">
        <v>41687</v>
      </c>
      <c r="G1036" s="3">
        <v>53.8</v>
      </c>
      <c r="H1036" s="6"/>
      <c r="I1036" s="4">
        <v>41716</v>
      </c>
      <c r="J1036" s="3">
        <v>60</v>
      </c>
      <c r="K1036" s="6"/>
      <c r="L1036" s="3">
        <v>29</v>
      </c>
      <c r="M1036" s="5">
        <v>6.2000000000000028</v>
      </c>
      <c r="N1036" s="6"/>
      <c r="O1036" s="5">
        <v>68.44</v>
      </c>
      <c r="P1036" s="5">
        <v>213.79310344827596</v>
      </c>
      <c r="Q1036" s="5">
        <v>22.161221000000005</v>
      </c>
      <c r="R1036" s="8">
        <f t="shared" si="92"/>
        <v>13</v>
      </c>
      <c r="S1036" s="9">
        <f t="shared" si="93"/>
        <v>2.2000000000000028</v>
      </c>
      <c r="T1036" s="9">
        <v>1.5</v>
      </c>
      <c r="U1036" s="9">
        <f t="shared" si="94"/>
        <v>30.68</v>
      </c>
      <c r="V1036" s="9">
        <f t="shared" si="95"/>
        <v>169.23076923076945</v>
      </c>
      <c r="W1036" s="9">
        <f t="shared" si="96"/>
        <v>19.964297923076934</v>
      </c>
    </row>
    <row r="1037" spans="1:23">
      <c r="A1037" s="2" t="s">
        <v>335</v>
      </c>
      <c r="B1037" s="2" t="s">
        <v>425</v>
      </c>
      <c r="C1037" s="3">
        <v>161</v>
      </c>
      <c r="D1037" s="3">
        <v>2.36</v>
      </c>
      <c r="E1037" s="2" t="s">
        <v>467</v>
      </c>
      <c r="F1037" s="4">
        <v>41687</v>
      </c>
      <c r="G1037" s="3">
        <v>53.8</v>
      </c>
      <c r="H1037" s="6"/>
      <c r="I1037" s="4">
        <v>41731</v>
      </c>
      <c r="J1037" s="3">
        <v>59.2</v>
      </c>
      <c r="K1037" s="6"/>
      <c r="L1037" s="3">
        <v>44</v>
      </c>
      <c r="M1037" s="5">
        <v>5.4000000000000057</v>
      </c>
      <c r="N1037" s="6"/>
      <c r="O1037" s="5">
        <v>103.83999999999999</v>
      </c>
      <c r="P1037" s="5">
        <v>122.72727272727285</v>
      </c>
      <c r="Q1037" s="5">
        <v>17.604039545454551</v>
      </c>
      <c r="R1037" s="8">
        <f t="shared" si="92"/>
        <v>15</v>
      </c>
      <c r="S1037" s="9">
        <f t="shared" si="93"/>
        <v>-0.79999999999999716</v>
      </c>
      <c r="T1037" s="9">
        <v>1.5</v>
      </c>
      <c r="U1037" s="9">
        <f t="shared" si="94"/>
        <v>35.4</v>
      </c>
      <c r="V1037" s="9">
        <f t="shared" si="95"/>
        <v>-53.333333333333144</v>
      </c>
      <c r="W1037" s="9">
        <f t="shared" si="96"/>
        <v>8.9242516666666756</v>
      </c>
    </row>
    <row r="1038" spans="1:23">
      <c r="A1038" s="2" t="s">
        <v>335</v>
      </c>
      <c r="B1038" s="2" t="s">
        <v>425</v>
      </c>
      <c r="C1038" s="3">
        <v>161</v>
      </c>
      <c r="D1038" s="3">
        <v>2.36</v>
      </c>
      <c r="E1038" s="2" t="s">
        <v>468</v>
      </c>
      <c r="F1038" s="4">
        <v>41687</v>
      </c>
      <c r="G1038" s="3">
        <v>52.2</v>
      </c>
      <c r="H1038" s="6"/>
      <c r="I1038" s="4">
        <v>41687</v>
      </c>
      <c r="J1038" s="3">
        <v>52.2</v>
      </c>
      <c r="K1038" s="6"/>
      <c r="L1038" s="3">
        <v>0</v>
      </c>
      <c r="M1038" s="5">
        <v>0</v>
      </c>
      <c r="N1038" s="6"/>
      <c r="O1038" s="5">
        <v>0</v>
      </c>
      <c r="P1038" s="5">
        <v>0</v>
      </c>
      <c r="Q1038" s="5">
        <v>10.826498000000001</v>
      </c>
      <c r="R1038" s="8">
        <f t="shared" si="92"/>
        <v>0</v>
      </c>
      <c r="S1038" s="9">
        <f t="shared" si="93"/>
        <v>0</v>
      </c>
      <c r="T1038" s="9">
        <v>1.5</v>
      </c>
      <c r="U1038" s="9">
        <f t="shared" si="94"/>
        <v>0</v>
      </c>
      <c r="V1038" s="9">
        <f t="shared" si="95"/>
        <v>0</v>
      </c>
      <c r="W1038" s="9">
        <f t="shared" si="96"/>
        <v>10.826498000000001</v>
      </c>
    </row>
    <row r="1039" spans="1:23">
      <c r="A1039" s="2" t="s">
        <v>335</v>
      </c>
      <c r="B1039" s="2" t="s">
        <v>425</v>
      </c>
      <c r="C1039" s="3">
        <v>161</v>
      </c>
      <c r="D1039" s="3">
        <v>2.36</v>
      </c>
      <c r="E1039" s="2" t="s">
        <v>468</v>
      </c>
      <c r="F1039" s="4">
        <v>41687</v>
      </c>
      <c r="G1039" s="3">
        <v>52.2</v>
      </c>
      <c r="H1039" s="6"/>
      <c r="I1039" s="4">
        <v>41703</v>
      </c>
      <c r="J1039" s="3">
        <v>59</v>
      </c>
      <c r="K1039" s="6"/>
      <c r="L1039" s="3">
        <v>16</v>
      </c>
      <c r="M1039" s="5">
        <v>6.7999999999999972</v>
      </c>
      <c r="N1039" s="6"/>
      <c r="O1039" s="5">
        <v>37.76</v>
      </c>
      <c r="P1039" s="5">
        <v>424.99999999999983</v>
      </c>
      <c r="Q1039" s="5">
        <v>32.353903999999986</v>
      </c>
      <c r="R1039" s="8">
        <f t="shared" si="92"/>
        <v>16</v>
      </c>
      <c r="S1039" s="9">
        <f t="shared" si="93"/>
        <v>6.7999999999999972</v>
      </c>
      <c r="T1039" s="9">
        <v>1.5</v>
      </c>
      <c r="U1039" s="9">
        <f t="shared" si="94"/>
        <v>37.76</v>
      </c>
      <c r="V1039" s="9">
        <f t="shared" si="95"/>
        <v>424.99999999999983</v>
      </c>
      <c r="W1039" s="9">
        <f t="shared" si="96"/>
        <v>32.353903999999986</v>
      </c>
    </row>
    <row r="1040" spans="1:23">
      <c r="A1040" s="2" t="s">
        <v>335</v>
      </c>
      <c r="B1040" s="2" t="s">
        <v>425</v>
      </c>
      <c r="C1040" s="3">
        <v>161</v>
      </c>
      <c r="D1040" s="3">
        <v>2.36</v>
      </c>
      <c r="E1040" s="2" t="s">
        <v>468</v>
      </c>
      <c r="F1040" s="4">
        <v>41687</v>
      </c>
      <c r="G1040" s="3">
        <v>52.2</v>
      </c>
      <c r="H1040" s="6"/>
      <c r="I1040" s="4">
        <v>41716</v>
      </c>
      <c r="J1040" s="3">
        <v>58</v>
      </c>
      <c r="K1040" s="6"/>
      <c r="L1040" s="3">
        <v>29</v>
      </c>
      <c r="M1040" s="5">
        <v>5.7999999999999972</v>
      </c>
      <c r="N1040" s="6"/>
      <c r="O1040" s="5">
        <v>68.44</v>
      </c>
      <c r="P1040" s="5">
        <v>199.99999999999989</v>
      </c>
      <c r="Q1040" s="5">
        <v>21.176858999999993</v>
      </c>
      <c r="R1040" s="8">
        <f t="shared" si="92"/>
        <v>13</v>
      </c>
      <c r="S1040" s="9">
        <f t="shared" si="93"/>
        <v>-1</v>
      </c>
      <c r="T1040" s="9">
        <v>1.5</v>
      </c>
      <c r="U1040" s="9">
        <f t="shared" si="94"/>
        <v>30.68</v>
      </c>
      <c r="V1040" s="9">
        <f t="shared" si="95"/>
        <v>-76.923076923076934</v>
      </c>
      <c r="W1040" s="9">
        <f t="shared" si="96"/>
        <v>7.524551307692307</v>
      </c>
    </row>
    <row r="1041" spans="1:23">
      <c r="A1041" s="2" t="s">
        <v>335</v>
      </c>
      <c r="B1041" s="2" t="s">
        <v>425</v>
      </c>
      <c r="C1041" s="3">
        <v>161</v>
      </c>
      <c r="D1041" s="3">
        <v>2.36</v>
      </c>
      <c r="E1041" s="2" t="s">
        <v>468</v>
      </c>
      <c r="F1041" s="4">
        <v>41687</v>
      </c>
      <c r="G1041" s="3">
        <v>52.2</v>
      </c>
      <c r="H1041" s="6"/>
      <c r="I1041" s="4">
        <v>41731</v>
      </c>
      <c r="J1041" s="3">
        <v>58.3</v>
      </c>
      <c r="K1041" s="6"/>
      <c r="L1041" s="3">
        <v>44</v>
      </c>
      <c r="M1041" s="5">
        <v>6.0999999999999943</v>
      </c>
      <c r="N1041" s="6"/>
      <c r="O1041" s="5">
        <v>103.83999999999999</v>
      </c>
      <c r="P1041" s="5">
        <v>138.63636363636351</v>
      </c>
      <c r="Q1041" s="5">
        <v>18.17699522727272</v>
      </c>
      <c r="R1041" s="8">
        <f t="shared" si="92"/>
        <v>15</v>
      </c>
      <c r="S1041" s="9">
        <f t="shared" si="93"/>
        <v>0.29999999999999716</v>
      </c>
      <c r="T1041" s="9">
        <v>1.5</v>
      </c>
      <c r="U1041" s="9">
        <f t="shared" si="94"/>
        <v>35.4</v>
      </c>
      <c r="V1041" s="9">
        <f t="shared" si="95"/>
        <v>19.999999999999808</v>
      </c>
      <c r="W1041" s="9">
        <f t="shared" si="96"/>
        <v>12.32822249999999</v>
      </c>
    </row>
    <row r="1042" spans="1:23">
      <c r="A1042" s="2" t="s">
        <v>335</v>
      </c>
      <c r="B1042" s="2" t="s">
        <v>425</v>
      </c>
      <c r="C1042" s="3">
        <v>161</v>
      </c>
      <c r="D1042" s="3">
        <v>2.36</v>
      </c>
      <c r="E1042" s="2" t="s">
        <v>469</v>
      </c>
      <c r="F1042" s="4">
        <v>41687</v>
      </c>
      <c r="G1042" s="3">
        <v>55.2</v>
      </c>
      <c r="H1042" s="6"/>
      <c r="I1042" s="4">
        <v>41687</v>
      </c>
      <c r="J1042" s="3">
        <v>55.2</v>
      </c>
      <c r="K1042" s="6"/>
      <c r="L1042" s="3">
        <v>0</v>
      </c>
      <c r="M1042" s="5">
        <v>0</v>
      </c>
      <c r="N1042" s="6"/>
      <c r="O1042" s="5">
        <v>0</v>
      </c>
      <c r="P1042" s="5">
        <v>0</v>
      </c>
      <c r="Q1042" s="5">
        <v>11.333767999999999</v>
      </c>
      <c r="R1042" s="8">
        <f t="shared" si="92"/>
        <v>0</v>
      </c>
      <c r="S1042" s="9">
        <f t="shared" si="93"/>
        <v>0</v>
      </c>
      <c r="T1042" s="9">
        <v>1.5</v>
      </c>
      <c r="U1042" s="9">
        <f t="shared" si="94"/>
        <v>0</v>
      </c>
      <c r="V1042" s="9">
        <f t="shared" si="95"/>
        <v>0</v>
      </c>
      <c r="W1042" s="9">
        <f t="shared" si="96"/>
        <v>11.333767999999999</v>
      </c>
    </row>
    <row r="1043" spans="1:23">
      <c r="A1043" s="2" t="s">
        <v>335</v>
      </c>
      <c r="B1043" s="2" t="s">
        <v>425</v>
      </c>
      <c r="C1043" s="3">
        <v>161</v>
      </c>
      <c r="D1043" s="3">
        <v>2.36</v>
      </c>
      <c r="E1043" s="2" t="s">
        <v>469</v>
      </c>
      <c r="F1043" s="4">
        <v>41687</v>
      </c>
      <c r="G1043" s="3">
        <v>55.2</v>
      </c>
      <c r="H1043" s="6"/>
      <c r="I1043" s="4">
        <v>41703</v>
      </c>
      <c r="J1043" s="3">
        <v>58.8</v>
      </c>
      <c r="K1043" s="6"/>
      <c r="L1043" s="3">
        <v>16</v>
      </c>
      <c r="M1043" s="5">
        <v>3.5999999999999943</v>
      </c>
      <c r="N1043" s="6"/>
      <c r="O1043" s="5">
        <v>37.76</v>
      </c>
      <c r="P1043" s="5">
        <v>224.99999999999966</v>
      </c>
      <c r="Q1043" s="5">
        <v>22.730629999999984</v>
      </c>
      <c r="R1043" s="8">
        <f t="shared" si="92"/>
        <v>16</v>
      </c>
      <c r="S1043" s="9">
        <f t="shared" si="93"/>
        <v>3.5999999999999943</v>
      </c>
      <c r="T1043" s="9">
        <v>1.5</v>
      </c>
      <c r="U1043" s="9">
        <f t="shared" si="94"/>
        <v>37.76</v>
      </c>
      <c r="V1043" s="9">
        <f t="shared" si="95"/>
        <v>224.99999999999966</v>
      </c>
      <c r="W1043" s="9">
        <f t="shared" si="96"/>
        <v>22.730629999999984</v>
      </c>
    </row>
    <row r="1044" spans="1:23">
      <c r="A1044" s="2" t="s">
        <v>335</v>
      </c>
      <c r="B1044" s="2" t="s">
        <v>425</v>
      </c>
      <c r="C1044" s="3">
        <v>161</v>
      </c>
      <c r="D1044" s="3">
        <v>2.36</v>
      </c>
      <c r="E1044" s="2" t="s">
        <v>469</v>
      </c>
      <c r="F1044" s="4">
        <v>41687</v>
      </c>
      <c r="G1044" s="3">
        <v>55.2</v>
      </c>
      <c r="H1044" s="6"/>
      <c r="I1044" s="4">
        <v>41716</v>
      </c>
      <c r="J1044" s="3">
        <v>59</v>
      </c>
      <c r="K1044" s="6"/>
      <c r="L1044" s="3">
        <v>29</v>
      </c>
      <c r="M1044" s="5">
        <v>3.7999999999999972</v>
      </c>
      <c r="N1044" s="6"/>
      <c r="O1044" s="5">
        <v>68.44</v>
      </c>
      <c r="P1044" s="5">
        <v>131.03448275862058</v>
      </c>
      <c r="Q1044" s="5">
        <v>18.115038999999996</v>
      </c>
      <c r="R1044" s="8">
        <f t="shared" si="92"/>
        <v>13</v>
      </c>
      <c r="S1044" s="9">
        <f t="shared" si="93"/>
        <v>0.20000000000000284</v>
      </c>
      <c r="T1044" s="9">
        <v>1.5</v>
      </c>
      <c r="U1044" s="9">
        <f t="shared" si="94"/>
        <v>30.68</v>
      </c>
      <c r="V1044" s="9">
        <f t="shared" si="95"/>
        <v>15.384615384615604</v>
      </c>
      <c r="W1044" s="9">
        <f t="shared" si="96"/>
        <v>12.41350053846155</v>
      </c>
    </row>
    <row r="1045" spans="1:23">
      <c r="A1045" s="2" t="s">
        <v>335</v>
      </c>
      <c r="B1045" s="2" t="s">
        <v>425</v>
      </c>
      <c r="C1045" s="3">
        <v>161</v>
      </c>
      <c r="D1045" s="3">
        <v>2.36</v>
      </c>
      <c r="E1045" s="2" t="s">
        <v>469</v>
      </c>
      <c r="F1045" s="4">
        <v>41687</v>
      </c>
      <c r="G1045" s="3">
        <v>55.2</v>
      </c>
      <c r="H1045" s="6"/>
      <c r="I1045" s="4">
        <v>41731</v>
      </c>
      <c r="J1045" s="3">
        <v>59.8</v>
      </c>
      <c r="K1045" s="6"/>
      <c r="L1045" s="3">
        <v>44</v>
      </c>
      <c r="M1045" s="5">
        <v>4.5999999999999943</v>
      </c>
      <c r="N1045" s="6"/>
      <c r="O1045" s="5">
        <v>103.83999999999999</v>
      </c>
      <c r="P1045" s="5">
        <v>104.54545454545442</v>
      </c>
      <c r="Q1045" s="5">
        <v>16.876765909090899</v>
      </c>
      <c r="R1045" s="8">
        <f t="shared" si="92"/>
        <v>15</v>
      </c>
      <c r="S1045" s="9">
        <f t="shared" si="93"/>
        <v>0.79999999999999716</v>
      </c>
      <c r="T1045" s="9">
        <v>1.5</v>
      </c>
      <c r="U1045" s="9">
        <f t="shared" si="94"/>
        <v>35.4</v>
      </c>
      <c r="V1045" s="9">
        <f t="shared" si="95"/>
        <v>53.333333333333144</v>
      </c>
      <c r="W1045" s="9">
        <f t="shared" si="96"/>
        <v>14.352008333333323</v>
      </c>
    </row>
    <row r="1046" spans="1:23">
      <c r="A1046" s="2" t="s">
        <v>335</v>
      </c>
      <c r="B1046" s="2" t="s">
        <v>425</v>
      </c>
      <c r="C1046" s="3">
        <v>161</v>
      </c>
      <c r="D1046" s="3">
        <v>2.36</v>
      </c>
      <c r="E1046" s="2" t="s">
        <v>470</v>
      </c>
      <c r="F1046" s="4">
        <v>41687</v>
      </c>
      <c r="G1046" s="3">
        <v>51.6</v>
      </c>
      <c r="H1046" s="6"/>
      <c r="I1046" s="4">
        <v>41687</v>
      </c>
      <c r="J1046" s="3">
        <v>51.6</v>
      </c>
      <c r="K1046" s="6"/>
      <c r="L1046" s="3">
        <v>0</v>
      </c>
      <c r="M1046" s="5">
        <v>0</v>
      </c>
      <c r="N1046" s="6"/>
      <c r="O1046" s="5">
        <v>0</v>
      </c>
      <c r="P1046" s="5">
        <v>0</v>
      </c>
      <c r="Q1046" s="5">
        <v>10.725044</v>
      </c>
      <c r="R1046" s="8">
        <f t="shared" si="92"/>
        <v>0</v>
      </c>
      <c r="S1046" s="9">
        <f t="shared" si="93"/>
        <v>0</v>
      </c>
      <c r="T1046" s="9">
        <v>1.5</v>
      </c>
      <c r="U1046" s="9">
        <f t="shared" si="94"/>
        <v>0</v>
      </c>
      <c r="V1046" s="9">
        <f t="shared" si="95"/>
        <v>0</v>
      </c>
      <c r="W1046" s="9">
        <f t="shared" si="96"/>
        <v>10.725044</v>
      </c>
    </row>
    <row r="1047" spans="1:23">
      <c r="A1047" s="2" t="s">
        <v>335</v>
      </c>
      <c r="B1047" s="2" t="s">
        <v>425</v>
      </c>
      <c r="C1047" s="3">
        <v>161</v>
      </c>
      <c r="D1047" s="3">
        <v>2.36</v>
      </c>
      <c r="E1047" s="2" t="s">
        <v>470</v>
      </c>
      <c r="F1047" s="4">
        <v>41687</v>
      </c>
      <c r="G1047" s="3">
        <v>51.6</v>
      </c>
      <c r="H1047" s="6"/>
      <c r="I1047" s="4">
        <v>41703</v>
      </c>
      <c r="J1047" s="3">
        <v>59</v>
      </c>
      <c r="K1047" s="6"/>
      <c r="L1047" s="3">
        <v>16</v>
      </c>
      <c r="M1047" s="5">
        <v>7.3999999999999986</v>
      </c>
      <c r="N1047" s="6"/>
      <c r="O1047" s="5">
        <v>37.76</v>
      </c>
      <c r="P1047" s="5">
        <v>462.49999999999989</v>
      </c>
      <c r="Q1047" s="5">
        <v>34.151926999999993</v>
      </c>
      <c r="R1047" s="8">
        <f t="shared" si="92"/>
        <v>16</v>
      </c>
      <c r="S1047" s="9">
        <f t="shared" si="93"/>
        <v>7.3999999999999986</v>
      </c>
      <c r="T1047" s="9">
        <v>1.5</v>
      </c>
      <c r="U1047" s="9">
        <f t="shared" si="94"/>
        <v>37.76</v>
      </c>
      <c r="V1047" s="9">
        <f t="shared" si="95"/>
        <v>462.49999999999989</v>
      </c>
      <c r="W1047" s="9">
        <f t="shared" si="96"/>
        <v>34.151926999999993</v>
      </c>
    </row>
    <row r="1048" spans="1:23">
      <c r="A1048" s="2" t="s">
        <v>335</v>
      </c>
      <c r="B1048" s="2" t="s">
        <v>425</v>
      </c>
      <c r="C1048" s="3">
        <v>161</v>
      </c>
      <c r="D1048" s="3">
        <v>2.36</v>
      </c>
      <c r="E1048" s="2" t="s">
        <v>470</v>
      </c>
      <c r="F1048" s="4">
        <v>41687</v>
      </c>
      <c r="G1048" s="3">
        <v>51.6</v>
      </c>
      <c r="H1048" s="6"/>
      <c r="I1048" s="4">
        <v>41716</v>
      </c>
      <c r="J1048" s="3">
        <v>60.5</v>
      </c>
      <c r="K1048" s="6"/>
      <c r="L1048" s="3">
        <v>29</v>
      </c>
      <c r="M1048" s="5">
        <v>8.8999999999999986</v>
      </c>
      <c r="N1048" s="6"/>
      <c r="O1048" s="5">
        <v>68.44</v>
      </c>
      <c r="P1048" s="5">
        <v>306.89655172413785</v>
      </c>
      <c r="Q1048" s="5">
        <v>26.607494499999994</v>
      </c>
      <c r="R1048" s="8">
        <f t="shared" si="92"/>
        <v>13</v>
      </c>
      <c r="S1048" s="9">
        <f t="shared" si="93"/>
        <v>1.5</v>
      </c>
      <c r="T1048" s="9">
        <v>1.5</v>
      </c>
      <c r="U1048" s="9">
        <f t="shared" si="94"/>
        <v>30.68</v>
      </c>
      <c r="V1048" s="9">
        <f t="shared" si="95"/>
        <v>115.38461538461539</v>
      </c>
      <c r="W1048" s="9">
        <f t="shared" si="96"/>
        <v>17.165956038461538</v>
      </c>
    </row>
    <row r="1049" spans="1:23">
      <c r="A1049" s="2" t="s">
        <v>335</v>
      </c>
      <c r="B1049" s="2" t="s">
        <v>425</v>
      </c>
      <c r="C1049" s="3">
        <v>161</v>
      </c>
      <c r="D1049" s="3">
        <v>2.36</v>
      </c>
      <c r="E1049" s="2" t="s">
        <v>470</v>
      </c>
      <c r="F1049" s="4">
        <v>41687</v>
      </c>
      <c r="G1049" s="3">
        <v>51.6</v>
      </c>
      <c r="H1049" s="6"/>
      <c r="I1049" s="4">
        <v>41731</v>
      </c>
      <c r="J1049" s="3">
        <v>57.4</v>
      </c>
      <c r="K1049" s="6"/>
      <c r="L1049" s="3">
        <v>44</v>
      </c>
      <c r="M1049" s="5">
        <v>5.7999999999999972</v>
      </c>
      <c r="N1049" s="6"/>
      <c r="O1049" s="5">
        <v>103.83999999999999</v>
      </c>
      <c r="P1049" s="5">
        <v>131.81818181818176</v>
      </c>
      <c r="Q1049" s="5">
        <v>17.714041363636358</v>
      </c>
      <c r="R1049" s="8">
        <f t="shared" si="92"/>
        <v>15</v>
      </c>
      <c r="S1049" s="9">
        <f t="shared" si="93"/>
        <v>-3.1000000000000014</v>
      </c>
      <c r="T1049" s="9">
        <v>1.5</v>
      </c>
      <c r="U1049" s="9">
        <f t="shared" si="94"/>
        <v>35.4</v>
      </c>
      <c r="V1049" s="9">
        <f t="shared" si="95"/>
        <v>-206.66666666666674</v>
      </c>
      <c r="W1049" s="9">
        <f t="shared" si="96"/>
        <v>1.0267383333333289</v>
      </c>
    </row>
    <row r="1050" spans="1:23">
      <c r="A1050" s="2" t="s">
        <v>335</v>
      </c>
      <c r="B1050" s="2" t="s">
        <v>425</v>
      </c>
      <c r="C1050" s="3">
        <v>161</v>
      </c>
      <c r="D1050" s="3">
        <v>2.36</v>
      </c>
      <c r="E1050" s="2" t="s">
        <v>471</v>
      </c>
      <c r="F1050" s="4">
        <v>41687</v>
      </c>
      <c r="G1050" s="3">
        <v>51.6</v>
      </c>
      <c r="H1050" s="6"/>
      <c r="I1050" s="4">
        <v>41687</v>
      </c>
      <c r="J1050" s="3">
        <v>51.6</v>
      </c>
      <c r="K1050" s="6"/>
      <c r="L1050" s="3">
        <v>0</v>
      </c>
      <c r="M1050" s="5">
        <v>0</v>
      </c>
      <c r="N1050" s="6"/>
      <c r="O1050" s="5">
        <v>0</v>
      </c>
      <c r="P1050" s="5">
        <v>0</v>
      </c>
      <c r="Q1050" s="5">
        <v>10.725044</v>
      </c>
      <c r="R1050" s="8">
        <f t="shared" si="92"/>
        <v>0</v>
      </c>
      <c r="S1050" s="9">
        <f t="shared" si="93"/>
        <v>0</v>
      </c>
      <c r="T1050" s="9">
        <v>1.5</v>
      </c>
      <c r="U1050" s="9">
        <f t="shared" si="94"/>
        <v>0</v>
      </c>
      <c r="V1050" s="9">
        <f t="shared" si="95"/>
        <v>0</v>
      </c>
      <c r="W1050" s="9">
        <f t="shared" si="96"/>
        <v>10.725044</v>
      </c>
    </row>
    <row r="1051" spans="1:23">
      <c r="A1051" s="2" t="s">
        <v>335</v>
      </c>
      <c r="B1051" s="2" t="s">
        <v>425</v>
      </c>
      <c r="C1051" s="3">
        <v>161</v>
      </c>
      <c r="D1051" s="3">
        <v>2.36</v>
      </c>
      <c r="E1051" s="2" t="s">
        <v>471</v>
      </c>
      <c r="F1051" s="4">
        <v>41687</v>
      </c>
      <c r="G1051" s="3">
        <v>51.6</v>
      </c>
      <c r="H1051" s="6"/>
      <c r="I1051" s="4">
        <v>41703</v>
      </c>
      <c r="J1051" s="3">
        <v>52.8</v>
      </c>
      <c r="K1051" s="6"/>
      <c r="L1051" s="3">
        <v>16</v>
      </c>
      <c r="M1051" s="5">
        <v>1.1999999999999957</v>
      </c>
      <c r="N1051" s="6"/>
      <c r="O1051" s="5">
        <v>37.76</v>
      </c>
      <c r="P1051" s="5">
        <v>74.99999999999973</v>
      </c>
      <c r="Q1051" s="5">
        <v>14.523997999999988</v>
      </c>
      <c r="R1051" s="8">
        <f t="shared" si="92"/>
        <v>16</v>
      </c>
      <c r="S1051" s="9">
        <f t="shared" si="93"/>
        <v>1.1999999999999957</v>
      </c>
      <c r="T1051" s="9">
        <v>1.5</v>
      </c>
      <c r="U1051" s="9">
        <f t="shared" si="94"/>
        <v>37.76</v>
      </c>
      <c r="V1051" s="9">
        <f t="shared" si="95"/>
        <v>74.99999999999973</v>
      </c>
      <c r="W1051" s="9">
        <f t="shared" si="96"/>
        <v>14.523997999999988</v>
      </c>
    </row>
    <row r="1052" spans="1:23">
      <c r="A1052" s="2" t="s">
        <v>335</v>
      </c>
      <c r="B1052" s="2" t="s">
        <v>425</v>
      </c>
      <c r="C1052" s="3">
        <v>161</v>
      </c>
      <c r="D1052" s="3">
        <v>2.36</v>
      </c>
      <c r="E1052" s="2" t="s">
        <v>471</v>
      </c>
      <c r="F1052" s="4">
        <v>41687</v>
      </c>
      <c r="G1052" s="3">
        <v>51.6</v>
      </c>
      <c r="H1052" s="6"/>
      <c r="I1052" s="4">
        <v>41716</v>
      </c>
      <c r="J1052" s="3">
        <v>53.5</v>
      </c>
      <c r="K1052" s="6"/>
      <c r="L1052" s="3">
        <v>29</v>
      </c>
      <c r="M1052" s="5">
        <v>1.8999999999999986</v>
      </c>
      <c r="N1052" s="6"/>
      <c r="O1052" s="5">
        <v>68.44</v>
      </c>
      <c r="P1052" s="5">
        <v>65.517241379310292</v>
      </c>
      <c r="Q1052" s="5">
        <v>14.115679499999995</v>
      </c>
      <c r="R1052" s="8">
        <f t="shared" si="92"/>
        <v>13</v>
      </c>
      <c r="S1052" s="9">
        <f t="shared" si="93"/>
        <v>0.70000000000000284</v>
      </c>
      <c r="T1052" s="9">
        <v>1.5</v>
      </c>
      <c r="U1052" s="9">
        <f t="shared" si="94"/>
        <v>30.68</v>
      </c>
      <c r="V1052" s="9">
        <f t="shared" si="95"/>
        <v>53.846153846154067</v>
      </c>
      <c r="W1052" s="9">
        <f t="shared" si="96"/>
        <v>13.540294884615394</v>
      </c>
    </row>
    <row r="1053" spans="1:23">
      <c r="A1053" s="2" t="s">
        <v>335</v>
      </c>
      <c r="B1053" s="2" t="s">
        <v>425</v>
      </c>
      <c r="C1053" s="3">
        <v>161</v>
      </c>
      <c r="D1053" s="3">
        <v>2.36</v>
      </c>
      <c r="E1053" s="2" t="s">
        <v>471</v>
      </c>
      <c r="F1053" s="4">
        <v>41687</v>
      </c>
      <c r="G1053" s="3">
        <v>51.6</v>
      </c>
      <c r="H1053" s="6"/>
      <c r="I1053" s="4">
        <v>41731</v>
      </c>
      <c r="J1053" s="3">
        <v>54.2</v>
      </c>
      <c r="K1053" s="6"/>
      <c r="L1053" s="3">
        <v>44</v>
      </c>
      <c r="M1053" s="5">
        <v>2.6000000000000014</v>
      </c>
      <c r="N1053" s="6"/>
      <c r="O1053" s="5">
        <v>103.83999999999999</v>
      </c>
      <c r="P1053" s="5">
        <v>59.090909090909122</v>
      </c>
      <c r="Q1053" s="5">
        <v>13.858042818181822</v>
      </c>
      <c r="R1053" s="8">
        <f t="shared" si="92"/>
        <v>15</v>
      </c>
      <c r="S1053" s="9">
        <f t="shared" si="93"/>
        <v>0.70000000000000284</v>
      </c>
      <c r="T1053" s="9">
        <v>1.5</v>
      </c>
      <c r="U1053" s="9">
        <f t="shared" si="94"/>
        <v>35.4</v>
      </c>
      <c r="V1053" s="9">
        <f t="shared" si="95"/>
        <v>46.666666666666856</v>
      </c>
      <c r="W1053" s="9">
        <f t="shared" si="96"/>
        <v>13.245527666666677</v>
      </c>
    </row>
    <row r="1054" spans="1:23">
      <c r="A1054" s="2" t="s">
        <v>335</v>
      </c>
      <c r="B1054" s="2" t="s">
        <v>425</v>
      </c>
      <c r="C1054" s="3">
        <v>161</v>
      </c>
      <c r="D1054" s="3">
        <v>2.36</v>
      </c>
      <c r="E1054" s="2" t="s">
        <v>472</v>
      </c>
      <c r="F1054" s="4">
        <v>41687</v>
      </c>
      <c r="G1054" s="3">
        <v>52.2</v>
      </c>
      <c r="H1054" s="6"/>
      <c r="I1054" s="4">
        <v>41687</v>
      </c>
      <c r="J1054" s="3">
        <v>52.2</v>
      </c>
      <c r="K1054" s="6"/>
      <c r="L1054" s="3">
        <v>0</v>
      </c>
      <c r="M1054" s="5">
        <v>0</v>
      </c>
      <c r="N1054" s="6"/>
      <c r="O1054" s="5">
        <v>0</v>
      </c>
      <c r="P1054" s="5">
        <v>0</v>
      </c>
      <c r="Q1054" s="5">
        <v>10.826498000000001</v>
      </c>
      <c r="R1054" s="8">
        <f t="shared" si="92"/>
        <v>0</v>
      </c>
      <c r="S1054" s="9">
        <f t="shared" si="93"/>
        <v>0</v>
      </c>
      <c r="T1054" s="9">
        <v>1.5</v>
      </c>
      <c r="U1054" s="9">
        <f t="shared" si="94"/>
        <v>0</v>
      </c>
      <c r="V1054" s="9">
        <f t="shared" si="95"/>
        <v>0</v>
      </c>
      <c r="W1054" s="9">
        <f t="shared" si="96"/>
        <v>10.826498000000001</v>
      </c>
    </row>
    <row r="1055" spans="1:23">
      <c r="A1055" s="2" t="s">
        <v>335</v>
      </c>
      <c r="B1055" s="2" t="s">
        <v>425</v>
      </c>
      <c r="C1055" s="3">
        <v>161</v>
      </c>
      <c r="D1055" s="3">
        <v>2.36</v>
      </c>
      <c r="E1055" s="2" t="s">
        <v>472</v>
      </c>
      <c r="F1055" s="4">
        <v>41687</v>
      </c>
      <c r="G1055" s="3">
        <v>52.2</v>
      </c>
      <c r="H1055" s="6"/>
      <c r="I1055" s="4">
        <v>41703</v>
      </c>
      <c r="J1055" s="3">
        <v>57</v>
      </c>
      <c r="K1055" s="6"/>
      <c r="L1055" s="3">
        <v>16</v>
      </c>
      <c r="M1055" s="5">
        <v>4.7999999999999972</v>
      </c>
      <c r="N1055" s="6"/>
      <c r="O1055" s="5">
        <v>37.76</v>
      </c>
      <c r="P1055" s="5">
        <v>299.99999999999983</v>
      </c>
      <c r="Q1055" s="5">
        <v>26.022313999999991</v>
      </c>
      <c r="R1055" s="8">
        <f t="shared" si="92"/>
        <v>16</v>
      </c>
      <c r="S1055" s="9">
        <f t="shared" si="93"/>
        <v>4.7999999999999972</v>
      </c>
      <c r="T1055" s="9">
        <v>1.5</v>
      </c>
      <c r="U1055" s="9">
        <f t="shared" si="94"/>
        <v>37.76</v>
      </c>
      <c r="V1055" s="9">
        <f t="shared" si="95"/>
        <v>299.99999999999983</v>
      </c>
      <c r="W1055" s="9">
        <f t="shared" si="96"/>
        <v>26.022313999999991</v>
      </c>
    </row>
    <row r="1056" spans="1:23">
      <c r="A1056" s="2" t="s">
        <v>335</v>
      </c>
      <c r="B1056" s="2" t="s">
        <v>425</v>
      </c>
      <c r="C1056" s="3">
        <v>161</v>
      </c>
      <c r="D1056" s="3">
        <v>2.36</v>
      </c>
      <c r="E1056" s="2" t="s">
        <v>472</v>
      </c>
      <c r="F1056" s="4">
        <v>41687</v>
      </c>
      <c r="G1056" s="3">
        <v>52.2</v>
      </c>
      <c r="H1056" s="6"/>
      <c r="I1056" s="4">
        <v>41716</v>
      </c>
      <c r="J1056" s="3">
        <v>58.5</v>
      </c>
      <c r="K1056" s="6"/>
      <c r="L1056" s="3">
        <v>29</v>
      </c>
      <c r="M1056" s="5">
        <v>6.2999999999999972</v>
      </c>
      <c r="N1056" s="6"/>
      <c r="O1056" s="5">
        <v>68.44</v>
      </c>
      <c r="P1056" s="5">
        <v>217.24137931034474</v>
      </c>
      <c r="Q1056" s="5">
        <v>22.069131499999997</v>
      </c>
      <c r="R1056" s="8">
        <f t="shared" si="92"/>
        <v>13</v>
      </c>
      <c r="S1056" s="9">
        <f t="shared" si="93"/>
        <v>1.5</v>
      </c>
      <c r="T1056" s="9">
        <v>1.5</v>
      </c>
      <c r="U1056" s="9">
        <f t="shared" si="94"/>
        <v>30.68</v>
      </c>
      <c r="V1056" s="9">
        <f t="shared" si="95"/>
        <v>115.38461538461539</v>
      </c>
      <c r="W1056" s="9">
        <f t="shared" si="96"/>
        <v>17.047593038461539</v>
      </c>
    </row>
    <row r="1057" spans="1:23">
      <c r="A1057" s="2" t="s">
        <v>335</v>
      </c>
      <c r="B1057" s="2" t="s">
        <v>425</v>
      </c>
      <c r="C1057" s="3">
        <v>161</v>
      </c>
      <c r="D1057" s="3">
        <v>2.36</v>
      </c>
      <c r="E1057" s="2" t="s">
        <v>472</v>
      </c>
      <c r="F1057" s="4">
        <v>41687</v>
      </c>
      <c r="G1057" s="3">
        <v>52.2</v>
      </c>
      <c r="H1057" s="6"/>
      <c r="I1057" s="4">
        <v>41731</v>
      </c>
      <c r="J1057" s="3">
        <v>58.2</v>
      </c>
      <c r="K1057" s="6"/>
      <c r="L1057" s="3">
        <v>44</v>
      </c>
      <c r="M1057" s="5">
        <v>6</v>
      </c>
      <c r="N1057" s="6"/>
      <c r="O1057" s="5">
        <v>103.83999999999999</v>
      </c>
      <c r="P1057" s="5">
        <v>136.36363636363635</v>
      </c>
      <c r="Q1057" s="5">
        <v>18.056495272727272</v>
      </c>
      <c r="R1057" s="8">
        <f t="shared" si="92"/>
        <v>15</v>
      </c>
      <c r="S1057" s="9">
        <f t="shared" si="93"/>
        <v>-0.29999999999999716</v>
      </c>
      <c r="T1057" s="9">
        <v>1.5</v>
      </c>
      <c r="U1057" s="9">
        <f t="shared" si="94"/>
        <v>35.4</v>
      </c>
      <c r="V1057" s="9">
        <f t="shared" si="95"/>
        <v>-19.999999999999808</v>
      </c>
      <c r="W1057" s="9">
        <f t="shared" si="96"/>
        <v>10.347768000000009</v>
      </c>
    </row>
    <row r="1058" spans="1:23">
      <c r="A1058" s="2" t="s">
        <v>335</v>
      </c>
      <c r="B1058" s="2" t="s">
        <v>425</v>
      </c>
      <c r="C1058" s="3">
        <v>161</v>
      </c>
      <c r="D1058" s="3">
        <v>2.36</v>
      </c>
      <c r="E1058" s="2" t="s">
        <v>473</v>
      </c>
      <c r="F1058" s="4">
        <v>41687</v>
      </c>
      <c r="G1058" s="3">
        <v>55.4</v>
      </c>
      <c r="H1058" s="6"/>
      <c r="I1058" s="4">
        <v>41687</v>
      </c>
      <c r="J1058" s="3">
        <v>55.4</v>
      </c>
      <c r="K1058" s="6"/>
      <c r="L1058" s="3">
        <v>0</v>
      </c>
      <c r="M1058" s="5">
        <v>0</v>
      </c>
      <c r="N1058" s="6"/>
      <c r="O1058" s="5">
        <v>0</v>
      </c>
      <c r="P1058" s="5">
        <v>0</v>
      </c>
      <c r="Q1058" s="5">
        <v>11.367585999999999</v>
      </c>
      <c r="R1058" s="8">
        <f t="shared" si="92"/>
        <v>0</v>
      </c>
      <c r="S1058" s="9">
        <f t="shared" si="93"/>
        <v>0</v>
      </c>
      <c r="T1058" s="9">
        <v>1.5</v>
      </c>
      <c r="U1058" s="9">
        <f t="shared" si="94"/>
        <v>0</v>
      </c>
      <c r="V1058" s="9">
        <f t="shared" si="95"/>
        <v>0</v>
      </c>
      <c r="W1058" s="9">
        <f t="shared" si="96"/>
        <v>11.367585999999999</v>
      </c>
    </row>
    <row r="1059" spans="1:23">
      <c r="A1059" s="2" t="s">
        <v>335</v>
      </c>
      <c r="B1059" s="2" t="s">
        <v>425</v>
      </c>
      <c r="C1059" s="3">
        <v>161</v>
      </c>
      <c r="D1059" s="3">
        <v>2.36</v>
      </c>
      <c r="E1059" s="2" t="s">
        <v>473</v>
      </c>
      <c r="F1059" s="4">
        <v>41687</v>
      </c>
      <c r="G1059" s="3">
        <v>55.4</v>
      </c>
      <c r="H1059" s="6"/>
      <c r="I1059" s="4">
        <v>41703</v>
      </c>
      <c r="J1059" s="3">
        <v>55.6</v>
      </c>
      <c r="K1059" s="6"/>
      <c r="L1059" s="3">
        <v>16</v>
      </c>
      <c r="M1059" s="5">
        <v>0.20000000000000284</v>
      </c>
      <c r="N1059" s="6"/>
      <c r="O1059" s="5">
        <v>37.76</v>
      </c>
      <c r="P1059" s="5">
        <v>12.500000000000178</v>
      </c>
      <c r="Q1059" s="5">
        <v>12.000745000000007</v>
      </c>
      <c r="R1059" s="8">
        <f t="shared" si="92"/>
        <v>16</v>
      </c>
      <c r="S1059" s="9">
        <f t="shared" si="93"/>
        <v>0.20000000000000284</v>
      </c>
      <c r="T1059" s="9">
        <v>1.5</v>
      </c>
      <c r="U1059" s="9">
        <f t="shared" si="94"/>
        <v>37.76</v>
      </c>
      <c r="V1059" s="9">
        <f t="shared" si="95"/>
        <v>12.500000000000178</v>
      </c>
      <c r="W1059" s="9">
        <f t="shared" si="96"/>
        <v>12.000745000000007</v>
      </c>
    </row>
    <row r="1060" spans="1:23">
      <c r="A1060" s="2" t="s">
        <v>335</v>
      </c>
      <c r="B1060" s="2" t="s">
        <v>425</v>
      </c>
      <c r="C1060" s="3">
        <v>161</v>
      </c>
      <c r="D1060" s="3">
        <v>2.36</v>
      </c>
      <c r="E1060" s="2" t="s">
        <v>473</v>
      </c>
      <c r="F1060" s="4">
        <v>41687</v>
      </c>
      <c r="G1060" s="3">
        <v>55.4</v>
      </c>
      <c r="H1060" s="6"/>
      <c r="I1060" s="4">
        <v>41716</v>
      </c>
      <c r="J1060" s="3">
        <v>60</v>
      </c>
      <c r="K1060" s="6"/>
      <c r="L1060" s="3">
        <v>29</v>
      </c>
      <c r="M1060" s="5">
        <v>4.6000000000000014</v>
      </c>
      <c r="N1060" s="6"/>
      <c r="O1060" s="5">
        <v>68.44</v>
      </c>
      <c r="P1060" s="5">
        <v>158.62068965517244</v>
      </c>
      <c r="Q1060" s="5">
        <v>19.576493000000003</v>
      </c>
      <c r="R1060" s="8">
        <f t="shared" si="92"/>
        <v>13</v>
      </c>
      <c r="S1060" s="9">
        <f t="shared" si="93"/>
        <v>4.3999999999999986</v>
      </c>
      <c r="T1060" s="9">
        <v>1.5</v>
      </c>
      <c r="U1060" s="9">
        <f t="shared" si="94"/>
        <v>30.68</v>
      </c>
      <c r="V1060" s="9">
        <f t="shared" si="95"/>
        <v>338.4615384615384</v>
      </c>
      <c r="W1060" s="9">
        <f t="shared" si="96"/>
        <v>28.442646846153842</v>
      </c>
    </row>
    <row r="1061" spans="1:23">
      <c r="A1061" s="2" t="s">
        <v>335</v>
      </c>
      <c r="B1061" s="2" t="s">
        <v>425</v>
      </c>
      <c r="C1061" s="3">
        <v>161</v>
      </c>
      <c r="D1061" s="3">
        <v>2.36</v>
      </c>
      <c r="E1061" s="2" t="s">
        <v>473</v>
      </c>
      <c r="F1061" s="4">
        <v>41687</v>
      </c>
      <c r="G1061" s="3">
        <v>55.4</v>
      </c>
      <c r="H1061" s="6"/>
      <c r="I1061" s="4">
        <v>41731</v>
      </c>
      <c r="J1061" s="3">
        <v>59.6</v>
      </c>
      <c r="K1061" s="6"/>
      <c r="L1061" s="3">
        <v>44</v>
      </c>
      <c r="M1061" s="5">
        <v>4.2000000000000028</v>
      </c>
      <c r="N1061" s="6"/>
      <c r="O1061" s="5">
        <v>103.83999999999999</v>
      </c>
      <c r="P1061" s="5">
        <v>95.45454545454551</v>
      </c>
      <c r="Q1061" s="5">
        <v>16.428584090909091</v>
      </c>
      <c r="R1061" s="8">
        <f t="shared" si="92"/>
        <v>15</v>
      </c>
      <c r="S1061" s="9">
        <f t="shared" si="93"/>
        <v>-0.39999999999999858</v>
      </c>
      <c r="T1061" s="9">
        <v>1.5</v>
      </c>
      <c r="U1061" s="9">
        <f t="shared" si="94"/>
        <v>35.4</v>
      </c>
      <c r="V1061" s="9">
        <f t="shared" si="95"/>
        <v>-26.666666666666572</v>
      </c>
      <c r="W1061" s="9">
        <f t="shared" si="96"/>
        <v>10.408008333333337</v>
      </c>
    </row>
    <row r="1062" spans="1:23">
      <c r="A1062" s="2" t="s">
        <v>335</v>
      </c>
      <c r="B1062" s="2" t="s">
        <v>425</v>
      </c>
      <c r="C1062" s="3">
        <v>161</v>
      </c>
      <c r="D1062" s="3">
        <v>2.36</v>
      </c>
      <c r="E1062" s="2" t="s">
        <v>474</v>
      </c>
      <c r="F1062" s="4">
        <v>41687</v>
      </c>
      <c r="G1062" s="3">
        <v>57.8</v>
      </c>
      <c r="H1062" s="6"/>
      <c r="I1062" s="4">
        <v>41687</v>
      </c>
      <c r="J1062" s="3">
        <v>57.8</v>
      </c>
      <c r="K1062" s="6"/>
      <c r="L1062" s="3">
        <v>0</v>
      </c>
      <c r="M1062" s="5">
        <v>0</v>
      </c>
      <c r="N1062" s="6"/>
      <c r="O1062" s="5">
        <v>0</v>
      </c>
      <c r="P1062" s="5">
        <v>0</v>
      </c>
      <c r="Q1062" s="5">
        <v>11.773401999999999</v>
      </c>
      <c r="R1062" s="8">
        <f t="shared" si="92"/>
        <v>0</v>
      </c>
      <c r="S1062" s="9">
        <f t="shared" si="93"/>
        <v>0</v>
      </c>
      <c r="T1062" s="9">
        <v>1.5</v>
      </c>
      <c r="U1062" s="9">
        <f t="shared" si="94"/>
        <v>0</v>
      </c>
      <c r="V1062" s="9">
        <f t="shared" si="95"/>
        <v>0</v>
      </c>
      <c r="W1062" s="9">
        <f t="shared" si="96"/>
        <v>11.773401999999999</v>
      </c>
    </row>
    <row r="1063" spans="1:23">
      <c r="A1063" s="2" t="s">
        <v>335</v>
      </c>
      <c r="B1063" s="2" t="s">
        <v>425</v>
      </c>
      <c r="C1063" s="3">
        <v>161</v>
      </c>
      <c r="D1063" s="3">
        <v>2.36</v>
      </c>
      <c r="E1063" s="2" t="s">
        <v>474</v>
      </c>
      <c r="F1063" s="4">
        <v>41687</v>
      </c>
      <c r="G1063" s="3">
        <v>57.8</v>
      </c>
      <c r="H1063" s="6"/>
      <c r="I1063" s="4">
        <v>41703</v>
      </c>
      <c r="J1063" s="3">
        <v>61</v>
      </c>
      <c r="K1063" s="6"/>
      <c r="L1063" s="3">
        <v>16</v>
      </c>
      <c r="M1063" s="5">
        <v>3.2000000000000028</v>
      </c>
      <c r="N1063" s="6"/>
      <c r="O1063" s="5">
        <v>37.76</v>
      </c>
      <c r="P1063" s="5">
        <v>200.00000000000017</v>
      </c>
      <c r="Q1063" s="5">
        <v>21.903946000000008</v>
      </c>
      <c r="R1063" s="8">
        <f t="shared" si="92"/>
        <v>16</v>
      </c>
      <c r="S1063" s="9">
        <f t="shared" si="93"/>
        <v>3.2000000000000028</v>
      </c>
      <c r="T1063" s="9">
        <v>1.5</v>
      </c>
      <c r="U1063" s="9">
        <f t="shared" si="94"/>
        <v>37.76</v>
      </c>
      <c r="V1063" s="9">
        <f t="shared" si="95"/>
        <v>200.00000000000017</v>
      </c>
      <c r="W1063" s="9">
        <f t="shared" si="96"/>
        <v>21.903946000000008</v>
      </c>
    </row>
    <row r="1064" spans="1:23">
      <c r="A1064" s="2" t="s">
        <v>335</v>
      </c>
      <c r="B1064" s="2" t="s">
        <v>425</v>
      </c>
      <c r="C1064" s="3">
        <v>161</v>
      </c>
      <c r="D1064" s="3">
        <v>2.36</v>
      </c>
      <c r="E1064" s="2" t="s">
        <v>474</v>
      </c>
      <c r="F1064" s="4">
        <v>41687</v>
      </c>
      <c r="G1064" s="3">
        <v>57.8</v>
      </c>
      <c r="H1064" s="6"/>
      <c r="I1064" s="4">
        <v>41716</v>
      </c>
      <c r="J1064" s="3">
        <v>62.5</v>
      </c>
      <c r="K1064" s="6"/>
      <c r="L1064" s="3">
        <v>29</v>
      </c>
      <c r="M1064" s="5">
        <v>4.7000000000000028</v>
      </c>
      <c r="N1064" s="6"/>
      <c r="O1064" s="5">
        <v>68.44</v>
      </c>
      <c r="P1064" s="5">
        <v>162.06896551724148</v>
      </c>
      <c r="Q1064" s="5">
        <v>20.160763500000005</v>
      </c>
      <c r="R1064" s="8">
        <f t="shared" si="92"/>
        <v>13</v>
      </c>
      <c r="S1064" s="9">
        <f t="shared" si="93"/>
        <v>1.5</v>
      </c>
      <c r="T1064" s="9">
        <v>1.5</v>
      </c>
      <c r="U1064" s="9">
        <f t="shared" si="94"/>
        <v>30.68</v>
      </c>
      <c r="V1064" s="9">
        <f t="shared" si="95"/>
        <v>115.38461538461539</v>
      </c>
      <c r="W1064" s="9">
        <f t="shared" si="96"/>
        <v>17.859225038461538</v>
      </c>
    </row>
    <row r="1065" spans="1:23">
      <c r="A1065" s="2" t="s">
        <v>335</v>
      </c>
      <c r="B1065" s="2" t="s">
        <v>425</v>
      </c>
      <c r="C1065" s="3">
        <v>161</v>
      </c>
      <c r="D1065" s="3">
        <v>2.36</v>
      </c>
      <c r="E1065" s="2" t="s">
        <v>474</v>
      </c>
      <c r="F1065" s="4">
        <v>41687</v>
      </c>
      <c r="G1065" s="3">
        <v>57.8</v>
      </c>
      <c r="H1065" s="6"/>
      <c r="I1065" s="4">
        <v>41731</v>
      </c>
      <c r="J1065" s="3">
        <v>60.2</v>
      </c>
      <c r="K1065" s="6"/>
      <c r="L1065" s="3">
        <v>44</v>
      </c>
      <c r="M1065" s="5">
        <v>2.4000000000000057</v>
      </c>
      <c r="N1065" s="6"/>
      <c r="O1065" s="5">
        <v>103.83999999999999</v>
      </c>
      <c r="P1065" s="5">
        <v>54.545454545454675</v>
      </c>
      <c r="Q1065" s="5">
        <v>14.665400909090915</v>
      </c>
      <c r="R1065" s="8">
        <f t="shared" si="92"/>
        <v>15</v>
      </c>
      <c r="S1065" s="9">
        <f t="shared" si="93"/>
        <v>-2.2999999999999972</v>
      </c>
      <c r="T1065" s="9">
        <v>1.5</v>
      </c>
      <c r="U1065" s="9">
        <f t="shared" si="94"/>
        <v>35.4</v>
      </c>
      <c r="V1065" s="9">
        <f t="shared" si="95"/>
        <v>-153.33333333333314</v>
      </c>
      <c r="W1065" s="9">
        <f t="shared" si="96"/>
        <v>4.4169766666666757</v>
      </c>
    </row>
    <row r="1066" spans="1:23">
      <c r="A1066" s="2" t="s">
        <v>335</v>
      </c>
      <c r="B1066" s="2" t="s">
        <v>425</v>
      </c>
      <c r="C1066" s="3">
        <v>161</v>
      </c>
      <c r="D1066" s="3">
        <v>2.36</v>
      </c>
      <c r="E1066" s="2" t="s">
        <v>475</v>
      </c>
      <c r="F1066" s="4">
        <v>41687</v>
      </c>
      <c r="G1066" s="3">
        <v>62.4</v>
      </c>
      <c r="H1066" s="6"/>
      <c r="I1066" s="4">
        <v>41687</v>
      </c>
      <c r="J1066" s="3">
        <v>62.4</v>
      </c>
      <c r="K1066" s="6"/>
      <c r="L1066" s="3">
        <v>0</v>
      </c>
      <c r="M1066" s="5">
        <v>0</v>
      </c>
      <c r="N1066" s="6"/>
      <c r="O1066" s="5">
        <v>0</v>
      </c>
      <c r="P1066" s="5">
        <v>0</v>
      </c>
      <c r="Q1066" s="5">
        <v>12.551215999999998</v>
      </c>
      <c r="R1066" s="8">
        <f t="shared" si="92"/>
        <v>0</v>
      </c>
      <c r="S1066" s="9">
        <f t="shared" si="93"/>
        <v>0</v>
      </c>
      <c r="T1066" s="9">
        <v>1.5</v>
      </c>
      <c r="U1066" s="9">
        <f t="shared" si="94"/>
        <v>0</v>
      </c>
      <c r="V1066" s="9">
        <f t="shared" si="95"/>
        <v>0</v>
      </c>
      <c r="W1066" s="9">
        <f t="shared" si="96"/>
        <v>12.551215999999998</v>
      </c>
    </row>
    <row r="1067" spans="1:23">
      <c r="A1067" s="2" t="s">
        <v>335</v>
      </c>
      <c r="B1067" s="2" t="s">
        <v>425</v>
      </c>
      <c r="C1067" s="3">
        <v>161</v>
      </c>
      <c r="D1067" s="3">
        <v>2.36</v>
      </c>
      <c r="E1067" s="2" t="s">
        <v>475</v>
      </c>
      <c r="F1067" s="4">
        <v>41687</v>
      </c>
      <c r="G1067" s="3">
        <v>62.4</v>
      </c>
      <c r="H1067" s="6"/>
      <c r="I1067" s="4">
        <v>41703</v>
      </c>
      <c r="J1067" s="3">
        <v>66.400000000000006</v>
      </c>
      <c r="K1067" s="6"/>
      <c r="L1067" s="3">
        <v>16</v>
      </c>
      <c r="M1067" s="5">
        <v>4.0000000000000071</v>
      </c>
      <c r="N1067" s="6"/>
      <c r="O1067" s="5">
        <v>37.76</v>
      </c>
      <c r="P1067" s="5">
        <v>250.00000000000045</v>
      </c>
      <c r="Q1067" s="5">
        <v>25.214396000000022</v>
      </c>
      <c r="R1067" s="8">
        <f t="shared" si="92"/>
        <v>16</v>
      </c>
      <c r="S1067" s="9">
        <f t="shared" si="93"/>
        <v>4.0000000000000071</v>
      </c>
      <c r="T1067" s="9">
        <v>1.5</v>
      </c>
      <c r="U1067" s="9">
        <f t="shared" si="94"/>
        <v>37.76</v>
      </c>
      <c r="V1067" s="9">
        <f t="shared" si="95"/>
        <v>250.00000000000045</v>
      </c>
      <c r="W1067" s="9">
        <f t="shared" si="96"/>
        <v>25.214396000000022</v>
      </c>
    </row>
    <row r="1068" spans="1:23">
      <c r="A1068" s="2" t="s">
        <v>335</v>
      </c>
      <c r="B1068" s="2" t="s">
        <v>425</v>
      </c>
      <c r="C1068" s="3">
        <v>161</v>
      </c>
      <c r="D1068" s="3">
        <v>2.36</v>
      </c>
      <c r="E1068" s="2" t="s">
        <v>475</v>
      </c>
      <c r="F1068" s="4">
        <v>41687</v>
      </c>
      <c r="G1068" s="3">
        <v>62.4</v>
      </c>
      <c r="H1068" s="6"/>
      <c r="I1068" s="4">
        <v>41716</v>
      </c>
      <c r="J1068" s="3">
        <v>65</v>
      </c>
      <c r="K1068" s="6"/>
      <c r="L1068" s="3">
        <v>29</v>
      </c>
      <c r="M1068" s="5">
        <v>2.6000000000000014</v>
      </c>
      <c r="N1068" s="6"/>
      <c r="O1068" s="5">
        <v>68.44</v>
      </c>
      <c r="P1068" s="5">
        <v>89.655172413793153</v>
      </c>
      <c r="Q1068" s="5">
        <v>17.191033000000001</v>
      </c>
      <c r="R1068" s="8">
        <f t="shared" si="92"/>
        <v>13</v>
      </c>
      <c r="S1068" s="9">
        <f t="shared" si="93"/>
        <v>-1.4000000000000057</v>
      </c>
      <c r="T1068" s="9">
        <v>1.5</v>
      </c>
      <c r="U1068" s="9">
        <f t="shared" si="94"/>
        <v>30.68</v>
      </c>
      <c r="V1068" s="9">
        <f t="shared" si="95"/>
        <v>-107.69230769230813</v>
      </c>
      <c r="W1068" s="9">
        <f t="shared" si="96"/>
        <v>7.4618022307692087</v>
      </c>
    </row>
    <row r="1069" spans="1:23">
      <c r="A1069" s="2" t="s">
        <v>335</v>
      </c>
      <c r="B1069" s="2" t="s">
        <v>425</v>
      </c>
      <c r="C1069" s="3">
        <v>161</v>
      </c>
      <c r="D1069" s="3">
        <v>2.36</v>
      </c>
      <c r="E1069" s="2" t="s">
        <v>475</v>
      </c>
      <c r="F1069" s="4">
        <v>41687</v>
      </c>
      <c r="G1069" s="3">
        <v>62.4</v>
      </c>
      <c r="H1069" s="6"/>
      <c r="I1069" s="4">
        <v>41731</v>
      </c>
      <c r="J1069" s="3">
        <v>63.6</v>
      </c>
      <c r="K1069" s="6"/>
      <c r="L1069" s="3">
        <v>44</v>
      </c>
      <c r="M1069" s="5">
        <v>1.2000000000000028</v>
      </c>
      <c r="N1069" s="6"/>
      <c r="O1069" s="5">
        <v>103.83999999999999</v>
      </c>
      <c r="P1069" s="5">
        <v>27.272727272727337</v>
      </c>
      <c r="Q1069" s="5">
        <v>13.997215454545456</v>
      </c>
      <c r="R1069" s="8">
        <f t="shared" si="92"/>
        <v>15</v>
      </c>
      <c r="S1069" s="9">
        <f t="shared" si="93"/>
        <v>-1.3999999999999986</v>
      </c>
      <c r="T1069" s="9">
        <v>1.5</v>
      </c>
      <c r="U1069" s="9">
        <f t="shared" si="94"/>
        <v>35.4</v>
      </c>
      <c r="V1069" s="9">
        <f t="shared" si="95"/>
        <v>-93.333333333333243</v>
      </c>
      <c r="W1069" s="9">
        <f t="shared" si="96"/>
        <v>8.0513366666666712</v>
      </c>
    </row>
    <row r="1070" spans="1:23">
      <c r="A1070" s="2" t="s">
        <v>335</v>
      </c>
      <c r="B1070" s="2" t="s">
        <v>425</v>
      </c>
      <c r="C1070" s="3">
        <v>161</v>
      </c>
      <c r="D1070" s="3">
        <v>2.36</v>
      </c>
      <c r="E1070" s="2" t="s">
        <v>476</v>
      </c>
      <c r="F1070" s="4">
        <v>41687</v>
      </c>
      <c r="G1070" s="3">
        <v>50.2</v>
      </c>
      <c r="H1070" s="6"/>
      <c r="I1070" s="4">
        <v>41687</v>
      </c>
      <c r="J1070" s="3">
        <v>50.2</v>
      </c>
      <c r="K1070" s="6"/>
      <c r="L1070" s="3">
        <v>0</v>
      </c>
      <c r="M1070" s="5">
        <v>0</v>
      </c>
      <c r="N1070" s="6"/>
      <c r="O1070" s="5">
        <v>0</v>
      </c>
      <c r="P1070" s="5">
        <v>0</v>
      </c>
      <c r="Q1070" s="5">
        <v>10.488318</v>
      </c>
      <c r="R1070" s="8">
        <f t="shared" si="92"/>
        <v>0</v>
      </c>
      <c r="S1070" s="9">
        <f t="shared" si="93"/>
        <v>0</v>
      </c>
      <c r="T1070" s="9">
        <v>1.5</v>
      </c>
      <c r="U1070" s="9">
        <f t="shared" si="94"/>
        <v>0</v>
      </c>
      <c r="V1070" s="9">
        <f t="shared" si="95"/>
        <v>0</v>
      </c>
      <c r="W1070" s="9">
        <f t="shared" si="96"/>
        <v>10.488318</v>
      </c>
    </row>
    <row r="1071" spans="1:23">
      <c r="A1071" s="2" t="s">
        <v>335</v>
      </c>
      <c r="B1071" s="2" t="s">
        <v>425</v>
      </c>
      <c r="C1071" s="3">
        <v>161</v>
      </c>
      <c r="D1071" s="3">
        <v>2.36</v>
      </c>
      <c r="E1071" s="2" t="s">
        <v>476</v>
      </c>
      <c r="F1071" s="4">
        <v>41687</v>
      </c>
      <c r="G1071" s="3">
        <v>50.2</v>
      </c>
      <c r="H1071" s="6"/>
      <c r="I1071" s="4">
        <v>41703</v>
      </c>
      <c r="J1071" s="3">
        <v>53.8</v>
      </c>
      <c r="K1071" s="6"/>
      <c r="L1071" s="3">
        <v>16</v>
      </c>
      <c r="M1071" s="5">
        <v>3.5999999999999943</v>
      </c>
      <c r="N1071" s="6"/>
      <c r="O1071" s="5">
        <v>37.76</v>
      </c>
      <c r="P1071" s="5">
        <v>224.99999999999966</v>
      </c>
      <c r="Q1071" s="5">
        <v>21.885179999999984</v>
      </c>
      <c r="R1071" s="8">
        <f t="shared" si="92"/>
        <v>16</v>
      </c>
      <c r="S1071" s="9">
        <f t="shared" si="93"/>
        <v>3.5999999999999943</v>
      </c>
      <c r="T1071" s="9">
        <v>1.5</v>
      </c>
      <c r="U1071" s="9">
        <f t="shared" si="94"/>
        <v>37.76</v>
      </c>
      <c r="V1071" s="9">
        <f t="shared" si="95"/>
        <v>224.99999999999966</v>
      </c>
      <c r="W1071" s="9">
        <f t="shared" si="96"/>
        <v>21.885179999999984</v>
      </c>
    </row>
    <row r="1072" spans="1:23">
      <c r="A1072" s="2" t="s">
        <v>335</v>
      </c>
      <c r="B1072" s="2" t="s">
        <v>425</v>
      </c>
      <c r="C1072" s="3">
        <v>161</v>
      </c>
      <c r="D1072" s="3">
        <v>2.36</v>
      </c>
      <c r="E1072" s="2" t="s">
        <v>476</v>
      </c>
      <c r="F1072" s="4">
        <v>41687</v>
      </c>
      <c r="G1072" s="3">
        <v>50.2</v>
      </c>
      <c r="H1072" s="6"/>
      <c r="I1072" s="4">
        <v>41716</v>
      </c>
      <c r="J1072" s="3">
        <v>56</v>
      </c>
      <c r="K1072" s="6"/>
      <c r="L1072" s="3">
        <v>29</v>
      </c>
      <c r="M1072" s="5">
        <v>5.7999999999999972</v>
      </c>
      <c r="N1072" s="6"/>
      <c r="O1072" s="5">
        <v>68.44</v>
      </c>
      <c r="P1072" s="5">
        <v>199.99999999999989</v>
      </c>
      <c r="Q1072" s="5">
        <v>20.838678999999992</v>
      </c>
      <c r="R1072" s="8">
        <f t="shared" si="92"/>
        <v>13</v>
      </c>
      <c r="S1072" s="9">
        <f t="shared" si="93"/>
        <v>2.2000000000000028</v>
      </c>
      <c r="T1072" s="9">
        <v>1.5</v>
      </c>
      <c r="U1072" s="9">
        <f t="shared" si="94"/>
        <v>30.68</v>
      </c>
      <c r="V1072" s="9">
        <f t="shared" si="95"/>
        <v>169.23076923076945</v>
      </c>
      <c r="W1072" s="9">
        <f t="shared" si="96"/>
        <v>19.321755923076935</v>
      </c>
    </row>
    <row r="1073" spans="1:23">
      <c r="A1073" s="2" t="s">
        <v>335</v>
      </c>
      <c r="B1073" s="2" t="s">
        <v>425</v>
      </c>
      <c r="C1073" s="3">
        <v>161</v>
      </c>
      <c r="D1073" s="3">
        <v>2.36</v>
      </c>
      <c r="E1073" s="2" t="s">
        <v>476</v>
      </c>
      <c r="F1073" s="4">
        <v>41687</v>
      </c>
      <c r="G1073" s="3">
        <v>50.2</v>
      </c>
      <c r="H1073" s="6"/>
      <c r="I1073" s="4">
        <v>41731</v>
      </c>
      <c r="J1073" s="3">
        <v>56.6</v>
      </c>
      <c r="K1073" s="6"/>
      <c r="L1073" s="3">
        <v>44</v>
      </c>
      <c r="M1073" s="5">
        <v>6.3999999999999986</v>
      </c>
      <c r="N1073" s="6"/>
      <c r="O1073" s="5">
        <v>103.83999999999999</v>
      </c>
      <c r="P1073" s="5">
        <v>145.45454545454541</v>
      </c>
      <c r="Q1073" s="5">
        <v>18.20031509090909</v>
      </c>
      <c r="R1073" s="8">
        <f t="shared" si="92"/>
        <v>15</v>
      </c>
      <c r="S1073" s="9">
        <f t="shared" si="93"/>
        <v>0.60000000000000142</v>
      </c>
      <c r="T1073" s="9">
        <v>1.5</v>
      </c>
      <c r="U1073" s="9">
        <f t="shared" si="94"/>
        <v>35.4</v>
      </c>
      <c r="V1073" s="9">
        <f t="shared" si="95"/>
        <v>40.000000000000099</v>
      </c>
      <c r="W1073" s="9">
        <f t="shared" si="96"/>
        <v>13.001406000000005</v>
      </c>
    </row>
    <row r="1074" spans="1:23">
      <c r="A1074" s="2" t="s">
        <v>335</v>
      </c>
      <c r="B1074" s="2" t="s">
        <v>425</v>
      </c>
      <c r="C1074" s="3">
        <v>161</v>
      </c>
      <c r="D1074" s="3">
        <v>2.36</v>
      </c>
      <c r="E1074" s="2" t="s">
        <v>477</v>
      </c>
      <c r="F1074" s="4">
        <v>41687</v>
      </c>
      <c r="G1074" s="3">
        <v>52.2</v>
      </c>
      <c r="H1074" s="6"/>
      <c r="I1074" s="4">
        <v>41687</v>
      </c>
      <c r="J1074" s="3">
        <v>52.2</v>
      </c>
      <c r="K1074" s="6"/>
      <c r="L1074" s="3">
        <v>0</v>
      </c>
      <c r="M1074" s="5">
        <v>0</v>
      </c>
      <c r="N1074" s="6"/>
      <c r="O1074" s="5">
        <v>0</v>
      </c>
      <c r="P1074" s="5">
        <v>0</v>
      </c>
      <c r="Q1074" s="5">
        <v>10.826498000000001</v>
      </c>
      <c r="R1074" s="8">
        <f t="shared" si="92"/>
        <v>0</v>
      </c>
      <c r="S1074" s="9">
        <f t="shared" si="93"/>
        <v>0</v>
      </c>
      <c r="T1074" s="9">
        <v>1.5</v>
      </c>
      <c r="U1074" s="9">
        <f t="shared" si="94"/>
        <v>0</v>
      </c>
      <c r="V1074" s="9">
        <f t="shared" si="95"/>
        <v>0</v>
      </c>
      <c r="W1074" s="9">
        <f t="shared" si="96"/>
        <v>10.826498000000001</v>
      </c>
    </row>
    <row r="1075" spans="1:23">
      <c r="A1075" s="2" t="s">
        <v>335</v>
      </c>
      <c r="B1075" s="2" t="s">
        <v>425</v>
      </c>
      <c r="C1075" s="3">
        <v>161</v>
      </c>
      <c r="D1075" s="3">
        <v>2.36</v>
      </c>
      <c r="E1075" s="2" t="s">
        <v>477</v>
      </c>
      <c r="F1075" s="4">
        <v>41687</v>
      </c>
      <c r="G1075" s="3">
        <v>52.2</v>
      </c>
      <c r="H1075" s="6"/>
      <c r="I1075" s="4">
        <v>41703</v>
      </c>
      <c r="J1075" s="3">
        <v>58</v>
      </c>
      <c r="K1075" s="6"/>
      <c r="L1075" s="3">
        <v>16</v>
      </c>
      <c r="M1075" s="5">
        <v>5.7999999999999972</v>
      </c>
      <c r="N1075" s="6"/>
      <c r="O1075" s="5">
        <v>37.76</v>
      </c>
      <c r="P1075" s="5">
        <v>362.49999999999983</v>
      </c>
      <c r="Q1075" s="5">
        <v>29.18810899999999</v>
      </c>
      <c r="R1075" s="8">
        <f t="shared" si="92"/>
        <v>16</v>
      </c>
      <c r="S1075" s="9">
        <f t="shared" si="93"/>
        <v>5.7999999999999972</v>
      </c>
      <c r="T1075" s="9">
        <v>1.5</v>
      </c>
      <c r="U1075" s="9">
        <f t="shared" si="94"/>
        <v>37.76</v>
      </c>
      <c r="V1075" s="9">
        <f t="shared" si="95"/>
        <v>362.49999999999983</v>
      </c>
      <c r="W1075" s="9">
        <f t="shared" si="96"/>
        <v>29.18810899999999</v>
      </c>
    </row>
    <row r="1076" spans="1:23">
      <c r="A1076" s="2" t="s">
        <v>335</v>
      </c>
      <c r="B1076" s="2" t="s">
        <v>425</v>
      </c>
      <c r="C1076" s="3">
        <v>161</v>
      </c>
      <c r="D1076" s="3">
        <v>2.36</v>
      </c>
      <c r="E1076" s="2" t="s">
        <v>477</v>
      </c>
      <c r="F1076" s="4">
        <v>41687</v>
      </c>
      <c r="G1076" s="3">
        <v>52.2</v>
      </c>
      <c r="H1076" s="6"/>
      <c r="I1076" s="4">
        <v>41716</v>
      </c>
      <c r="J1076" s="3">
        <v>60.5</v>
      </c>
      <c r="K1076" s="6"/>
      <c r="L1076" s="3">
        <v>29</v>
      </c>
      <c r="M1076" s="5">
        <v>8.2999999999999972</v>
      </c>
      <c r="N1076" s="6"/>
      <c r="O1076" s="5">
        <v>68.44</v>
      </c>
      <c r="P1076" s="5">
        <v>286.20689655172407</v>
      </c>
      <c r="Q1076" s="5">
        <v>25.638221499999993</v>
      </c>
      <c r="R1076" s="8">
        <f t="shared" si="92"/>
        <v>13</v>
      </c>
      <c r="S1076" s="9">
        <f t="shared" si="93"/>
        <v>2.5</v>
      </c>
      <c r="T1076" s="9">
        <v>1.5</v>
      </c>
      <c r="U1076" s="9">
        <f t="shared" si="94"/>
        <v>30.68</v>
      </c>
      <c r="V1076" s="9">
        <f t="shared" si="95"/>
        <v>192.30769230769232</v>
      </c>
      <c r="W1076" s="9">
        <f t="shared" si="96"/>
        <v>21.008990730769227</v>
      </c>
    </row>
    <row r="1077" spans="1:23">
      <c r="A1077" s="2" t="s">
        <v>335</v>
      </c>
      <c r="B1077" s="2" t="s">
        <v>425</v>
      </c>
      <c r="C1077" s="3">
        <v>161</v>
      </c>
      <c r="D1077" s="3">
        <v>2.36</v>
      </c>
      <c r="E1077" s="2" t="s">
        <v>477</v>
      </c>
      <c r="F1077" s="4">
        <v>41687</v>
      </c>
      <c r="G1077" s="3">
        <v>52.2</v>
      </c>
      <c r="H1077" s="6"/>
      <c r="I1077" s="4">
        <v>41731</v>
      </c>
      <c r="J1077" s="3">
        <v>60.4</v>
      </c>
      <c r="K1077" s="6"/>
      <c r="L1077" s="3">
        <v>44</v>
      </c>
      <c r="M1077" s="5">
        <v>8.1999999999999957</v>
      </c>
      <c r="N1077" s="6"/>
      <c r="O1077" s="5">
        <v>103.83999999999999</v>
      </c>
      <c r="P1077" s="5">
        <v>186.36363636363626</v>
      </c>
      <c r="Q1077" s="5">
        <v>20.707494272727267</v>
      </c>
      <c r="R1077" s="8">
        <f t="shared" si="92"/>
        <v>15</v>
      </c>
      <c r="S1077" s="9">
        <f t="shared" si="93"/>
        <v>-0.10000000000000142</v>
      </c>
      <c r="T1077" s="9">
        <v>1.5</v>
      </c>
      <c r="U1077" s="9">
        <f t="shared" si="94"/>
        <v>35.4</v>
      </c>
      <c r="V1077" s="9">
        <f t="shared" si="95"/>
        <v>-6.666666666666762</v>
      </c>
      <c r="W1077" s="9">
        <f t="shared" si="96"/>
        <v>11.191100333333328</v>
      </c>
    </row>
    <row r="1078" spans="1:23">
      <c r="A1078" s="2" t="s">
        <v>335</v>
      </c>
      <c r="B1078" s="2" t="s">
        <v>478</v>
      </c>
      <c r="C1078" s="3">
        <v>186</v>
      </c>
      <c r="D1078" s="3">
        <v>2.4300000000000002</v>
      </c>
      <c r="E1078" s="2" t="s">
        <v>479</v>
      </c>
      <c r="F1078" s="4">
        <v>42045</v>
      </c>
      <c r="G1078" s="3">
        <v>54.6</v>
      </c>
      <c r="H1078" s="3">
        <v>3</v>
      </c>
      <c r="I1078" s="4">
        <v>42045</v>
      </c>
      <c r="J1078" s="3">
        <v>54.6</v>
      </c>
      <c r="K1078" s="3">
        <v>3</v>
      </c>
      <c r="L1078" s="3">
        <v>0</v>
      </c>
      <c r="M1078" s="5">
        <v>0</v>
      </c>
      <c r="N1078" s="5">
        <v>0</v>
      </c>
      <c r="O1078" s="5">
        <v>0</v>
      </c>
      <c r="P1078" s="5">
        <v>0</v>
      </c>
      <c r="Q1078" s="5">
        <v>11.232314000000001</v>
      </c>
      <c r="R1078" s="8">
        <f t="shared" si="92"/>
        <v>0</v>
      </c>
      <c r="S1078" s="9">
        <f t="shared" si="93"/>
        <v>0</v>
      </c>
      <c r="T1078" s="9">
        <v>1.5</v>
      </c>
      <c r="U1078" s="9">
        <f t="shared" si="94"/>
        <v>0</v>
      </c>
      <c r="V1078" s="9">
        <f t="shared" si="95"/>
        <v>0</v>
      </c>
      <c r="W1078" s="9">
        <f t="shared" si="96"/>
        <v>11.232314000000001</v>
      </c>
    </row>
    <row r="1079" spans="1:23">
      <c r="A1079" s="2" t="s">
        <v>335</v>
      </c>
      <c r="B1079" s="2" t="s">
        <v>478</v>
      </c>
      <c r="C1079" s="3">
        <v>186</v>
      </c>
      <c r="D1079" s="3">
        <v>2.4300000000000002</v>
      </c>
      <c r="E1079" s="2" t="s">
        <v>479</v>
      </c>
      <c r="F1079" s="4">
        <v>42045</v>
      </c>
      <c r="G1079" s="3">
        <v>54.6</v>
      </c>
      <c r="H1079" s="3">
        <v>3</v>
      </c>
      <c r="I1079" s="4">
        <v>42059</v>
      </c>
      <c r="J1079" s="3">
        <v>59</v>
      </c>
      <c r="K1079" s="3">
        <v>3.5</v>
      </c>
      <c r="L1079" s="3">
        <v>14</v>
      </c>
      <c r="M1079" s="5">
        <v>4.3999999999999986</v>
      </c>
      <c r="N1079" s="5">
        <v>0.5</v>
      </c>
      <c r="O1079" s="5">
        <v>34.020000000000003</v>
      </c>
      <c r="P1079" s="5">
        <v>314.28571428571416</v>
      </c>
      <c r="Q1079" s="5">
        <v>27.098597714285706</v>
      </c>
      <c r="R1079" s="8">
        <f t="shared" si="92"/>
        <v>14</v>
      </c>
      <c r="S1079" s="9">
        <f t="shared" si="93"/>
        <v>4.3999999999999986</v>
      </c>
      <c r="T1079" s="9">
        <v>1.5</v>
      </c>
      <c r="U1079" s="9">
        <f t="shared" si="94"/>
        <v>34.020000000000003</v>
      </c>
      <c r="V1079" s="9">
        <f t="shared" si="95"/>
        <v>314.28571428571416</v>
      </c>
      <c r="W1079" s="9">
        <f t="shared" si="96"/>
        <v>27.098597714285706</v>
      </c>
    </row>
    <row r="1080" spans="1:23">
      <c r="A1080" s="2" t="s">
        <v>335</v>
      </c>
      <c r="B1080" s="2" t="s">
        <v>478</v>
      </c>
      <c r="C1080" s="3">
        <v>186</v>
      </c>
      <c r="D1080" s="3">
        <v>2.4300000000000002</v>
      </c>
      <c r="E1080" s="2" t="s">
        <v>479</v>
      </c>
      <c r="F1080" s="4">
        <v>42045</v>
      </c>
      <c r="G1080" s="3">
        <v>54.6</v>
      </c>
      <c r="H1080" s="3">
        <v>3</v>
      </c>
      <c r="I1080" s="4">
        <v>42066</v>
      </c>
      <c r="J1080" s="3">
        <v>56</v>
      </c>
      <c r="K1080" s="3">
        <v>3.5</v>
      </c>
      <c r="L1080" s="3">
        <v>21</v>
      </c>
      <c r="M1080" s="5">
        <v>1.3999999999999986</v>
      </c>
      <c r="N1080" s="5">
        <v>0.5</v>
      </c>
      <c r="O1080" s="5">
        <v>51.03</v>
      </c>
      <c r="P1080" s="5">
        <v>66.6666666666666</v>
      </c>
      <c r="Q1080" s="5">
        <v>14.637343666666663</v>
      </c>
      <c r="R1080" s="8">
        <f t="shared" ref="R1080:R1143" si="97">IF(I1080-F1080=0,0,I1080-I1079)</f>
        <v>7</v>
      </c>
      <c r="S1080" s="9">
        <f t="shared" ref="S1080:S1143" si="98">IF(R1080=0,J1080-G1080,J1080-J1079)</f>
        <v>-3</v>
      </c>
      <c r="T1080" s="9">
        <v>1.5</v>
      </c>
      <c r="U1080" s="9">
        <f t="shared" ref="U1080:U1143" si="99">D1080*R1080</f>
        <v>17.010000000000002</v>
      </c>
      <c r="V1080" s="9">
        <f t="shared" ref="V1080:V1143" si="100">IF(R1080=0,0,(S1080/R1080*1000))</f>
        <v>-428.57142857142856</v>
      </c>
      <c r="W1080" s="9">
        <f t="shared" ref="W1080:W1143" si="101">IF(R1080=0,(((G1080)*0.16909+(V1080/1000)*49.3)+2),((((G1080+J1080)/2)*0.16909+(V1080/1000)*49.3)+2))</f>
        <v>-9.7778944285714271</v>
      </c>
    </row>
    <row r="1081" spans="1:23">
      <c r="A1081" s="2" t="s">
        <v>335</v>
      </c>
      <c r="B1081" s="2" t="s">
        <v>478</v>
      </c>
      <c r="C1081" s="3">
        <v>186</v>
      </c>
      <c r="D1081" s="3">
        <v>2.4300000000000002</v>
      </c>
      <c r="E1081" s="2" t="s">
        <v>479</v>
      </c>
      <c r="F1081" s="4">
        <v>42045</v>
      </c>
      <c r="G1081" s="3">
        <v>54.6</v>
      </c>
      <c r="H1081" s="3">
        <v>3</v>
      </c>
      <c r="I1081" s="4">
        <v>42073</v>
      </c>
      <c r="J1081" s="3">
        <v>56.8</v>
      </c>
      <c r="K1081" s="3">
        <v>3</v>
      </c>
      <c r="L1081" s="3">
        <v>28</v>
      </c>
      <c r="M1081" s="5">
        <v>2.1999999999999957</v>
      </c>
      <c r="N1081" s="5">
        <v>0</v>
      </c>
      <c r="O1081" s="5">
        <v>68.040000000000006</v>
      </c>
      <c r="P1081" s="5">
        <v>78.571428571428413</v>
      </c>
      <c r="Q1081" s="5">
        <v>15.29188442857142</v>
      </c>
      <c r="R1081" s="8">
        <f t="shared" si="97"/>
        <v>7</v>
      </c>
      <c r="S1081" s="9">
        <f t="shared" si="98"/>
        <v>0.79999999999999716</v>
      </c>
      <c r="T1081" s="9">
        <v>1.5</v>
      </c>
      <c r="U1081" s="9">
        <f t="shared" si="99"/>
        <v>17.010000000000002</v>
      </c>
      <c r="V1081" s="9">
        <f t="shared" si="100"/>
        <v>114.28571428571388</v>
      </c>
      <c r="W1081" s="9">
        <f t="shared" si="101"/>
        <v>17.052598714285693</v>
      </c>
    </row>
    <row r="1082" spans="1:23">
      <c r="A1082" s="2" t="s">
        <v>335</v>
      </c>
      <c r="B1082" s="2" t="s">
        <v>478</v>
      </c>
      <c r="C1082" s="3">
        <v>186</v>
      </c>
      <c r="D1082" s="3">
        <v>2.4300000000000002</v>
      </c>
      <c r="E1082" s="2" t="s">
        <v>479</v>
      </c>
      <c r="F1082" s="4">
        <v>42045</v>
      </c>
      <c r="G1082" s="3">
        <v>54.6</v>
      </c>
      <c r="H1082" s="3">
        <v>3</v>
      </c>
      <c r="I1082" s="4">
        <v>42087</v>
      </c>
      <c r="J1082" s="3">
        <v>56</v>
      </c>
      <c r="K1082" s="3">
        <v>4</v>
      </c>
      <c r="L1082" s="3">
        <v>42</v>
      </c>
      <c r="M1082" s="5">
        <v>1.3999999999999986</v>
      </c>
      <c r="N1082" s="5">
        <v>1</v>
      </c>
      <c r="O1082" s="5">
        <v>102.06</v>
      </c>
      <c r="P1082" s="5">
        <v>33.3333333333333</v>
      </c>
      <c r="Q1082" s="5">
        <v>12.99401033333333</v>
      </c>
      <c r="R1082" s="8">
        <f t="shared" si="97"/>
        <v>14</v>
      </c>
      <c r="S1082" s="9">
        <f t="shared" si="98"/>
        <v>-0.79999999999999716</v>
      </c>
      <c r="T1082" s="9">
        <v>1.5</v>
      </c>
      <c r="U1082" s="9">
        <f t="shared" si="99"/>
        <v>34.020000000000003</v>
      </c>
      <c r="V1082" s="9">
        <f t="shared" si="100"/>
        <v>-57.14285714285694</v>
      </c>
      <c r="W1082" s="9">
        <f t="shared" si="101"/>
        <v>8.5335341428571532</v>
      </c>
    </row>
    <row r="1083" spans="1:23">
      <c r="A1083" s="2" t="s">
        <v>335</v>
      </c>
      <c r="B1083" s="2" t="s">
        <v>478</v>
      </c>
      <c r="C1083" s="3">
        <v>186</v>
      </c>
      <c r="D1083" s="3">
        <v>2.4300000000000002</v>
      </c>
      <c r="E1083" s="2" t="s">
        <v>480</v>
      </c>
      <c r="F1083" s="4">
        <v>42045</v>
      </c>
      <c r="G1083" s="3">
        <v>56.8</v>
      </c>
      <c r="H1083" s="3">
        <v>3.5</v>
      </c>
      <c r="I1083" s="4">
        <v>42045</v>
      </c>
      <c r="J1083" s="3">
        <v>56.8</v>
      </c>
      <c r="K1083" s="3">
        <v>3.5</v>
      </c>
      <c r="L1083" s="3">
        <v>0</v>
      </c>
      <c r="M1083" s="5">
        <v>0</v>
      </c>
      <c r="N1083" s="5">
        <v>0</v>
      </c>
      <c r="O1083" s="5">
        <v>0</v>
      </c>
      <c r="P1083" s="5">
        <v>0</v>
      </c>
      <c r="Q1083" s="5">
        <v>11.604311999999998</v>
      </c>
      <c r="R1083" s="8">
        <f t="shared" si="97"/>
        <v>0</v>
      </c>
      <c r="S1083" s="9">
        <f t="shared" si="98"/>
        <v>0</v>
      </c>
      <c r="T1083" s="9">
        <v>1.5</v>
      </c>
      <c r="U1083" s="9">
        <f t="shared" si="99"/>
        <v>0</v>
      </c>
      <c r="V1083" s="9">
        <f t="shared" si="100"/>
        <v>0</v>
      </c>
      <c r="W1083" s="9">
        <f t="shared" si="101"/>
        <v>11.604311999999998</v>
      </c>
    </row>
    <row r="1084" spans="1:23">
      <c r="A1084" s="2" t="s">
        <v>335</v>
      </c>
      <c r="B1084" s="2" t="s">
        <v>478</v>
      </c>
      <c r="C1084" s="3">
        <v>186</v>
      </c>
      <c r="D1084" s="3">
        <v>2.4300000000000002</v>
      </c>
      <c r="E1084" s="2" t="s">
        <v>480</v>
      </c>
      <c r="F1084" s="4">
        <v>42045</v>
      </c>
      <c r="G1084" s="3">
        <v>56.8</v>
      </c>
      <c r="H1084" s="3">
        <v>3.5</v>
      </c>
      <c r="I1084" s="4">
        <v>42059</v>
      </c>
      <c r="J1084" s="3">
        <v>55</v>
      </c>
      <c r="K1084" s="3">
        <v>3.5</v>
      </c>
      <c r="L1084" s="3">
        <v>14</v>
      </c>
      <c r="M1084" s="5">
        <v>-1.7999999999999972</v>
      </c>
      <c r="N1084" s="5">
        <v>0</v>
      </c>
      <c r="O1084" s="5">
        <v>34.020000000000003</v>
      </c>
      <c r="P1084" s="5">
        <v>-128.57142857142836</v>
      </c>
      <c r="Q1084" s="5">
        <v>5.1135595714285813</v>
      </c>
      <c r="R1084" s="8">
        <f t="shared" si="97"/>
        <v>14</v>
      </c>
      <c r="S1084" s="9">
        <f t="shared" si="98"/>
        <v>-1.7999999999999972</v>
      </c>
      <c r="T1084" s="9">
        <v>1.5</v>
      </c>
      <c r="U1084" s="9">
        <f t="shared" si="99"/>
        <v>34.020000000000003</v>
      </c>
      <c r="V1084" s="9">
        <f t="shared" si="100"/>
        <v>-128.57142857142836</v>
      </c>
      <c r="W1084" s="9">
        <f t="shared" si="101"/>
        <v>5.1135595714285813</v>
      </c>
    </row>
    <row r="1085" spans="1:23">
      <c r="A1085" s="2" t="s">
        <v>335</v>
      </c>
      <c r="B1085" s="2" t="s">
        <v>478</v>
      </c>
      <c r="C1085" s="3">
        <v>186</v>
      </c>
      <c r="D1085" s="3">
        <v>2.4300000000000002</v>
      </c>
      <c r="E1085" s="2" t="s">
        <v>480</v>
      </c>
      <c r="F1085" s="4">
        <v>42045</v>
      </c>
      <c r="G1085" s="3">
        <v>56.8</v>
      </c>
      <c r="H1085" s="3">
        <v>3.5</v>
      </c>
      <c r="I1085" s="4">
        <v>42066</v>
      </c>
      <c r="J1085" s="3">
        <v>55.5</v>
      </c>
      <c r="K1085" s="3">
        <v>4</v>
      </c>
      <c r="L1085" s="3">
        <v>21</v>
      </c>
      <c r="M1085" s="5">
        <v>-1.2999999999999972</v>
      </c>
      <c r="N1085" s="5">
        <v>0.5</v>
      </c>
      <c r="O1085" s="5">
        <v>51.03</v>
      </c>
      <c r="P1085" s="5">
        <v>-61.90476190476177</v>
      </c>
      <c r="Q1085" s="5">
        <v>8.4424987380952441</v>
      </c>
      <c r="R1085" s="8">
        <f t="shared" si="97"/>
        <v>7</v>
      </c>
      <c r="S1085" s="9">
        <f t="shared" si="98"/>
        <v>0.5</v>
      </c>
      <c r="T1085" s="9">
        <v>1.5</v>
      </c>
      <c r="U1085" s="9">
        <f t="shared" si="99"/>
        <v>17.010000000000002</v>
      </c>
      <c r="V1085" s="9">
        <f t="shared" si="100"/>
        <v>71.428571428571431</v>
      </c>
      <c r="W1085" s="9">
        <f t="shared" si="101"/>
        <v>15.015832071428569</v>
      </c>
    </row>
    <row r="1086" spans="1:23">
      <c r="A1086" s="2" t="s">
        <v>335</v>
      </c>
      <c r="B1086" s="2" t="s">
        <v>478</v>
      </c>
      <c r="C1086" s="3">
        <v>186</v>
      </c>
      <c r="D1086" s="3">
        <v>2.4300000000000002</v>
      </c>
      <c r="E1086" s="2" t="s">
        <v>480</v>
      </c>
      <c r="F1086" s="4">
        <v>42045</v>
      </c>
      <c r="G1086" s="3">
        <v>56.8</v>
      </c>
      <c r="H1086" s="3">
        <v>3.5</v>
      </c>
      <c r="I1086" s="4">
        <v>42073</v>
      </c>
      <c r="J1086" s="3">
        <v>54.8</v>
      </c>
      <c r="K1086" s="3">
        <v>3.5</v>
      </c>
      <c r="L1086" s="3">
        <v>28</v>
      </c>
      <c r="M1086" s="5">
        <v>-2</v>
      </c>
      <c r="N1086" s="5">
        <v>0</v>
      </c>
      <c r="O1086" s="5">
        <v>68.040000000000006</v>
      </c>
      <c r="P1086" s="5">
        <v>-71.428571428571431</v>
      </c>
      <c r="Q1086" s="5">
        <v>7.9137934285714291</v>
      </c>
      <c r="R1086" s="8">
        <f t="shared" si="97"/>
        <v>7</v>
      </c>
      <c r="S1086" s="9">
        <f t="shared" si="98"/>
        <v>-0.70000000000000284</v>
      </c>
      <c r="T1086" s="9">
        <v>1.5</v>
      </c>
      <c r="U1086" s="9">
        <f t="shared" si="99"/>
        <v>17.010000000000002</v>
      </c>
      <c r="V1086" s="9">
        <f t="shared" si="100"/>
        <v>-100.00000000000041</v>
      </c>
      <c r="W1086" s="9">
        <f t="shared" si="101"/>
        <v>6.5052219999999794</v>
      </c>
    </row>
    <row r="1087" spans="1:23">
      <c r="A1087" s="2" t="s">
        <v>335</v>
      </c>
      <c r="B1087" s="2" t="s">
        <v>478</v>
      </c>
      <c r="C1087" s="3">
        <v>186</v>
      </c>
      <c r="D1087" s="3">
        <v>2.4300000000000002</v>
      </c>
      <c r="E1087" s="2" t="s">
        <v>480</v>
      </c>
      <c r="F1087" s="4">
        <v>42045</v>
      </c>
      <c r="G1087" s="3">
        <v>56.8</v>
      </c>
      <c r="H1087" s="3">
        <v>3.5</v>
      </c>
      <c r="I1087" s="4">
        <v>42087</v>
      </c>
      <c r="J1087" s="3">
        <v>53.9</v>
      </c>
      <c r="K1087" s="3">
        <v>4.5</v>
      </c>
      <c r="L1087" s="3">
        <v>42</v>
      </c>
      <c r="M1087" s="5">
        <v>-2.8999999999999986</v>
      </c>
      <c r="N1087" s="5">
        <v>1</v>
      </c>
      <c r="O1087" s="5">
        <v>102.06</v>
      </c>
      <c r="P1087" s="5">
        <v>-69.047619047619008</v>
      </c>
      <c r="Q1087" s="5">
        <v>7.9550838809523814</v>
      </c>
      <c r="R1087" s="8">
        <f t="shared" si="97"/>
        <v>14</v>
      </c>
      <c r="S1087" s="9">
        <f t="shared" si="98"/>
        <v>-0.89999999999999858</v>
      </c>
      <c r="T1087" s="9">
        <v>1.5</v>
      </c>
      <c r="U1087" s="9">
        <f t="shared" si="99"/>
        <v>34.020000000000003</v>
      </c>
      <c r="V1087" s="9">
        <f t="shared" si="100"/>
        <v>-64.285714285714178</v>
      </c>
      <c r="W1087" s="9">
        <f t="shared" si="101"/>
        <v>8.1898457857142901</v>
      </c>
    </row>
    <row r="1088" spans="1:23">
      <c r="A1088" s="2" t="s">
        <v>335</v>
      </c>
      <c r="B1088" s="2" t="s">
        <v>478</v>
      </c>
      <c r="C1088" s="3">
        <v>186</v>
      </c>
      <c r="D1088" s="3">
        <v>2.4300000000000002</v>
      </c>
      <c r="E1088" s="2" t="s">
        <v>481</v>
      </c>
      <c r="F1088" s="4">
        <v>42045</v>
      </c>
      <c r="G1088" s="3">
        <v>54.6</v>
      </c>
      <c r="H1088" s="3">
        <v>2.5</v>
      </c>
      <c r="I1088" s="4">
        <v>42045</v>
      </c>
      <c r="J1088" s="3">
        <v>54.6</v>
      </c>
      <c r="K1088" s="3">
        <v>2.5</v>
      </c>
      <c r="L1088" s="3">
        <v>0</v>
      </c>
      <c r="M1088" s="5">
        <v>0</v>
      </c>
      <c r="N1088" s="5">
        <v>0</v>
      </c>
      <c r="O1088" s="5">
        <v>0</v>
      </c>
      <c r="P1088" s="5">
        <v>0</v>
      </c>
      <c r="Q1088" s="5">
        <v>11.232314000000001</v>
      </c>
      <c r="R1088" s="8">
        <f t="shared" si="97"/>
        <v>0</v>
      </c>
      <c r="S1088" s="9">
        <f t="shared" si="98"/>
        <v>0</v>
      </c>
      <c r="T1088" s="9">
        <v>1.5</v>
      </c>
      <c r="U1088" s="9">
        <f t="shared" si="99"/>
        <v>0</v>
      </c>
      <c r="V1088" s="9">
        <f t="shared" si="100"/>
        <v>0</v>
      </c>
      <c r="W1088" s="9">
        <f t="shared" si="101"/>
        <v>11.232314000000001</v>
      </c>
    </row>
    <row r="1089" spans="1:23">
      <c r="A1089" s="2" t="s">
        <v>335</v>
      </c>
      <c r="B1089" s="2" t="s">
        <v>478</v>
      </c>
      <c r="C1089" s="3">
        <v>186</v>
      </c>
      <c r="D1089" s="3">
        <v>2.4300000000000002</v>
      </c>
      <c r="E1089" s="2" t="s">
        <v>481</v>
      </c>
      <c r="F1089" s="4">
        <v>42045</v>
      </c>
      <c r="G1089" s="3">
        <v>54.6</v>
      </c>
      <c r="H1089" s="3">
        <v>2.5</v>
      </c>
      <c r="I1089" s="4">
        <v>42059</v>
      </c>
      <c r="J1089" s="3">
        <v>59</v>
      </c>
      <c r="K1089" s="3">
        <v>3</v>
      </c>
      <c r="L1089" s="3">
        <v>14</v>
      </c>
      <c r="M1089" s="5">
        <v>4.3999999999999986</v>
      </c>
      <c r="N1089" s="5">
        <v>0.5</v>
      </c>
      <c r="O1089" s="5">
        <v>34.020000000000003</v>
      </c>
      <c r="P1089" s="5">
        <v>314.28571428571416</v>
      </c>
      <c r="Q1089" s="5">
        <v>27.098597714285706</v>
      </c>
      <c r="R1089" s="8">
        <f t="shared" si="97"/>
        <v>14</v>
      </c>
      <c r="S1089" s="9">
        <f t="shared" si="98"/>
        <v>4.3999999999999986</v>
      </c>
      <c r="T1089" s="9">
        <v>1.5</v>
      </c>
      <c r="U1089" s="9">
        <f t="shared" si="99"/>
        <v>34.020000000000003</v>
      </c>
      <c r="V1089" s="9">
        <f t="shared" si="100"/>
        <v>314.28571428571416</v>
      </c>
      <c r="W1089" s="9">
        <f t="shared" si="101"/>
        <v>27.098597714285706</v>
      </c>
    </row>
    <row r="1090" spans="1:23">
      <c r="A1090" s="2" t="s">
        <v>335</v>
      </c>
      <c r="B1090" s="2" t="s">
        <v>478</v>
      </c>
      <c r="C1090" s="3">
        <v>186</v>
      </c>
      <c r="D1090" s="3">
        <v>2.4300000000000002</v>
      </c>
      <c r="E1090" s="2" t="s">
        <v>481</v>
      </c>
      <c r="F1090" s="4">
        <v>42045</v>
      </c>
      <c r="G1090" s="3">
        <v>54.6</v>
      </c>
      <c r="H1090" s="3">
        <v>2.5</v>
      </c>
      <c r="I1090" s="4">
        <v>42066</v>
      </c>
      <c r="J1090" s="3">
        <v>57.5</v>
      </c>
      <c r="K1090" s="3">
        <v>3</v>
      </c>
      <c r="L1090" s="3">
        <v>21</v>
      </c>
      <c r="M1090" s="5">
        <v>2.8999999999999986</v>
      </c>
      <c r="N1090" s="5">
        <v>0.5</v>
      </c>
      <c r="O1090" s="5">
        <v>51.03</v>
      </c>
      <c r="P1090" s="5">
        <v>138.09523809523802</v>
      </c>
      <c r="Q1090" s="5">
        <v>18.285589738095233</v>
      </c>
      <c r="R1090" s="8">
        <f t="shared" si="97"/>
        <v>7</v>
      </c>
      <c r="S1090" s="9">
        <f t="shared" si="98"/>
        <v>-1.5</v>
      </c>
      <c r="T1090" s="9">
        <v>1.5</v>
      </c>
      <c r="U1090" s="9">
        <f t="shared" si="99"/>
        <v>17.010000000000002</v>
      </c>
      <c r="V1090" s="9">
        <f t="shared" si="100"/>
        <v>-214.28571428571428</v>
      </c>
      <c r="W1090" s="9">
        <f t="shared" si="101"/>
        <v>0.91320878571428565</v>
      </c>
    </row>
    <row r="1091" spans="1:23">
      <c r="A1091" s="2" t="s">
        <v>335</v>
      </c>
      <c r="B1091" s="2" t="s">
        <v>478</v>
      </c>
      <c r="C1091" s="3">
        <v>186</v>
      </c>
      <c r="D1091" s="3">
        <v>2.4300000000000002</v>
      </c>
      <c r="E1091" s="2" t="s">
        <v>481</v>
      </c>
      <c r="F1091" s="4">
        <v>42045</v>
      </c>
      <c r="G1091" s="3">
        <v>54.6</v>
      </c>
      <c r="H1091" s="3">
        <v>2.5</v>
      </c>
      <c r="I1091" s="4">
        <v>42073</v>
      </c>
      <c r="J1091" s="3">
        <v>57.8</v>
      </c>
      <c r="K1091" s="3">
        <v>2.5</v>
      </c>
      <c r="L1091" s="3">
        <v>28</v>
      </c>
      <c r="M1091" s="5">
        <v>3.1999999999999957</v>
      </c>
      <c r="N1091" s="5">
        <v>0</v>
      </c>
      <c r="O1091" s="5">
        <v>68.040000000000006</v>
      </c>
      <c r="P1091" s="5">
        <v>114.28571428571414</v>
      </c>
      <c r="Q1091" s="5">
        <v>17.137143714285706</v>
      </c>
      <c r="R1091" s="8">
        <f t="shared" si="97"/>
        <v>7</v>
      </c>
      <c r="S1091" s="9">
        <f t="shared" si="98"/>
        <v>0.29999999999999716</v>
      </c>
      <c r="T1091" s="9">
        <v>1.5</v>
      </c>
      <c r="U1091" s="9">
        <f t="shared" si="99"/>
        <v>17.010000000000002</v>
      </c>
      <c r="V1091" s="9">
        <f t="shared" si="100"/>
        <v>42.857142857142449</v>
      </c>
      <c r="W1091" s="9">
        <f t="shared" si="101"/>
        <v>13.615715142857123</v>
      </c>
    </row>
    <row r="1092" spans="1:23">
      <c r="A1092" s="2" t="s">
        <v>335</v>
      </c>
      <c r="B1092" s="2" t="s">
        <v>478</v>
      </c>
      <c r="C1092" s="3">
        <v>186</v>
      </c>
      <c r="D1092" s="3">
        <v>2.4300000000000002</v>
      </c>
      <c r="E1092" s="2" t="s">
        <v>481</v>
      </c>
      <c r="F1092" s="4">
        <v>42045</v>
      </c>
      <c r="G1092" s="3">
        <v>54.6</v>
      </c>
      <c r="H1092" s="3">
        <v>2.5</v>
      </c>
      <c r="I1092" s="4">
        <v>42087</v>
      </c>
      <c r="J1092" s="3">
        <v>57</v>
      </c>
      <c r="K1092" s="3">
        <v>4</v>
      </c>
      <c r="L1092" s="3">
        <v>42</v>
      </c>
      <c r="M1092" s="5">
        <v>2.3999999999999986</v>
      </c>
      <c r="N1092" s="5">
        <v>1.5</v>
      </c>
      <c r="O1092" s="5">
        <v>102.06</v>
      </c>
      <c r="P1092" s="5">
        <v>57.142857142857103</v>
      </c>
      <c r="Q1092" s="5">
        <v>14.252364857142855</v>
      </c>
      <c r="R1092" s="8">
        <f t="shared" si="97"/>
        <v>14</v>
      </c>
      <c r="S1092" s="9">
        <f t="shared" si="98"/>
        <v>-0.79999999999999716</v>
      </c>
      <c r="T1092" s="9">
        <v>1.5</v>
      </c>
      <c r="U1092" s="9">
        <f t="shared" si="99"/>
        <v>34.020000000000003</v>
      </c>
      <c r="V1092" s="9">
        <f t="shared" si="100"/>
        <v>-57.14285714285694</v>
      </c>
      <c r="W1092" s="9">
        <f t="shared" si="101"/>
        <v>8.6180791428571517</v>
      </c>
    </row>
    <row r="1093" spans="1:23">
      <c r="A1093" s="2" t="s">
        <v>335</v>
      </c>
      <c r="B1093" s="2" t="s">
        <v>478</v>
      </c>
      <c r="C1093" s="3">
        <v>186</v>
      </c>
      <c r="D1093" s="3">
        <v>2.4300000000000002</v>
      </c>
      <c r="E1093" s="2" t="s">
        <v>482</v>
      </c>
      <c r="F1093" s="4">
        <v>42045</v>
      </c>
      <c r="G1093" s="3">
        <v>57.6</v>
      </c>
      <c r="H1093" s="3">
        <v>4</v>
      </c>
      <c r="I1093" s="4">
        <v>42045</v>
      </c>
      <c r="J1093" s="3">
        <v>57.6</v>
      </c>
      <c r="K1093" s="3">
        <v>4</v>
      </c>
      <c r="L1093" s="3">
        <v>0</v>
      </c>
      <c r="M1093" s="5">
        <v>0</v>
      </c>
      <c r="N1093" s="5">
        <v>0</v>
      </c>
      <c r="O1093" s="5">
        <v>0</v>
      </c>
      <c r="P1093" s="5">
        <v>0</v>
      </c>
      <c r="Q1093" s="5">
        <v>11.739583999999999</v>
      </c>
      <c r="R1093" s="8">
        <f t="shared" si="97"/>
        <v>0</v>
      </c>
      <c r="S1093" s="9">
        <f t="shared" si="98"/>
        <v>0</v>
      </c>
      <c r="T1093" s="9">
        <v>1.5</v>
      </c>
      <c r="U1093" s="9">
        <f t="shared" si="99"/>
        <v>0</v>
      </c>
      <c r="V1093" s="9">
        <f t="shared" si="100"/>
        <v>0</v>
      </c>
      <c r="W1093" s="9">
        <f t="shared" si="101"/>
        <v>11.739583999999999</v>
      </c>
    </row>
    <row r="1094" spans="1:23">
      <c r="A1094" s="2" t="s">
        <v>335</v>
      </c>
      <c r="B1094" s="2" t="s">
        <v>478</v>
      </c>
      <c r="C1094" s="3">
        <v>186</v>
      </c>
      <c r="D1094" s="3">
        <v>2.4300000000000002</v>
      </c>
      <c r="E1094" s="2" t="s">
        <v>482</v>
      </c>
      <c r="F1094" s="4">
        <v>42045</v>
      </c>
      <c r="G1094" s="3">
        <v>57.6</v>
      </c>
      <c r="H1094" s="3">
        <v>4</v>
      </c>
      <c r="I1094" s="4">
        <v>42059</v>
      </c>
      <c r="J1094" s="3">
        <v>63.5</v>
      </c>
      <c r="K1094" s="3">
        <v>4</v>
      </c>
      <c r="L1094" s="3">
        <v>14</v>
      </c>
      <c r="M1094" s="5">
        <v>5.8999999999999986</v>
      </c>
      <c r="N1094" s="5">
        <v>0</v>
      </c>
      <c r="O1094" s="5">
        <v>34.020000000000003</v>
      </c>
      <c r="P1094" s="5">
        <v>421.42857142857133</v>
      </c>
      <c r="Q1094" s="5">
        <v>33.01482807142856</v>
      </c>
      <c r="R1094" s="8">
        <f t="shared" si="97"/>
        <v>14</v>
      </c>
      <c r="S1094" s="9">
        <f t="shared" si="98"/>
        <v>5.8999999999999986</v>
      </c>
      <c r="T1094" s="9">
        <v>1.5</v>
      </c>
      <c r="U1094" s="9">
        <f t="shared" si="99"/>
        <v>34.020000000000003</v>
      </c>
      <c r="V1094" s="9">
        <f t="shared" si="100"/>
        <v>421.42857142857133</v>
      </c>
      <c r="W1094" s="9">
        <f t="shared" si="101"/>
        <v>33.01482807142856</v>
      </c>
    </row>
    <row r="1095" spans="1:23">
      <c r="A1095" s="2" t="s">
        <v>335</v>
      </c>
      <c r="B1095" s="2" t="s">
        <v>478</v>
      </c>
      <c r="C1095" s="3">
        <v>186</v>
      </c>
      <c r="D1095" s="3">
        <v>2.4300000000000002</v>
      </c>
      <c r="E1095" s="2" t="s">
        <v>482</v>
      </c>
      <c r="F1095" s="4">
        <v>42045</v>
      </c>
      <c r="G1095" s="3">
        <v>57.6</v>
      </c>
      <c r="H1095" s="3">
        <v>4</v>
      </c>
      <c r="I1095" s="4">
        <v>42066</v>
      </c>
      <c r="J1095" s="3">
        <v>61</v>
      </c>
      <c r="K1095" s="3">
        <v>4.5</v>
      </c>
      <c r="L1095" s="3">
        <v>21</v>
      </c>
      <c r="M1095" s="5">
        <v>3.3999999999999986</v>
      </c>
      <c r="N1095" s="5">
        <v>0.5</v>
      </c>
      <c r="O1095" s="5">
        <v>51.03</v>
      </c>
      <c r="P1095" s="5">
        <v>161.90476190476184</v>
      </c>
      <c r="Q1095" s="5">
        <v>20.008941761904758</v>
      </c>
      <c r="R1095" s="8">
        <f t="shared" si="97"/>
        <v>7</v>
      </c>
      <c r="S1095" s="9">
        <f t="shared" si="98"/>
        <v>-2.5</v>
      </c>
      <c r="T1095" s="9">
        <v>1.5</v>
      </c>
      <c r="U1095" s="9">
        <f t="shared" si="99"/>
        <v>17.010000000000002</v>
      </c>
      <c r="V1095" s="9">
        <f t="shared" si="100"/>
        <v>-357.14285714285717</v>
      </c>
      <c r="W1095" s="9">
        <f t="shared" si="101"/>
        <v>-5.5801058571428594</v>
      </c>
    </row>
    <row r="1096" spans="1:23">
      <c r="A1096" s="2" t="s">
        <v>335</v>
      </c>
      <c r="B1096" s="2" t="s">
        <v>478</v>
      </c>
      <c r="C1096" s="3">
        <v>186</v>
      </c>
      <c r="D1096" s="3">
        <v>2.4300000000000002</v>
      </c>
      <c r="E1096" s="2" t="s">
        <v>482</v>
      </c>
      <c r="F1096" s="4">
        <v>42045</v>
      </c>
      <c r="G1096" s="3">
        <v>57.6</v>
      </c>
      <c r="H1096" s="3">
        <v>4</v>
      </c>
      <c r="I1096" s="4">
        <v>42073</v>
      </c>
      <c r="J1096" s="3">
        <v>60</v>
      </c>
      <c r="K1096" s="3">
        <v>4</v>
      </c>
      <c r="L1096" s="3">
        <v>28</v>
      </c>
      <c r="M1096" s="5">
        <v>2.3999999999999986</v>
      </c>
      <c r="N1096" s="5">
        <v>0</v>
      </c>
      <c r="O1096" s="5">
        <v>68.040000000000006</v>
      </c>
      <c r="P1096" s="5">
        <v>85.714285714285666</v>
      </c>
      <c r="Q1096" s="5">
        <v>16.168206285714284</v>
      </c>
      <c r="R1096" s="8">
        <f t="shared" si="97"/>
        <v>7</v>
      </c>
      <c r="S1096" s="9">
        <f t="shared" si="98"/>
        <v>-1</v>
      </c>
      <c r="T1096" s="9">
        <v>1.5</v>
      </c>
      <c r="U1096" s="9">
        <f t="shared" si="99"/>
        <v>17.010000000000002</v>
      </c>
      <c r="V1096" s="9">
        <f t="shared" si="100"/>
        <v>-142.85714285714286</v>
      </c>
      <c r="W1096" s="9">
        <f t="shared" si="101"/>
        <v>4.8996348571428578</v>
      </c>
    </row>
    <row r="1097" spans="1:23">
      <c r="A1097" s="2" t="s">
        <v>335</v>
      </c>
      <c r="B1097" s="2" t="s">
        <v>478</v>
      </c>
      <c r="C1097" s="3">
        <v>186</v>
      </c>
      <c r="D1097" s="3">
        <v>2.4300000000000002</v>
      </c>
      <c r="E1097" s="2" t="s">
        <v>482</v>
      </c>
      <c r="F1097" s="4">
        <v>42045</v>
      </c>
      <c r="G1097" s="3">
        <v>57.6</v>
      </c>
      <c r="H1097" s="3">
        <v>4</v>
      </c>
      <c r="I1097" s="4">
        <v>42087</v>
      </c>
      <c r="J1097" s="3">
        <v>59</v>
      </c>
      <c r="K1097" s="3">
        <v>3.5</v>
      </c>
      <c r="L1097" s="3">
        <v>42</v>
      </c>
      <c r="M1097" s="5">
        <v>1.3999999999999986</v>
      </c>
      <c r="N1097" s="5">
        <v>-0.5</v>
      </c>
      <c r="O1097" s="5">
        <v>102.06</v>
      </c>
      <c r="P1097" s="5">
        <v>33.3333333333333</v>
      </c>
      <c r="Q1097" s="5">
        <v>13.50128033333333</v>
      </c>
      <c r="R1097" s="8">
        <f t="shared" si="97"/>
        <v>14</v>
      </c>
      <c r="S1097" s="9">
        <f t="shared" si="98"/>
        <v>-1</v>
      </c>
      <c r="T1097" s="9">
        <v>1.5</v>
      </c>
      <c r="U1097" s="9">
        <f t="shared" si="99"/>
        <v>34.020000000000003</v>
      </c>
      <c r="V1097" s="9">
        <f t="shared" si="100"/>
        <v>-71.428571428571431</v>
      </c>
      <c r="W1097" s="9">
        <f t="shared" si="101"/>
        <v>8.3365184285714289</v>
      </c>
    </row>
    <row r="1098" spans="1:23">
      <c r="A1098" s="2" t="s">
        <v>335</v>
      </c>
      <c r="B1098" s="2" t="s">
        <v>478</v>
      </c>
      <c r="C1098" s="3">
        <v>186</v>
      </c>
      <c r="D1098" s="3">
        <v>2.4300000000000002</v>
      </c>
      <c r="E1098" s="2" t="s">
        <v>483</v>
      </c>
      <c r="F1098" s="4">
        <v>42045</v>
      </c>
      <c r="G1098" s="3">
        <v>58.4</v>
      </c>
      <c r="H1098" s="3">
        <v>2.5</v>
      </c>
      <c r="I1098" s="4">
        <v>42045</v>
      </c>
      <c r="J1098" s="3">
        <v>58.4</v>
      </c>
      <c r="K1098" s="3">
        <v>2.5</v>
      </c>
      <c r="L1098" s="3">
        <v>0</v>
      </c>
      <c r="M1098" s="5">
        <v>0</v>
      </c>
      <c r="N1098" s="5">
        <v>0</v>
      </c>
      <c r="O1098" s="5">
        <v>0</v>
      </c>
      <c r="P1098" s="5">
        <v>0</v>
      </c>
      <c r="Q1098" s="5">
        <v>11.874855999999999</v>
      </c>
      <c r="R1098" s="8">
        <f t="shared" si="97"/>
        <v>0</v>
      </c>
      <c r="S1098" s="9">
        <f t="shared" si="98"/>
        <v>0</v>
      </c>
      <c r="T1098" s="9">
        <v>1.5</v>
      </c>
      <c r="U1098" s="9">
        <f t="shared" si="99"/>
        <v>0</v>
      </c>
      <c r="V1098" s="9">
        <f t="shared" si="100"/>
        <v>0</v>
      </c>
      <c r="W1098" s="9">
        <f t="shared" si="101"/>
        <v>11.874855999999999</v>
      </c>
    </row>
    <row r="1099" spans="1:23">
      <c r="A1099" s="2" t="s">
        <v>335</v>
      </c>
      <c r="B1099" s="2" t="s">
        <v>478</v>
      </c>
      <c r="C1099" s="3">
        <v>186</v>
      </c>
      <c r="D1099" s="3">
        <v>2.4300000000000002</v>
      </c>
      <c r="E1099" s="2" t="s">
        <v>483</v>
      </c>
      <c r="F1099" s="4">
        <v>42045</v>
      </c>
      <c r="G1099" s="3">
        <v>58.4</v>
      </c>
      <c r="H1099" s="3">
        <v>2.5</v>
      </c>
      <c r="I1099" s="4">
        <v>42059</v>
      </c>
      <c r="J1099" s="3">
        <v>59</v>
      </c>
      <c r="K1099" s="3">
        <v>4</v>
      </c>
      <c r="L1099" s="3">
        <v>14</v>
      </c>
      <c r="M1099" s="5">
        <v>0.60000000000000142</v>
      </c>
      <c r="N1099" s="5">
        <v>1.5</v>
      </c>
      <c r="O1099" s="5">
        <v>34.020000000000003</v>
      </c>
      <c r="P1099" s="5">
        <v>42.857142857142961</v>
      </c>
      <c r="Q1099" s="5">
        <v>14.038440142857148</v>
      </c>
      <c r="R1099" s="8">
        <f t="shared" si="97"/>
        <v>14</v>
      </c>
      <c r="S1099" s="9">
        <f t="shared" si="98"/>
        <v>0.60000000000000142</v>
      </c>
      <c r="T1099" s="9">
        <v>1.5</v>
      </c>
      <c r="U1099" s="9">
        <f t="shared" si="99"/>
        <v>34.020000000000003</v>
      </c>
      <c r="V1099" s="9">
        <f t="shared" si="100"/>
        <v>42.857142857142961</v>
      </c>
      <c r="W1099" s="9">
        <f t="shared" si="101"/>
        <v>14.038440142857148</v>
      </c>
    </row>
    <row r="1100" spans="1:23">
      <c r="A1100" s="2" t="s">
        <v>335</v>
      </c>
      <c r="B1100" s="2" t="s">
        <v>478</v>
      </c>
      <c r="C1100" s="3">
        <v>186</v>
      </c>
      <c r="D1100" s="3">
        <v>2.4300000000000002</v>
      </c>
      <c r="E1100" s="2" t="s">
        <v>483</v>
      </c>
      <c r="F1100" s="4">
        <v>42045</v>
      </c>
      <c r="G1100" s="3">
        <v>58.4</v>
      </c>
      <c r="H1100" s="3">
        <v>2.5</v>
      </c>
      <c r="I1100" s="4">
        <v>42066</v>
      </c>
      <c r="J1100" s="3">
        <v>57.5</v>
      </c>
      <c r="K1100" s="3">
        <v>4</v>
      </c>
      <c r="L1100" s="3">
        <v>21</v>
      </c>
      <c r="M1100" s="5">
        <v>-0.89999999999999858</v>
      </c>
      <c r="N1100" s="5">
        <v>1.5</v>
      </c>
      <c r="O1100" s="5">
        <v>51.03</v>
      </c>
      <c r="P1100" s="5">
        <v>-42.85714285714279</v>
      </c>
      <c r="Q1100" s="5">
        <v>9.6859083571428606</v>
      </c>
      <c r="R1100" s="8">
        <f t="shared" si="97"/>
        <v>7</v>
      </c>
      <c r="S1100" s="9">
        <f t="shared" si="98"/>
        <v>-1.5</v>
      </c>
      <c r="T1100" s="9">
        <v>1.5</v>
      </c>
      <c r="U1100" s="9">
        <f t="shared" si="99"/>
        <v>17.010000000000002</v>
      </c>
      <c r="V1100" s="9">
        <f t="shared" si="100"/>
        <v>-214.28571428571428</v>
      </c>
      <c r="W1100" s="9">
        <f t="shared" si="101"/>
        <v>1.2344797857142868</v>
      </c>
    </row>
    <row r="1101" spans="1:23">
      <c r="A1101" s="2" t="s">
        <v>335</v>
      </c>
      <c r="B1101" s="2" t="s">
        <v>478</v>
      </c>
      <c r="C1101" s="3">
        <v>186</v>
      </c>
      <c r="D1101" s="3">
        <v>2.4300000000000002</v>
      </c>
      <c r="E1101" s="2" t="s">
        <v>483</v>
      </c>
      <c r="F1101" s="4">
        <v>42045</v>
      </c>
      <c r="G1101" s="3">
        <v>58.4</v>
      </c>
      <c r="H1101" s="3">
        <v>2.5</v>
      </c>
      <c r="I1101" s="4">
        <v>42073</v>
      </c>
      <c r="J1101" s="3">
        <v>59.6</v>
      </c>
      <c r="K1101" s="3">
        <v>3.5</v>
      </c>
      <c r="L1101" s="3">
        <v>28</v>
      </c>
      <c r="M1101" s="5">
        <v>1.2000000000000028</v>
      </c>
      <c r="N1101" s="5">
        <v>1</v>
      </c>
      <c r="O1101" s="5">
        <v>68.040000000000006</v>
      </c>
      <c r="P1101" s="5">
        <v>42.857142857142961</v>
      </c>
      <c r="Q1101" s="5">
        <v>14.089167142857148</v>
      </c>
      <c r="R1101" s="8">
        <f t="shared" si="97"/>
        <v>7</v>
      </c>
      <c r="S1101" s="9">
        <f t="shared" si="98"/>
        <v>2.1000000000000014</v>
      </c>
      <c r="T1101" s="9">
        <v>1.5</v>
      </c>
      <c r="U1101" s="9">
        <f t="shared" si="99"/>
        <v>17.010000000000002</v>
      </c>
      <c r="V1101" s="9">
        <f t="shared" si="100"/>
        <v>300.00000000000023</v>
      </c>
      <c r="W1101" s="9">
        <f t="shared" si="101"/>
        <v>26.766310000000011</v>
      </c>
    </row>
    <row r="1102" spans="1:23">
      <c r="A1102" s="2" t="s">
        <v>335</v>
      </c>
      <c r="B1102" s="2" t="s">
        <v>478</v>
      </c>
      <c r="C1102" s="3">
        <v>186</v>
      </c>
      <c r="D1102" s="3">
        <v>2.4300000000000002</v>
      </c>
      <c r="E1102" s="2" t="s">
        <v>483</v>
      </c>
      <c r="F1102" s="4">
        <v>42045</v>
      </c>
      <c r="G1102" s="3">
        <v>58.4</v>
      </c>
      <c r="H1102" s="3">
        <v>2.5</v>
      </c>
      <c r="I1102" s="4">
        <v>42087</v>
      </c>
      <c r="J1102" s="3">
        <v>56.2</v>
      </c>
      <c r="K1102" s="3">
        <v>3.5</v>
      </c>
      <c r="L1102" s="3">
        <v>42</v>
      </c>
      <c r="M1102" s="5">
        <v>-2.1999999999999957</v>
      </c>
      <c r="N1102" s="5">
        <v>1</v>
      </c>
      <c r="O1102" s="5">
        <v>102.06</v>
      </c>
      <c r="P1102" s="5">
        <v>-52.38095238095228</v>
      </c>
      <c r="Q1102" s="5">
        <v>9.1064760476190507</v>
      </c>
      <c r="R1102" s="8">
        <f t="shared" si="97"/>
        <v>14</v>
      </c>
      <c r="S1102" s="9">
        <f t="shared" si="98"/>
        <v>-3.3999999999999986</v>
      </c>
      <c r="T1102" s="9">
        <v>1.5</v>
      </c>
      <c r="U1102" s="9">
        <f t="shared" si="99"/>
        <v>34.020000000000003</v>
      </c>
      <c r="V1102" s="9">
        <f t="shared" si="100"/>
        <v>-242.85714285714275</v>
      </c>
      <c r="W1102" s="9">
        <f t="shared" si="101"/>
        <v>-0.28400014285713837</v>
      </c>
    </row>
    <row r="1103" spans="1:23">
      <c r="A1103" s="2" t="s">
        <v>335</v>
      </c>
      <c r="B1103" s="2" t="s">
        <v>478</v>
      </c>
      <c r="C1103" s="3">
        <v>186</v>
      </c>
      <c r="D1103" s="3">
        <v>2.4300000000000002</v>
      </c>
      <c r="E1103" s="2" t="s">
        <v>484</v>
      </c>
      <c r="F1103" s="4">
        <v>42045</v>
      </c>
      <c r="G1103" s="3">
        <v>56</v>
      </c>
      <c r="H1103" s="3">
        <v>3</v>
      </c>
      <c r="I1103" s="4">
        <v>42045</v>
      </c>
      <c r="J1103" s="3">
        <v>56</v>
      </c>
      <c r="K1103" s="3">
        <v>3</v>
      </c>
      <c r="L1103" s="3">
        <v>0</v>
      </c>
      <c r="M1103" s="5">
        <v>0</v>
      </c>
      <c r="N1103" s="5">
        <v>0</v>
      </c>
      <c r="O1103" s="5">
        <v>0</v>
      </c>
      <c r="P1103" s="5">
        <v>0</v>
      </c>
      <c r="Q1103" s="5">
        <v>11.46904</v>
      </c>
      <c r="R1103" s="8">
        <f t="shared" si="97"/>
        <v>0</v>
      </c>
      <c r="S1103" s="9">
        <f t="shared" si="98"/>
        <v>0</v>
      </c>
      <c r="T1103" s="9">
        <v>1.5</v>
      </c>
      <c r="U1103" s="9">
        <f t="shared" si="99"/>
        <v>0</v>
      </c>
      <c r="V1103" s="9">
        <f t="shared" si="100"/>
        <v>0</v>
      </c>
      <c r="W1103" s="9">
        <f t="shared" si="101"/>
        <v>11.46904</v>
      </c>
    </row>
    <row r="1104" spans="1:23">
      <c r="A1104" s="2" t="s">
        <v>335</v>
      </c>
      <c r="B1104" s="2" t="s">
        <v>478</v>
      </c>
      <c r="C1104" s="3">
        <v>186</v>
      </c>
      <c r="D1104" s="3">
        <v>2.4300000000000002</v>
      </c>
      <c r="E1104" s="2" t="s">
        <v>484</v>
      </c>
      <c r="F1104" s="4">
        <v>42045</v>
      </c>
      <c r="G1104" s="3">
        <v>56</v>
      </c>
      <c r="H1104" s="3">
        <v>3</v>
      </c>
      <c r="I1104" s="4">
        <v>42059</v>
      </c>
      <c r="J1104" s="3">
        <v>57.5</v>
      </c>
      <c r="K1104" s="3">
        <v>3.5</v>
      </c>
      <c r="L1104" s="3">
        <v>14</v>
      </c>
      <c r="M1104" s="5">
        <v>1.5</v>
      </c>
      <c r="N1104" s="5">
        <v>0.5</v>
      </c>
      <c r="O1104" s="5">
        <v>34.020000000000003</v>
      </c>
      <c r="P1104" s="5">
        <v>107.14285714285714</v>
      </c>
      <c r="Q1104" s="5">
        <v>16.878000357142856</v>
      </c>
      <c r="R1104" s="8">
        <f t="shared" si="97"/>
        <v>14</v>
      </c>
      <c r="S1104" s="9">
        <f t="shared" si="98"/>
        <v>1.5</v>
      </c>
      <c r="T1104" s="9">
        <v>1.5</v>
      </c>
      <c r="U1104" s="9">
        <f t="shared" si="99"/>
        <v>34.020000000000003</v>
      </c>
      <c r="V1104" s="9">
        <f t="shared" si="100"/>
        <v>107.14285714285714</v>
      </c>
      <c r="W1104" s="9">
        <f t="shared" si="101"/>
        <v>16.878000357142856</v>
      </c>
    </row>
    <row r="1105" spans="1:23">
      <c r="A1105" s="2" t="s">
        <v>335</v>
      </c>
      <c r="B1105" s="2" t="s">
        <v>478</v>
      </c>
      <c r="C1105" s="3">
        <v>186</v>
      </c>
      <c r="D1105" s="3">
        <v>2.4300000000000002</v>
      </c>
      <c r="E1105" s="2" t="s">
        <v>484</v>
      </c>
      <c r="F1105" s="4">
        <v>42045</v>
      </c>
      <c r="G1105" s="3">
        <v>56</v>
      </c>
      <c r="H1105" s="3">
        <v>3</v>
      </c>
      <c r="I1105" s="4">
        <v>42066</v>
      </c>
      <c r="J1105" s="3">
        <v>57</v>
      </c>
      <c r="K1105" s="3">
        <v>3.5</v>
      </c>
      <c r="L1105" s="3">
        <v>21</v>
      </c>
      <c r="M1105" s="5">
        <v>1</v>
      </c>
      <c r="N1105" s="5">
        <v>0.5</v>
      </c>
      <c r="O1105" s="5">
        <v>51.03</v>
      </c>
      <c r="P1105" s="5">
        <v>47.619047619047613</v>
      </c>
      <c r="Q1105" s="5">
        <v>13.901204047619046</v>
      </c>
      <c r="R1105" s="8">
        <f t="shared" si="97"/>
        <v>7</v>
      </c>
      <c r="S1105" s="9">
        <f t="shared" si="98"/>
        <v>-0.5</v>
      </c>
      <c r="T1105" s="9">
        <v>1.5</v>
      </c>
      <c r="U1105" s="9">
        <f t="shared" si="99"/>
        <v>17.010000000000002</v>
      </c>
      <c r="V1105" s="9">
        <f t="shared" si="100"/>
        <v>-71.428571428571431</v>
      </c>
      <c r="W1105" s="9">
        <f t="shared" si="101"/>
        <v>8.0321564285714295</v>
      </c>
    </row>
    <row r="1106" spans="1:23">
      <c r="A1106" s="2" t="s">
        <v>335</v>
      </c>
      <c r="B1106" s="2" t="s">
        <v>478</v>
      </c>
      <c r="C1106" s="3">
        <v>186</v>
      </c>
      <c r="D1106" s="3">
        <v>2.4300000000000002</v>
      </c>
      <c r="E1106" s="2" t="s">
        <v>484</v>
      </c>
      <c r="F1106" s="4">
        <v>42045</v>
      </c>
      <c r="G1106" s="3">
        <v>56</v>
      </c>
      <c r="H1106" s="3">
        <v>3</v>
      </c>
      <c r="I1106" s="4">
        <v>42073</v>
      </c>
      <c r="J1106" s="3">
        <v>55.7</v>
      </c>
      <c r="K1106" s="3">
        <v>3</v>
      </c>
      <c r="L1106" s="3">
        <v>28</v>
      </c>
      <c r="M1106" s="5">
        <v>-0.29999999999999716</v>
      </c>
      <c r="N1106" s="5">
        <v>0</v>
      </c>
      <c r="O1106" s="5">
        <v>68.040000000000006</v>
      </c>
      <c r="P1106" s="5">
        <v>-10.714285714285612</v>
      </c>
      <c r="Q1106" s="5">
        <v>10.91546221428572</v>
      </c>
      <c r="R1106" s="8">
        <f t="shared" si="97"/>
        <v>7</v>
      </c>
      <c r="S1106" s="9">
        <f t="shared" si="98"/>
        <v>-1.2999999999999972</v>
      </c>
      <c r="T1106" s="9">
        <v>1.5</v>
      </c>
      <c r="U1106" s="9">
        <f t="shared" si="99"/>
        <v>17.010000000000002</v>
      </c>
      <c r="V1106" s="9">
        <f t="shared" si="100"/>
        <v>-185.7142857142853</v>
      </c>
      <c r="W1106" s="9">
        <f t="shared" si="101"/>
        <v>2.2879622142857361</v>
      </c>
    </row>
    <row r="1107" spans="1:23">
      <c r="A1107" s="2" t="s">
        <v>335</v>
      </c>
      <c r="B1107" s="2" t="s">
        <v>478</v>
      </c>
      <c r="C1107" s="3">
        <v>186</v>
      </c>
      <c r="D1107" s="3">
        <v>2.4300000000000002</v>
      </c>
      <c r="E1107" s="2" t="s">
        <v>484</v>
      </c>
      <c r="F1107" s="4">
        <v>42045</v>
      </c>
      <c r="G1107" s="3">
        <v>56</v>
      </c>
      <c r="H1107" s="3">
        <v>3</v>
      </c>
      <c r="I1107" s="4">
        <v>42087</v>
      </c>
      <c r="J1107" s="3">
        <v>53.6</v>
      </c>
      <c r="K1107" s="3">
        <v>3.5</v>
      </c>
      <c r="L1107" s="3">
        <v>42</v>
      </c>
      <c r="M1107" s="5">
        <v>-2.3999999999999986</v>
      </c>
      <c r="N1107" s="5">
        <v>0.5</v>
      </c>
      <c r="O1107" s="5">
        <v>102.06</v>
      </c>
      <c r="P1107" s="5">
        <v>-57.142857142857103</v>
      </c>
      <c r="Q1107" s="5">
        <v>8.448989142857144</v>
      </c>
      <c r="R1107" s="8">
        <f t="shared" si="97"/>
        <v>14</v>
      </c>
      <c r="S1107" s="9">
        <f t="shared" si="98"/>
        <v>-2.1000000000000014</v>
      </c>
      <c r="T1107" s="9">
        <v>1.5</v>
      </c>
      <c r="U1107" s="9">
        <f t="shared" si="99"/>
        <v>34.020000000000003</v>
      </c>
      <c r="V1107" s="9">
        <f t="shared" si="100"/>
        <v>-150.00000000000011</v>
      </c>
      <c r="W1107" s="9">
        <f t="shared" si="101"/>
        <v>3.871131999999994</v>
      </c>
    </row>
    <row r="1108" spans="1:23">
      <c r="A1108" s="2" t="s">
        <v>335</v>
      </c>
      <c r="B1108" s="2" t="s">
        <v>478</v>
      </c>
      <c r="C1108" s="3">
        <v>186</v>
      </c>
      <c r="D1108" s="3">
        <v>2.4300000000000002</v>
      </c>
      <c r="E1108" s="2" t="s">
        <v>485</v>
      </c>
      <c r="F1108" s="4">
        <v>42045</v>
      </c>
      <c r="G1108" s="3">
        <v>56.8</v>
      </c>
      <c r="H1108" s="3">
        <v>3.5</v>
      </c>
      <c r="I1108" s="4">
        <v>42045</v>
      </c>
      <c r="J1108" s="3">
        <v>56.8</v>
      </c>
      <c r="K1108" s="3">
        <v>3.5</v>
      </c>
      <c r="L1108" s="3">
        <v>0</v>
      </c>
      <c r="M1108" s="5">
        <v>0</v>
      </c>
      <c r="N1108" s="5">
        <v>0</v>
      </c>
      <c r="O1108" s="5">
        <v>0</v>
      </c>
      <c r="P1108" s="5">
        <v>0</v>
      </c>
      <c r="Q1108" s="5">
        <v>11.604311999999998</v>
      </c>
      <c r="R1108" s="8">
        <f t="shared" si="97"/>
        <v>0</v>
      </c>
      <c r="S1108" s="9">
        <f t="shared" si="98"/>
        <v>0</v>
      </c>
      <c r="T1108" s="9">
        <v>1.5</v>
      </c>
      <c r="U1108" s="9">
        <f t="shared" si="99"/>
        <v>0</v>
      </c>
      <c r="V1108" s="9">
        <f t="shared" si="100"/>
        <v>0</v>
      </c>
      <c r="W1108" s="9">
        <f t="shared" si="101"/>
        <v>11.604311999999998</v>
      </c>
    </row>
    <row r="1109" spans="1:23">
      <c r="A1109" s="2" t="s">
        <v>335</v>
      </c>
      <c r="B1109" s="2" t="s">
        <v>478</v>
      </c>
      <c r="C1109" s="3">
        <v>186</v>
      </c>
      <c r="D1109" s="3">
        <v>2.4300000000000002</v>
      </c>
      <c r="E1109" s="2" t="s">
        <v>485</v>
      </c>
      <c r="F1109" s="4">
        <v>42045</v>
      </c>
      <c r="G1109" s="3">
        <v>56.8</v>
      </c>
      <c r="H1109" s="3">
        <v>3.5</v>
      </c>
      <c r="I1109" s="4">
        <v>42059</v>
      </c>
      <c r="J1109" s="3">
        <v>61</v>
      </c>
      <c r="K1109" s="3">
        <v>4</v>
      </c>
      <c r="L1109" s="3">
        <v>14</v>
      </c>
      <c r="M1109" s="5">
        <v>4.2000000000000028</v>
      </c>
      <c r="N1109" s="5">
        <v>0.5</v>
      </c>
      <c r="O1109" s="5">
        <v>34.020000000000003</v>
      </c>
      <c r="P1109" s="5">
        <v>300.00000000000023</v>
      </c>
      <c r="Q1109" s="5">
        <v>26.74940100000001</v>
      </c>
      <c r="R1109" s="8">
        <f t="shared" si="97"/>
        <v>14</v>
      </c>
      <c r="S1109" s="9">
        <f t="shared" si="98"/>
        <v>4.2000000000000028</v>
      </c>
      <c r="T1109" s="9">
        <v>1.5</v>
      </c>
      <c r="U1109" s="9">
        <f t="shared" si="99"/>
        <v>34.020000000000003</v>
      </c>
      <c r="V1109" s="9">
        <f t="shared" si="100"/>
        <v>300.00000000000023</v>
      </c>
      <c r="W1109" s="9">
        <f t="shared" si="101"/>
        <v>26.74940100000001</v>
      </c>
    </row>
    <row r="1110" spans="1:23">
      <c r="A1110" s="2" t="s">
        <v>335</v>
      </c>
      <c r="B1110" s="2" t="s">
        <v>478</v>
      </c>
      <c r="C1110" s="3">
        <v>186</v>
      </c>
      <c r="D1110" s="3">
        <v>2.4300000000000002</v>
      </c>
      <c r="E1110" s="2" t="s">
        <v>485</v>
      </c>
      <c r="F1110" s="4">
        <v>42045</v>
      </c>
      <c r="G1110" s="3">
        <v>56.8</v>
      </c>
      <c r="H1110" s="3">
        <v>3.5</v>
      </c>
      <c r="I1110" s="4">
        <v>42066</v>
      </c>
      <c r="J1110" s="3">
        <v>60.5</v>
      </c>
      <c r="K1110" s="3">
        <v>4</v>
      </c>
      <c r="L1110" s="3">
        <v>21</v>
      </c>
      <c r="M1110" s="5">
        <v>3.7000000000000028</v>
      </c>
      <c r="N1110" s="5">
        <v>0.5</v>
      </c>
      <c r="O1110" s="5">
        <v>51.03</v>
      </c>
      <c r="P1110" s="5">
        <v>176.19047619047632</v>
      </c>
      <c r="Q1110" s="5">
        <v>20.603318976190479</v>
      </c>
      <c r="R1110" s="8">
        <f t="shared" si="97"/>
        <v>7</v>
      </c>
      <c r="S1110" s="9">
        <f t="shared" si="98"/>
        <v>-0.5</v>
      </c>
      <c r="T1110" s="9">
        <v>1.5</v>
      </c>
      <c r="U1110" s="9">
        <f t="shared" si="99"/>
        <v>17.010000000000002</v>
      </c>
      <c r="V1110" s="9">
        <f t="shared" si="100"/>
        <v>-71.428571428571431</v>
      </c>
      <c r="W1110" s="9">
        <f t="shared" si="101"/>
        <v>8.3956999285714282</v>
      </c>
    </row>
    <row r="1111" spans="1:23">
      <c r="A1111" s="2" t="s">
        <v>335</v>
      </c>
      <c r="B1111" s="2" t="s">
        <v>478</v>
      </c>
      <c r="C1111" s="3">
        <v>186</v>
      </c>
      <c r="D1111" s="3">
        <v>2.4300000000000002</v>
      </c>
      <c r="E1111" s="2" t="s">
        <v>485</v>
      </c>
      <c r="F1111" s="4">
        <v>42045</v>
      </c>
      <c r="G1111" s="3">
        <v>56.8</v>
      </c>
      <c r="H1111" s="3">
        <v>3.5</v>
      </c>
      <c r="I1111" s="4">
        <v>42073</v>
      </c>
      <c r="J1111" s="3">
        <v>54.8</v>
      </c>
      <c r="K1111" s="3">
        <v>3.5</v>
      </c>
      <c r="L1111" s="3">
        <v>28</v>
      </c>
      <c r="M1111" s="5">
        <v>-2</v>
      </c>
      <c r="N1111" s="5">
        <v>0</v>
      </c>
      <c r="O1111" s="5">
        <v>68.040000000000006</v>
      </c>
      <c r="P1111" s="5">
        <v>-71.428571428571431</v>
      </c>
      <c r="Q1111" s="5">
        <v>7.9137934285714291</v>
      </c>
      <c r="R1111" s="8">
        <f t="shared" si="97"/>
        <v>7</v>
      </c>
      <c r="S1111" s="9">
        <f t="shared" si="98"/>
        <v>-5.7000000000000028</v>
      </c>
      <c r="T1111" s="9">
        <v>1.5</v>
      </c>
      <c r="U1111" s="9">
        <f t="shared" si="99"/>
        <v>17.010000000000002</v>
      </c>
      <c r="V1111" s="9">
        <f t="shared" si="100"/>
        <v>-814.28571428571468</v>
      </c>
      <c r="W1111" s="9">
        <f t="shared" si="101"/>
        <v>-28.709063714285737</v>
      </c>
    </row>
    <row r="1112" spans="1:23">
      <c r="A1112" s="2" t="s">
        <v>335</v>
      </c>
      <c r="B1112" s="2" t="s">
        <v>478</v>
      </c>
      <c r="C1112" s="3">
        <v>186</v>
      </c>
      <c r="D1112" s="3">
        <v>2.4300000000000002</v>
      </c>
      <c r="E1112" s="2" t="s">
        <v>485</v>
      </c>
      <c r="F1112" s="4">
        <v>42045</v>
      </c>
      <c r="G1112" s="3">
        <v>56.8</v>
      </c>
      <c r="H1112" s="3">
        <v>3.5</v>
      </c>
      <c r="I1112" s="4">
        <v>42087</v>
      </c>
      <c r="J1112" s="3">
        <v>56.6</v>
      </c>
      <c r="K1112" s="3">
        <v>3.5</v>
      </c>
      <c r="L1112" s="3">
        <v>42</v>
      </c>
      <c r="M1112" s="5">
        <v>-0.19999999999999574</v>
      </c>
      <c r="N1112" s="5">
        <v>0</v>
      </c>
      <c r="O1112" s="5">
        <v>102.06</v>
      </c>
      <c r="P1112" s="5">
        <v>-4.7619047619046597</v>
      </c>
      <c r="Q1112" s="5">
        <v>11.3526410952381</v>
      </c>
      <c r="R1112" s="8">
        <f t="shared" si="97"/>
        <v>14</v>
      </c>
      <c r="S1112" s="9">
        <f t="shared" si="98"/>
        <v>1.8000000000000043</v>
      </c>
      <c r="T1112" s="9">
        <v>1.5</v>
      </c>
      <c r="U1112" s="9">
        <f t="shared" si="99"/>
        <v>34.020000000000003</v>
      </c>
      <c r="V1112" s="9">
        <f t="shared" si="100"/>
        <v>128.57142857142887</v>
      </c>
      <c r="W1112" s="9">
        <f t="shared" si="101"/>
        <v>17.925974428571443</v>
      </c>
    </row>
    <row r="1113" spans="1:23">
      <c r="A1113" s="2" t="s">
        <v>335</v>
      </c>
      <c r="B1113" s="2" t="s">
        <v>478</v>
      </c>
      <c r="C1113" s="3">
        <v>186</v>
      </c>
      <c r="D1113" s="3">
        <v>2.4300000000000002</v>
      </c>
      <c r="E1113" s="2" t="s">
        <v>486</v>
      </c>
      <c r="F1113" s="4">
        <v>42045</v>
      </c>
      <c r="G1113" s="3">
        <v>57.8</v>
      </c>
      <c r="H1113" s="3">
        <v>3</v>
      </c>
      <c r="I1113" s="4">
        <v>42045</v>
      </c>
      <c r="J1113" s="3">
        <v>57.8</v>
      </c>
      <c r="K1113" s="3">
        <v>3</v>
      </c>
      <c r="L1113" s="3">
        <v>0</v>
      </c>
      <c r="M1113" s="5">
        <v>0</v>
      </c>
      <c r="N1113" s="5">
        <v>0</v>
      </c>
      <c r="O1113" s="5">
        <v>0</v>
      </c>
      <c r="P1113" s="5">
        <v>0</v>
      </c>
      <c r="Q1113" s="5">
        <v>11.773401999999999</v>
      </c>
      <c r="R1113" s="8">
        <f t="shared" si="97"/>
        <v>0</v>
      </c>
      <c r="S1113" s="9">
        <f t="shared" si="98"/>
        <v>0</v>
      </c>
      <c r="T1113" s="9">
        <v>1.5</v>
      </c>
      <c r="U1113" s="9">
        <f t="shared" si="99"/>
        <v>0</v>
      </c>
      <c r="V1113" s="9">
        <f t="shared" si="100"/>
        <v>0</v>
      </c>
      <c r="W1113" s="9">
        <f t="shared" si="101"/>
        <v>11.773401999999999</v>
      </c>
    </row>
    <row r="1114" spans="1:23">
      <c r="A1114" s="2" t="s">
        <v>335</v>
      </c>
      <c r="B1114" s="2" t="s">
        <v>478</v>
      </c>
      <c r="C1114" s="3">
        <v>186</v>
      </c>
      <c r="D1114" s="3">
        <v>2.4300000000000002</v>
      </c>
      <c r="E1114" s="2" t="s">
        <v>486</v>
      </c>
      <c r="F1114" s="4">
        <v>42045</v>
      </c>
      <c r="G1114" s="3">
        <v>57.8</v>
      </c>
      <c r="H1114" s="3">
        <v>3</v>
      </c>
      <c r="I1114" s="4">
        <v>42059</v>
      </c>
      <c r="J1114" s="3">
        <v>60.5</v>
      </c>
      <c r="K1114" s="3">
        <v>4</v>
      </c>
      <c r="L1114" s="3">
        <v>14</v>
      </c>
      <c r="M1114" s="5">
        <v>2.7000000000000028</v>
      </c>
      <c r="N1114" s="5">
        <v>1</v>
      </c>
      <c r="O1114" s="5">
        <v>34.020000000000003</v>
      </c>
      <c r="P1114" s="5">
        <v>192.85714285714306</v>
      </c>
      <c r="Q1114" s="5">
        <v>21.50953064285715</v>
      </c>
      <c r="R1114" s="8">
        <f t="shared" si="97"/>
        <v>14</v>
      </c>
      <c r="S1114" s="9">
        <f t="shared" si="98"/>
        <v>2.7000000000000028</v>
      </c>
      <c r="T1114" s="9">
        <v>1.5</v>
      </c>
      <c r="U1114" s="9">
        <f t="shared" si="99"/>
        <v>34.020000000000003</v>
      </c>
      <c r="V1114" s="9">
        <f t="shared" si="100"/>
        <v>192.85714285714306</v>
      </c>
      <c r="W1114" s="9">
        <f t="shared" si="101"/>
        <v>21.50953064285715</v>
      </c>
    </row>
    <row r="1115" spans="1:23">
      <c r="A1115" s="2" t="s">
        <v>335</v>
      </c>
      <c r="B1115" s="2" t="s">
        <v>478</v>
      </c>
      <c r="C1115" s="3">
        <v>186</v>
      </c>
      <c r="D1115" s="3">
        <v>2.4300000000000002</v>
      </c>
      <c r="E1115" s="2" t="s">
        <v>486</v>
      </c>
      <c r="F1115" s="4">
        <v>42045</v>
      </c>
      <c r="G1115" s="3">
        <v>57.8</v>
      </c>
      <c r="H1115" s="3">
        <v>3</v>
      </c>
      <c r="I1115" s="4">
        <v>42066</v>
      </c>
      <c r="J1115" s="3">
        <v>58.5</v>
      </c>
      <c r="K1115" s="3">
        <v>4.5</v>
      </c>
      <c r="L1115" s="3">
        <v>21</v>
      </c>
      <c r="M1115" s="5">
        <v>0.70000000000000284</v>
      </c>
      <c r="N1115" s="5">
        <v>1.5</v>
      </c>
      <c r="O1115" s="5">
        <v>51.03</v>
      </c>
      <c r="P1115" s="5">
        <v>33.333333333333471</v>
      </c>
      <c r="Q1115" s="5">
        <v>13.475916833333338</v>
      </c>
      <c r="R1115" s="8">
        <f t="shared" si="97"/>
        <v>7</v>
      </c>
      <c r="S1115" s="9">
        <f t="shared" si="98"/>
        <v>-2</v>
      </c>
      <c r="T1115" s="9">
        <v>1.5</v>
      </c>
      <c r="U1115" s="9">
        <f t="shared" si="99"/>
        <v>17.010000000000002</v>
      </c>
      <c r="V1115" s="9">
        <f t="shared" si="100"/>
        <v>-285.71428571428572</v>
      </c>
      <c r="W1115" s="9">
        <f t="shared" si="101"/>
        <v>-2.2531307857142853</v>
      </c>
    </row>
    <row r="1116" spans="1:23">
      <c r="A1116" s="2" t="s">
        <v>335</v>
      </c>
      <c r="B1116" s="2" t="s">
        <v>478</v>
      </c>
      <c r="C1116" s="3">
        <v>186</v>
      </c>
      <c r="D1116" s="3">
        <v>2.4300000000000002</v>
      </c>
      <c r="E1116" s="2" t="s">
        <v>486</v>
      </c>
      <c r="F1116" s="4">
        <v>42045</v>
      </c>
      <c r="G1116" s="3">
        <v>57.8</v>
      </c>
      <c r="H1116" s="3">
        <v>3</v>
      </c>
      <c r="I1116" s="4">
        <v>42073</v>
      </c>
      <c r="J1116" s="3">
        <v>60.6</v>
      </c>
      <c r="K1116" s="3">
        <v>4</v>
      </c>
      <c r="L1116" s="3">
        <v>28</v>
      </c>
      <c r="M1116" s="5">
        <v>2.8000000000000043</v>
      </c>
      <c r="N1116" s="5">
        <v>1</v>
      </c>
      <c r="O1116" s="5">
        <v>68.040000000000006</v>
      </c>
      <c r="P1116" s="5">
        <v>100.00000000000016</v>
      </c>
      <c r="Q1116" s="5">
        <v>16.940128000000009</v>
      </c>
      <c r="R1116" s="8">
        <f t="shared" si="97"/>
        <v>7</v>
      </c>
      <c r="S1116" s="9">
        <f t="shared" si="98"/>
        <v>2.1000000000000014</v>
      </c>
      <c r="T1116" s="9">
        <v>1.5</v>
      </c>
      <c r="U1116" s="9">
        <f t="shared" si="99"/>
        <v>17.010000000000002</v>
      </c>
      <c r="V1116" s="9">
        <f t="shared" si="100"/>
        <v>300.00000000000023</v>
      </c>
      <c r="W1116" s="9">
        <f t="shared" si="101"/>
        <v>26.800128000000008</v>
      </c>
    </row>
    <row r="1117" spans="1:23">
      <c r="A1117" s="2" t="s">
        <v>335</v>
      </c>
      <c r="B1117" s="2" t="s">
        <v>478</v>
      </c>
      <c r="C1117" s="3">
        <v>186</v>
      </c>
      <c r="D1117" s="3">
        <v>2.4300000000000002</v>
      </c>
      <c r="E1117" s="2" t="s">
        <v>486</v>
      </c>
      <c r="F1117" s="4">
        <v>42045</v>
      </c>
      <c r="G1117" s="3">
        <v>57.8</v>
      </c>
      <c r="H1117" s="3">
        <v>3</v>
      </c>
      <c r="I1117" s="4">
        <v>42087</v>
      </c>
      <c r="J1117" s="3">
        <v>57.4</v>
      </c>
      <c r="K1117" s="3">
        <v>4.5</v>
      </c>
      <c r="L1117" s="3">
        <v>42</v>
      </c>
      <c r="M1117" s="5">
        <v>-0.39999999999999858</v>
      </c>
      <c r="N1117" s="5">
        <v>1.5</v>
      </c>
      <c r="O1117" s="5">
        <v>102.06</v>
      </c>
      <c r="P1117" s="5">
        <v>-9.52380952380949</v>
      </c>
      <c r="Q1117" s="5">
        <v>11.27006019047619</v>
      </c>
      <c r="R1117" s="8">
        <f t="shared" si="97"/>
        <v>14</v>
      </c>
      <c r="S1117" s="9">
        <f t="shared" si="98"/>
        <v>-3.2000000000000028</v>
      </c>
      <c r="T1117" s="9">
        <v>1.5</v>
      </c>
      <c r="U1117" s="9">
        <f t="shared" si="99"/>
        <v>34.020000000000003</v>
      </c>
      <c r="V1117" s="9">
        <f t="shared" si="100"/>
        <v>-228.57142857142878</v>
      </c>
      <c r="W1117" s="9">
        <f t="shared" si="101"/>
        <v>0.47101257142855957</v>
      </c>
    </row>
    <row r="1118" spans="1:23">
      <c r="A1118" s="2" t="s">
        <v>335</v>
      </c>
      <c r="B1118" s="2" t="s">
        <v>478</v>
      </c>
      <c r="C1118" s="3">
        <v>186</v>
      </c>
      <c r="D1118" s="3">
        <v>2.4300000000000002</v>
      </c>
      <c r="E1118" s="2" t="s">
        <v>487</v>
      </c>
      <c r="F1118" s="4">
        <v>42045</v>
      </c>
      <c r="G1118" s="3">
        <v>52.4</v>
      </c>
      <c r="H1118" s="3">
        <v>2.5</v>
      </c>
      <c r="I1118" s="4">
        <v>42045</v>
      </c>
      <c r="J1118" s="3">
        <v>52.4</v>
      </c>
      <c r="K1118" s="3">
        <v>2.5</v>
      </c>
      <c r="L1118" s="3">
        <v>0</v>
      </c>
      <c r="M1118" s="5">
        <v>0</v>
      </c>
      <c r="N1118" s="5">
        <v>0</v>
      </c>
      <c r="O1118" s="5">
        <v>0</v>
      </c>
      <c r="P1118" s="5">
        <v>0</v>
      </c>
      <c r="Q1118" s="5">
        <v>10.860315999999999</v>
      </c>
      <c r="R1118" s="8">
        <f t="shared" si="97"/>
        <v>0</v>
      </c>
      <c r="S1118" s="9">
        <f t="shared" si="98"/>
        <v>0</v>
      </c>
      <c r="T1118" s="9">
        <v>1.5</v>
      </c>
      <c r="U1118" s="9">
        <f t="shared" si="99"/>
        <v>0</v>
      </c>
      <c r="V1118" s="9">
        <f t="shared" si="100"/>
        <v>0</v>
      </c>
      <c r="W1118" s="9">
        <f t="shared" si="101"/>
        <v>10.860315999999999</v>
      </c>
    </row>
    <row r="1119" spans="1:23">
      <c r="A1119" s="2" t="s">
        <v>335</v>
      </c>
      <c r="B1119" s="2" t="s">
        <v>478</v>
      </c>
      <c r="C1119" s="3">
        <v>186</v>
      </c>
      <c r="D1119" s="3">
        <v>2.4300000000000002</v>
      </c>
      <c r="E1119" s="2" t="s">
        <v>487</v>
      </c>
      <c r="F1119" s="4">
        <v>42045</v>
      </c>
      <c r="G1119" s="3">
        <v>52.4</v>
      </c>
      <c r="H1119" s="3">
        <v>2.5</v>
      </c>
      <c r="I1119" s="4">
        <v>42059</v>
      </c>
      <c r="J1119" s="3">
        <v>59.5</v>
      </c>
      <c r="K1119" s="3">
        <v>3.5</v>
      </c>
      <c r="L1119" s="3">
        <v>14</v>
      </c>
      <c r="M1119" s="5">
        <v>7.1000000000000014</v>
      </c>
      <c r="N1119" s="5">
        <v>1</v>
      </c>
      <c r="O1119" s="5">
        <v>34.020000000000003</v>
      </c>
      <c r="P1119" s="5">
        <v>507.14285714285722</v>
      </c>
      <c r="Q1119" s="5">
        <v>36.462728357142865</v>
      </c>
      <c r="R1119" s="8">
        <f t="shared" si="97"/>
        <v>14</v>
      </c>
      <c r="S1119" s="9">
        <f t="shared" si="98"/>
        <v>7.1000000000000014</v>
      </c>
      <c r="T1119" s="9">
        <v>1.5</v>
      </c>
      <c r="U1119" s="9">
        <f t="shared" si="99"/>
        <v>34.020000000000003</v>
      </c>
      <c r="V1119" s="9">
        <f t="shared" si="100"/>
        <v>507.14285714285722</v>
      </c>
      <c r="W1119" s="9">
        <f t="shared" si="101"/>
        <v>36.462728357142865</v>
      </c>
    </row>
    <row r="1120" spans="1:23">
      <c r="A1120" s="2" t="s">
        <v>335</v>
      </c>
      <c r="B1120" s="2" t="s">
        <v>478</v>
      </c>
      <c r="C1120" s="3">
        <v>186</v>
      </c>
      <c r="D1120" s="3">
        <v>2.4300000000000002</v>
      </c>
      <c r="E1120" s="2" t="s">
        <v>487</v>
      </c>
      <c r="F1120" s="4">
        <v>42045</v>
      </c>
      <c r="G1120" s="3">
        <v>52.4</v>
      </c>
      <c r="H1120" s="3">
        <v>2.5</v>
      </c>
      <c r="I1120" s="4">
        <v>42066</v>
      </c>
      <c r="J1120" s="3">
        <v>59</v>
      </c>
      <c r="K1120" s="3">
        <v>4.5</v>
      </c>
      <c r="L1120" s="3">
        <v>21</v>
      </c>
      <c r="M1120" s="5">
        <v>6.6000000000000014</v>
      </c>
      <c r="N1120" s="5">
        <v>2</v>
      </c>
      <c r="O1120" s="5">
        <v>51.03</v>
      </c>
      <c r="P1120" s="5">
        <v>314.28571428571433</v>
      </c>
      <c r="Q1120" s="5">
        <v>26.912598714285714</v>
      </c>
      <c r="R1120" s="8">
        <f t="shared" si="97"/>
        <v>7</v>
      </c>
      <c r="S1120" s="9">
        <f t="shared" si="98"/>
        <v>-0.5</v>
      </c>
      <c r="T1120" s="9">
        <v>1.5</v>
      </c>
      <c r="U1120" s="9">
        <f t="shared" si="99"/>
        <v>17.010000000000002</v>
      </c>
      <c r="V1120" s="9">
        <f t="shared" si="100"/>
        <v>-71.428571428571431</v>
      </c>
      <c r="W1120" s="9">
        <f t="shared" si="101"/>
        <v>7.896884428571429</v>
      </c>
    </row>
    <row r="1121" spans="1:23">
      <c r="A1121" s="2" t="s">
        <v>335</v>
      </c>
      <c r="B1121" s="2" t="s">
        <v>478</v>
      </c>
      <c r="C1121" s="3">
        <v>186</v>
      </c>
      <c r="D1121" s="3">
        <v>2.4300000000000002</v>
      </c>
      <c r="E1121" s="2" t="s">
        <v>487</v>
      </c>
      <c r="F1121" s="4">
        <v>42045</v>
      </c>
      <c r="G1121" s="3">
        <v>52.4</v>
      </c>
      <c r="H1121" s="3">
        <v>2.5</v>
      </c>
      <c r="I1121" s="4">
        <v>42073</v>
      </c>
      <c r="J1121" s="3">
        <v>59.4</v>
      </c>
      <c r="K1121" s="3">
        <v>3.5</v>
      </c>
      <c r="L1121" s="3">
        <v>28</v>
      </c>
      <c r="M1121" s="5">
        <v>7</v>
      </c>
      <c r="N1121" s="5">
        <v>1</v>
      </c>
      <c r="O1121" s="5">
        <v>68.040000000000006</v>
      </c>
      <c r="P1121" s="5">
        <v>250</v>
      </c>
      <c r="Q1121" s="5">
        <v>23.777130999999997</v>
      </c>
      <c r="R1121" s="8">
        <f t="shared" si="97"/>
        <v>7</v>
      </c>
      <c r="S1121" s="9">
        <f t="shared" si="98"/>
        <v>0.39999999999999858</v>
      </c>
      <c r="T1121" s="9">
        <v>1.5</v>
      </c>
      <c r="U1121" s="9">
        <f t="shared" si="99"/>
        <v>17.010000000000002</v>
      </c>
      <c r="V1121" s="9">
        <f t="shared" si="100"/>
        <v>57.14285714285694</v>
      </c>
      <c r="W1121" s="9">
        <f t="shared" si="101"/>
        <v>14.269273857142846</v>
      </c>
    </row>
    <row r="1122" spans="1:23">
      <c r="A1122" s="2" t="s">
        <v>335</v>
      </c>
      <c r="B1122" s="2" t="s">
        <v>478</v>
      </c>
      <c r="C1122" s="3">
        <v>186</v>
      </c>
      <c r="D1122" s="3">
        <v>2.4300000000000002</v>
      </c>
      <c r="E1122" s="2" t="s">
        <v>487</v>
      </c>
      <c r="F1122" s="4">
        <v>42045</v>
      </c>
      <c r="G1122" s="3">
        <v>52.4</v>
      </c>
      <c r="H1122" s="3">
        <v>2.5</v>
      </c>
      <c r="I1122" s="4">
        <v>42087</v>
      </c>
      <c r="J1122" s="3">
        <v>56</v>
      </c>
      <c r="K1122" s="3">
        <v>4</v>
      </c>
      <c r="L1122" s="3">
        <v>42</v>
      </c>
      <c r="M1122" s="5">
        <v>3.6000000000000014</v>
      </c>
      <c r="N1122" s="5">
        <v>1.5</v>
      </c>
      <c r="O1122" s="5">
        <v>102.06</v>
      </c>
      <c r="P1122" s="5">
        <v>85.714285714285737</v>
      </c>
      <c r="Q1122" s="5">
        <v>15.390392285714288</v>
      </c>
      <c r="R1122" s="8">
        <f t="shared" si="97"/>
        <v>14</v>
      </c>
      <c r="S1122" s="9">
        <f t="shared" si="98"/>
        <v>-3.3999999999999986</v>
      </c>
      <c r="T1122" s="9">
        <v>1.5</v>
      </c>
      <c r="U1122" s="9">
        <f t="shared" si="99"/>
        <v>34.020000000000003</v>
      </c>
      <c r="V1122" s="9">
        <f t="shared" si="100"/>
        <v>-242.85714285714275</v>
      </c>
      <c r="W1122" s="9">
        <f t="shared" si="101"/>
        <v>-0.80817914285713677</v>
      </c>
    </row>
    <row r="1123" spans="1:23">
      <c r="A1123" s="2" t="s">
        <v>335</v>
      </c>
      <c r="B1123" s="2" t="s">
        <v>478</v>
      </c>
      <c r="C1123" s="3">
        <v>186</v>
      </c>
      <c r="D1123" s="3">
        <v>2.4300000000000002</v>
      </c>
      <c r="E1123" s="2" t="s">
        <v>488</v>
      </c>
      <c r="F1123" s="4">
        <v>42045</v>
      </c>
      <c r="G1123" s="3">
        <v>57.2</v>
      </c>
      <c r="H1123" s="3">
        <v>3</v>
      </c>
      <c r="I1123" s="4">
        <v>42045</v>
      </c>
      <c r="J1123" s="3">
        <v>57.2</v>
      </c>
      <c r="K1123" s="3">
        <v>3</v>
      </c>
      <c r="L1123" s="3">
        <v>0</v>
      </c>
      <c r="M1123" s="5">
        <v>0</v>
      </c>
      <c r="N1123" s="5">
        <v>0</v>
      </c>
      <c r="O1123" s="5">
        <v>0</v>
      </c>
      <c r="P1123" s="5">
        <v>0</v>
      </c>
      <c r="Q1123" s="5">
        <v>11.671948</v>
      </c>
      <c r="R1123" s="8">
        <f t="shared" si="97"/>
        <v>0</v>
      </c>
      <c r="S1123" s="9">
        <f t="shared" si="98"/>
        <v>0</v>
      </c>
      <c r="T1123" s="9">
        <v>1.5</v>
      </c>
      <c r="U1123" s="9">
        <f t="shared" si="99"/>
        <v>0</v>
      </c>
      <c r="V1123" s="9">
        <f t="shared" si="100"/>
        <v>0</v>
      </c>
      <c r="W1123" s="9">
        <f t="shared" si="101"/>
        <v>11.671948</v>
      </c>
    </row>
    <row r="1124" spans="1:23">
      <c r="A1124" s="2" t="s">
        <v>335</v>
      </c>
      <c r="B1124" s="2" t="s">
        <v>478</v>
      </c>
      <c r="C1124" s="3">
        <v>186</v>
      </c>
      <c r="D1124" s="3">
        <v>2.4300000000000002</v>
      </c>
      <c r="E1124" s="2" t="s">
        <v>488</v>
      </c>
      <c r="F1124" s="4">
        <v>42045</v>
      </c>
      <c r="G1124" s="3">
        <v>57.2</v>
      </c>
      <c r="H1124" s="3">
        <v>3</v>
      </c>
      <c r="I1124" s="4">
        <v>42059</v>
      </c>
      <c r="J1124" s="3">
        <v>60.5</v>
      </c>
      <c r="K1124" s="3">
        <v>3.5</v>
      </c>
      <c r="L1124" s="3">
        <v>14</v>
      </c>
      <c r="M1124" s="5">
        <v>3.2999999999999972</v>
      </c>
      <c r="N1124" s="5">
        <v>0.5</v>
      </c>
      <c r="O1124" s="5">
        <v>34.020000000000003</v>
      </c>
      <c r="P1124" s="5">
        <v>235.71428571428552</v>
      </c>
      <c r="Q1124" s="5">
        <v>23.571660785714272</v>
      </c>
      <c r="R1124" s="8">
        <f t="shared" si="97"/>
        <v>14</v>
      </c>
      <c r="S1124" s="9">
        <f t="shared" si="98"/>
        <v>3.2999999999999972</v>
      </c>
      <c r="T1124" s="9">
        <v>1.5</v>
      </c>
      <c r="U1124" s="9">
        <f t="shared" si="99"/>
        <v>34.020000000000003</v>
      </c>
      <c r="V1124" s="9">
        <f t="shared" si="100"/>
        <v>235.71428571428552</v>
      </c>
      <c r="W1124" s="9">
        <f t="shared" si="101"/>
        <v>23.571660785714272</v>
      </c>
    </row>
    <row r="1125" spans="1:23">
      <c r="A1125" s="2" t="s">
        <v>335</v>
      </c>
      <c r="B1125" s="2" t="s">
        <v>478</v>
      </c>
      <c r="C1125" s="3">
        <v>186</v>
      </c>
      <c r="D1125" s="3">
        <v>2.4300000000000002</v>
      </c>
      <c r="E1125" s="2" t="s">
        <v>488</v>
      </c>
      <c r="F1125" s="4">
        <v>42045</v>
      </c>
      <c r="G1125" s="3">
        <v>57.2</v>
      </c>
      <c r="H1125" s="3">
        <v>3</v>
      </c>
      <c r="I1125" s="4">
        <v>42066</v>
      </c>
      <c r="J1125" s="3">
        <v>58</v>
      </c>
      <c r="K1125" s="3">
        <v>3.5</v>
      </c>
      <c r="L1125" s="3">
        <v>21</v>
      </c>
      <c r="M1125" s="5">
        <v>0.79999999999999716</v>
      </c>
      <c r="N1125" s="5">
        <v>0.5</v>
      </c>
      <c r="O1125" s="5">
        <v>51.03</v>
      </c>
      <c r="P1125" s="5">
        <v>38.09523809523796</v>
      </c>
      <c r="Q1125" s="5">
        <v>13.61767923809523</v>
      </c>
      <c r="R1125" s="8">
        <f t="shared" si="97"/>
        <v>7</v>
      </c>
      <c r="S1125" s="9">
        <f t="shared" si="98"/>
        <v>-2.5</v>
      </c>
      <c r="T1125" s="9">
        <v>1.5</v>
      </c>
      <c r="U1125" s="9">
        <f t="shared" si="99"/>
        <v>17.010000000000002</v>
      </c>
      <c r="V1125" s="9">
        <f t="shared" si="100"/>
        <v>-357.14285714285717</v>
      </c>
      <c r="W1125" s="9">
        <f t="shared" si="101"/>
        <v>-5.8675588571428587</v>
      </c>
    </row>
    <row r="1126" spans="1:23">
      <c r="A1126" s="2" t="s">
        <v>335</v>
      </c>
      <c r="B1126" s="2" t="s">
        <v>478</v>
      </c>
      <c r="C1126" s="3">
        <v>186</v>
      </c>
      <c r="D1126" s="3">
        <v>2.4300000000000002</v>
      </c>
      <c r="E1126" s="2" t="s">
        <v>488</v>
      </c>
      <c r="F1126" s="4">
        <v>42045</v>
      </c>
      <c r="G1126" s="3">
        <v>57.2</v>
      </c>
      <c r="H1126" s="3">
        <v>3</v>
      </c>
      <c r="I1126" s="4">
        <v>42073</v>
      </c>
      <c r="J1126" s="3">
        <v>60.2</v>
      </c>
      <c r="K1126" s="3">
        <v>4</v>
      </c>
      <c r="L1126" s="3">
        <v>28</v>
      </c>
      <c r="M1126" s="5">
        <v>3</v>
      </c>
      <c r="N1126" s="5">
        <v>1</v>
      </c>
      <c r="O1126" s="5">
        <v>68.040000000000006</v>
      </c>
      <c r="P1126" s="5">
        <v>107.14285714285714</v>
      </c>
      <c r="Q1126" s="5">
        <v>17.207725857142854</v>
      </c>
      <c r="R1126" s="8">
        <f t="shared" si="97"/>
        <v>7</v>
      </c>
      <c r="S1126" s="9">
        <f t="shared" si="98"/>
        <v>2.2000000000000028</v>
      </c>
      <c r="T1126" s="9">
        <v>1.5</v>
      </c>
      <c r="U1126" s="9">
        <f t="shared" si="99"/>
        <v>17.010000000000002</v>
      </c>
      <c r="V1126" s="9">
        <f t="shared" si="100"/>
        <v>314.28571428571468</v>
      </c>
      <c r="W1126" s="9">
        <f t="shared" si="101"/>
        <v>27.419868714285734</v>
      </c>
    </row>
    <row r="1127" spans="1:23">
      <c r="A1127" s="2" t="s">
        <v>335</v>
      </c>
      <c r="B1127" s="2" t="s">
        <v>478</v>
      </c>
      <c r="C1127" s="3">
        <v>186</v>
      </c>
      <c r="D1127" s="3">
        <v>2.4300000000000002</v>
      </c>
      <c r="E1127" s="2" t="s">
        <v>488</v>
      </c>
      <c r="F1127" s="4">
        <v>42045</v>
      </c>
      <c r="G1127" s="3">
        <v>57.2</v>
      </c>
      <c r="H1127" s="3">
        <v>3</v>
      </c>
      <c r="I1127" s="4">
        <v>42087</v>
      </c>
      <c r="J1127" s="3">
        <v>56.4</v>
      </c>
      <c r="K1127" s="3">
        <v>3.5</v>
      </c>
      <c r="L1127" s="3">
        <v>42</v>
      </c>
      <c r="M1127" s="5">
        <v>-0.80000000000000426</v>
      </c>
      <c r="N1127" s="5">
        <v>0.5</v>
      </c>
      <c r="O1127" s="5">
        <v>102.06</v>
      </c>
      <c r="P1127" s="5">
        <v>-19.04761904761915</v>
      </c>
      <c r="Q1127" s="5">
        <v>10.665264380952374</v>
      </c>
      <c r="R1127" s="8">
        <f t="shared" si="97"/>
        <v>14</v>
      </c>
      <c r="S1127" s="9">
        <f t="shared" si="98"/>
        <v>-3.8000000000000043</v>
      </c>
      <c r="T1127" s="9">
        <v>1.5</v>
      </c>
      <c r="U1127" s="9">
        <f t="shared" si="99"/>
        <v>34.020000000000003</v>
      </c>
      <c r="V1127" s="9">
        <f t="shared" si="100"/>
        <v>-271.42857142857173</v>
      </c>
      <c r="W1127" s="9">
        <f t="shared" si="101"/>
        <v>-1.7771165714285875</v>
      </c>
    </row>
    <row r="1128" spans="1:23">
      <c r="A1128" s="2" t="s">
        <v>335</v>
      </c>
      <c r="B1128" s="2" t="s">
        <v>478</v>
      </c>
      <c r="C1128" s="3">
        <v>186</v>
      </c>
      <c r="D1128" s="3">
        <v>2.4300000000000002</v>
      </c>
      <c r="E1128" s="2" t="s">
        <v>489</v>
      </c>
      <c r="F1128" s="4">
        <v>42045</v>
      </c>
      <c r="G1128" s="3">
        <v>53.6</v>
      </c>
      <c r="H1128" s="3">
        <v>2.5</v>
      </c>
      <c r="I1128" s="4">
        <v>42045</v>
      </c>
      <c r="J1128" s="3">
        <v>53.6</v>
      </c>
      <c r="K1128" s="3">
        <v>2.5</v>
      </c>
      <c r="L1128" s="3">
        <v>0</v>
      </c>
      <c r="M1128" s="5">
        <v>0</v>
      </c>
      <c r="N1128" s="5">
        <v>0</v>
      </c>
      <c r="O1128" s="5">
        <v>0</v>
      </c>
      <c r="P1128" s="5">
        <v>0</v>
      </c>
      <c r="Q1128" s="5">
        <v>11.063224</v>
      </c>
      <c r="R1128" s="8">
        <f t="shared" si="97"/>
        <v>0</v>
      </c>
      <c r="S1128" s="9">
        <f t="shared" si="98"/>
        <v>0</v>
      </c>
      <c r="T1128" s="9">
        <v>1.5</v>
      </c>
      <c r="U1128" s="9">
        <f t="shared" si="99"/>
        <v>0</v>
      </c>
      <c r="V1128" s="9">
        <f t="shared" si="100"/>
        <v>0</v>
      </c>
      <c r="W1128" s="9">
        <f t="shared" si="101"/>
        <v>11.063224</v>
      </c>
    </row>
    <row r="1129" spans="1:23">
      <c r="A1129" s="2" t="s">
        <v>335</v>
      </c>
      <c r="B1129" s="2" t="s">
        <v>478</v>
      </c>
      <c r="C1129" s="3">
        <v>186</v>
      </c>
      <c r="D1129" s="3">
        <v>2.4300000000000002</v>
      </c>
      <c r="E1129" s="2" t="s">
        <v>489</v>
      </c>
      <c r="F1129" s="4">
        <v>42045</v>
      </c>
      <c r="G1129" s="3">
        <v>53.6</v>
      </c>
      <c r="H1129" s="3">
        <v>2.5</v>
      </c>
      <c r="I1129" s="4">
        <v>42059</v>
      </c>
      <c r="J1129" s="3">
        <v>55</v>
      </c>
      <c r="K1129" s="3">
        <v>3.5</v>
      </c>
      <c r="L1129" s="3">
        <v>14</v>
      </c>
      <c r="M1129" s="5">
        <v>1.3999999999999986</v>
      </c>
      <c r="N1129" s="5">
        <v>1</v>
      </c>
      <c r="O1129" s="5">
        <v>34.020000000000003</v>
      </c>
      <c r="P1129" s="5">
        <v>99.999999999999901</v>
      </c>
      <c r="Q1129" s="5">
        <v>16.111586999999993</v>
      </c>
      <c r="R1129" s="8">
        <f t="shared" si="97"/>
        <v>14</v>
      </c>
      <c r="S1129" s="9">
        <f t="shared" si="98"/>
        <v>1.3999999999999986</v>
      </c>
      <c r="T1129" s="9">
        <v>1.5</v>
      </c>
      <c r="U1129" s="9">
        <f t="shared" si="99"/>
        <v>34.020000000000003</v>
      </c>
      <c r="V1129" s="9">
        <f t="shared" si="100"/>
        <v>99.999999999999901</v>
      </c>
      <c r="W1129" s="9">
        <f t="shared" si="101"/>
        <v>16.111586999999993</v>
      </c>
    </row>
    <row r="1130" spans="1:23">
      <c r="A1130" s="2" t="s">
        <v>335</v>
      </c>
      <c r="B1130" s="2" t="s">
        <v>478</v>
      </c>
      <c r="C1130" s="3">
        <v>186</v>
      </c>
      <c r="D1130" s="3">
        <v>2.4300000000000002</v>
      </c>
      <c r="E1130" s="2" t="s">
        <v>489</v>
      </c>
      <c r="F1130" s="4">
        <v>42045</v>
      </c>
      <c r="G1130" s="3">
        <v>53.6</v>
      </c>
      <c r="H1130" s="3">
        <v>2.5</v>
      </c>
      <c r="I1130" s="4">
        <v>42066</v>
      </c>
      <c r="J1130" s="3">
        <v>54.5</v>
      </c>
      <c r="K1130" s="3">
        <v>3.5</v>
      </c>
      <c r="L1130" s="3">
        <v>21</v>
      </c>
      <c r="M1130" s="5">
        <v>0.89999999999999858</v>
      </c>
      <c r="N1130" s="5">
        <v>1</v>
      </c>
      <c r="O1130" s="5">
        <v>51.03</v>
      </c>
      <c r="P1130" s="5">
        <v>42.85714285714279</v>
      </c>
      <c r="Q1130" s="5">
        <v>13.252171642857139</v>
      </c>
      <c r="R1130" s="8">
        <f t="shared" si="97"/>
        <v>7</v>
      </c>
      <c r="S1130" s="9">
        <f t="shared" si="98"/>
        <v>-0.5</v>
      </c>
      <c r="T1130" s="9">
        <v>1.5</v>
      </c>
      <c r="U1130" s="9">
        <f t="shared" si="99"/>
        <v>17.010000000000002</v>
      </c>
      <c r="V1130" s="9">
        <f t="shared" si="100"/>
        <v>-71.428571428571431</v>
      </c>
      <c r="W1130" s="9">
        <f t="shared" si="101"/>
        <v>7.6178859285714289</v>
      </c>
    </row>
    <row r="1131" spans="1:23">
      <c r="A1131" s="2" t="s">
        <v>335</v>
      </c>
      <c r="B1131" s="2" t="s">
        <v>478</v>
      </c>
      <c r="C1131" s="3">
        <v>186</v>
      </c>
      <c r="D1131" s="3">
        <v>2.4300000000000002</v>
      </c>
      <c r="E1131" s="2" t="s">
        <v>489</v>
      </c>
      <c r="F1131" s="4">
        <v>42045</v>
      </c>
      <c r="G1131" s="3">
        <v>53.6</v>
      </c>
      <c r="H1131" s="3">
        <v>2.5</v>
      </c>
      <c r="I1131" s="4">
        <v>42073</v>
      </c>
      <c r="J1131" s="3">
        <v>55.6</v>
      </c>
      <c r="K1131" s="3">
        <v>3.5</v>
      </c>
      <c r="L1131" s="3">
        <v>28</v>
      </c>
      <c r="M1131" s="5">
        <v>2</v>
      </c>
      <c r="N1131" s="5">
        <v>1</v>
      </c>
      <c r="O1131" s="5">
        <v>68.040000000000006</v>
      </c>
      <c r="P1131" s="5">
        <v>71.428571428571431</v>
      </c>
      <c r="Q1131" s="5">
        <v>14.753742571428571</v>
      </c>
      <c r="R1131" s="8">
        <f t="shared" si="97"/>
        <v>7</v>
      </c>
      <c r="S1131" s="9">
        <f t="shared" si="98"/>
        <v>1.1000000000000014</v>
      </c>
      <c r="T1131" s="9">
        <v>1.5</v>
      </c>
      <c r="U1131" s="9">
        <f t="shared" si="99"/>
        <v>17.010000000000002</v>
      </c>
      <c r="V1131" s="9">
        <f t="shared" si="100"/>
        <v>157.14285714285734</v>
      </c>
      <c r="W1131" s="9">
        <f t="shared" si="101"/>
        <v>18.979456857142868</v>
      </c>
    </row>
    <row r="1132" spans="1:23">
      <c r="A1132" s="2" t="s">
        <v>335</v>
      </c>
      <c r="B1132" s="2" t="s">
        <v>478</v>
      </c>
      <c r="C1132" s="3">
        <v>186</v>
      </c>
      <c r="D1132" s="3">
        <v>2.4300000000000002</v>
      </c>
      <c r="E1132" s="2" t="s">
        <v>489</v>
      </c>
      <c r="F1132" s="4">
        <v>42045</v>
      </c>
      <c r="G1132" s="3">
        <v>53.6</v>
      </c>
      <c r="H1132" s="3">
        <v>2.5</v>
      </c>
      <c r="I1132" s="4">
        <v>42087</v>
      </c>
      <c r="J1132" s="3">
        <v>52.8</v>
      </c>
      <c r="K1132" s="3">
        <v>4</v>
      </c>
      <c r="L1132" s="3">
        <v>42</v>
      </c>
      <c r="M1132" s="5">
        <v>-0.80000000000000426</v>
      </c>
      <c r="N1132" s="5">
        <v>1.5</v>
      </c>
      <c r="O1132" s="5">
        <v>102.06</v>
      </c>
      <c r="P1132" s="5">
        <v>-19.04761904761915</v>
      </c>
      <c r="Q1132" s="5">
        <v>10.056540380952375</v>
      </c>
      <c r="R1132" s="8">
        <f t="shared" si="97"/>
        <v>14</v>
      </c>
      <c r="S1132" s="9">
        <f t="shared" si="98"/>
        <v>-2.8000000000000043</v>
      </c>
      <c r="T1132" s="9">
        <v>1.5</v>
      </c>
      <c r="U1132" s="9">
        <f t="shared" si="99"/>
        <v>34.020000000000003</v>
      </c>
      <c r="V1132" s="9">
        <f t="shared" si="100"/>
        <v>-200.00000000000031</v>
      </c>
      <c r="W1132" s="9">
        <f t="shared" si="101"/>
        <v>1.1355879999999843</v>
      </c>
    </row>
    <row r="1133" spans="1:23">
      <c r="A1133" s="2" t="s">
        <v>335</v>
      </c>
      <c r="B1133" s="2" t="s">
        <v>478</v>
      </c>
      <c r="C1133" s="3">
        <v>186</v>
      </c>
      <c r="D1133" s="3">
        <v>2.4300000000000002</v>
      </c>
      <c r="E1133" s="2" t="s">
        <v>490</v>
      </c>
      <c r="F1133" s="4">
        <v>42045</v>
      </c>
      <c r="G1133" s="3">
        <v>56</v>
      </c>
      <c r="H1133" s="3">
        <v>3</v>
      </c>
      <c r="I1133" s="4">
        <v>42045</v>
      </c>
      <c r="J1133" s="3">
        <v>56</v>
      </c>
      <c r="K1133" s="3">
        <v>3</v>
      </c>
      <c r="L1133" s="3">
        <v>0</v>
      </c>
      <c r="M1133" s="5">
        <v>0</v>
      </c>
      <c r="N1133" s="5">
        <v>0</v>
      </c>
      <c r="O1133" s="5">
        <v>0</v>
      </c>
      <c r="P1133" s="5">
        <v>0</v>
      </c>
      <c r="Q1133" s="5">
        <v>11.46904</v>
      </c>
      <c r="R1133" s="8">
        <f t="shared" si="97"/>
        <v>0</v>
      </c>
      <c r="S1133" s="9">
        <f t="shared" si="98"/>
        <v>0</v>
      </c>
      <c r="T1133" s="9">
        <v>1.5</v>
      </c>
      <c r="U1133" s="9">
        <f t="shared" si="99"/>
        <v>0</v>
      </c>
      <c r="V1133" s="9">
        <f t="shared" si="100"/>
        <v>0</v>
      </c>
      <c r="W1133" s="9">
        <f t="shared" si="101"/>
        <v>11.46904</v>
      </c>
    </row>
    <row r="1134" spans="1:23">
      <c r="A1134" s="2" t="s">
        <v>335</v>
      </c>
      <c r="B1134" s="2" t="s">
        <v>478</v>
      </c>
      <c r="C1134" s="3">
        <v>186</v>
      </c>
      <c r="D1134" s="3">
        <v>2.4300000000000002</v>
      </c>
      <c r="E1134" s="2" t="s">
        <v>490</v>
      </c>
      <c r="F1134" s="4">
        <v>42045</v>
      </c>
      <c r="G1134" s="3">
        <v>56</v>
      </c>
      <c r="H1134" s="3">
        <v>3</v>
      </c>
      <c r="I1134" s="4">
        <v>42059</v>
      </c>
      <c r="J1134" s="3">
        <v>56.5</v>
      </c>
      <c r="K1134" s="3">
        <v>4</v>
      </c>
      <c r="L1134" s="3">
        <v>14</v>
      </c>
      <c r="M1134" s="5">
        <v>0.5</v>
      </c>
      <c r="N1134" s="5">
        <v>1</v>
      </c>
      <c r="O1134" s="5">
        <v>34.020000000000003</v>
      </c>
      <c r="P1134" s="5">
        <v>35.714285714285715</v>
      </c>
      <c r="Q1134" s="5">
        <v>13.272026785714285</v>
      </c>
      <c r="R1134" s="8">
        <f t="shared" si="97"/>
        <v>14</v>
      </c>
      <c r="S1134" s="9">
        <f t="shared" si="98"/>
        <v>0.5</v>
      </c>
      <c r="T1134" s="9">
        <v>1.5</v>
      </c>
      <c r="U1134" s="9">
        <f t="shared" si="99"/>
        <v>34.020000000000003</v>
      </c>
      <c r="V1134" s="9">
        <f t="shared" si="100"/>
        <v>35.714285714285715</v>
      </c>
      <c r="W1134" s="9">
        <f t="shared" si="101"/>
        <v>13.272026785714285</v>
      </c>
    </row>
    <row r="1135" spans="1:23">
      <c r="A1135" s="2" t="s">
        <v>335</v>
      </c>
      <c r="B1135" s="2" t="s">
        <v>478</v>
      </c>
      <c r="C1135" s="3">
        <v>186</v>
      </c>
      <c r="D1135" s="3">
        <v>2.4300000000000002</v>
      </c>
      <c r="E1135" s="2" t="s">
        <v>490</v>
      </c>
      <c r="F1135" s="4">
        <v>42045</v>
      </c>
      <c r="G1135" s="3">
        <v>56</v>
      </c>
      <c r="H1135" s="3">
        <v>3</v>
      </c>
      <c r="I1135" s="4">
        <v>42066</v>
      </c>
      <c r="J1135" s="3">
        <v>55.5</v>
      </c>
      <c r="K1135" s="3">
        <v>3.5</v>
      </c>
      <c r="L1135" s="3">
        <v>21</v>
      </c>
      <c r="M1135" s="5">
        <v>-0.5</v>
      </c>
      <c r="N1135" s="5">
        <v>0.5</v>
      </c>
      <c r="O1135" s="5">
        <v>51.03</v>
      </c>
      <c r="P1135" s="5">
        <v>-23.809523809523807</v>
      </c>
      <c r="Q1135" s="5">
        <v>10.252957976190475</v>
      </c>
      <c r="R1135" s="8">
        <f t="shared" si="97"/>
        <v>7</v>
      </c>
      <c r="S1135" s="9">
        <f t="shared" si="98"/>
        <v>-1</v>
      </c>
      <c r="T1135" s="9">
        <v>1.5</v>
      </c>
      <c r="U1135" s="9">
        <f t="shared" si="99"/>
        <v>17.010000000000002</v>
      </c>
      <c r="V1135" s="9">
        <f t="shared" si="100"/>
        <v>-142.85714285714286</v>
      </c>
      <c r="W1135" s="9">
        <f t="shared" si="101"/>
        <v>4.3839103571428568</v>
      </c>
    </row>
    <row r="1136" spans="1:23">
      <c r="A1136" s="2" t="s">
        <v>335</v>
      </c>
      <c r="B1136" s="2" t="s">
        <v>478</v>
      </c>
      <c r="C1136" s="3">
        <v>186</v>
      </c>
      <c r="D1136" s="3">
        <v>2.4300000000000002</v>
      </c>
      <c r="E1136" s="2" t="s">
        <v>490</v>
      </c>
      <c r="F1136" s="4">
        <v>42045</v>
      </c>
      <c r="G1136" s="3">
        <v>56</v>
      </c>
      <c r="H1136" s="3">
        <v>3</v>
      </c>
      <c r="I1136" s="4">
        <v>42073</v>
      </c>
      <c r="J1136" s="3">
        <v>56.8</v>
      </c>
      <c r="K1136" s="3">
        <v>3</v>
      </c>
      <c r="L1136" s="3">
        <v>28</v>
      </c>
      <c r="M1136" s="5">
        <v>0.79999999999999716</v>
      </c>
      <c r="N1136" s="5">
        <v>0</v>
      </c>
      <c r="O1136" s="5">
        <v>68.040000000000006</v>
      </c>
      <c r="P1136" s="5">
        <v>28.57142857142847</v>
      </c>
      <c r="Q1136" s="5">
        <v>12.945247428571424</v>
      </c>
      <c r="R1136" s="8">
        <f t="shared" si="97"/>
        <v>7</v>
      </c>
      <c r="S1136" s="9">
        <f t="shared" si="98"/>
        <v>1.2999999999999972</v>
      </c>
      <c r="T1136" s="9">
        <v>1.5</v>
      </c>
      <c r="U1136" s="9">
        <f t="shared" si="99"/>
        <v>17.010000000000002</v>
      </c>
      <c r="V1136" s="9">
        <f t="shared" si="100"/>
        <v>185.7142857142853</v>
      </c>
      <c r="W1136" s="9">
        <f t="shared" si="101"/>
        <v>20.692390285714264</v>
      </c>
    </row>
    <row r="1137" spans="1:23">
      <c r="A1137" s="2" t="s">
        <v>335</v>
      </c>
      <c r="B1137" s="2" t="s">
        <v>478</v>
      </c>
      <c r="C1137" s="3">
        <v>186</v>
      </c>
      <c r="D1137" s="3">
        <v>2.4300000000000002</v>
      </c>
      <c r="E1137" s="2" t="s">
        <v>490</v>
      </c>
      <c r="F1137" s="4">
        <v>42045</v>
      </c>
      <c r="G1137" s="3">
        <v>56</v>
      </c>
      <c r="H1137" s="3">
        <v>3</v>
      </c>
      <c r="I1137" s="4">
        <v>42087</v>
      </c>
      <c r="J1137" s="3">
        <v>54.8</v>
      </c>
      <c r="K1137" s="3">
        <v>3.5</v>
      </c>
      <c r="L1137" s="3">
        <v>42</v>
      </c>
      <c r="M1137" s="5">
        <v>-1.2000000000000028</v>
      </c>
      <c r="N1137" s="5">
        <v>0.5</v>
      </c>
      <c r="O1137" s="5">
        <v>102.06</v>
      </c>
      <c r="P1137" s="5">
        <v>-28.57142857142864</v>
      </c>
      <c r="Q1137" s="5">
        <v>9.9590145714285683</v>
      </c>
      <c r="R1137" s="8">
        <f t="shared" si="97"/>
        <v>14</v>
      </c>
      <c r="S1137" s="9">
        <f t="shared" si="98"/>
        <v>-2</v>
      </c>
      <c r="T1137" s="9">
        <v>1.5</v>
      </c>
      <c r="U1137" s="9">
        <f t="shared" si="99"/>
        <v>34.020000000000003</v>
      </c>
      <c r="V1137" s="9">
        <f t="shared" si="100"/>
        <v>-142.85714285714286</v>
      </c>
      <c r="W1137" s="9">
        <f t="shared" si="101"/>
        <v>4.3247288571428575</v>
      </c>
    </row>
    <row r="1138" spans="1:23">
      <c r="A1138" s="2" t="s">
        <v>335</v>
      </c>
      <c r="B1138" s="2" t="s">
        <v>478</v>
      </c>
      <c r="C1138" s="3">
        <v>186</v>
      </c>
      <c r="D1138" s="3">
        <v>2.4300000000000002</v>
      </c>
      <c r="E1138" s="2" t="s">
        <v>491</v>
      </c>
      <c r="F1138" s="4">
        <v>42045</v>
      </c>
      <c r="G1138" s="3">
        <v>53.8</v>
      </c>
      <c r="H1138" s="3">
        <v>3.5</v>
      </c>
      <c r="I1138" s="4">
        <v>42045</v>
      </c>
      <c r="J1138" s="3">
        <v>53.8</v>
      </c>
      <c r="K1138" s="3">
        <v>3.5</v>
      </c>
      <c r="L1138" s="3">
        <v>0</v>
      </c>
      <c r="M1138" s="5">
        <v>0</v>
      </c>
      <c r="N1138" s="5">
        <v>0</v>
      </c>
      <c r="O1138" s="5">
        <v>0</v>
      </c>
      <c r="P1138" s="5">
        <v>0</v>
      </c>
      <c r="Q1138" s="5">
        <v>11.097041999999998</v>
      </c>
      <c r="R1138" s="8">
        <f t="shared" si="97"/>
        <v>0</v>
      </c>
      <c r="S1138" s="9">
        <f t="shared" si="98"/>
        <v>0</v>
      </c>
      <c r="T1138" s="9">
        <v>1.5</v>
      </c>
      <c r="U1138" s="9">
        <f t="shared" si="99"/>
        <v>0</v>
      </c>
      <c r="V1138" s="9">
        <f t="shared" si="100"/>
        <v>0</v>
      </c>
      <c r="W1138" s="9">
        <f t="shared" si="101"/>
        <v>11.097041999999998</v>
      </c>
    </row>
    <row r="1139" spans="1:23">
      <c r="A1139" s="2" t="s">
        <v>335</v>
      </c>
      <c r="B1139" s="2" t="s">
        <v>478</v>
      </c>
      <c r="C1139" s="3">
        <v>186</v>
      </c>
      <c r="D1139" s="3">
        <v>2.4300000000000002</v>
      </c>
      <c r="E1139" s="2" t="s">
        <v>491</v>
      </c>
      <c r="F1139" s="4">
        <v>42045</v>
      </c>
      <c r="G1139" s="3">
        <v>53.8</v>
      </c>
      <c r="H1139" s="3">
        <v>3.5</v>
      </c>
      <c r="I1139" s="4">
        <v>42059</v>
      </c>
      <c r="J1139" s="3">
        <v>58.5</v>
      </c>
      <c r="K1139" s="3">
        <v>3.5</v>
      </c>
      <c r="L1139" s="3">
        <v>14</v>
      </c>
      <c r="M1139" s="5">
        <v>4.7000000000000028</v>
      </c>
      <c r="N1139" s="5">
        <v>0</v>
      </c>
      <c r="O1139" s="5">
        <v>34.020000000000003</v>
      </c>
      <c r="P1139" s="5">
        <v>335.71428571428589</v>
      </c>
      <c r="Q1139" s="5">
        <v>28.045117785714297</v>
      </c>
      <c r="R1139" s="8">
        <f t="shared" si="97"/>
        <v>14</v>
      </c>
      <c r="S1139" s="9">
        <f t="shared" si="98"/>
        <v>4.7000000000000028</v>
      </c>
      <c r="T1139" s="9">
        <v>1.5</v>
      </c>
      <c r="U1139" s="9">
        <f t="shared" si="99"/>
        <v>34.020000000000003</v>
      </c>
      <c r="V1139" s="9">
        <f t="shared" si="100"/>
        <v>335.71428571428589</v>
      </c>
      <c r="W1139" s="9">
        <f t="shared" si="101"/>
        <v>28.045117785714297</v>
      </c>
    </row>
    <row r="1140" spans="1:23">
      <c r="A1140" s="2" t="s">
        <v>335</v>
      </c>
      <c r="B1140" s="2" t="s">
        <v>478</v>
      </c>
      <c r="C1140" s="3">
        <v>186</v>
      </c>
      <c r="D1140" s="3">
        <v>2.4300000000000002</v>
      </c>
      <c r="E1140" s="2" t="s">
        <v>491</v>
      </c>
      <c r="F1140" s="4">
        <v>42045</v>
      </c>
      <c r="G1140" s="3">
        <v>53.8</v>
      </c>
      <c r="H1140" s="3">
        <v>3.5</v>
      </c>
      <c r="I1140" s="4">
        <v>42066</v>
      </c>
      <c r="J1140" s="3">
        <v>57.5</v>
      </c>
      <c r="K1140" s="3">
        <v>4.5</v>
      </c>
      <c r="L1140" s="3">
        <v>21</v>
      </c>
      <c r="M1140" s="5">
        <v>3.7000000000000028</v>
      </c>
      <c r="N1140" s="5">
        <v>1</v>
      </c>
      <c r="O1140" s="5">
        <v>51.03</v>
      </c>
      <c r="P1140" s="5">
        <v>176.19047619047632</v>
      </c>
      <c r="Q1140" s="5">
        <v>20.096048976190481</v>
      </c>
      <c r="R1140" s="8">
        <f t="shared" si="97"/>
        <v>7</v>
      </c>
      <c r="S1140" s="9">
        <f t="shared" si="98"/>
        <v>-1</v>
      </c>
      <c r="T1140" s="9">
        <v>1.5</v>
      </c>
      <c r="U1140" s="9">
        <f t="shared" si="99"/>
        <v>17.010000000000002</v>
      </c>
      <c r="V1140" s="9">
        <f t="shared" si="100"/>
        <v>-142.85714285714286</v>
      </c>
      <c r="W1140" s="9">
        <f t="shared" si="101"/>
        <v>4.3670013571428568</v>
      </c>
    </row>
    <row r="1141" spans="1:23">
      <c r="A1141" s="2" t="s">
        <v>335</v>
      </c>
      <c r="B1141" s="2" t="s">
        <v>478</v>
      </c>
      <c r="C1141" s="3">
        <v>186</v>
      </c>
      <c r="D1141" s="3">
        <v>2.4300000000000002</v>
      </c>
      <c r="E1141" s="2" t="s">
        <v>491</v>
      </c>
      <c r="F1141" s="4">
        <v>42045</v>
      </c>
      <c r="G1141" s="3">
        <v>53.8</v>
      </c>
      <c r="H1141" s="3">
        <v>3.5</v>
      </c>
      <c r="I1141" s="4">
        <v>42073</v>
      </c>
      <c r="J1141" s="3">
        <v>55</v>
      </c>
      <c r="K1141" s="3">
        <v>4</v>
      </c>
      <c r="L1141" s="3">
        <v>28</v>
      </c>
      <c r="M1141" s="5">
        <v>1.2000000000000028</v>
      </c>
      <c r="N1141" s="5">
        <v>0.5</v>
      </c>
      <c r="O1141" s="5">
        <v>68.040000000000006</v>
      </c>
      <c r="P1141" s="5">
        <v>42.857142857142961</v>
      </c>
      <c r="Q1141" s="5">
        <v>13.311353142857147</v>
      </c>
      <c r="R1141" s="8">
        <f t="shared" si="97"/>
        <v>7</v>
      </c>
      <c r="S1141" s="9">
        <f t="shared" si="98"/>
        <v>-2.5</v>
      </c>
      <c r="T1141" s="9">
        <v>1.5</v>
      </c>
      <c r="U1141" s="9">
        <f t="shared" si="99"/>
        <v>17.010000000000002</v>
      </c>
      <c r="V1141" s="9">
        <f t="shared" si="100"/>
        <v>-357.14285714285717</v>
      </c>
      <c r="W1141" s="9">
        <f t="shared" si="101"/>
        <v>-6.408646857142859</v>
      </c>
    </row>
    <row r="1142" spans="1:23">
      <c r="A1142" s="2" t="s">
        <v>335</v>
      </c>
      <c r="B1142" s="2" t="s">
        <v>478</v>
      </c>
      <c r="C1142" s="3">
        <v>186</v>
      </c>
      <c r="D1142" s="3">
        <v>2.4300000000000002</v>
      </c>
      <c r="E1142" s="2" t="s">
        <v>491</v>
      </c>
      <c r="F1142" s="4">
        <v>42045</v>
      </c>
      <c r="G1142" s="3">
        <v>53.8</v>
      </c>
      <c r="H1142" s="3">
        <v>3.5</v>
      </c>
      <c r="I1142" s="4">
        <v>42087</v>
      </c>
      <c r="J1142" s="3">
        <v>53</v>
      </c>
      <c r="K1142" s="3">
        <v>4</v>
      </c>
      <c r="L1142" s="3">
        <v>42</v>
      </c>
      <c r="M1142" s="5">
        <v>-0.79999999999999716</v>
      </c>
      <c r="N1142" s="5">
        <v>0.5</v>
      </c>
      <c r="O1142" s="5">
        <v>102.06</v>
      </c>
      <c r="P1142" s="5">
        <v>-19.04761904761898</v>
      </c>
      <c r="Q1142" s="5">
        <v>10.090358380952384</v>
      </c>
      <c r="R1142" s="8">
        <f t="shared" si="97"/>
        <v>14</v>
      </c>
      <c r="S1142" s="9">
        <f t="shared" si="98"/>
        <v>-2</v>
      </c>
      <c r="T1142" s="9">
        <v>1.5</v>
      </c>
      <c r="U1142" s="9">
        <f t="shared" si="99"/>
        <v>34.020000000000003</v>
      </c>
      <c r="V1142" s="9">
        <f t="shared" si="100"/>
        <v>-142.85714285714286</v>
      </c>
      <c r="W1142" s="9">
        <f t="shared" si="101"/>
        <v>3.986548857142858</v>
      </c>
    </row>
    <row r="1143" spans="1:23">
      <c r="A1143" s="2" t="s">
        <v>335</v>
      </c>
      <c r="B1143" s="2" t="s">
        <v>478</v>
      </c>
      <c r="C1143" s="3">
        <v>186</v>
      </c>
      <c r="D1143" s="3">
        <v>2.4300000000000002</v>
      </c>
      <c r="E1143" s="2" t="s">
        <v>492</v>
      </c>
      <c r="F1143" s="4">
        <v>42045</v>
      </c>
      <c r="G1143" s="3">
        <v>52.2</v>
      </c>
      <c r="H1143" s="3">
        <v>3.5</v>
      </c>
      <c r="I1143" s="4">
        <v>42045</v>
      </c>
      <c r="J1143" s="3">
        <v>52.2</v>
      </c>
      <c r="K1143" s="3">
        <v>3.5</v>
      </c>
      <c r="L1143" s="3">
        <v>0</v>
      </c>
      <c r="M1143" s="5">
        <v>0</v>
      </c>
      <c r="N1143" s="5">
        <v>0</v>
      </c>
      <c r="O1143" s="5">
        <v>0</v>
      </c>
      <c r="P1143" s="5">
        <v>0</v>
      </c>
      <c r="Q1143" s="5">
        <v>10.826498000000001</v>
      </c>
      <c r="R1143" s="8">
        <f t="shared" si="97"/>
        <v>0</v>
      </c>
      <c r="S1143" s="9">
        <f t="shared" si="98"/>
        <v>0</v>
      </c>
      <c r="T1143" s="9">
        <v>1.5</v>
      </c>
      <c r="U1143" s="9">
        <f t="shared" si="99"/>
        <v>0</v>
      </c>
      <c r="V1143" s="9">
        <f t="shared" si="100"/>
        <v>0</v>
      </c>
      <c r="W1143" s="9">
        <f t="shared" si="101"/>
        <v>10.826498000000001</v>
      </c>
    </row>
    <row r="1144" spans="1:23">
      <c r="A1144" s="2" t="s">
        <v>335</v>
      </c>
      <c r="B1144" s="2" t="s">
        <v>478</v>
      </c>
      <c r="C1144" s="3">
        <v>186</v>
      </c>
      <c r="D1144" s="3">
        <v>2.4300000000000002</v>
      </c>
      <c r="E1144" s="2" t="s">
        <v>492</v>
      </c>
      <c r="F1144" s="4">
        <v>42045</v>
      </c>
      <c r="G1144" s="3">
        <v>52.2</v>
      </c>
      <c r="H1144" s="3">
        <v>3.5</v>
      </c>
      <c r="I1144" s="4">
        <v>42059</v>
      </c>
      <c r="J1144" s="3">
        <v>57</v>
      </c>
      <c r="K1144" s="3">
        <v>4</v>
      </c>
      <c r="L1144" s="3">
        <v>14</v>
      </c>
      <c r="M1144" s="5">
        <v>4.7999999999999972</v>
      </c>
      <c r="N1144" s="5">
        <v>0.5</v>
      </c>
      <c r="O1144" s="5">
        <v>34.020000000000003</v>
      </c>
      <c r="P1144" s="5">
        <v>342.85714285714266</v>
      </c>
      <c r="Q1144" s="5">
        <v>28.135171142857132</v>
      </c>
      <c r="R1144" s="8">
        <f t="shared" ref="R1144:R1207" si="102">IF(I1144-F1144=0,0,I1144-I1143)</f>
        <v>14</v>
      </c>
      <c r="S1144" s="9">
        <f t="shared" ref="S1144:S1207" si="103">IF(R1144=0,J1144-G1144,J1144-J1143)</f>
        <v>4.7999999999999972</v>
      </c>
      <c r="T1144" s="9">
        <v>1.5</v>
      </c>
      <c r="U1144" s="9">
        <f t="shared" ref="U1144:U1207" si="104">D1144*R1144</f>
        <v>34.020000000000003</v>
      </c>
      <c r="V1144" s="9">
        <f t="shared" ref="V1144:V1207" si="105">IF(R1144=0,0,(S1144/R1144*1000))</f>
        <v>342.85714285714266</v>
      </c>
      <c r="W1144" s="9">
        <f t="shared" ref="W1144:W1207" si="106">IF(R1144=0,(((G1144)*0.16909+(V1144/1000)*49.3)+2),((((G1144+J1144)/2)*0.16909+(V1144/1000)*49.3)+2))</f>
        <v>28.135171142857132</v>
      </c>
    </row>
    <row r="1145" spans="1:23">
      <c r="A1145" s="2" t="s">
        <v>335</v>
      </c>
      <c r="B1145" s="2" t="s">
        <v>478</v>
      </c>
      <c r="C1145" s="3">
        <v>186</v>
      </c>
      <c r="D1145" s="3">
        <v>2.4300000000000002</v>
      </c>
      <c r="E1145" s="2" t="s">
        <v>492</v>
      </c>
      <c r="F1145" s="4">
        <v>42045</v>
      </c>
      <c r="G1145" s="3">
        <v>52.2</v>
      </c>
      <c r="H1145" s="3">
        <v>3.5</v>
      </c>
      <c r="I1145" s="4">
        <v>42066</v>
      </c>
      <c r="J1145" s="3">
        <v>54.5</v>
      </c>
      <c r="K1145" s="3">
        <v>5</v>
      </c>
      <c r="L1145" s="3">
        <v>21</v>
      </c>
      <c r="M1145" s="5">
        <v>2.2999999999999972</v>
      </c>
      <c r="N1145" s="5">
        <v>1.5</v>
      </c>
      <c r="O1145" s="5">
        <v>51.03</v>
      </c>
      <c r="P1145" s="5">
        <v>109.52380952380939</v>
      </c>
      <c r="Q1145" s="5">
        <v>16.420475309523802</v>
      </c>
      <c r="R1145" s="8">
        <f t="shared" si="102"/>
        <v>7</v>
      </c>
      <c r="S1145" s="9">
        <f t="shared" si="103"/>
        <v>-2.5</v>
      </c>
      <c r="T1145" s="9">
        <v>1.5</v>
      </c>
      <c r="U1145" s="9">
        <f t="shared" si="104"/>
        <v>17.010000000000002</v>
      </c>
      <c r="V1145" s="9">
        <f t="shared" si="105"/>
        <v>-357.14285714285717</v>
      </c>
      <c r="W1145" s="9">
        <f t="shared" si="106"/>
        <v>-6.5861913571428587</v>
      </c>
    </row>
    <row r="1146" spans="1:23">
      <c r="A1146" s="2" t="s">
        <v>335</v>
      </c>
      <c r="B1146" s="2" t="s">
        <v>478</v>
      </c>
      <c r="C1146" s="3">
        <v>186</v>
      </c>
      <c r="D1146" s="3">
        <v>2.4300000000000002</v>
      </c>
      <c r="E1146" s="2" t="s">
        <v>492</v>
      </c>
      <c r="F1146" s="4">
        <v>42045</v>
      </c>
      <c r="G1146" s="3">
        <v>52.2</v>
      </c>
      <c r="H1146" s="3">
        <v>3.5</v>
      </c>
      <c r="I1146" s="4">
        <v>42073</v>
      </c>
      <c r="J1146" s="3">
        <v>54.8</v>
      </c>
      <c r="K1146" s="3">
        <v>4</v>
      </c>
      <c r="L1146" s="3">
        <v>28</v>
      </c>
      <c r="M1146" s="5">
        <v>2.5999999999999943</v>
      </c>
      <c r="N1146" s="5">
        <v>0.5</v>
      </c>
      <c r="O1146" s="5">
        <v>68.040000000000006</v>
      </c>
      <c r="P1146" s="5">
        <v>92.857142857142648</v>
      </c>
      <c r="Q1146" s="5">
        <v>15.624172142857132</v>
      </c>
      <c r="R1146" s="8">
        <f t="shared" si="102"/>
        <v>7</v>
      </c>
      <c r="S1146" s="9">
        <f t="shared" si="103"/>
        <v>0.29999999999999716</v>
      </c>
      <c r="T1146" s="9">
        <v>1.5</v>
      </c>
      <c r="U1146" s="9">
        <f t="shared" si="104"/>
        <v>17.010000000000002</v>
      </c>
      <c r="V1146" s="9">
        <f t="shared" si="105"/>
        <v>42.857142857142449</v>
      </c>
      <c r="W1146" s="9">
        <f t="shared" si="106"/>
        <v>13.159172142857123</v>
      </c>
    </row>
    <row r="1147" spans="1:23">
      <c r="A1147" s="2" t="s">
        <v>335</v>
      </c>
      <c r="B1147" s="2" t="s">
        <v>478</v>
      </c>
      <c r="C1147" s="3">
        <v>186</v>
      </c>
      <c r="D1147" s="3">
        <v>2.4300000000000002</v>
      </c>
      <c r="E1147" s="2" t="s">
        <v>492</v>
      </c>
      <c r="F1147" s="4">
        <v>42045</v>
      </c>
      <c r="G1147" s="3">
        <v>52.2</v>
      </c>
      <c r="H1147" s="3">
        <v>3.5</v>
      </c>
      <c r="I1147" s="4">
        <v>42087</v>
      </c>
      <c r="J1147" s="3">
        <v>52.5</v>
      </c>
      <c r="K1147" s="3">
        <v>4</v>
      </c>
      <c r="L1147" s="3">
        <v>42</v>
      </c>
      <c r="M1147" s="5">
        <v>0.29999999999999716</v>
      </c>
      <c r="N1147" s="5">
        <v>0.5</v>
      </c>
      <c r="O1147" s="5">
        <v>102.06</v>
      </c>
      <c r="P1147" s="5">
        <v>7.1428571428570748</v>
      </c>
      <c r="Q1147" s="5">
        <v>11.204004357142853</v>
      </c>
      <c r="R1147" s="8">
        <f t="shared" si="102"/>
        <v>14</v>
      </c>
      <c r="S1147" s="9">
        <f t="shared" si="103"/>
        <v>-2.2999999999999972</v>
      </c>
      <c r="T1147" s="9">
        <v>1.5</v>
      </c>
      <c r="U1147" s="9">
        <f t="shared" si="104"/>
        <v>34.020000000000003</v>
      </c>
      <c r="V1147" s="9">
        <f t="shared" si="105"/>
        <v>-164.28571428571408</v>
      </c>
      <c r="W1147" s="9">
        <f t="shared" si="106"/>
        <v>2.7525757857142956</v>
      </c>
    </row>
    <row r="1148" spans="1:23">
      <c r="A1148" s="2" t="s">
        <v>335</v>
      </c>
      <c r="B1148" s="2" t="s">
        <v>478</v>
      </c>
      <c r="C1148" s="3">
        <v>186</v>
      </c>
      <c r="D1148" s="3">
        <v>2.4300000000000002</v>
      </c>
      <c r="E1148" s="2" t="s">
        <v>493</v>
      </c>
      <c r="F1148" s="4">
        <v>42045</v>
      </c>
      <c r="G1148" s="3">
        <v>58.2</v>
      </c>
      <c r="H1148" s="3">
        <v>3.5</v>
      </c>
      <c r="I1148" s="4">
        <v>42045</v>
      </c>
      <c r="J1148" s="3">
        <v>58.2</v>
      </c>
      <c r="K1148" s="3">
        <v>3.5</v>
      </c>
      <c r="L1148" s="3">
        <v>0</v>
      </c>
      <c r="M1148" s="5">
        <v>0</v>
      </c>
      <c r="N1148" s="5">
        <v>0</v>
      </c>
      <c r="O1148" s="5">
        <v>0</v>
      </c>
      <c r="P1148" s="5">
        <v>0</v>
      </c>
      <c r="Q1148" s="5">
        <v>11.841037999999999</v>
      </c>
      <c r="R1148" s="8">
        <f t="shared" si="102"/>
        <v>0</v>
      </c>
      <c r="S1148" s="9">
        <f t="shared" si="103"/>
        <v>0</v>
      </c>
      <c r="T1148" s="9">
        <v>1.5</v>
      </c>
      <c r="U1148" s="9">
        <f t="shared" si="104"/>
        <v>0</v>
      </c>
      <c r="V1148" s="9">
        <f t="shared" si="105"/>
        <v>0</v>
      </c>
      <c r="W1148" s="9">
        <f t="shared" si="106"/>
        <v>11.841037999999999</v>
      </c>
    </row>
    <row r="1149" spans="1:23">
      <c r="A1149" s="2" t="s">
        <v>335</v>
      </c>
      <c r="B1149" s="2" t="s">
        <v>478</v>
      </c>
      <c r="C1149" s="3">
        <v>186</v>
      </c>
      <c r="D1149" s="3">
        <v>2.4300000000000002</v>
      </c>
      <c r="E1149" s="2" t="s">
        <v>493</v>
      </c>
      <c r="F1149" s="4">
        <v>42045</v>
      </c>
      <c r="G1149" s="3">
        <v>58.2</v>
      </c>
      <c r="H1149" s="3">
        <v>3.5</v>
      </c>
      <c r="I1149" s="4">
        <v>42059</v>
      </c>
      <c r="J1149" s="3">
        <v>64</v>
      </c>
      <c r="K1149" s="3">
        <v>4</v>
      </c>
      <c r="L1149" s="3">
        <v>14</v>
      </c>
      <c r="M1149" s="5">
        <v>5.7999999999999972</v>
      </c>
      <c r="N1149" s="5">
        <v>0.5</v>
      </c>
      <c r="O1149" s="5">
        <v>34.020000000000003</v>
      </c>
      <c r="P1149" s="5">
        <v>414.28571428571411</v>
      </c>
      <c r="Q1149" s="5">
        <v>32.755684714285699</v>
      </c>
      <c r="R1149" s="8">
        <f t="shared" si="102"/>
        <v>14</v>
      </c>
      <c r="S1149" s="9">
        <f t="shared" si="103"/>
        <v>5.7999999999999972</v>
      </c>
      <c r="T1149" s="9">
        <v>1.5</v>
      </c>
      <c r="U1149" s="9">
        <f t="shared" si="104"/>
        <v>34.020000000000003</v>
      </c>
      <c r="V1149" s="9">
        <f t="shared" si="105"/>
        <v>414.28571428571411</v>
      </c>
      <c r="W1149" s="9">
        <f t="shared" si="106"/>
        <v>32.755684714285699</v>
      </c>
    </row>
    <row r="1150" spans="1:23">
      <c r="A1150" s="2" t="s">
        <v>335</v>
      </c>
      <c r="B1150" s="2" t="s">
        <v>478</v>
      </c>
      <c r="C1150" s="3">
        <v>186</v>
      </c>
      <c r="D1150" s="3">
        <v>2.4300000000000002</v>
      </c>
      <c r="E1150" s="2" t="s">
        <v>493</v>
      </c>
      <c r="F1150" s="4">
        <v>42045</v>
      </c>
      <c r="G1150" s="3">
        <v>58.2</v>
      </c>
      <c r="H1150" s="3">
        <v>3.5</v>
      </c>
      <c r="I1150" s="4">
        <v>42066</v>
      </c>
      <c r="J1150" s="3">
        <v>60</v>
      </c>
      <c r="K1150" s="3">
        <v>4</v>
      </c>
      <c r="L1150" s="3">
        <v>21</v>
      </c>
      <c r="M1150" s="5">
        <v>1.7999999999999972</v>
      </c>
      <c r="N1150" s="5">
        <v>0.5</v>
      </c>
      <c r="O1150" s="5">
        <v>51.03</v>
      </c>
      <c r="P1150" s="5">
        <v>85.71428571428558</v>
      </c>
      <c r="Q1150" s="5">
        <v>16.218933285714279</v>
      </c>
      <c r="R1150" s="8">
        <f t="shared" si="102"/>
        <v>7</v>
      </c>
      <c r="S1150" s="9">
        <f t="shared" si="103"/>
        <v>-4</v>
      </c>
      <c r="T1150" s="9">
        <v>1.5</v>
      </c>
      <c r="U1150" s="9">
        <f t="shared" si="104"/>
        <v>17.010000000000002</v>
      </c>
      <c r="V1150" s="9">
        <f t="shared" si="105"/>
        <v>-571.42857142857144</v>
      </c>
      <c r="W1150" s="9">
        <f t="shared" si="106"/>
        <v>-16.178209571428567</v>
      </c>
    </row>
    <row r="1151" spans="1:23">
      <c r="A1151" s="2" t="s">
        <v>335</v>
      </c>
      <c r="B1151" s="2" t="s">
        <v>478</v>
      </c>
      <c r="C1151" s="3">
        <v>186</v>
      </c>
      <c r="D1151" s="3">
        <v>2.4300000000000002</v>
      </c>
      <c r="E1151" s="2" t="s">
        <v>493</v>
      </c>
      <c r="F1151" s="4">
        <v>42045</v>
      </c>
      <c r="G1151" s="3">
        <v>58.2</v>
      </c>
      <c r="H1151" s="3">
        <v>3.5</v>
      </c>
      <c r="I1151" s="4">
        <v>42073</v>
      </c>
      <c r="J1151" s="3">
        <v>61</v>
      </c>
      <c r="K1151" s="3">
        <v>4</v>
      </c>
      <c r="L1151" s="3">
        <v>28</v>
      </c>
      <c r="M1151" s="5">
        <v>2.7999999999999972</v>
      </c>
      <c r="N1151" s="5">
        <v>0.5</v>
      </c>
      <c r="O1151" s="5">
        <v>68.040000000000006</v>
      </c>
      <c r="P1151" s="5">
        <v>99.999999999999901</v>
      </c>
      <c r="Q1151" s="5">
        <v>17.007763999999995</v>
      </c>
      <c r="R1151" s="8">
        <f t="shared" si="102"/>
        <v>7</v>
      </c>
      <c r="S1151" s="9">
        <f t="shared" si="103"/>
        <v>1</v>
      </c>
      <c r="T1151" s="9">
        <v>1.5</v>
      </c>
      <c r="U1151" s="9">
        <f t="shared" si="104"/>
        <v>17.010000000000002</v>
      </c>
      <c r="V1151" s="9">
        <f t="shared" si="105"/>
        <v>142.85714285714286</v>
      </c>
      <c r="W1151" s="9">
        <f t="shared" si="106"/>
        <v>19.120621142857143</v>
      </c>
    </row>
    <row r="1152" spans="1:23">
      <c r="A1152" s="2" t="s">
        <v>335</v>
      </c>
      <c r="B1152" s="2" t="s">
        <v>478</v>
      </c>
      <c r="C1152" s="3">
        <v>186</v>
      </c>
      <c r="D1152" s="3">
        <v>2.4300000000000002</v>
      </c>
      <c r="E1152" s="2" t="s">
        <v>493</v>
      </c>
      <c r="F1152" s="4">
        <v>42045</v>
      </c>
      <c r="G1152" s="3">
        <v>58.2</v>
      </c>
      <c r="H1152" s="3">
        <v>3.5</v>
      </c>
      <c r="I1152" s="4">
        <v>42087</v>
      </c>
      <c r="J1152" s="3">
        <v>55.8</v>
      </c>
      <c r="K1152" s="3">
        <v>4</v>
      </c>
      <c r="L1152" s="3">
        <v>42</v>
      </c>
      <c r="M1152" s="5">
        <v>-2.4000000000000057</v>
      </c>
      <c r="N1152" s="5">
        <v>0.5</v>
      </c>
      <c r="O1152" s="5">
        <v>102.06</v>
      </c>
      <c r="P1152" s="5">
        <v>-57.142857142857281</v>
      </c>
      <c r="Q1152" s="5">
        <v>8.8209871428571365</v>
      </c>
      <c r="R1152" s="8">
        <f t="shared" si="102"/>
        <v>14</v>
      </c>
      <c r="S1152" s="9">
        <f t="shared" si="103"/>
        <v>-5.2000000000000028</v>
      </c>
      <c r="T1152" s="9">
        <v>1.5</v>
      </c>
      <c r="U1152" s="9">
        <f t="shared" si="104"/>
        <v>34.020000000000003</v>
      </c>
      <c r="V1152" s="9">
        <f t="shared" si="105"/>
        <v>-371.42857142857162</v>
      </c>
      <c r="W1152" s="9">
        <f t="shared" si="106"/>
        <v>-6.6732985714285782</v>
      </c>
    </row>
    <row r="1153" spans="1:23">
      <c r="A1153" s="2" t="s">
        <v>335</v>
      </c>
      <c r="B1153" s="2" t="s">
        <v>478</v>
      </c>
      <c r="C1153" s="3">
        <v>186</v>
      </c>
      <c r="D1153" s="3">
        <v>2.4300000000000002</v>
      </c>
      <c r="E1153" s="2" t="s">
        <v>494</v>
      </c>
      <c r="F1153" s="4">
        <v>42045</v>
      </c>
      <c r="G1153" s="3">
        <v>55.6</v>
      </c>
      <c r="H1153" s="3">
        <v>3</v>
      </c>
      <c r="I1153" s="4">
        <v>42045</v>
      </c>
      <c r="J1153" s="3">
        <v>55.6</v>
      </c>
      <c r="K1153" s="3">
        <v>3</v>
      </c>
      <c r="L1153" s="3">
        <v>0</v>
      </c>
      <c r="M1153" s="5">
        <v>0</v>
      </c>
      <c r="N1153" s="5">
        <v>0</v>
      </c>
      <c r="O1153" s="5">
        <v>0</v>
      </c>
      <c r="P1153" s="5">
        <v>0</v>
      </c>
      <c r="Q1153" s="5">
        <v>11.401403999999999</v>
      </c>
      <c r="R1153" s="8">
        <f t="shared" si="102"/>
        <v>0</v>
      </c>
      <c r="S1153" s="9">
        <f t="shared" si="103"/>
        <v>0</v>
      </c>
      <c r="T1153" s="9">
        <v>1.5</v>
      </c>
      <c r="U1153" s="9">
        <f t="shared" si="104"/>
        <v>0</v>
      </c>
      <c r="V1153" s="9">
        <f t="shared" si="105"/>
        <v>0</v>
      </c>
      <c r="W1153" s="9">
        <f t="shared" si="106"/>
        <v>11.401403999999999</v>
      </c>
    </row>
    <row r="1154" spans="1:23">
      <c r="A1154" s="2" t="s">
        <v>335</v>
      </c>
      <c r="B1154" s="2" t="s">
        <v>478</v>
      </c>
      <c r="C1154" s="3">
        <v>186</v>
      </c>
      <c r="D1154" s="3">
        <v>2.4300000000000002</v>
      </c>
      <c r="E1154" s="2" t="s">
        <v>494</v>
      </c>
      <c r="F1154" s="4">
        <v>42045</v>
      </c>
      <c r="G1154" s="3">
        <v>55.6</v>
      </c>
      <c r="H1154" s="3">
        <v>3</v>
      </c>
      <c r="I1154" s="4">
        <v>42059</v>
      </c>
      <c r="J1154" s="3">
        <v>61.5</v>
      </c>
      <c r="K1154" s="3">
        <v>4</v>
      </c>
      <c r="L1154" s="3">
        <v>14</v>
      </c>
      <c r="M1154" s="5">
        <v>5.8999999999999986</v>
      </c>
      <c r="N1154" s="5">
        <v>1</v>
      </c>
      <c r="O1154" s="5">
        <v>34.020000000000003</v>
      </c>
      <c r="P1154" s="5">
        <v>421.42857142857133</v>
      </c>
      <c r="Q1154" s="5">
        <v>32.676648071428559</v>
      </c>
      <c r="R1154" s="8">
        <f t="shared" si="102"/>
        <v>14</v>
      </c>
      <c r="S1154" s="9">
        <f t="shared" si="103"/>
        <v>5.8999999999999986</v>
      </c>
      <c r="T1154" s="9">
        <v>1.5</v>
      </c>
      <c r="U1154" s="9">
        <f t="shared" si="104"/>
        <v>34.020000000000003</v>
      </c>
      <c r="V1154" s="9">
        <f t="shared" si="105"/>
        <v>421.42857142857133</v>
      </c>
      <c r="W1154" s="9">
        <f t="shared" si="106"/>
        <v>32.676648071428559</v>
      </c>
    </row>
    <row r="1155" spans="1:23">
      <c r="A1155" s="2" t="s">
        <v>335</v>
      </c>
      <c r="B1155" s="2" t="s">
        <v>478</v>
      </c>
      <c r="C1155" s="3">
        <v>186</v>
      </c>
      <c r="D1155" s="3">
        <v>2.4300000000000002</v>
      </c>
      <c r="E1155" s="2" t="s">
        <v>494</v>
      </c>
      <c r="F1155" s="4">
        <v>42045</v>
      </c>
      <c r="G1155" s="3">
        <v>55.6</v>
      </c>
      <c r="H1155" s="3">
        <v>3</v>
      </c>
      <c r="I1155" s="4">
        <v>42066</v>
      </c>
      <c r="J1155" s="3">
        <v>58.5</v>
      </c>
      <c r="K1155" s="3">
        <v>4.5</v>
      </c>
      <c r="L1155" s="3">
        <v>21</v>
      </c>
      <c r="M1155" s="5">
        <v>2.8999999999999986</v>
      </c>
      <c r="N1155" s="5">
        <v>1.5</v>
      </c>
      <c r="O1155" s="5">
        <v>51.03</v>
      </c>
      <c r="P1155" s="5">
        <v>138.09523809523802</v>
      </c>
      <c r="Q1155" s="5">
        <v>18.454679738095233</v>
      </c>
      <c r="R1155" s="8">
        <f t="shared" si="102"/>
        <v>7</v>
      </c>
      <c r="S1155" s="9">
        <f t="shared" si="103"/>
        <v>-3</v>
      </c>
      <c r="T1155" s="9">
        <v>1.5</v>
      </c>
      <c r="U1155" s="9">
        <f t="shared" si="104"/>
        <v>17.010000000000002</v>
      </c>
      <c r="V1155" s="9">
        <f t="shared" si="105"/>
        <v>-428.57142857142856</v>
      </c>
      <c r="W1155" s="9">
        <f t="shared" si="106"/>
        <v>-9.4819869285714269</v>
      </c>
    </row>
    <row r="1156" spans="1:23">
      <c r="A1156" s="2" t="s">
        <v>335</v>
      </c>
      <c r="B1156" s="2" t="s">
        <v>478</v>
      </c>
      <c r="C1156" s="3">
        <v>186</v>
      </c>
      <c r="D1156" s="3">
        <v>2.4300000000000002</v>
      </c>
      <c r="E1156" s="2" t="s">
        <v>494</v>
      </c>
      <c r="F1156" s="4">
        <v>42045</v>
      </c>
      <c r="G1156" s="3">
        <v>55.6</v>
      </c>
      <c r="H1156" s="3">
        <v>3</v>
      </c>
      <c r="I1156" s="4">
        <v>42073</v>
      </c>
      <c r="J1156" s="3">
        <v>58.8</v>
      </c>
      <c r="K1156" s="3">
        <v>3.5</v>
      </c>
      <c r="L1156" s="3">
        <v>28</v>
      </c>
      <c r="M1156" s="5">
        <v>3.1999999999999957</v>
      </c>
      <c r="N1156" s="5">
        <v>0.5</v>
      </c>
      <c r="O1156" s="5">
        <v>68.040000000000006</v>
      </c>
      <c r="P1156" s="5">
        <v>114.28571428571414</v>
      </c>
      <c r="Q1156" s="5">
        <v>17.306233714285707</v>
      </c>
      <c r="R1156" s="8">
        <f t="shared" si="102"/>
        <v>7</v>
      </c>
      <c r="S1156" s="9">
        <f t="shared" si="103"/>
        <v>0.29999999999999716</v>
      </c>
      <c r="T1156" s="9">
        <v>1.5</v>
      </c>
      <c r="U1156" s="9">
        <f t="shared" si="104"/>
        <v>17.010000000000002</v>
      </c>
      <c r="V1156" s="9">
        <f t="shared" si="105"/>
        <v>42.857142857142449</v>
      </c>
      <c r="W1156" s="9">
        <f t="shared" si="106"/>
        <v>13.784805142857124</v>
      </c>
    </row>
    <row r="1157" spans="1:23">
      <c r="A1157" s="2" t="s">
        <v>335</v>
      </c>
      <c r="B1157" s="2" t="s">
        <v>478</v>
      </c>
      <c r="C1157" s="3">
        <v>186</v>
      </c>
      <c r="D1157" s="3">
        <v>2.4300000000000002</v>
      </c>
      <c r="E1157" s="2" t="s">
        <v>494</v>
      </c>
      <c r="F1157" s="4">
        <v>42045</v>
      </c>
      <c r="G1157" s="3">
        <v>55.6</v>
      </c>
      <c r="H1157" s="3">
        <v>3</v>
      </c>
      <c r="I1157" s="4">
        <v>42087</v>
      </c>
      <c r="J1157" s="3">
        <v>56.6</v>
      </c>
      <c r="K1157" s="3">
        <v>4</v>
      </c>
      <c r="L1157" s="3">
        <v>42</v>
      </c>
      <c r="M1157" s="5">
        <v>1</v>
      </c>
      <c r="N1157" s="5">
        <v>1</v>
      </c>
      <c r="O1157" s="5">
        <v>102.06</v>
      </c>
      <c r="P1157" s="5">
        <v>23.809523809523807</v>
      </c>
      <c r="Q1157" s="5">
        <v>12.659758523809524</v>
      </c>
      <c r="R1157" s="8">
        <f t="shared" si="102"/>
        <v>14</v>
      </c>
      <c r="S1157" s="9">
        <f t="shared" si="103"/>
        <v>-2.1999999999999957</v>
      </c>
      <c r="T1157" s="9">
        <v>1.5</v>
      </c>
      <c r="U1157" s="9">
        <f t="shared" si="104"/>
        <v>34.020000000000003</v>
      </c>
      <c r="V1157" s="9">
        <f t="shared" si="105"/>
        <v>-157.14285714285683</v>
      </c>
      <c r="W1157" s="9">
        <f t="shared" si="106"/>
        <v>3.7388061428571584</v>
      </c>
    </row>
    <row r="1158" spans="1:23">
      <c r="A1158" s="2" t="s">
        <v>335</v>
      </c>
      <c r="B1158" s="2" t="s">
        <v>478</v>
      </c>
      <c r="C1158" s="3">
        <v>186</v>
      </c>
      <c r="D1158" s="3">
        <v>2.4300000000000002</v>
      </c>
      <c r="E1158" s="2" t="s">
        <v>495</v>
      </c>
      <c r="F1158" s="4">
        <v>42045</v>
      </c>
      <c r="G1158" s="3">
        <v>56.4</v>
      </c>
      <c r="H1158" s="3">
        <v>3</v>
      </c>
      <c r="I1158" s="4">
        <v>42045</v>
      </c>
      <c r="J1158" s="3">
        <v>56.4</v>
      </c>
      <c r="K1158" s="3">
        <v>3</v>
      </c>
      <c r="L1158" s="3">
        <v>0</v>
      </c>
      <c r="M1158" s="5">
        <v>0</v>
      </c>
      <c r="N1158" s="5">
        <v>0</v>
      </c>
      <c r="O1158" s="5">
        <v>0</v>
      </c>
      <c r="P1158" s="5">
        <v>0</v>
      </c>
      <c r="Q1158" s="5">
        <v>11.536676</v>
      </c>
      <c r="R1158" s="8">
        <f t="shared" si="102"/>
        <v>0</v>
      </c>
      <c r="S1158" s="9">
        <f t="shared" si="103"/>
        <v>0</v>
      </c>
      <c r="T1158" s="9">
        <v>1.5</v>
      </c>
      <c r="U1158" s="9">
        <f t="shared" si="104"/>
        <v>0</v>
      </c>
      <c r="V1158" s="9">
        <f t="shared" si="105"/>
        <v>0</v>
      </c>
      <c r="W1158" s="9">
        <f t="shared" si="106"/>
        <v>11.536676</v>
      </c>
    </row>
    <row r="1159" spans="1:23">
      <c r="A1159" s="2" t="s">
        <v>335</v>
      </c>
      <c r="B1159" s="2" t="s">
        <v>478</v>
      </c>
      <c r="C1159" s="3">
        <v>186</v>
      </c>
      <c r="D1159" s="3">
        <v>2.4300000000000002</v>
      </c>
      <c r="E1159" s="2" t="s">
        <v>495</v>
      </c>
      <c r="F1159" s="4">
        <v>42045</v>
      </c>
      <c r="G1159" s="3">
        <v>56.4</v>
      </c>
      <c r="H1159" s="3">
        <v>3</v>
      </c>
      <c r="I1159" s="4">
        <v>42059</v>
      </c>
      <c r="J1159" s="3">
        <v>56</v>
      </c>
      <c r="K1159" s="3">
        <v>3.5</v>
      </c>
      <c r="L1159" s="3">
        <v>14</v>
      </c>
      <c r="M1159" s="5">
        <v>-0.39999999999999858</v>
      </c>
      <c r="N1159" s="5">
        <v>0.5</v>
      </c>
      <c r="O1159" s="5">
        <v>34.020000000000003</v>
      </c>
      <c r="P1159" s="5">
        <v>-28.57142857142847</v>
      </c>
      <c r="Q1159" s="5">
        <v>10.094286571428576</v>
      </c>
      <c r="R1159" s="8">
        <f t="shared" si="102"/>
        <v>14</v>
      </c>
      <c r="S1159" s="9">
        <f t="shared" si="103"/>
        <v>-0.39999999999999858</v>
      </c>
      <c r="T1159" s="9">
        <v>1.5</v>
      </c>
      <c r="U1159" s="9">
        <f t="shared" si="104"/>
        <v>34.020000000000003</v>
      </c>
      <c r="V1159" s="9">
        <f t="shared" si="105"/>
        <v>-28.57142857142847</v>
      </c>
      <c r="W1159" s="9">
        <f t="shared" si="106"/>
        <v>10.094286571428576</v>
      </c>
    </row>
    <row r="1160" spans="1:23">
      <c r="A1160" s="2" t="s">
        <v>335</v>
      </c>
      <c r="B1160" s="2" t="s">
        <v>478</v>
      </c>
      <c r="C1160" s="3">
        <v>186</v>
      </c>
      <c r="D1160" s="3">
        <v>2.4300000000000002</v>
      </c>
      <c r="E1160" s="2" t="s">
        <v>495</v>
      </c>
      <c r="F1160" s="4">
        <v>42045</v>
      </c>
      <c r="G1160" s="3">
        <v>56.4</v>
      </c>
      <c r="H1160" s="3">
        <v>3</v>
      </c>
      <c r="I1160" s="4">
        <v>42066</v>
      </c>
      <c r="J1160" s="3">
        <v>55</v>
      </c>
      <c r="K1160" s="3">
        <v>4</v>
      </c>
      <c r="L1160" s="3">
        <v>21</v>
      </c>
      <c r="M1160" s="5">
        <v>-1.3999999999999986</v>
      </c>
      <c r="N1160" s="5">
        <v>1</v>
      </c>
      <c r="O1160" s="5">
        <v>51.03</v>
      </c>
      <c r="P1160" s="5">
        <v>-66.6666666666666</v>
      </c>
      <c r="Q1160" s="5">
        <v>8.131646333333336</v>
      </c>
      <c r="R1160" s="8">
        <f t="shared" si="102"/>
        <v>7</v>
      </c>
      <c r="S1160" s="9">
        <f t="shared" si="103"/>
        <v>-1</v>
      </c>
      <c r="T1160" s="9">
        <v>1.5</v>
      </c>
      <c r="U1160" s="9">
        <f t="shared" si="104"/>
        <v>17.010000000000002</v>
      </c>
      <c r="V1160" s="9">
        <f t="shared" si="105"/>
        <v>-142.85714285714286</v>
      </c>
      <c r="W1160" s="9">
        <f t="shared" si="106"/>
        <v>4.3754558571428577</v>
      </c>
    </row>
    <row r="1161" spans="1:23">
      <c r="A1161" s="2" t="s">
        <v>335</v>
      </c>
      <c r="B1161" s="2" t="s">
        <v>478</v>
      </c>
      <c r="C1161" s="3">
        <v>186</v>
      </c>
      <c r="D1161" s="3">
        <v>2.4300000000000002</v>
      </c>
      <c r="E1161" s="2" t="s">
        <v>495</v>
      </c>
      <c r="F1161" s="4">
        <v>42045</v>
      </c>
      <c r="G1161" s="3">
        <v>56.4</v>
      </c>
      <c r="H1161" s="3">
        <v>3</v>
      </c>
      <c r="I1161" s="4">
        <v>42073</v>
      </c>
      <c r="J1161" s="3">
        <v>56.8</v>
      </c>
      <c r="K1161" s="3">
        <v>3.5</v>
      </c>
      <c r="L1161" s="3">
        <v>28</v>
      </c>
      <c r="M1161" s="5">
        <v>0.39999999999999858</v>
      </c>
      <c r="N1161" s="5">
        <v>0.5</v>
      </c>
      <c r="O1161" s="5">
        <v>68.040000000000006</v>
      </c>
      <c r="P1161" s="5">
        <v>14.285714285714235</v>
      </c>
      <c r="Q1161" s="5">
        <v>12.27477971428571</v>
      </c>
      <c r="R1161" s="8">
        <f t="shared" si="102"/>
        <v>7</v>
      </c>
      <c r="S1161" s="9">
        <f t="shared" si="103"/>
        <v>1.7999999999999972</v>
      </c>
      <c r="T1161" s="9">
        <v>1.5</v>
      </c>
      <c r="U1161" s="9">
        <f t="shared" si="104"/>
        <v>17.010000000000002</v>
      </c>
      <c r="V1161" s="9">
        <f t="shared" si="105"/>
        <v>257.14285714285671</v>
      </c>
      <c r="W1161" s="9">
        <f t="shared" si="106"/>
        <v>24.247636857142837</v>
      </c>
    </row>
    <row r="1162" spans="1:23">
      <c r="A1162" s="2" t="s">
        <v>335</v>
      </c>
      <c r="B1162" s="2" t="s">
        <v>478</v>
      </c>
      <c r="C1162" s="3">
        <v>186</v>
      </c>
      <c r="D1162" s="3">
        <v>2.4300000000000002</v>
      </c>
      <c r="E1162" s="2" t="s">
        <v>495</v>
      </c>
      <c r="F1162" s="4">
        <v>42045</v>
      </c>
      <c r="G1162" s="3">
        <v>56.4</v>
      </c>
      <c r="H1162" s="3">
        <v>3</v>
      </c>
      <c r="I1162" s="4">
        <v>42087</v>
      </c>
      <c r="J1162" s="3">
        <v>57.2</v>
      </c>
      <c r="K1162" s="3">
        <v>4</v>
      </c>
      <c r="L1162" s="3">
        <v>42</v>
      </c>
      <c r="M1162" s="5">
        <v>0.80000000000000426</v>
      </c>
      <c r="N1162" s="5">
        <v>1</v>
      </c>
      <c r="O1162" s="5">
        <v>102.06</v>
      </c>
      <c r="P1162" s="5">
        <v>19.04761904761915</v>
      </c>
      <c r="Q1162" s="5">
        <v>12.543359619047623</v>
      </c>
      <c r="R1162" s="8">
        <f t="shared" si="102"/>
        <v>14</v>
      </c>
      <c r="S1162" s="9">
        <f t="shared" si="103"/>
        <v>0.40000000000000568</v>
      </c>
      <c r="T1162" s="9">
        <v>1.5</v>
      </c>
      <c r="U1162" s="9">
        <f t="shared" si="104"/>
        <v>34.020000000000003</v>
      </c>
      <c r="V1162" s="9">
        <f t="shared" si="105"/>
        <v>28.571428571428978</v>
      </c>
      <c r="W1162" s="9">
        <f t="shared" si="106"/>
        <v>13.012883428571447</v>
      </c>
    </row>
    <row r="1163" spans="1:23">
      <c r="A1163" s="2" t="s">
        <v>335</v>
      </c>
      <c r="B1163" s="2" t="s">
        <v>478</v>
      </c>
      <c r="C1163" s="3">
        <v>186</v>
      </c>
      <c r="D1163" s="3">
        <v>2.4300000000000002</v>
      </c>
      <c r="E1163" s="2" t="s">
        <v>496</v>
      </c>
      <c r="F1163" s="4">
        <v>42045</v>
      </c>
      <c r="G1163" s="3">
        <v>60</v>
      </c>
      <c r="H1163" s="3">
        <v>3.5</v>
      </c>
      <c r="I1163" s="4">
        <v>42045</v>
      </c>
      <c r="J1163" s="3">
        <v>60</v>
      </c>
      <c r="K1163" s="3">
        <v>3.5</v>
      </c>
      <c r="L1163" s="3">
        <v>0</v>
      </c>
      <c r="M1163" s="5">
        <v>0</v>
      </c>
      <c r="N1163" s="5">
        <v>0</v>
      </c>
      <c r="O1163" s="5">
        <v>0</v>
      </c>
      <c r="P1163" s="5">
        <v>0</v>
      </c>
      <c r="Q1163" s="5">
        <v>12.145399999999999</v>
      </c>
      <c r="R1163" s="8">
        <f t="shared" si="102"/>
        <v>0</v>
      </c>
      <c r="S1163" s="9">
        <f t="shared" si="103"/>
        <v>0</v>
      </c>
      <c r="T1163" s="9">
        <v>1.5</v>
      </c>
      <c r="U1163" s="9">
        <f t="shared" si="104"/>
        <v>0</v>
      </c>
      <c r="V1163" s="9">
        <f t="shared" si="105"/>
        <v>0</v>
      </c>
      <c r="W1163" s="9">
        <f t="shared" si="106"/>
        <v>12.145399999999999</v>
      </c>
    </row>
    <row r="1164" spans="1:23">
      <c r="A1164" s="2" t="s">
        <v>335</v>
      </c>
      <c r="B1164" s="2" t="s">
        <v>478</v>
      </c>
      <c r="C1164" s="3">
        <v>186</v>
      </c>
      <c r="D1164" s="3">
        <v>2.4300000000000002</v>
      </c>
      <c r="E1164" s="2" t="s">
        <v>496</v>
      </c>
      <c r="F1164" s="4">
        <v>42045</v>
      </c>
      <c r="G1164" s="3">
        <v>60</v>
      </c>
      <c r="H1164" s="3">
        <v>3.5</v>
      </c>
      <c r="I1164" s="4">
        <v>42059</v>
      </c>
      <c r="J1164" s="3">
        <v>53</v>
      </c>
      <c r="K1164" s="3">
        <v>4</v>
      </c>
      <c r="L1164" s="3">
        <v>14</v>
      </c>
      <c r="M1164" s="5">
        <v>-7</v>
      </c>
      <c r="N1164" s="5">
        <v>0.5</v>
      </c>
      <c r="O1164" s="5">
        <v>34.020000000000003</v>
      </c>
      <c r="P1164" s="5">
        <v>-500</v>
      </c>
      <c r="Q1164" s="5">
        <v>-13.096414999999999</v>
      </c>
      <c r="R1164" s="8">
        <f t="shared" si="102"/>
        <v>14</v>
      </c>
      <c r="S1164" s="9">
        <f t="shared" si="103"/>
        <v>-7</v>
      </c>
      <c r="T1164" s="9">
        <v>1.5</v>
      </c>
      <c r="U1164" s="9">
        <f t="shared" si="104"/>
        <v>34.020000000000003</v>
      </c>
      <c r="V1164" s="9">
        <f t="shared" si="105"/>
        <v>-500</v>
      </c>
      <c r="W1164" s="9">
        <f t="shared" si="106"/>
        <v>-13.096414999999999</v>
      </c>
    </row>
    <row r="1165" spans="1:23">
      <c r="A1165" s="2" t="s">
        <v>335</v>
      </c>
      <c r="B1165" s="2" t="s">
        <v>478</v>
      </c>
      <c r="C1165" s="3">
        <v>186</v>
      </c>
      <c r="D1165" s="3">
        <v>2.4300000000000002</v>
      </c>
      <c r="E1165" s="2" t="s">
        <v>496</v>
      </c>
      <c r="F1165" s="4">
        <v>42045</v>
      </c>
      <c r="G1165" s="3">
        <v>60</v>
      </c>
      <c r="H1165" s="3">
        <v>3.5</v>
      </c>
      <c r="I1165" s="4">
        <v>42066</v>
      </c>
      <c r="J1165" s="3">
        <v>57.5</v>
      </c>
      <c r="K1165" s="3">
        <v>4.5</v>
      </c>
      <c r="L1165" s="3">
        <v>21</v>
      </c>
      <c r="M1165" s="5">
        <v>-2.5</v>
      </c>
      <c r="N1165" s="5">
        <v>1</v>
      </c>
      <c r="O1165" s="5">
        <v>51.03</v>
      </c>
      <c r="P1165" s="5">
        <v>-119.04761904761904</v>
      </c>
      <c r="Q1165" s="5">
        <v>6.0649898809523801</v>
      </c>
      <c r="R1165" s="8">
        <f t="shared" si="102"/>
        <v>7</v>
      </c>
      <c r="S1165" s="9">
        <f t="shared" si="103"/>
        <v>4.5</v>
      </c>
      <c r="T1165" s="9">
        <v>1.5</v>
      </c>
      <c r="U1165" s="9">
        <f t="shared" si="104"/>
        <v>17.010000000000002</v>
      </c>
      <c r="V1165" s="9">
        <f t="shared" si="105"/>
        <v>642.85714285714289</v>
      </c>
      <c r="W1165" s="9">
        <f t="shared" si="106"/>
        <v>43.626894642857138</v>
      </c>
    </row>
    <row r="1166" spans="1:23">
      <c r="A1166" s="2" t="s">
        <v>335</v>
      </c>
      <c r="B1166" s="2" t="s">
        <v>478</v>
      </c>
      <c r="C1166" s="3">
        <v>186</v>
      </c>
      <c r="D1166" s="3">
        <v>2.4300000000000002</v>
      </c>
      <c r="E1166" s="2" t="s">
        <v>496</v>
      </c>
      <c r="F1166" s="4">
        <v>42045</v>
      </c>
      <c r="G1166" s="3">
        <v>60</v>
      </c>
      <c r="H1166" s="3">
        <v>3.5</v>
      </c>
      <c r="I1166" s="4">
        <v>42073</v>
      </c>
      <c r="J1166" s="3">
        <v>58.6</v>
      </c>
      <c r="K1166" s="3">
        <v>2.5</v>
      </c>
      <c r="L1166" s="3">
        <v>28</v>
      </c>
      <c r="M1166" s="5">
        <v>-1.3999999999999986</v>
      </c>
      <c r="N1166" s="5">
        <v>-1</v>
      </c>
      <c r="O1166" s="5">
        <v>68.040000000000006</v>
      </c>
      <c r="P1166" s="5">
        <v>-49.99999999999995</v>
      </c>
      <c r="Q1166" s="5">
        <v>9.5620370000000001</v>
      </c>
      <c r="R1166" s="8">
        <f t="shared" si="102"/>
        <v>7</v>
      </c>
      <c r="S1166" s="9">
        <f t="shared" si="103"/>
        <v>1.1000000000000014</v>
      </c>
      <c r="T1166" s="9">
        <v>1.5</v>
      </c>
      <c r="U1166" s="9">
        <f t="shared" si="104"/>
        <v>17.010000000000002</v>
      </c>
      <c r="V1166" s="9">
        <f t="shared" si="105"/>
        <v>157.14285714285734</v>
      </c>
      <c r="W1166" s="9">
        <f t="shared" si="106"/>
        <v>19.774179857142865</v>
      </c>
    </row>
    <row r="1167" spans="1:23">
      <c r="A1167" s="2" t="s">
        <v>335</v>
      </c>
      <c r="B1167" s="2" t="s">
        <v>478</v>
      </c>
      <c r="C1167" s="3">
        <v>186</v>
      </c>
      <c r="D1167" s="3">
        <v>2.4300000000000002</v>
      </c>
      <c r="E1167" s="2" t="s">
        <v>496</v>
      </c>
      <c r="F1167" s="4">
        <v>42045</v>
      </c>
      <c r="G1167" s="3">
        <v>60</v>
      </c>
      <c r="H1167" s="3">
        <v>3.5</v>
      </c>
      <c r="I1167" s="4">
        <v>42087</v>
      </c>
      <c r="J1167" s="3">
        <v>57.2</v>
      </c>
      <c r="K1167" s="3">
        <v>4</v>
      </c>
      <c r="L1167" s="3">
        <v>42</v>
      </c>
      <c r="M1167" s="5">
        <v>-2.7999999999999972</v>
      </c>
      <c r="N1167" s="5">
        <v>0.5</v>
      </c>
      <c r="O1167" s="5">
        <v>102.06</v>
      </c>
      <c r="P1167" s="5">
        <v>-66.6666666666666</v>
      </c>
      <c r="Q1167" s="5">
        <v>8.622007333333336</v>
      </c>
      <c r="R1167" s="8">
        <f t="shared" si="102"/>
        <v>14</v>
      </c>
      <c r="S1167" s="9">
        <f t="shared" si="103"/>
        <v>-1.3999999999999986</v>
      </c>
      <c r="T1167" s="9">
        <v>1.5</v>
      </c>
      <c r="U1167" s="9">
        <f t="shared" si="104"/>
        <v>34.020000000000003</v>
      </c>
      <c r="V1167" s="9">
        <f t="shared" si="105"/>
        <v>-99.999999999999901</v>
      </c>
      <c r="W1167" s="9">
        <f t="shared" si="106"/>
        <v>6.9786740000000052</v>
      </c>
    </row>
    <row r="1168" spans="1:23">
      <c r="A1168" s="2" t="s">
        <v>335</v>
      </c>
      <c r="B1168" s="2" t="s">
        <v>478</v>
      </c>
      <c r="C1168" s="3">
        <v>186</v>
      </c>
      <c r="D1168" s="3">
        <v>2.4300000000000002</v>
      </c>
      <c r="E1168" s="2" t="s">
        <v>497</v>
      </c>
      <c r="F1168" s="4">
        <v>42045</v>
      </c>
      <c r="G1168" s="3">
        <v>55.8</v>
      </c>
      <c r="H1168" s="3">
        <v>3</v>
      </c>
      <c r="I1168" s="4">
        <v>42045</v>
      </c>
      <c r="J1168" s="3">
        <v>55.8</v>
      </c>
      <c r="K1168" s="3">
        <v>3</v>
      </c>
      <c r="L1168" s="3">
        <v>0</v>
      </c>
      <c r="M1168" s="5">
        <v>0</v>
      </c>
      <c r="N1168" s="5">
        <v>0</v>
      </c>
      <c r="O1168" s="5">
        <v>0</v>
      </c>
      <c r="P1168" s="5">
        <v>0</v>
      </c>
      <c r="Q1168" s="5">
        <v>11.435222</v>
      </c>
      <c r="R1168" s="8">
        <f t="shared" si="102"/>
        <v>0</v>
      </c>
      <c r="S1168" s="9">
        <f t="shared" si="103"/>
        <v>0</v>
      </c>
      <c r="T1168" s="9">
        <v>1.5</v>
      </c>
      <c r="U1168" s="9">
        <f t="shared" si="104"/>
        <v>0</v>
      </c>
      <c r="V1168" s="9">
        <f t="shared" si="105"/>
        <v>0</v>
      </c>
      <c r="W1168" s="9">
        <f t="shared" si="106"/>
        <v>11.435222</v>
      </c>
    </row>
    <row r="1169" spans="1:23">
      <c r="A1169" s="2" t="s">
        <v>335</v>
      </c>
      <c r="B1169" s="2" t="s">
        <v>478</v>
      </c>
      <c r="C1169" s="3">
        <v>186</v>
      </c>
      <c r="D1169" s="3">
        <v>2.4300000000000002</v>
      </c>
      <c r="E1169" s="2" t="s">
        <v>497</v>
      </c>
      <c r="F1169" s="4">
        <v>42045</v>
      </c>
      <c r="G1169" s="3">
        <v>55.8</v>
      </c>
      <c r="H1169" s="3">
        <v>3</v>
      </c>
      <c r="I1169" s="4">
        <v>42059</v>
      </c>
      <c r="J1169" s="3">
        <v>60.5</v>
      </c>
      <c r="K1169" s="3">
        <v>3.5</v>
      </c>
      <c r="L1169" s="3">
        <v>14</v>
      </c>
      <c r="M1169" s="5">
        <v>4.7000000000000028</v>
      </c>
      <c r="N1169" s="5">
        <v>0.5</v>
      </c>
      <c r="O1169" s="5">
        <v>34.020000000000003</v>
      </c>
      <c r="P1169" s="5">
        <v>335.71428571428589</v>
      </c>
      <c r="Q1169" s="5">
        <v>28.383297785714294</v>
      </c>
      <c r="R1169" s="8">
        <f t="shared" si="102"/>
        <v>14</v>
      </c>
      <c r="S1169" s="9">
        <f t="shared" si="103"/>
        <v>4.7000000000000028</v>
      </c>
      <c r="T1169" s="9">
        <v>1.5</v>
      </c>
      <c r="U1169" s="9">
        <f t="shared" si="104"/>
        <v>34.020000000000003</v>
      </c>
      <c r="V1169" s="9">
        <f t="shared" si="105"/>
        <v>335.71428571428589</v>
      </c>
      <c r="W1169" s="9">
        <f t="shared" si="106"/>
        <v>28.383297785714294</v>
      </c>
    </row>
    <row r="1170" spans="1:23">
      <c r="A1170" s="2" t="s">
        <v>335</v>
      </c>
      <c r="B1170" s="2" t="s">
        <v>478</v>
      </c>
      <c r="C1170" s="3">
        <v>186</v>
      </c>
      <c r="D1170" s="3">
        <v>2.4300000000000002</v>
      </c>
      <c r="E1170" s="2" t="s">
        <v>497</v>
      </c>
      <c r="F1170" s="4">
        <v>42045</v>
      </c>
      <c r="G1170" s="3">
        <v>55.8</v>
      </c>
      <c r="H1170" s="3">
        <v>3</v>
      </c>
      <c r="I1170" s="4">
        <v>42066</v>
      </c>
      <c r="J1170" s="3">
        <v>60.5</v>
      </c>
      <c r="K1170" s="3">
        <v>3.5</v>
      </c>
      <c r="L1170" s="3">
        <v>21</v>
      </c>
      <c r="M1170" s="5">
        <v>4.7000000000000028</v>
      </c>
      <c r="N1170" s="5">
        <v>0.5</v>
      </c>
      <c r="O1170" s="5">
        <v>51.03</v>
      </c>
      <c r="P1170" s="5">
        <v>223.80952380952397</v>
      </c>
      <c r="Q1170" s="5">
        <v>22.866393023809529</v>
      </c>
      <c r="R1170" s="8">
        <f t="shared" si="102"/>
        <v>7</v>
      </c>
      <c r="S1170" s="9">
        <f t="shared" si="103"/>
        <v>0</v>
      </c>
      <c r="T1170" s="9">
        <v>1.5</v>
      </c>
      <c r="U1170" s="9">
        <f t="shared" si="104"/>
        <v>17.010000000000002</v>
      </c>
      <c r="V1170" s="9">
        <f t="shared" si="105"/>
        <v>0</v>
      </c>
      <c r="W1170" s="9">
        <f t="shared" si="106"/>
        <v>11.832583499999998</v>
      </c>
    </row>
    <row r="1171" spans="1:23">
      <c r="A1171" s="2" t="s">
        <v>335</v>
      </c>
      <c r="B1171" s="2" t="s">
        <v>478</v>
      </c>
      <c r="C1171" s="3">
        <v>186</v>
      </c>
      <c r="D1171" s="3">
        <v>2.4300000000000002</v>
      </c>
      <c r="E1171" s="2" t="s">
        <v>497</v>
      </c>
      <c r="F1171" s="4">
        <v>42045</v>
      </c>
      <c r="G1171" s="3">
        <v>55.8</v>
      </c>
      <c r="H1171" s="3">
        <v>3</v>
      </c>
      <c r="I1171" s="4">
        <v>42073</v>
      </c>
      <c r="J1171" s="3">
        <v>61.4</v>
      </c>
      <c r="K1171" s="3">
        <v>3</v>
      </c>
      <c r="L1171" s="3">
        <v>28</v>
      </c>
      <c r="M1171" s="5">
        <v>5.6000000000000014</v>
      </c>
      <c r="N1171" s="5">
        <v>0</v>
      </c>
      <c r="O1171" s="5">
        <v>68.040000000000006</v>
      </c>
      <c r="P1171" s="5">
        <v>200.00000000000003</v>
      </c>
      <c r="Q1171" s="5">
        <v>21.768673999999997</v>
      </c>
      <c r="R1171" s="8">
        <f t="shared" si="102"/>
        <v>7</v>
      </c>
      <c r="S1171" s="9">
        <f t="shared" si="103"/>
        <v>0.89999999999999858</v>
      </c>
      <c r="T1171" s="9">
        <v>1.5</v>
      </c>
      <c r="U1171" s="9">
        <f t="shared" si="104"/>
        <v>17.010000000000002</v>
      </c>
      <c r="V1171" s="9">
        <f t="shared" si="105"/>
        <v>128.57142857142836</v>
      </c>
      <c r="W1171" s="9">
        <f t="shared" si="106"/>
        <v>18.247245428571418</v>
      </c>
    </row>
    <row r="1172" spans="1:23">
      <c r="A1172" s="2" t="s">
        <v>335</v>
      </c>
      <c r="B1172" s="2" t="s">
        <v>478</v>
      </c>
      <c r="C1172" s="3">
        <v>186</v>
      </c>
      <c r="D1172" s="3">
        <v>2.4300000000000002</v>
      </c>
      <c r="E1172" s="2" t="s">
        <v>497</v>
      </c>
      <c r="F1172" s="4">
        <v>42045</v>
      </c>
      <c r="G1172" s="3">
        <v>55.8</v>
      </c>
      <c r="H1172" s="3">
        <v>3</v>
      </c>
      <c r="I1172" s="4">
        <v>42087</v>
      </c>
      <c r="J1172" s="3">
        <v>58</v>
      </c>
      <c r="K1172" s="3">
        <v>4</v>
      </c>
      <c r="L1172" s="3">
        <v>42</v>
      </c>
      <c r="M1172" s="5">
        <v>2.2000000000000028</v>
      </c>
      <c r="N1172" s="5">
        <v>1</v>
      </c>
      <c r="O1172" s="5">
        <v>102.06</v>
      </c>
      <c r="P1172" s="5">
        <v>52.380952380952451</v>
      </c>
      <c r="Q1172" s="5">
        <v>14.203601952380954</v>
      </c>
      <c r="R1172" s="8">
        <f t="shared" si="102"/>
        <v>14</v>
      </c>
      <c r="S1172" s="9">
        <f t="shared" si="103"/>
        <v>-3.3999999999999986</v>
      </c>
      <c r="T1172" s="9">
        <v>1.5</v>
      </c>
      <c r="U1172" s="9">
        <f t="shared" si="104"/>
        <v>34.020000000000003</v>
      </c>
      <c r="V1172" s="9">
        <f t="shared" si="105"/>
        <v>-242.85714285714275</v>
      </c>
      <c r="W1172" s="9">
        <f t="shared" si="106"/>
        <v>-0.35163614285713862</v>
      </c>
    </row>
    <row r="1173" spans="1:23">
      <c r="A1173" s="2" t="s">
        <v>335</v>
      </c>
      <c r="B1173" s="2" t="s">
        <v>478</v>
      </c>
      <c r="C1173" s="3">
        <v>186</v>
      </c>
      <c r="D1173" s="3">
        <v>2.4300000000000002</v>
      </c>
      <c r="E1173" s="2" t="s">
        <v>498</v>
      </c>
      <c r="F1173" s="4">
        <v>42045</v>
      </c>
      <c r="G1173" s="3">
        <v>52.8</v>
      </c>
      <c r="H1173" s="3">
        <v>3.5</v>
      </c>
      <c r="I1173" s="4">
        <v>42045</v>
      </c>
      <c r="J1173" s="3">
        <v>52.8</v>
      </c>
      <c r="K1173" s="3">
        <v>3.5</v>
      </c>
      <c r="L1173" s="3">
        <v>0</v>
      </c>
      <c r="M1173" s="5">
        <v>0</v>
      </c>
      <c r="N1173" s="5">
        <v>0</v>
      </c>
      <c r="O1173" s="5">
        <v>0</v>
      </c>
      <c r="P1173" s="5">
        <v>0</v>
      </c>
      <c r="Q1173" s="5">
        <v>10.927951999999999</v>
      </c>
      <c r="R1173" s="8">
        <f t="shared" si="102"/>
        <v>0</v>
      </c>
      <c r="S1173" s="9">
        <f t="shared" si="103"/>
        <v>0</v>
      </c>
      <c r="T1173" s="9">
        <v>1.5</v>
      </c>
      <c r="U1173" s="9">
        <f t="shared" si="104"/>
        <v>0</v>
      </c>
      <c r="V1173" s="9">
        <f t="shared" si="105"/>
        <v>0</v>
      </c>
      <c r="W1173" s="9">
        <f t="shared" si="106"/>
        <v>10.927951999999999</v>
      </c>
    </row>
    <row r="1174" spans="1:23">
      <c r="A1174" s="2" t="s">
        <v>335</v>
      </c>
      <c r="B1174" s="2" t="s">
        <v>478</v>
      </c>
      <c r="C1174" s="3">
        <v>186</v>
      </c>
      <c r="D1174" s="3">
        <v>2.4300000000000002</v>
      </c>
      <c r="E1174" s="2" t="s">
        <v>498</v>
      </c>
      <c r="F1174" s="4">
        <v>42045</v>
      </c>
      <c r="G1174" s="3">
        <v>52.8</v>
      </c>
      <c r="H1174" s="3">
        <v>3.5</v>
      </c>
      <c r="I1174" s="4">
        <v>42059</v>
      </c>
      <c r="J1174" s="3">
        <v>56</v>
      </c>
      <c r="K1174" s="3">
        <v>3.5</v>
      </c>
      <c r="L1174" s="3">
        <v>14</v>
      </c>
      <c r="M1174" s="5">
        <v>3.2000000000000028</v>
      </c>
      <c r="N1174" s="5">
        <v>0</v>
      </c>
      <c r="O1174" s="5">
        <v>34.020000000000003</v>
      </c>
      <c r="P1174" s="5">
        <v>228.57142857142878</v>
      </c>
      <c r="Q1174" s="5">
        <v>22.46706742857144</v>
      </c>
      <c r="R1174" s="8">
        <f t="shared" si="102"/>
        <v>14</v>
      </c>
      <c r="S1174" s="9">
        <f t="shared" si="103"/>
        <v>3.2000000000000028</v>
      </c>
      <c r="T1174" s="9">
        <v>1.5</v>
      </c>
      <c r="U1174" s="9">
        <f t="shared" si="104"/>
        <v>34.020000000000003</v>
      </c>
      <c r="V1174" s="9">
        <f t="shared" si="105"/>
        <v>228.57142857142878</v>
      </c>
      <c r="W1174" s="9">
        <f t="shared" si="106"/>
        <v>22.46706742857144</v>
      </c>
    </row>
    <row r="1175" spans="1:23">
      <c r="A1175" s="2" t="s">
        <v>335</v>
      </c>
      <c r="B1175" s="2" t="s">
        <v>478</v>
      </c>
      <c r="C1175" s="3">
        <v>186</v>
      </c>
      <c r="D1175" s="3">
        <v>2.4300000000000002</v>
      </c>
      <c r="E1175" s="2" t="s">
        <v>498</v>
      </c>
      <c r="F1175" s="4">
        <v>42045</v>
      </c>
      <c r="G1175" s="3">
        <v>52.8</v>
      </c>
      <c r="H1175" s="3">
        <v>3.5</v>
      </c>
      <c r="I1175" s="4">
        <v>42066</v>
      </c>
      <c r="J1175" s="3">
        <v>54.5</v>
      </c>
      <c r="K1175" s="3">
        <v>4.5</v>
      </c>
      <c r="L1175" s="3">
        <v>21</v>
      </c>
      <c r="M1175" s="5">
        <v>1.7000000000000028</v>
      </c>
      <c r="N1175" s="5">
        <v>1</v>
      </c>
      <c r="O1175" s="5">
        <v>51.03</v>
      </c>
      <c r="P1175" s="5">
        <v>80.952380952381077</v>
      </c>
      <c r="Q1175" s="5">
        <v>15.062630880952387</v>
      </c>
      <c r="R1175" s="8">
        <f t="shared" si="102"/>
        <v>7</v>
      </c>
      <c r="S1175" s="9">
        <f t="shared" si="103"/>
        <v>-1.5</v>
      </c>
      <c r="T1175" s="9">
        <v>1.5</v>
      </c>
      <c r="U1175" s="9">
        <f t="shared" si="104"/>
        <v>17.010000000000002</v>
      </c>
      <c r="V1175" s="9">
        <f t="shared" si="105"/>
        <v>-214.28571428571428</v>
      </c>
      <c r="W1175" s="9">
        <f t="shared" si="106"/>
        <v>0.50739278571428592</v>
      </c>
    </row>
    <row r="1176" spans="1:23">
      <c r="A1176" s="2" t="s">
        <v>335</v>
      </c>
      <c r="B1176" s="2" t="s">
        <v>478</v>
      </c>
      <c r="C1176" s="3">
        <v>186</v>
      </c>
      <c r="D1176" s="3">
        <v>2.4300000000000002</v>
      </c>
      <c r="E1176" s="2" t="s">
        <v>498</v>
      </c>
      <c r="F1176" s="4">
        <v>42045</v>
      </c>
      <c r="G1176" s="3">
        <v>52.8</v>
      </c>
      <c r="H1176" s="3">
        <v>3.5</v>
      </c>
      <c r="I1176" s="4">
        <v>42073</v>
      </c>
      <c r="J1176" s="3">
        <v>56</v>
      </c>
      <c r="K1176" s="3">
        <v>4</v>
      </c>
      <c r="L1176" s="3">
        <v>28</v>
      </c>
      <c r="M1176" s="5">
        <v>3.2000000000000028</v>
      </c>
      <c r="N1176" s="5">
        <v>0.5</v>
      </c>
      <c r="O1176" s="5">
        <v>68.040000000000006</v>
      </c>
      <c r="P1176" s="5">
        <v>114.28571428571439</v>
      </c>
      <c r="Q1176" s="5">
        <v>16.832781714285719</v>
      </c>
      <c r="R1176" s="8">
        <f t="shared" si="102"/>
        <v>7</v>
      </c>
      <c r="S1176" s="9">
        <f t="shared" si="103"/>
        <v>1.5</v>
      </c>
      <c r="T1176" s="9">
        <v>1.5</v>
      </c>
      <c r="U1176" s="9">
        <f t="shared" si="104"/>
        <v>17.010000000000002</v>
      </c>
      <c r="V1176" s="9">
        <f t="shared" si="105"/>
        <v>214.28571428571428</v>
      </c>
      <c r="W1176" s="9">
        <f t="shared" si="106"/>
        <v>21.762781714285712</v>
      </c>
    </row>
    <row r="1177" spans="1:23">
      <c r="A1177" s="2" t="s">
        <v>335</v>
      </c>
      <c r="B1177" s="2" t="s">
        <v>478</v>
      </c>
      <c r="C1177" s="3">
        <v>186</v>
      </c>
      <c r="D1177" s="3">
        <v>2.4300000000000002</v>
      </c>
      <c r="E1177" s="2" t="s">
        <v>498</v>
      </c>
      <c r="F1177" s="4">
        <v>42045</v>
      </c>
      <c r="G1177" s="3">
        <v>52.8</v>
      </c>
      <c r="H1177" s="3">
        <v>3.5</v>
      </c>
      <c r="I1177" s="4">
        <v>42087</v>
      </c>
      <c r="J1177" s="3">
        <v>52.5</v>
      </c>
      <c r="K1177" s="3">
        <v>4</v>
      </c>
      <c r="L1177" s="3">
        <v>42</v>
      </c>
      <c r="M1177" s="5">
        <v>-0.29999999999999716</v>
      </c>
      <c r="N1177" s="5">
        <v>0.5</v>
      </c>
      <c r="O1177" s="5">
        <v>102.06</v>
      </c>
      <c r="P1177" s="5">
        <v>-7.1428571428570748</v>
      </c>
      <c r="Q1177" s="5">
        <v>10.550445642857145</v>
      </c>
      <c r="R1177" s="8">
        <f t="shared" si="102"/>
        <v>14</v>
      </c>
      <c r="S1177" s="9">
        <f t="shared" si="103"/>
        <v>-3.5</v>
      </c>
      <c r="T1177" s="9">
        <v>1.5</v>
      </c>
      <c r="U1177" s="9">
        <f t="shared" si="104"/>
        <v>34.020000000000003</v>
      </c>
      <c r="V1177" s="9">
        <f t="shared" si="105"/>
        <v>-250</v>
      </c>
      <c r="W1177" s="9">
        <f t="shared" si="106"/>
        <v>-1.4224115000000008</v>
      </c>
    </row>
    <row r="1178" spans="1:23">
      <c r="A1178" s="2" t="s">
        <v>335</v>
      </c>
      <c r="B1178" s="2" t="s">
        <v>499</v>
      </c>
      <c r="C1178" s="3">
        <v>133</v>
      </c>
      <c r="D1178" s="3">
        <v>2.4700000000000002</v>
      </c>
      <c r="E1178" s="2" t="s">
        <v>500</v>
      </c>
      <c r="F1178" s="4">
        <v>42045</v>
      </c>
      <c r="G1178" s="3">
        <v>58.4</v>
      </c>
      <c r="H1178" s="3">
        <v>2.5</v>
      </c>
      <c r="I1178" s="4">
        <v>42045</v>
      </c>
      <c r="J1178" s="3">
        <v>58.4</v>
      </c>
      <c r="K1178" s="3">
        <v>2.5</v>
      </c>
      <c r="L1178" s="3">
        <v>0</v>
      </c>
      <c r="M1178" s="5">
        <v>0</v>
      </c>
      <c r="N1178" s="5">
        <v>0</v>
      </c>
      <c r="O1178" s="5">
        <v>0</v>
      </c>
      <c r="P1178" s="5">
        <v>0</v>
      </c>
      <c r="Q1178" s="5">
        <v>11.874855999999999</v>
      </c>
      <c r="R1178" s="8">
        <f t="shared" si="102"/>
        <v>0</v>
      </c>
      <c r="S1178" s="9">
        <f t="shared" si="103"/>
        <v>0</v>
      </c>
      <c r="T1178" s="9">
        <v>1.5</v>
      </c>
      <c r="U1178" s="9">
        <f t="shared" si="104"/>
        <v>0</v>
      </c>
      <c r="V1178" s="9">
        <f t="shared" si="105"/>
        <v>0</v>
      </c>
      <c r="W1178" s="9">
        <f t="shared" si="106"/>
        <v>11.874855999999999</v>
      </c>
    </row>
    <row r="1179" spans="1:23">
      <c r="A1179" s="2" t="s">
        <v>335</v>
      </c>
      <c r="B1179" s="2" t="s">
        <v>499</v>
      </c>
      <c r="C1179" s="3">
        <v>133</v>
      </c>
      <c r="D1179" s="3">
        <v>2.4700000000000002</v>
      </c>
      <c r="E1179" s="2" t="s">
        <v>500</v>
      </c>
      <c r="F1179" s="4">
        <v>42045</v>
      </c>
      <c r="G1179" s="3">
        <v>58.4</v>
      </c>
      <c r="H1179" s="3">
        <v>2.5</v>
      </c>
      <c r="I1179" s="4">
        <v>42059</v>
      </c>
      <c r="J1179" s="3">
        <v>63</v>
      </c>
      <c r="K1179" s="3">
        <v>3.5</v>
      </c>
      <c r="L1179" s="3">
        <v>14</v>
      </c>
      <c r="M1179" s="5">
        <v>4.6000000000000014</v>
      </c>
      <c r="N1179" s="5">
        <v>1</v>
      </c>
      <c r="O1179" s="5">
        <v>34.580000000000005</v>
      </c>
      <c r="P1179" s="5">
        <v>328.57142857142867</v>
      </c>
      <c r="Q1179" s="5">
        <v>28.462334428571431</v>
      </c>
      <c r="R1179" s="8">
        <f t="shared" si="102"/>
        <v>14</v>
      </c>
      <c r="S1179" s="9">
        <f t="shared" si="103"/>
        <v>4.6000000000000014</v>
      </c>
      <c r="T1179" s="9">
        <v>1.5</v>
      </c>
      <c r="U1179" s="9">
        <f t="shared" si="104"/>
        <v>34.580000000000005</v>
      </c>
      <c r="V1179" s="9">
        <f t="shared" si="105"/>
        <v>328.57142857142867</v>
      </c>
      <c r="W1179" s="9">
        <f t="shared" si="106"/>
        <v>28.462334428571431</v>
      </c>
    </row>
    <row r="1180" spans="1:23">
      <c r="A1180" s="2" t="s">
        <v>335</v>
      </c>
      <c r="B1180" s="2" t="s">
        <v>499</v>
      </c>
      <c r="C1180" s="3">
        <v>133</v>
      </c>
      <c r="D1180" s="3">
        <v>2.4700000000000002</v>
      </c>
      <c r="E1180" s="2" t="s">
        <v>500</v>
      </c>
      <c r="F1180" s="4">
        <v>42045</v>
      </c>
      <c r="G1180" s="3">
        <v>58.4</v>
      </c>
      <c r="H1180" s="3">
        <v>2.5</v>
      </c>
      <c r="I1180" s="4">
        <v>42066</v>
      </c>
      <c r="J1180" s="3">
        <v>62</v>
      </c>
      <c r="K1180" s="3">
        <v>3</v>
      </c>
      <c r="L1180" s="3">
        <v>21</v>
      </c>
      <c r="M1180" s="5">
        <v>3.6000000000000014</v>
      </c>
      <c r="N1180" s="5">
        <v>0.5</v>
      </c>
      <c r="O1180" s="5">
        <v>51.870000000000005</v>
      </c>
      <c r="P1180" s="5">
        <v>171.42857142857147</v>
      </c>
      <c r="Q1180" s="5">
        <v>20.630646571428574</v>
      </c>
      <c r="R1180" s="8">
        <f t="shared" si="102"/>
        <v>7</v>
      </c>
      <c r="S1180" s="9">
        <f t="shared" si="103"/>
        <v>-1</v>
      </c>
      <c r="T1180" s="9">
        <v>1.5</v>
      </c>
      <c r="U1180" s="9">
        <f t="shared" si="104"/>
        <v>17.290000000000003</v>
      </c>
      <c r="V1180" s="9">
        <f t="shared" si="105"/>
        <v>-142.85714285714286</v>
      </c>
      <c r="W1180" s="9">
        <f t="shared" si="106"/>
        <v>5.1363608571428587</v>
      </c>
    </row>
    <row r="1181" spans="1:23">
      <c r="A1181" s="2" t="s">
        <v>335</v>
      </c>
      <c r="B1181" s="2" t="s">
        <v>499</v>
      </c>
      <c r="C1181" s="3">
        <v>133</v>
      </c>
      <c r="D1181" s="3">
        <v>2.4700000000000002</v>
      </c>
      <c r="E1181" s="2" t="s">
        <v>500</v>
      </c>
      <c r="F1181" s="4">
        <v>42045</v>
      </c>
      <c r="G1181" s="3">
        <v>58.4</v>
      </c>
      <c r="H1181" s="3">
        <v>2.5</v>
      </c>
      <c r="I1181" s="4">
        <v>42073</v>
      </c>
      <c r="J1181" s="3">
        <v>62.2</v>
      </c>
      <c r="K1181" s="3">
        <v>3</v>
      </c>
      <c r="L1181" s="3">
        <v>28</v>
      </c>
      <c r="M1181" s="5">
        <v>3.8000000000000043</v>
      </c>
      <c r="N1181" s="5">
        <v>0.5</v>
      </c>
      <c r="O1181" s="5">
        <v>69.160000000000011</v>
      </c>
      <c r="P1181" s="5">
        <v>135.71428571428586</v>
      </c>
      <c r="Q1181" s="5">
        <v>18.88684128571429</v>
      </c>
      <c r="R1181" s="8">
        <f t="shared" si="102"/>
        <v>7</v>
      </c>
      <c r="S1181" s="9">
        <f t="shared" si="103"/>
        <v>0.20000000000000284</v>
      </c>
      <c r="T1181" s="9">
        <v>1.5</v>
      </c>
      <c r="U1181" s="9">
        <f t="shared" si="104"/>
        <v>17.290000000000003</v>
      </c>
      <c r="V1181" s="9">
        <f t="shared" si="105"/>
        <v>28.571428571428978</v>
      </c>
      <c r="W1181" s="9">
        <f t="shared" si="106"/>
        <v>13.604698428571448</v>
      </c>
    </row>
    <row r="1182" spans="1:23">
      <c r="A1182" s="2" t="s">
        <v>335</v>
      </c>
      <c r="B1182" s="2" t="s">
        <v>499</v>
      </c>
      <c r="C1182" s="3">
        <v>133</v>
      </c>
      <c r="D1182" s="3">
        <v>2.4700000000000002</v>
      </c>
      <c r="E1182" s="2" t="s">
        <v>500</v>
      </c>
      <c r="F1182" s="4">
        <v>42045</v>
      </c>
      <c r="G1182" s="3">
        <v>58.4</v>
      </c>
      <c r="H1182" s="3">
        <v>2.5</v>
      </c>
      <c r="I1182" s="4">
        <v>42087</v>
      </c>
      <c r="J1182" s="3">
        <v>57.6</v>
      </c>
      <c r="K1182" s="3">
        <v>3.5</v>
      </c>
      <c r="L1182" s="3">
        <v>42</v>
      </c>
      <c r="M1182" s="5">
        <v>-0.79999999999999716</v>
      </c>
      <c r="N1182" s="5">
        <v>1</v>
      </c>
      <c r="O1182" s="5">
        <v>103.74000000000001</v>
      </c>
      <c r="P1182" s="5">
        <v>-19.04761904761898</v>
      </c>
      <c r="Q1182" s="5">
        <v>10.868172380952384</v>
      </c>
      <c r="R1182" s="8">
        <f t="shared" si="102"/>
        <v>14</v>
      </c>
      <c r="S1182" s="9">
        <f t="shared" si="103"/>
        <v>-4.6000000000000014</v>
      </c>
      <c r="T1182" s="9">
        <v>1.5</v>
      </c>
      <c r="U1182" s="9">
        <f t="shared" si="104"/>
        <v>34.580000000000005</v>
      </c>
      <c r="V1182" s="9">
        <f t="shared" si="105"/>
        <v>-328.57142857142867</v>
      </c>
      <c r="W1182" s="9">
        <f t="shared" si="106"/>
        <v>-4.3913514285714346</v>
      </c>
    </row>
    <row r="1183" spans="1:23">
      <c r="A1183" s="2" t="s">
        <v>335</v>
      </c>
      <c r="B1183" s="2" t="s">
        <v>499</v>
      </c>
      <c r="C1183" s="3">
        <v>133</v>
      </c>
      <c r="D1183" s="3">
        <v>2.4700000000000002</v>
      </c>
      <c r="E1183" s="2" t="s">
        <v>501</v>
      </c>
      <c r="F1183" s="4">
        <v>42045</v>
      </c>
      <c r="G1183" s="3">
        <v>52.6</v>
      </c>
      <c r="H1183" s="3">
        <v>2.5</v>
      </c>
      <c r="I1183" s="4">
        <v>42045</v>
      </c>
      <c r="J1183" s="3">
        <v>52.6</v>
      </c>
      <c r="K1183" s="3">
        <v>2.5</v>
      </c>
      <c r="L1183" s="3">
        <v>0</v>
      </c>
      <c r="M1183" s="5">
        <v>0</v>
      </c>
      <c r="N1183" s="5">
        <v>0</v>
      </c>
      <c r="O1183" s="5">
        <v>0</v>
      </c>
      <c r="P1183" s="5">
        <v>0</v>
      </c>
      <c r="Q1183" s="5">
        <v>10.894133999999999</v>
      </c>
      <c r="R1183" s="8">
        <f t="shared" si="102"/>
        <v>0</v>
      </c>
      <c r="S1183" s="9">
        <f t="shared" si="103"/>
        <v>0</v>
      </c>
      <c r="T1183" s="9">
        <v>1.5</v>
      </c>
      <c r="U1183" s="9">
        <f t="shared" si="104"/>
        <v>0</v>
      </c>
      <c r="V1183" s="9">
        <f t="shared" si="105"/>
        <v>0</v>
      </c>
      <c r="W1183" s="9">
        <f t="shared" si="106"/>
        <v>10.894133999999999</v>
      </c>
    </row>
    <row r="1184" spans="1:23">
      <c r="A1184" s="2" t="s">
        <v>335</v>
      </c>
      <c r="B1184" s="2" t="s">
        <v>499</v>
      </c>
      <c r="C1184" s="3">
        <v>133</v>
      </c>
      <c r="D1184" s="3">
        <v>2.4700000000000002</v>
      </c>
      <c r="E1184" s="2" t="s">
        <v>501</v>
      </c>
      <c r="F1184" s="4">
        <v>42045</v>
      </c>
      <c r="G1184" s="3">
        <v>52.6</v>
      </c>
      <c r="H1184" s="3">
        <v>2.5</v>
      </c>
      <c r="I1184" s="4">
        <v>42059</v>
      </c>
      <c r="J1184" s="3">
        <v>56.5</v>
      </c>
      <c r="K1184" s="3">
        <v>3.5</v>
      </c>
      <c r="L1184" s="3">
        <v>14</v>
      </c>
      <c r="M1184" s="5">
        <v>3.8999999999999986</v>
      </c>
      <c r="N1184" s="5">
        <v>1</v>
      </c>
      <c r="O1184" s="5">
        <v>34.580000000000005</v>
      </c>
      <c r="P1184" s="5">
        <v>278.57142857142844</v>
      </c>
      <c r="Q1184" s="5">
        <v>24.957430928571419</v>
      </c>
      <c r="R1184" s="8">
        <f t="shared" si="102"/>
        <v>14</v>
      </c>
      <c r="S1184" s="9">
        <f t="shared" si="103"/>
        <v>3.8999999999999986</v>
      </c>
      <c r="T1184" s="9">
        <v>1.5</v>
      </c>
      <c r="U1184" s="9">
        <f t="shared" si="104"/>
        <v>34.580000000000005</v>
      </c>
      <c r="V1184" s="9">
        <f t="shared" si="105"/>
        <v>278.57142857142844</v>
      </c>
      <c r="W1184" s="9">
        <f t="shared" si="106"/>
        <v>24.957430928571419</v>
      </c>
    </row>
    <row r="1185" spans="1:23">
      <c r="A1185" s="2" t="s">
        <v>335</v>
      </c>
      <c r="B1185" s="2" t="s">
        <v>499</v>
      </c>
      <c r="C1185" s="3">
        <v>133</v>
      </c>
      <c r="D1185" s="3">
        <v>2.4700000000000002</v>
      </c>
      <c r="E1185" s="2" t="s">
        <v>501</v>
      </c>
      <c r="F1185" s="4">
        <v>42045</v>
      </c>
      <c r="G1185" s="3">
        <v>52.6</v>
      </c>
      <c r="H1185" s="3">
        <v>2.5</v>
      </c>
      <c r="I1185" s="4">
        <v>42066</v>
      </c>
      <c r="J1185" s="3">
        <v>56</v>
      </c>
      <c r="K1185" s="3">
        <v>3.5</v>
      </c>
      <c r="L1185" s="3">
        <v>21</v>
      </c>
      <c r="M1185" s="5">
        <v>3.3999999999999986</v>
      </c>
      <c r="N1185" s="5">
        <v>1</v>
      </c>
      <c r="O1185" s="5">
        <v>51.870000000000005</v>
      </c>
      <c r="P1185" s="5">
        <v>161.90476190476184</v>
      </c>
      <c r="Q1185" s="5">
        <v>19.163491761904758</v>
      </c>
      <c r="R1185" s="8">
        <f t="shared" si="102"/>
        <v>7</v>
      </c>
      <c r="S1185" s="9">
        <f t="shared" si="103"/>
        <v>-0.5</v>
      </c>
      <c r="T1185" s="9">
        <v>1.5</v>
      </c>
      <c r="U1185" s="9">
        <f t="shared" si="104"/>
        <v>17.290000000000003</v>
      </c>
      <c r="V1185" s="9">
        <f t="shared" si="105"/>
        <v>-71.428571428571431</v>
      </c>
      <c r="W1185" s="9">
        <f t="shared" si="106"/>
        <v>7.6601584285714281</v>
      </c>
    </row>
    <row r="1186" spans="1:23">
      <c r="A1186" s="2" t="s">
        <v>335</v>
      </c>
      <c r="B1186" s="2" t="s">
        <v>499</v>
      </c>
      <c r="C1186" s="3">
        <v>133</v>
      </c>
      <c r="D1186" s="3">
        <v>2.4700000000000002</v>
      </c>
      <c r="E1186" s="2" t="s">
        <v>501</v>
      </c>
      <c r="F1186" s="4">
        <v>42045</v>
      </c>
      <c r="G1186" s="3">
        <v>52.6</v>
      </c>
      <c r="H1186" s="3">
        <v>2.5</v>
      </c>
      <c r="I1186" s="4">
        <v>42073</v>
      </c>
      <c r="J1186" s="3">
        <v>55.6</v>
      </c>
      <c r="K1186" s="3">
        <v>3</v>
      </c>
      <c r="L1186" s="3">
        <v>28</v>
      </c>
      <c r="M1186" s="5">
        <v>3</v>
      </c>
      <c r="N1186" s="5">
        <v>0.5</v>
      </c>
      <c r="O1186" s="5">
        <v>69.160000000000011</v>
      </c>
      <c r="P1186" s="5">
        <v>107.14285714285714</v>
      </c>
      <c r="Q1186" s="5">
        <v>16.429911857142855</v>
      </c>
      <c r="R1186" s="8">
        <f t="shared" si="102"/>
        <v>7</v>
      </c>
      <c r="S1186" s="9">
        <f t="shared" si="103"/>
        <v>-0.39999999999999858</v>
      </c>
      <c r="T1186" s="9">
        <v>1.5</v>
      </c>
      <c r="U1186" s="9">
        <f t="shared" si="104"/>
        <v>17.290000000000003</v>
      </c>
      <c r="V1186" s="9">
        <f t="shared" si="105"/>
        <v>-57.14285714285694</v>
      </c>
      <c r="W1186" s="9">
        <f t="shared" si="106"/>
        <v>8.3306261428571524</v>
      </c>
    </row>
    <row r="1187" spans="1:23">
      <c r="A1187" s="2" t="s">
        <v>335</v>
      </c>
      <c r="B1187" s="2" t="s">
        <v>499</v>
      </c>
      <c r="C1187" s="3">
        <v>133</v>
      </c>
      <c r="D1187" s="3">
        <v>2.4700000000000002</v>
      </c>
      <c r="E1187" s="2" t="s">
        <v>501</v>
      </c>
      <c r="F1187" s="4">
        <v>42045</v>
      </c>
      <c r="G1187" s="3">
        <v>52.6</v>
      </c>
      <c r="H1187" s="3">
        <v>2.5</v>
      </c>
      <c r="I1187" s="4">
        <v>42087</v>
      </c>
      <c r="J1187" s="3">
        <v>51.8</v>
      </c>
      <c r="K1187" s="3">
        <v>3</v>
      </c>
      <c r="L1187" s="3">
        <v>42</v>
      </c>
      <c r="M1187" s="5">
        <v>-0.80000000000000426</v>
      </c>
      <c r="N1187" s="5">
        <v>0.5</v>
      </c>
      <c r="O1187" s="5">
        <v>103.74000000000001</v>
      </c>
      <c r="P1187" s="5">
        <v>-19.04761904761915</v>
      </c>
      <c r="Q1187" s="5">
        <v>9.8874503809523766</v>
      </c>
      <c r="R1187" s="8">
        <f t="shared" si="102"/>
        <v>14</v>
      </c>
      <c r="S1187" s="9">
        <f t="shared" si="103"/>
        <v>-3.8000000000000043</v>
      </c>
      <c r="T1187" s="9">
        <v>1.5</v>
      </c>
      <c r="U1187" s="9">
        <f t="shared" si="104"/>
        <v>34.580000000000005</v>
      </c>
      <c r="V1187" s="9">
        <f t="shared" si="105"/>
        <v>-271.42857142857173</v>
      </c>
      <c r="W1187" s="9">
        <f t="shared" si="106"/>
        <v>-2.554930571428585</v>
      </c>
    </row>
    <row r="1188" spans="1:23">
      <c r="A1188" s="2" t="s">
        <v>335</v>
      </c>
      <c r="B1188" s="2" t="s">
        <v>499</v>
      </c>
      <c r="C1188" s="3">
        <v>133</v>
      </c>
      <c r="D1188" s="3">
        <v>2.4700000000000002</v>
      </c>
      <c r="E1188" s="2" t="s">
        <v>502</v>
      </c>
      <c r="F1188" s="4">
        <v>42045</v>
      </c>
      <c r="G1188" s="3">
        <v>53.6</v>
      </c>
      <c r="H1188" s="3">
        <v>3</v>
      </c>
      <c r="I1188" s="4">
        <v>42045</v>
      </c>
      <c r="J1188" s="3">
        <v>53.6</v>
      </c>
      <c r="K1188" s="3">
        <v>3</v>
      </c>
      <c r="L1188" s="3">
        <v>0</v>
      </c>
      <c r="M1188" s="5">
        <v>0</v>
      </c>
      <c r="N1188" s="5">
        <v>0</v>
      </c>
      <c r="O1188" s="5">
        <v>0</v>
      </c>
      <c r="P1188" s="5">
        <v>0</v>
      </c>
      <c r="Q1188" s="5">
        <v>11.063224</v>
      </c>
      <c r="R1188" s="8">
        <f t="shared" si="102"/>
        <v>0</v>
      </c>
      <c r="S1188" s="9">
        <f t="shared" si="103"/>
        <v>0</v>
      </c>
      <c r="T1188" s="9">
        <v>1.5</v>
      </c>
      <c r="U1188" s="9">
        <f t="shared" si="104"/>
        <v>0</v>
      </c>
      <c r="V1188" s="9">
        <f t="shared" si="105"/>
        <v>0</v>
      </c>
      <c r="W1188" s="9">
        <f t="shared" si="106"/>
        <v>11.063224</v>
      </c>
    </row>
    <row r="1189" spans="1:23">
      <c r="A1189" s="2" t="s">
        <v>335</v>
      </c>
      <c r="B1189" s="2" t="s">
        <v>499</v>
      </c>
      <c r="C1189" s="3">
        <v>133</v>
      </c>
      <c r="D1189" s="3">
        <v>2.4700000000000002</v>
      </c>
      <c r="E1189" s="2" t="s">
        <v>502</v>
      </c>
      <c r="F1189" s="4">
        <v>42045</v>
      </c>
      <c r="G1189" s="3">
        <v>53.6</v>
      </c>
      <c r="H1189" s="3">
        <v>3</v>
      </c>
      <c r="I1189" s="4">
        <v>42059</v>
      </c>
      <c r="J1189" s="3">
        <v>52.5</v>
      </c>
      <c r="K1189" s="3">
        <v>2.5</v>
      </c>
      <c r="L1189" s="3">
        <v>14</v>
      </c>
      <c r="M1189" s="5">
        <v>-1.1000000000000014</v>
      </c>
      <c r="N1189" s="5">
        <v>-0.5</v>
      </c>
      <c r="O1189" s="5">
        <v>34.580000000000005</v>
      </c>
      <c r="P1189" s="5">
        <v>-78.571428571428669</v>
      </c>
      <c r="Q1189" s="5">
        <v>7.0966530714285661</v>
      </c>
      <c r="R1189" s="8">
        <f t="shared" si="102"/>
        <v>14</v>
      </c>
      <c r="S1189" s="9">
        <f t="shared" si="103"/>
        <v>-1.1000000000000014</v>
      </c>
      <c r="T1189" s="9">
        <v>1.5</v>
      </c>
      <c r="U1189" s="9">
        <f t="shared" si="104"/>
        <v>34.580000000000005</v>
      </c>
      <c r="V1189" s="9">
        <f t="shared" si="105"/>
        <v>-78.571428571428669</v>
      </c>
      <c r="W1189" s="9">
        <f t="shared" si="106"/>
        <v>7.0966530714285661</v>
      </c>
    </row>
    <row r="1190" spans="1:23">
      <c r="A1190" s="2" t="s">
        <v>335</v>
      </c>
      <c r="B1190" s="2" t="s">
        <v>499</v>
      </c>
      <c r="C1190" s="3">
        <v>133</v>
      </c>
      <c r="D1190" s="3">
        <v>2.4700000000000002</v>
      </c>
      <c r="E1190" s="2" t="s">
        <v>502</v>
      </c>
      <c r="F1190" s="4">
        <v>42045</v>
      </c>
      <c r="G1190" s="3">
        <v>53.6</v>
      </c>
      <c r="H1190" s="3">
        <v>3</v>
      </c>
      <c r="I1190" s="4">
        <v>42066</v>
      </c>
      <c r="J1190" s="3">
        <v>53</v>
      </c>
      <c r="K1190" s="3">
        <v>3</v>
      </c>
      <c r="L1190" s="3">
        <v>21</v>
      </c>
      <c r="M1190" s="5">
        <v>-0.60000000000000142</v>
      </c>
      <c r="N1190" s="5">
        <v>0</v>
      </c>
      <c r="O1190" s="5">
        <v>51.870000000000005</v>
      </c>
      <c r="P1190" s="5">
        <v>-28.57142857142864</v>
      </c>
      <c r="Q1190" s="5">
        <v>9.6039255714285687</v>
      </c>
      <c r="R1190" s="8">
        <f t="shared" si="102"/>
        <v>7</v>
      </c>
      <c r="S1190" s="9">
        <f t="shared" si="103"/>
        <v>0.5</v>
      </c>
      <c r="T1190" s="9">
        <v>1.5</v>
      </c>
      <c r="U1190" s="9">
        <f t="shared" si="104"/>
        <v>17.290000000000003</v>
      </c>
      <c r="V1190" s="9">
        <f t="shared" si="105"/>
        <v>71.428571428571431</v>
      </c>
      <c r="W1190" s="9">
        <f t="shared" si="106"/>
        <v>14.53392557142857</v>
      </c>
    </row>
    <row r="1191" spans="1:23">
      <c r="A1191" s="2" t="s">
        <v>335</v>
      </c>
      <c r="B1191" s="2" t="s">
        <v>499</v>
      </c>
      <c r="C1191" s="3">
        <v>133</v>
      </c>
      <c r="D1191" s="3">
        <v>2.4700000000000002</v>
      </c>
      <c r="E1191" s="2" t="s">
        <v>502</v>
      </c>
      <c r="F1191" s="4">
        <v>42045</v>
      </c>
      <c r="G1191" s="3">
        <v>53.6</v>
      </c>
      <c r="H1191" s="3">
        <v>3</v>
      </c>
      <c r="I1191" s="4">
        <v>42073</v>
      </c>
      <c r="J1191" s="3">
        <v>53.6</v>
      </c>
      <c r="K1191" s="3">
        <v>2.5</v>
      </c>
      <c r="L1191" s="3">
        <v>28</v>
      </c>
      <c r="M1191" s="5">
        <v>0</v>
      </c>
      <c r="N1191" s="5">
        <v>-0.5</v>
      </c>
      <c r="O1191" s="5">
        <v>69.160000000000011</v>
      </c>
      <c r="P1191" s="5">
        <v>0</v>
      </c>
      <c r="Q1191" s="5">
        <v>11.063224</v>
      </c>
      <c r="R1191" s="8">
        <f t="shared" si="102"/>
        <v>7</v>
      </c>
      <c r="S1191" s="9">
        <f t="shared" si="103"/>
        <v>0.60000000000000142</v>
      </c>
      <c r="T1191" s="9">
        <v>1.5</v>
      </c>
      <c r="U1191" s="9">
        <f t="shared" si="104"/>
        <v>17.290000000000003</v>
      </c>
      <c r="V1191" s="9">
        <f t="shared" si="105"/>
        <v>85.714285714285921</v>
      </c>
      <c r="W1191" s="9">
        <f t="shared" si="106"/>
        <v>15.288938285714295</v>
      </c>
    </row>
    <row r="1192" spans="1:23">
      <c r="A1192" s="2" t="s">
        <v>335</v>
      </c>
      <c r="B1192" s="2" t="s">
        <v>499</v>
      </c>
      <c r="C1192" s="3">
        <v>133</v>
      </c>
      <c r="D1192" s="3">
        <v>2.4700000000000002</v>
      </c>
      <c r="E1192" s="2" t="s">
        <v>502</v>
      </c>
      <c r="F1192" s="4">
        <v>42045</v>
      </c>
      <c r="G1192" s="3">
        <v>53.6</v>
      </c>
      <c r="H1192" s="3">
        <v>3</v>
      </c>
      <c r="I1192" s="4">
        <v>42087</v>
      </c>
      <c r="J1192" s="3">
        <v>51.6</v>
      </c>
      <c r="K1192" s="3">
        <v>3</v>
      </c>
      <c r="L1192" s="3">
        <v>42</v>
      </c>
      <c r="M1192" s="5">
        <v>-2</v>
      </c>
      <c r="N1192" s="5">
        <v>0</v>
      </c>
      <c r="O1192" s="5">
        <v>103.74000000000001</v>
      </c>
      <c r="P1192" s="5">
        <v>-47.619047619047613</v>
      </c>
      <c r="Q1192" s="5">
        <v>8.5465149523809529</v>
      </c>
      <c r="R1192" s="8">
        <f t="shared" si="102"/>
        <v>14</v>
      </c>
      <c r="S1192" s="9">
        <f t="shared" si="103"/>
        <v>-2</v>
      </c>
      <c r="T1192" s="9">
        <v>1.5</v>
      </c>
      <c r="U1192" s="9">
        <f t="shared" si="104"/>
        <v>34.580000000000005</v>
      </c>
      <c r="V1192" s="9">
        <f t="shared" si="105"/>
        <v>-142.85714285714286</v>
      </c>
      <c r="W1192" s="9">
        <f t="shared" si="106"/>
        <v>3.8512768571428575</v>
      </c>
    </row>
    <row r="1193" spans="1:23">
      <c r="A1193" s="2" t="s">
        <v>335</v>
      </c>
      <c r="B1193" s="2" t="s">
        <v>499</v>
      </c>
      <c r="C1193" s="3">
        <v>133</v>
      </c>
      <c r="D1193" s="3">
        <v>2.4700000000000002</v>
      </c>
      <c r="E1193" s="2" t="s">
        <v>503</v>
      </c>
      <c r="F1193" s="4">
        <v>42045</v>
      </c>
      <c r="G1193" s="3">
        <v>55.6</v>
      </c>
      <c r="H1193" s="3">
        <v>3</v>
      </c>
      <c r="I1193" s="4">
        <v>42045</v>
      </c>
      <c r="J1193" s="3">
        <v>55.6</v>
      </c>
      <c r="K1193" s="3">
        <v>3</v>
      </c>
      <c r="L1193" s="3">
        <v>0</v>
      </c>
      <c r="M1193" s="5">
        <v>0</v>
      </c>
      <c r="N1193" s="5">
        <v>0</v>
      </c>
      <c r="O1193" s="5">
        <v>0</v>
      </c>
      <c r="P1193" s="5">
        <v>0</v>
      </c>
      <c r="Q1193" s="5">
        <v>11.401403999999999</v>
      </c>
      <c r="R1193" s="8">
        <f t="shared" si="102"/>
        <v>0</v>
      </c>
      <c r="S1193" s="9">
        <f t="shared" si="103"/>
        <v>0</v>
      </c>
      <c r="T1193" s="9">
        <v>1.5</v>
      </c>
      <c r="U1193" s="9">
        <f t="shared" si="104"/>
        <v>0</v>
      </c>
      <c r="V1193" s="9">
        <f t="shared" si="105"/>
        <v>0</v>
      </c>
      <c r="W1193" s="9">
        <f t="shared" si="106"/>
        <v>11.401403999999999</v>
      </c>
    </row>
    <row r="1194" spans="1:23">
      <c r="A1194" s="2" t="s">
        <v>335</v>
      </c>
      <c r="B1194" s="2" t="s">
        <v>499</v>
      </c>
      <c r="C1194" s="3">
        <v>133</v>
      </c>
      <c r="D1194" s="3">
        <v>2.4700000000000002</v>
      </c>
      <c r="E1194" s="2" t="s">
        <v>503</v>
      </c>
      <c r="F1194" s="4">
        <v>42045</v>
      </c>
      <c r="G1194" s="3">
        <v>55.6</v>
      </c>
      <c r="H1194" s="3">
        <v>3</v>
      </c>
      <c r="I1194" s="4">
        <v>42059</v>
      </c>
      <c r="J1194" s="3">
        <v>60</v>
      </c>
      <c r="K1194" s="3">
        <v>3.5</v>
      </c>
      <c r="L1194" s="3">
        <v>14</v>
      </c>
      <c r="M1194" s="5">
        <v>4.3999999999999986</v>
      </c>
      <c r="N1194" s="5">
        <v>0.5</v>
      </c>
      <c r="O1194" s="5">
        <v>34.580000000000005</v>
      </c>
      <c r="P1194" s="5">
        <v>314.28571428571416</v>
      </c>
      <c r="Q1194" s="5">
        <v>27.267687714285707</v>
      </c>
      <c r="R1194" s="8">
        <f t="shared" si="102"/>
        <v>14</v>
      </c>
      <c r="S1194" s="9">
        <f t="shared" si="103"/>
        <v>4.3999999999999986</v>
      </c>
      <c r="T1194" s="9">
        <v>1.5</v>
      </c>
      <c r="U1194" s="9">
        <f t="shared" si="104"/>
        <v>34.580000000000005</v>
      </c>
      <c r="V1194" s="9">
        <f t="shared" si="105"/>
        <v>314.28571428571416</v>
      </c>
      <c r="W1194" s="9">
        <f t="shared" si="106"/>
        <v>27.267687714285707</v>
      </c>
    </row>
    <row r="1195" spans="1:23">
      <c r="A1195" s="2" t="s">
        <v>335</v>
      </c>
      <c r="B1195" s="2" t="s">
        <v>499</v>
      </c>
      <c r="C1195" s="3">
        <v>133</v>
      </c>
      <c r="D1195" s="3">
        <v>2.4700000000000002</v>
      </c>
      <c r="E1195" s="2" t="s">
        <v>503</v>
      </c>
      <c r="F1195" s="4">
        <v>42045</v>
      </c>
      <c r="G1195" s="3">
        <v>55.6</v>
      </c>
      <c r="H1195" s="3">
        <v>3</v>
      </c>
      <c r="I1195" s="4">
        <v>42066</v>
      </c>
      <c r="J1195" s="3">
        <v>62.5</v>
      </c>
      <c r="K1195" s="3">
        <v>4.5</v>
      </c>
      <c r="L1195" s="3">
        <v>21</v>
      </c>
      <c r="M1195" s="5">
        <v>6.8999999999999986</v>
      </c>
      <c r="N1195" s="5">
        <v>1.5</v>
      </c>
      <c r="O1195" s="5">
        <v>51.870000000000005</v>
      </c>
      <c r="P1195" s="5">
        <v>328.5714285714285</v>
      </c>
      <c r="Q1195" s="5">
        <v>28.183335928571424</v>
      </c>
      <c r="R1195" s="8">
        <f t="shared" si="102"/>
        <v>7</v>
      </c>
      <c r="S1195" s="9">
        <f t="shared" si="103"/>
        <v>2.5</v>
      </c>
      <c r="T1195" s="9">
        <v>1.5</v>
      </c>
      <c r="U1195" s="9">
        <f t="shared" si="104"/>
        <v>17.290000000000003</v>
      </c>
      <c r="V1195" s="9">
        <f t="shared" si="105"/>
        <v>357.14285714285717</v>
      </c>
      <c r="W1195" s="9">
        <f t="shared" si="106"/>
        <v>29.591907357142858</v>
      </c>
    </row>
    <row r="1196" spans="1:23">
      <c r="A1196" s="2" t="s">
        <v>335</v>
      </c>
      <c r="B1196" s="2" t="s">
        <v>499</v>
      </c>
      <c r="C1196" s="3">
        <v>133</v>
      </c>
      <c r="D1196" s="3">
        <v>2.4700000000000002</v>
      </c>
      <c r="E1196" s="2" t="s">
        <v>503</v>
      </c>
      <c r="F1196" s="4">
        <v>42045</v>
      </c>
      <c r="G1196" s="3">
        <v>55.6</v>
      </c>
      <c r="H1196" s="3">
        <v>3</v>
      </c>
      <c r="I1196" s="4">
        <v>42073</v>
      </c>
      <c r="J1196" s="3">
        <v>61.2</v>
      </c>
      <c r="K1196" s="3">
        <v>4</v>
      </c>
      <c r="L1196" s="3">
        <v>28</v>
      </c>
      <c r="M1196" s="5">
        <v>5.6000000000000014</v>
      </c>
      <c r="N1196" s="5">
        <v>1</v>
      </c>
      <c r="O1196" s="5">
        <v>69.160000000000011</v>
      </c>
      <c r="P1196" s="5">
        <v>200.00000000000003</v>
      </c>
      <c r="Q1196" s="5">
        <v>21.734856000000001</v>
      </c>
      <c r="R1196" s="8">
        <f t="shared" si="102"/>
        <v>7</v>
      </c>
      <c r="S1196" s="9">
        <f t="shared" si="103"/>
        <v>-1.2999999999999972</v>
      </c>
      <c r="T1196" s="9">
        <v>1.5</v>
      </c>
      <c r="U1196" s="9">
        <f t="shared" si="104"/>
        <v>17.290000000000003</v>
      </c>
      <c r="V1196" s="9">
        <f t="shared" si="105"/>
        <v>-185.7142857142853</v>
      </c>
      <c r="W1196" s="9">
        <f t="shared" si="106"/>
        <v>2.7191417142857368</v>
      </c>
    </row>
    <row r="1197" spans="1:23">
      <c r="A1197" s="2" t="s">
        <v>335</v>
      </c>
      <c r="B1197" s="2" t="s">
        <v>499</v>
      </c>
      <c r="C1197" s="3">
        <v>133</v>
      </c>
      <c r="D1197" s="3">
        <v>2.4700000000000002</v>
      </c>
      <c r="E1197" s="2" t="s">
        <v>503</v>
      </c>
      <c r="F1197" s="4">
        <v>42045</v>
      </c>
      <c r="G1197" s="3">
        <v>55.6</v>
      </c>
      <c r="H1197" s="3">
        <v>3</v>
      </c>
      <c r="I1197" s="4">
        <v>42087</v>
      </c>
      <c r="J1197" s="3">
        <v>59.4</v>
      </c>
      <c r="K1197" s="3">
        <v>3.5</v>
      </c>
      <c r="L1197" s="3">
        <v>42</v>
      </c>
      <c r="M1197" s="5">
        <v>3.7999999999999972</v>
      </c>
      <c r="N1197" s="5">
        <v>0.5</v>
      </c>
      <c r="O1197" s="5">
        <v>103.74000000000001</v>
      </c>
      <c r="P1197" s="5">
        <v>90.476190476190411</v>
      </c>
      <c r="Q1197" s="5">
        <v>16.183151190476185</v>
      </c>
      <c r="R1197" s="8">
        <f t="shared" si="102"/>
        <v>14</v>
      </c>
      <c r="S1197" s="9">
        <f t="shared" si="103"/>
        <v>-1.8000000000000043</v>
      </c>
      <c r="T1197" s="9">
        <v>1.5</v>
      </c>
      <c r="U1197" s="9">
        <f t="shared" si="104"/>
        <v>34.580000000000005</v>
      </c>
      <c r="V1197" s="9">
        <f t="shared" si="105"/>
        <v>-128.57142857142887</v>
      </c>
      <c r="W1197" s="9">
        <f t="shared" si="106"/>
        <v>5.3841035714285566</v>
      </c>
    </row>
    <row r="1198" spans="1:23">
      <c r="A1198" s="2" t="s">
        <v>335</v>
      </c>
      <c r="B1198" s="2" t="s">
        <v>499</v>
      </c>
      <c r="C1198" s="3">
        <v>133</v>
      </c>
      <c r="D1198" s="3">
        <v>2.4700000000000002</v>
      </c>
      <c r="E1198" s="2" t="s">
        <v>504</v>
      </c>
      <c r="F1198" s="4">
        <v>42045</v>
      </c>
      <c r="G1198" s="3">
        <v>59.8</v>
      </c>
      <c r="H1198" s="3">
        <v>4</v>
      </c>
      <c r="I1198" s="4">
        <v>42045</v>
      </c>
      <c r="J1198" s="3">
        <v>59.8</v>
      </c>
      <c r="K1198" s="3">
        <v>4</v>
      </c>
      <c r="L1198" s="3">
        <v>0</v>
      </c>
      <c r="M1198" s="5">
        <v>0</v>
      </c>
      <c r="N1198" s="5">
        <v>0</v>
      </c>
      <c r="O1198" s="5">
        <v>0</v>
      </c>
      <c r="P1198" s="5">
        <v>0</v>
      </c>
      <c r="Q1198" s="5">
        <v>12.111581999999999</v>
      </c>
      <c r="R1198" s="8">
        <f t="shared" si="102"/>
        <v>0</v>
      </c>
      <c r="S1198" s="9">
        <f t="shared" si="103"/>
        <v>0</v>
      </c>
      <c r="T1198" s="9">
        <v>1.5</v>
      </c>
      <c r="U1198" s="9">
        <f t="shared" si="104"/>
        <v>0</v>
      </c>
      <c r="V1198" s="9">
        <f t="shared" si="105"/>
        <v>0</v>
      </c>
      <c r="W1198" s="9">
        <f t="shared" si="106"/>
        <v>12.111581999999999</v>
      </c>
    </row>
    <row r="1199" spans="1:23">
      <c r="A1199" s="2" t="s">
        <v>335</v>
      </c>
      <c r="B1199" s="2" t="s">
        <v>499</v>
      </c>
      <c r="C1199" s="3">
        <v>133</v>
      </c>
      <c r="D1199" s="3">
        <v>2.4700000000000002</v>
      </c>
      <c r="E1199" s="2" t="s">
        <v>504</v>
      </c>
      <c r="F1199" s="4">
        <v>42045</v>
      </c>
      <c r="G1199" s="3">
        <v>59.8</v>
      </c>
      <c r="H1199" s="3">
        <v>4</v>
      </c>
      <c r="I1199" s="4">
        <v>42059</v>
      </c>
      <c r="J1199" s="3">
        <v>66</v>
      </c>
      <c r="K1199" s="3">
        <v>3.5</v>
      </c>
      <c r="L1199" s="3">
        <v>14</v>
      </c>
      <c r="M1199" s="5">
        <v>6.2000000000000028</v>
      </c>
      <c r="N1199" s="5">
        <v>-0.5</v>
      </c>
      <c r="O1199" s="5">
        <v>34.580000000000005</v>
      </c>
      <c r="P1199" s="5">
        <v>442.85714285714306</v>
      </c>
      <c r="Q1199" s="5">
        <v>34.468618142857153</v>
      </c>
      <c r="R1199" s="8">
        <f t="shared" si="102"/>
        <v>14</v>
      </c>
      <c r="S1199" s="9">
        <f t="shared" si="103"/>
        <v>6.2000000000000028</v>
      </c>
      <c r="T1199" s="9">
        <v>1.5</v>
      </c>
      <c r="U1199" s="9">
        <f t="shared" si="104"/>
        <v>34.580000000000005</v>
      </c>
      <c r="V1199" s="9">
        <f t="shared" si="105"/>
        <v>442.85714285714306</v>
      </c>
      <c r="W1199" s="9">
        <f t="shared" si="106"/>
        <v>34.468618142857153</v>
      </c>
    </row>
    <row r="1200" spans="1:23">
      <c r="A1200" s="2" t="s">
        <v>335</v>
      </c>
      <c r="B1200" s="2" t="s">
        <v>499</v>
      </c>
      <c r="C1200" s="3">
        <v>133</v>
      </c>
      <c r="D1200" s="3">
        <v>2.4700000000000002</v>
      </c>
      <c r="E1200" s="2" t="s">
        <v>504</v>
      </c>
      <c r="F1200" s="4">
        <v>42045</v>
      </c>
      <c r="G1200" s="3">
        <v>59.8</v>
      </c>
      <c r="H1200" s="3">
        <v>4</v>
      </c>
      <c r="I1200" s="4">
        <v>42066</v>
      </c>
      <c r="J1200" s="3">
        <v>65</v>
      </c>
      <c r="K1200" s="3">
        <v>4.5</v>
      </c>
      <c r="L1200" s="3">
        <v>21</v>
      </c>
      <c r="M1200" s="5">
        <v>5.2000000000000028</v>
      </c>
      <c r="N1200" s="5">
        <v>0.5</v>
      </c>
      <c r="O1200" s="5">
        <v>51.870000000000005</v>
      </c>
      <c r="P1200" s="5">
        <v>247.61904761904776</v>
      </c>
      <c r="Q1200" s="5">
        <v>24.758835047619051</v>
      </c>
      <c r="R1200" s="8">
        <f t="shared" si="102"/>
        <v>7</v>
      </c>
      <c r="S1200" s="9">
        <f t="shared" si="103"/>
        <v>-1</v>
      </c>
      <c r="T1200" s="9">
        <v>1.5</v>
      </c>
      <c r="U1200" s="9">
        <f t="shared" si="104"/>
        <v>17.290000000000003</v>
      </c>
      <c r="V1200" s="9">
        <f t="shared" si="105"/>
        <v>-142.85714285714286</v>
      </c>
      <c r="W1200" s="9">
        <f t="shared" si="106"/>
        <v>5.5083588571428566</v>
      </c>
    </row>
    <row r="1201" spans="1:23">
      <c r="A1201" s="2" t="s">
        <v>335</v>
      </c>
      <c r="B1201" s="2" t="s">
        <v>499</v>
      </c>
      <c r="C1201" s="3">
        <v>133</v>
      </c>
      <c r="D1201" s="3">
        <v>2.4700000000000002</v>
      </c>
      <c r="E1201" s="2" t="s">
        <v>504</v>
      </c>
      <c r="F1201" s="4">
        <v>42045</v>
      </c>
      <c r="G1201" s="3">
        <v>59.8</v>
      </c>
      <c r="H1201" s="3">
        <v>4</v>
      </c>
      <c r="I1201" s="4">
        <v>42073</v>
      </c>
      <c r="J1201" s="3">
        <v>64.400000000000006</v>
      </c>
      <c r="K1201" s="3">
        <v>4</v>
      </c>
      <c r="L1201" s="3">
        <v>28</v>
      </c>
      <c r="M1201" s="5">
        <v>4.6000000000000085</v>
      </c>
      <c r="N1201" s="5">
        <v>0</v>
      </c>
      <c r="O1201" s="5">
        <v>69.160000000000011</v>
      </c>
      <c r="P1201" s="5">
        <v>164.28571428571459</v>
      </c>
      <c r="Q1201" s="5">
        <v>20.599774714285729</v>
      </c>
      <c r="R1201" s="8">
        <f t="shared" si="102"/>
        <v>7</v>
      </c>
      <c r="S1201" s="9">
        <f t="shared" si="103"/>
        <v>-0.59999999999999432</v>
      </c>
      <c r="T1201" s="9">
        <v>1.5</v>
      </c>
      <c r="U1201" s="9">
        <f t="shared" si="104"/>
        <v>17.290000000000003</v>
      </c>
      <c r="V1201" s="9">
        <f t="shared" si="105"/>
        <v>-85.714285714284898</v>
      </c>
      <c r="W1201" s="9">
        <f t="shared" si="106"/>
        <v>8.2747747142857548</v>
      </c>
    </row>
    <row r="1202" spans="1:23">
      <c r="A1202" s="2" t="s">
        <v>335</v>
      </c>
      <c r="B1202" s="2" t="s">
        <v>499</v>
      </c>
      <c r="C1202" s="3">
        <v>133</v>
      </c>
      <c r="D1202" s="3">
        <v>2.4700000000000002</v>
      </c>
      <c r="E1202" s="2" t="s">
        <v>504</v>
      </c>
      <c r="F1202" s="4">
        <v>42045</v>
      </c>
      <c r="G1202" s="3">
        <v>59.8</v>
      </c>
      <c r="H1202" s="3">
        <v>4</v>
      </c>
      <c r="I1202" s="4">
        <v>42087</v>
      </c>
      <c r="J1202" s="3">
        <v>62.6</v>
      </c>
      <c r="K1202" s="3">
        <v>3</v>
      </c>
      <c r="L1202" s="3">
        <v>42</v>
      </c>
      <c r="M1202" s="5">
        <v>2.8000000000000043</v>
      </c>
      <c r="N1202" s="5">
        <v>-1</v>
      </c>
      <c r="O1202" s="5">
        <v>103.74000000000001</v>
      </c>
      <c r="P1202" s="5">
        <v>66.666666666666757</v>
      </c>
      <c r="Q1202" s="5">
        <v>15.63497466666667</v>
      </c>
      <c r="R1202" s="8">
        <f t="shared" si="102"/>
        <v>14</v>
      </c>
      <c r="S1202" s="9">
        <f t="shared" si="103"/>
        <v>-1.8000000000000043</v>
      </c>
      <c r="T1202" s="9">
        <v>1.5</v>
      </c>
      <c r="U1202" s="9">
        <f t="shared" si="104"/>
        <v>34.580000000000005</v>
      </c>
      <c r="V1202" s="9">
        <f t="shared" si="105"/>
        <v>-128.57142857142887</v>
      </c>
      <c r="W1202" s="9">
        <f t="shared" si="106"/>
        <v>6.0097365714285571</v>
      </c>
    </row>
    <row r="1203" spans="1:23">
      <c r="A1203" s="2" t="s">
        <v>335</v>
      </c>
      <c r="B1203" s="2" t="s">
        <v>499</v>
      </c>
      <c r="C1203" s="3">
        <v>133</v>
      </c>
      <c r="D1203" s="3">
        <v>2.4700000000000002</v>
      </c>
      <c r="E1203" s="2" t="s">
        <v>505</v>
      </c>
      <c r="F1203" s="4">
        <v>42045</v>
      </c>
      <c r="G1203" s="3">
        <v>53.8</v>
      </c>
      <c r="H1203" s="3">
        <v>2.5</v>
      </c>
      <c r="I1203" s="4">
        <v>42045</v>
      </c>
      <c r="J1203" s="3">
        <v>53.8</v>
      </c>
      <c r="K1203" s="3">
        <v>2.5</v>
      </c>
      <c r="L1203" s="3">
        <v>0</v>
      </c>
      <c r="M1203" s="5">
        <v>0</v>
      </c>
      <c r="N1203" s="5">
        <v>0</v>
      </c>
      <c r="O1203" s="5">
        <v>0</v>
      </c>
      <c r="P1203" s="5">
        <v>0</v>
      </c>
      <c r="Q1203" s="5">
        <v>11.097041999999998</v>
      </c>
      <c r="R1203" s="8">
        <f t="shared" si="102"/>
        <v>0</v>
      </c>
      <c r="S1203" s="9">
        <f t="shared" si="103"/>
        <v>0</v>
      </c>
      <c r="T1203" s="9">
        <v>1.5</v>
      </c>
      <c r="U1203" s="9">
        <f t="shared" si="104"/>
        <v>0</v>
      </c>
      <c r="V1203" s="9">
        <f t="shared" si="105"/>
        <v>0</v>
      </c>
      <c r="W1203" s="9">
        <f t="shared" si="106"/>
        <v>11.097041999999998</v>
      </c>
    </row>
    <row r="1204" spans="1:23">
      <c r="A1204" s="2" t="s">
        <v>335</v>
      </c>
      <c r="B1204" s="2" t="s">
        <v>499</v>
      </c>
      <c r="C1204" s="3">
        <v>133</v>
      </c>
      <c r="D1204" s="3">
        <v>2.4700000000000002</v>
      </c>
      <c r="E1204" s="2" t="s">
        <v>505</v>
      </c>
      <c r="F1204" s="4">
        <v>42045</v>
      </c>
      <c r="G1204" s="3">
        <v>53.8</v>
      </c>
      <c r="H1204" s="3">
        <v>2.5</v>
      </c>
      <c r="I1204" s="4">
        <v>42059</v>
      </c>
      <c r="J1204" s="3">
        <v>59</v>
      </c>
      <c r="K1204" s="3">
        <v>3.5</v>
      </c>
      <c r="L1204" s="3">
        <v>14</v>
      </c>
      <c r="M1204" s="5">
        <v>5.2000000000000028</v>
      </c>
      <c r="N1204" s="5">
        <v>1</v>
      </c>
      <c r="O1204" s="5">
        <v>34.580000000000005</v>
      </c>
      <c r="P1204" s="5">
        <v>371.42857142857162</v>
      </c>
      <c r="Q1204" s="5">
        <v>29.848104571428578</v>
      </c>
      <c r="R1204" s="8">
        <f t="shared" si="102"/>
        <v>14</v>
      </c>
      <c r="S1204" s="9">
        <f t="shared" si="103"/>
        <v>5.2000000000000028</v>
      </c>
      <c r="T1204" s="9">
        <v>1.5</v>
      </c>
      <c r="U1204" s="9">
        <f t="shared" si="104"/>
        <v>34.580000000000005</v>
      </c>
      <c r="V1204" s="9">
        <f t="shared" si="105"/>
        <v>371.42857142857162</v>
      </c>
      <c r="W1204" s="9">
        <f t="shared" si="106"/>
        <v>29.848104571428578</v>
      </c>
    </row>
    <row r="1205" spans="1:23">
      <c r="A1205" s="2" t="s">
        <v>335</v>
      </c>
      <c r="B1205" s="2" t="s">
        <v>499</v>
      </c>
      <c r="C1205" s="3">
        <v>133</v>
      </c>
      <c r="D1205" s="3">
        <v>2.4700000000000002</v>
      </c>
      <c r="E1205" s="2" t="s">
        <v>505</v>
      </c>
      <c r="F1205" s="4">
        <v>42045</v>
      </c>
      <c r="G1205" s="3">
        <v>53.8</v>
      </c>
      <c r="H1205" s="3">
        <v>2.5</v>
      </c>
      <c r="I1205" s="4">
        <v>42066</v>
      </c>
      <c r="J1205" s="3">
        <v>60</v>
      </c>
      <c r="K1205" s="3">
        <v>4.5</v>
      </c>
      <c r="L1205" s="3">
        <v>21</v>
      </c>
      <c r="M1205" s="5">
        <v>6.2000000000000028</v>
      </c>
      <c r="N1205" s="5">
        <v>2</v>
      </c>
      <c r="O1205" s="5">
        <v>51.870000000000005</v>
      </c>
      <c r="P1205" s="5">
        <v>295.23809523809535</v>
      </c>
      <c r="Q1205" s="5">
        <v>26.176459095238098</v>
      </c>
      <c r="R1205" s="8">
        <f t="shared" si="102"/>
        <v>7</v>
      </c>
      <c r="S1205" s="9">
        <f t="shared" si="103"/>
        <v>1</v>
      </c>
      <c r="T1205" s="9">
        <v>1.5</v>
      </c>
      <c r="U1205" s="9">
        <f t="shared" si="104"/>
        <v>17.290000000000003</v>
      </c>
      <c r="V1205" s="9">
        <f t="shared" si="105"/>
        <v>142.85714285714286</v>
      </c>
      <c r="W1205" s="9">
        <f t="shared" si="106"/>
        <v>18.664078142857139</v>
      </c>
    </row>
    <row r="1206" spans="1:23">
      <c r="A1206" s="2" t="s">
        <v>335</v>
      </c>
      <c r="B1206" s="2" t="s">
        <v>499</v>
      </c>
      <c r="C1206" s="3">
        <v>133</v>
      </c>
      <c r="D1206" s="3">
        <v>2.4700000000000002</v>
      </c>
      <c r="E1206" s="2" t="s">
        <v>505</v>
      </c>
      <c r="F1206" s="4">
        <v>42045</v>
      </c>
      <c r="G1206" s="3">
        <v>53.8</v>
      </c>
      <c r="H1206" s="3">
        <v>2.5</v>
      </c>
      <c r="I1206" s="4">
        <v>42073</v>
      </c>
      <c r="J1206" s="3">
        <v>60.4</v>
      </c>
      <c r="K1206" s="3">
        <v>3.5</v>
      </c>
      <c r="L1206" s="3">
        <v>28</v>
      </c>
      <c r="M1206" s="5">
        <v>6.6000000000000014</v>
      </c>
      <c r="N1206" s="5">
        <v>1</v>
      </c>
      <c r="O1206" s="5">
        <v>69.160000000000011</v>
      </c>
      <c r="P1206" s="5">
        <v>235.71428571428578</v>
      </c>
      <c r="Q1206" s="5">
        <v>23.275753285714288</v>
      </c>
      <c r="R1206" s="8">
        <f t="shared" si="102"/>
        <v>7</v>
      </c>
      <c r="S1206" s="9">
        <f t="shared" si="103"/>
        <v>0.39999999999999858</v>
      </c>
      <c r="T1206" s="9">
        <v>1.5</v>
      </c>
      <c r="U1206" s="9">
        <f t="shared" si="104"/>
        <v>17.290000000000003</v>
      </c>
      <c r="V1206" s="9">
        <f t="shared" si="105"/>
        <v>57.14285714285694</v>
      </c>
      <c r="W1206" s="9">
        <f t="shared" si="106"/>
        <v>14.472181857142846</v>
      </c>
    </row>
    <row r="1207" spans="1:23">
      <c r="A1207" s="2" t="s">
        <v>335</v>
      </c>
      <c r="B1207" s="2" t="s">
        <v>499</v>
      </c>
      <c r="C1207" s="3">
        <v>133</v>
      </c>
      <c r="D1207" s="3">
        <v>2.4700000000000002</v>
      </c>
      <c r="E1207" s="2" t="s">
        <v>505</v>
      </c>
      <c r="F1207" s="4">
        <v>42045</v>
      </c>
      <c r="G1207" s="3">
        <v>53.8</v>
      </c>
      <c r="H1207" s="3">
        <v>2.5</v>
      </c>
      <c r="I1207" s="4">
        <v>42087</v>
      </c>
      <c r="J1207" s="3">
        <v>56.8</v>
      </c>
      <c r="K1207" s="3">
        <v>3</v>
      </c>
      <c r="L1207" s="3">
        <v>42</v>
      </c>
      <c r="M1207" s="5">
        <v>3</v>
      </c>
      <c r="N1207" s="5">
        <v>0.5</v>
      </c>
      <c r="O1207" s="5">
        <v>103.74000000000001</v>
      </c>
      <c r="P1207" s="5">
        <v>71.428571428571431</v>
      </c>
      <c r="Q1207" s="5">
        <v>14.87210557142857</v>
      </c>
      <c r="R1207" s="8">
        <f t="shared" si="102"/>
        <v>14</v>
      </c>
      <c r="S1207" s="9">
        <f t="shared" si="103"/>
        <v>-3.6000000000000014</v>
      </c>
      <c r="T1207" s="9">
        <v>1.5</v>
      </c>
      <c r="U1207" s="9">
        <f t="shared" si="104"/>
        <v>34.580000000000005</v>
      </c>
      <c r="V1207" s="9">
        <f t="shared" si="105"/>
        <v>-257.14285714285722</v>
      </c>
      <c r="W1207" s="9">
        <f t="shared" si="106"/>
        <v>-1.3264658571428622</v>
      </c>
    </row>
    <row r="1208" spans="1:23">
      <c r="A1208" s="2" t="s">
        <v>335</v>
      </c>
      <c r="B1208" s="2" t="s">
        <v>499</v>
      </c>
      <c r="C1208" s="3">
        <v>133</v>
      </c>
      <c r="D1208" s="3">
        <v>2.4700000000000002</v>
      </c>
      <c r="E1208" s="2" t="s">
        <v>506</v>
      </c>
      <c r="F1208" s="4">
        <v>42045</v>
      </c>
      <c r="G1208" s="3">
        <v>55.4</v>
      </c>
      <c r="H1208" s="3">
        <v>3.5</v>
      </c>
      <c r="I1208" s="4">
        <v>42045</v>
      </c>
      <c r="J1208" s="3">
        <v>55.4</v>
      </c>
      <c r="K1208" s="3">
        <v>3.5</v>
      </c>
      <c r="L1208" s="3">
        <v>0</v>
      </c>
      <c r="M1208" s="5">
        <v>0</v>
      </c>
      <c r="N1208" s="5">
        <v>0</v>
      </c>
      <c r="O1208" s="5">
        <v>0</v>
      </c>
      <c r="P1208" s="5">
        <v>0</v>
      </c>
      <c r="Q1208" s="5">
        <v>11.367585999999999</v>
      </c>
      <c r="R1208" s="8">
        <f t="shared" ref="R1208:R1271" si="107">IF(I1208-F1208=0,0,I1208-I1207)</f>
        <v>0</v>
      </c>
      <c r="S1208" s="9">
        <f t="shared" ref="S1208:S1271" si="108">IF(R1208=0,J1208-G1208,J1208-J1207)</f>
        <v>0</v>
      </c>
      <c r="T1208" s="9">
        <v>1.5</v>
      </c>
      <c r="U1208" s="9">
        <f t="shared" ref="U1208:U1271" si="109">D1208*R1208</f>
        <v>0</v>
      </c>
      <c r="V1208" s="9">
        <f t="shared" ref="V1208:V1271" si="110">IF(R1208=0,0,(S1208/R1208*1000))</f>
        <v>0</v>
      </c>
      <c r="W1208" s="9">
        <f t="shared" ref="W1208:W1271" si="111">IF(R1208=0,(((G1208)*0.16909+(V1208/1000)*49.3)+2),((((G1208+J1208)/2)*0.16909+(V1208/1000)*49.3)+2))</f>
        <v>11.367585999999999</v>
      </c>
    </row>
    <row r="1209" spans="1:23">
      <c r="A1209" s="2" t="s">
        <v>335</v>
      </c>
      <c r="B1209" s="2" t="s">
        <v>499</v>
      </c>
      <c r="C1209" s="3">
        <v>133</v>
      </c>
      <c r="D1209" s="3">
        <v>2.4700000000000002</v>
      </c>
      <c r="E1209" s="2" t="s">
        <v>506</v>
      </c>
      <c r="F1209" s="4">
        <v>42045</v>
      </c>
      <c r="G1209" s="3">
        <v>55.4</v>
      </c>
      <c r="H1209" s="3">
        <v>3.5</v>
      </c>
      <c r="I1209" s="4">
        <v>42059</v>
      </c>
      <c r="J1209" s="3">
        <v>58</v>
      </c>
      <c r="K1209" s="3">
        <v>4</v>
      </c>
      <c r="L1209" s="3">
        <v>14</v>
      </c>
      <c r="M1209" s="5">
        <v>2.6000000000000014</v>
      </c>
      <c r="N1209" s="5">
        <v>0.5</v>
      </c>
      <c r="O1209" s="5">
        <v>34.580000000000005</v>
      </c>
      <c r="P1209" s="5">
        <v>185.71428571428581</v>
      </c>
      <c r="Q1209" s="5">
        <v>20.743117285714291</v>
      </c>
      <c r="R1209" s="8">
        <f t="shared" si="107"/>
        <v>14</v>
      </c>
      <c r="S1209" s="9">
        <f t="shared" si="108"/>
        <v>2.6000000000000014</v>
      </c>
      <c r="T1209" s="9">
        <v>1.5</v>
      </c>
      <c r="U1209" s="9">
        <f t="shared" si="109"/>
        <v>34.580000000000005</v>
      </c>
      <c r="V1209" s="9">
        <f t="shared" si="110"/>
        <v>185.71428571428581</v>
      </c>
      <c r="W1209" s="9">
        <f t="shared" si="111"/>
        <v>20.743117285714291</v>
      </c>
    </row>
    <row r="1210" spans="1:23">
      <c r="A1210" s="2" t="s">
        <v>335</v>
      </c>
      <c r="B1210" s="2" t="s">
        <v>499</v>
      </c>
      <c r="C1210" s="3">
        <v>133</v>
      </c>
      <c r="D1210" s="3">
        <v>2.4700000000000002</v>
      </c>
      <c r="E1210" s="2" t="s">
        <v>506</v>
      </c>
      <c r="F1210" s="4">
        <v>42045</v>
      </c>
      <c r="G1210" s="3">
        <v>55.4</v>
      </c>
      <c r="H1210" s="3">
        <v>3.5</v>
      </c>
      <c r="I1210" s="4">
        <v>42066</v>
      </c>
      <c r="J1210" s="3">
        <v>59</v>
      </c>
      <c r="K1210" s="3">
        <v>4.5</v>
      </c>
      <c r="L1210" s="3">
        <v>21</v>
      </c>
      <c r="M1210" s="5">
        <v>3.6000000000000014</v>
      </c>
      <c r="N1210" s="5">
        <v>1</v>
      </c>
      <c r="O1210" s="5">
        <v>51.870000000000005</v>
      </c>
      <c r="P1210" s="5">
        <v>171.42857142857147</v>
      </c>
      <c r="Q1210" s="5">
        <v>20.123376571428572</v>
      </c>
      <c r="R1210" s="8">
        <f t="shared" si="107"/>
        <v>7</v>
      </c>
      <c r="S1210" s="9">
        <f t="shared" si="108"/>
        <v>1</v>
      </c>
      <c r="T1210" s="9">
        <v>1.5</v>
      </c>
      <c r="U1210" s="9">
        <f t="shared" si="109"/>
        <v>17.290000000000003</v>
      </c>
      <c r="V1210" s="9">
        <f t="shared" si="110"/>
        <v>142.85714285714286</v>
      </c>
      <c r="W1210" s="9">
        <f t="shared" si="111"/>
        <v>18.714805142857141</v>
      </c>
    </row>
    <row r="1211" spans="1:23">
      <c r="A1211" s="2" t="s">
        <v>335</v>
      </c>
      <c r="B1211" s="2" t="s">
        <v>499</v>
      </c>
      <c r="C1211" s="3">
        <v>133</v>
      </c>
      <c r="D1211" s="3">
        <v>2.4700000000000002</v>
      </c>
      <c r="E1211" s="2" t="s">
        <v>506</v>
      </c>
      <c r="F1211" s="4">
        <v>42045</v>
      </c>
      <c r="G1211" s="3">
        <v>55.4</v>
      </c>
      <c r="H1211" s="3">
        <v>3.5</v>
      </c>
      <c r="I1211" s="4">
        <v>42073</v>
      </c>
      <c r="J1211" s="3">
        <v>58</v>
      </c>
      <c r="K1211" s="3">
        <v>4.5</v>
      </c>
      <c r="L1211" s="3">
        <v>28</v>
      </c>
      <c r="M1211" s="5">
        <v>2.6000000000000014</v>
      </c>
      <c r="N1211" s="5">
        <v>1</v>
      </c>
      <c r="O1211" s="5">
        <v>69.160000000000011</v>
      </c>
      <c r="P1211" s="5">
        <v>92.857142857142904</v>
      </c>
      <c r="Q1211" s="5">
        <v>16.165260142857143</v>
      </c>
      <c r="R1211" s="8">
        <f t="shared" si="107"/>
        <v>7</v>
      </c>
      <c r="S1211" s="9">
        <f t="shared" si="108"/>
        <v>-1</v>
      </c>
      <c r="T1211" s="9">
        <v>1.5</v>
      </c>
      <c r="U1211" s="9">
        <f t="shared" si="109"/>
        <v>17.290000000000003</v>
      </c>
      <c r="V1211" s="9">
        <f t="shared" si="110"/>
        <v>-142.85714285714286</v>
      </c>
      <c r="W1211" s="9">
        <f t="shared" si="111"/>
        <v>4.5445458571428583</v>
      </c>
    </row>
    <row r="1212" spans="1:23">
      <c r="A1212" s="2" t="s">
        <v>335</v>
      </c>
      <c r="B1212" s="2" t="s">
        <v>499</v>
      </c>
      <c r="C1212" s="3">
        <v>133</v>
      </c>
      <c r="D1212" s="3">
        <v>2.4700000000000002</v>
      </c>
      <c r="E1212" s="2" t="s">
        <v>506</v>
      </c>
      <c r="F1212" s="4">
        <v>42045</v>
      </c>
      <c r="G1212" s="3">
        <v>55.4</v>
      </c>
      <c r="H1212" s="3">
        <v>3.5</v>
      </c>
      <c r="I1212" s="4">
        <v>42087</v>
      </c>
      <c r="J1212" s="3">
        <v>58.2</v>
      </c>
      <c r="K1212" s="3">
        <v>3.5</v>
      </c>
      <c r="L1212" s="3">
        <v>42</v>
      </c>
      <c r="M1212" s="5">
        <v>2.8000000000000043</v>
      </c>
      <c r="N1212" s="5">
        <v>0</v>
      </c>
      <c r="O1212" s="5">
        <v>103.74000000000001</v>
      </c>
      <c r="P1212" s="5">
        <v>66.666666666666757</v>
      </c>
      <c r="Q1212" s="5">
        <v>14.890978666666669</v>
      </c>
      <c r="R1212" s="8">
        <f t="shared" si="107"/>
        <v>14</v>
      </c>
      <c r="S1212" s="9">
        <f t="shared" si="108"/>
        <v>0.20000000000000284</v>
      </c>
      <c r="T1212" s="9">
        <v>1.5</v>
      </c>
      <c r="U1212" s="9">
        <f t="shared" si="109"/>
        <v>34.580000000000005</v>
      </c>
      <c r="V1212" s="9">
        <f t="shared" si="110"/>
        <v>14.285714285714489</v>
      </c>
      <c r="W1212" s="9">
        <f t="shared" si="111"/>
        <v>12.308597714285723</v>
      </c>
    </row>
    <row r="1213" spans="1:23">
      <c r="A1213" s="2" t="s">
        <v>335</v>
      </c>
      <c r="B1213" s="2" t="s">
        <v>499</v>
      </c>
      <c r="C1213" s="3">
        <v>133</v>
      </c>
      <c r="D1213" s="3">
        <v>2.4700000000000002</v>
      </c>
      <c r="E1213" s="2" t="s">
        <v>507</v>
      </c>
      <c r="F1213" s="4">
        <v>42045</v>
      </c>
      <c r="G1213" s="3">
        <v>57</v>
      </c>
      <c r="H1213" s="3">
        <v>3.5</v>
      </c>
      <c r="I1213" s="4">
        <v>42045</v>
      </c>
      <c r="J1213" s="3">
        <v>57</v>
      </c>
      <c r="K1213" s="3">
        <v>3.5</v>
      </c>
      <c r="L1213" s="3">
        <v>0</v>
      </c>
      <c r="M1213" s="5">
        <v>0</v>
      </c>
      <c r="N1213" s="5">
        <v>0</v>
      </c>
      <c r="O1213" s="5">
        <v>0</v>
      </c>
      <c r="P1213" s="5">
        <v>0</v>
      </c>
      <c r="Q1213" s="5">
        <v>11.63813</v>
      </c>
      <c r="R1213" s="8">
        <f t="shared" si="107"/>
        <v>0</v>
      </c>
      <c r="S1213" s="9">
        <f t="shared" si="108"/>
        <v>0</v>
      </c>
      <c r="T1213" s="9">
        <v>1.5</v>
      </c>
      <c r="U1213" s="9">
        <f t="shared" si="109"/>
        <v>0</v>
      </c>
      <c r="V1213" s="9">
        <f t="shared" si="110"/>
        <v>0</v>
      </c>
      <c r="W1213" s="9">
        <f t="shared" si="111"/>
        <v>11.63813</v>
      </c>
    </row>
    <row r="1214" spans="1:23">
      <c r="A1214" s="2" t="s">
        <v>335</v>
      </c>
      <c r="B1214" s="2" t="s">
        <v>499</v>
      </c>
      <c r="C1214" s="3">
        <v>133</v>
      </c>
      <c r="D1214" s="3">
        <v>2.4700000000000002</v>
      </c>
      <c r="E1214" s="2" t="s">
        <v>507</v>
      </c>
      <c r="F1214" s="4">
        <v>42045</v>
      </c>
      <c r="G1214" s="3">
        <v>57</v>
      </c>
      <c r="H1214" s="3">
        <v>3.5</v>
      </c>
      <c r="I1214" s="4">
        <v>42059</v>
      </c>
      <c r="J1214" s="3">
        <v>58</v>
      </c>
      <c r="K1214" s="3">
        <v>4</v>
      </c>
      <c r="L1214" s="3">
        <v>14</v>
      </c>
      <c r="M1214" s="5">
        <v>1</v>
      </c>
      <c r="N1214" s="5">
        <v>0.5</v>
      </c>
      <c r="O1214" s="5">
        <v>34.580000000000005</v>
      </c>
      <c r="P1214" s="5">
        <v>71.428571428571431</v>
      </c>
      <c r="Q1214" s="5">
        <v>15.244103571428569</v>
      </c>
      <c r="R1214" s="8">
        <f t="shared" si="107"/>
        <v>14</v>
      </c>
      <c r="S1214" s="9">
        <f t="shared" si="108"/>
        <v>1</v>
      </c>
      <c r="T1214" s="9">
        <v>1.5</v>
      </c>
      <c r="U1214" s="9">
        <f t="shared" si="109"/>
        <v>34.580000000000005</v>
      </c>
      <c r="V1214" s="9">
        <f t="shared" si="110"/>
        <v>71.428571428571431</v>
      </c>
      <c r="W1214" s="9">
        <f t="shared" si="111"/>
        <v>15.244103571428569</v>
      </c>
    </row>
    <row r="1215" spans="1:23">
      <c r="A1215" s="2" t="s">
        <v>335</v>
      </c>
      <c r="B1215" s="2" t="s">
        <v>499</v>
      </c>
      <c r="C1215" s="3">
        <v>133</v>
      </c>
      <c r="D1215" s="3">
        <v>2.4700000000000002</v>
      </c>
      <c r="E1215" s="2" t="s">
        <v>507</v>
      </c>
      <c r="F1215" s="4">
        <v>42045</v>
      </c>
      <c r="G1215" s="3">
        <v>57</v>
      </c>
      <c r="H1215" s="3">
        <v>3.5</v>
      </c>
      <c r="I1215" s="4">
        <v>42066</v>
      </c>
      <c r="J1215" s="3">
        <v>57.5</v>
      </c>
      <c r="K1215" s="3">
        <v>4.5</v>
      </c>
      <c r="L1215" s="3">
        <v>21</v>
      </c>
      <c r="M1215" s="5">
        <v>0.5</v>
      </c>
      <c r="N1215" s="5">
        <v>1</v>
      </c>
      <c r="O1215" s="5">
        <v>51.870000000000005</v>
      </c>
      <c r="P1215" s="5">
        <v>23.809523809523807</v>
      </c>
      <c r="Q1215" s="5">
        <v>12.854212023809524</v>
      </c>
      <c r="R1215" s="8">
        <f t="shared" si="107"/>
        <v>7</v>
      </c>
      <c r="S1215" s="9">
        <f t="shared" si="108"/>
        <v>-0.5</v>
      </c>
      <c r="T1215" s="9">
        <v>1.5</v>
      </c>
      <c r="U1215" s="9">
        <f t="shared" si="109"/>
        <v>17.290000000000003</v>
      </c>
      <c r="V1215" s="9">
        <f t="shared" si="110"/>
        <v>-71.428571428571431</v>
      </c>
      <c r="W1215" s="9">
        <f t="shared" si="111"/>
        <v>8.1589739285714291</v>
      </c>
    </row>
    <row r="1216" spans="1:23">
      <c r="A1216" s="2" t="s">
        <v>335</v>
      </c>
      <c r="B1216" s="2" t="s">
        <v>499</v>
      </c>
      <c r="C1216" s="3">
        <v>133</v>
      </c>
      <c r="D1216" s="3">
        <v>2.4700000000000002</v>
      </c>
      <c r="E1216" s="2" t="s">
        <v>507</v>
      </c>
      <c r="F1216" s="4">
        <v>42045</v>
      </c>
      <c r="G1216" s="3">
        <v>57</v>
      </c>
      <c r="H1216" s="3">
        <v>3.5</v>
      </c>
      <c r="I1216" s="4">
        <v>42073</v>
      </c>
      <c r="J1216" s="3">
        <v>56.8</v>
      </c>
      <c r="K1216" s="3">
        <v>4</v>
      </c>
      <c r="L1216" s="3">
        <v>28</v>
      </c>
      <c r="M1216" s="5">
        <v>-0.20000000000000284</v>
      </c>
      <c r="N1216" s="5">
        <v>0.5</v>
      </c>
      <c r="O1216" s="5">
        <v>69.160000000000011</v>
      </c>
      <c r="P1216" s="5">
        <v>-7.1428571428572445</v>
      </c>
      <c r="Q1216" s="5">
        <v>11.269078142857136</v>
      </c>
      <c r="R1216" s="8">
        <f t="shared" si="107"/>
        <v>7</v>
      </c>
      <c r="S1216" s="9">
        <f t="shared" si="108"/>
        <v>-0.70000000000000284</v>
      </c>
      <c r="T1216" s="9">
        <v>1.5</v>
      </c>
      <c r="U1216" s="9">
        <f t="shared" si="109"/>
        <v>17.290000000000003</v>
      </c>
      <c r="V1216" s="9">
        <f t="shared" si="110"/>
        <v>-100.00000000000041</v>
      </c>
      <c r="W1216" s="9">
        <f t="shared" si="111"/>
        <v>6.6912209999999783</v>
      </c>
    </row>
    <row r="1217" spans="1:23">
      <c r="A1217" s="2" t="s">
        <v>335</v>
      </c>
      <c r="B1217" s="2" t="s">
        <v>499</v>
      </c>
      <c r="C1217" s="3">
        <v>133</v>
      </c>
      <c r="D1217" s="3">
        <v>2.4700000000000002</v>
      </c>
      <c r="E1217" s="2" t="s">
        <v>507</v>
      </c>
      <c r="F1217" s="4">
        <v>42045</v>
      </c>
      <c r="G1217" s="3">
        <v>57</v>
      </c>
      <c r="H1217" s="3">
        <v>3.5</v>
      </c>
      <c r="I1217" s="4">
        <v>42087</v>
      </c>
      <c r="J1217" s="3">
        <v>54.8</v>
      </c>
      <c r="K1217" s="3">
        <v>4</v>
      </c>
      <c r="L1217" s="3">
        <v>42</v>
      </c>
      <c r="M1217" s="5">
        <v>-2.2000000000000028</v>
      </c>
      <c r="N1217" s="5">
        <v>0.5</v>
      </c>
      <c r="O1217" s="5">
        <v>103.74000000000001</v>
      </c>
      <c r="P1217" s="5">
        <v>-52.380952380952451</v>
      </c>
      <c r="Q1217" s="5">
        <v>8.8697500476190445</v>
      </c>
      <c r="R1217" s="8">
        <f t="shared" si="107"/>
        <v>14</v>
      </c>
      <c r="S1217" s="9">
        <f t="shared" si="108"/>
        <v>-2</v>
      </c>
      <c r="T1217" s="9">
        <v>1.5</v>
      </c>
      <c r="U1217" s="9">
        <f t="shared" si="109"/>
        <v>34.580000000000005</v>
      </c>
      <c r="V1217" s="9">
        <f t="shared" si="110"/>
        <v>-142.85714285714286</v>
      </c>
      <c r="W1217" s="9">
        <f t="shared" si="111"/>
        <v>4.4092738571428578</v>
      </c>
    </row>
    <row r="1218" spans="1:23">
      <c r="A1218" s="2" t="s">
        <v>335</v>
      </c>
      <c r="B1218" s="2" t="s">
        <v>499</v>
      </c>
      <c r="C1218" s="3">
        <v>133</v>
      </c>
      <c r="D1218" s="3">
        <v>2.4700000000000002</v>
      </c>
      <c r="E1218" s="2" t="s">
        <v>508</v>
      </c>
      <c r="F1218" s="4">
        <v>42045</v>
      </c>
      <c r="G1218" s="3">
        <v>58</v>
      </c>
      <c r="H1218" s="3">
        <v>2.5</v>
      </c>
      <c r="I1218" s="4">
        <v>42045</v>
      </c>
      <c r="J1218" s="3">
        <v>58</v>
      </c>
      <c r="K1218" s="3">
        <v>2.5</v>
      </c>
      <c r="L1218" s="3">
        <v>0</v>
      </c>
      <c r="M1218" s="5">
        <v>0</v>
      </c>
      <c r="N1218" s="5">
        <v>0</v>
      </c>
      <c r="O1218" s="5">
        <v>0</v>
      </c>
      <c r="P1218" s="5">
        <v>0</v>
      </c>
      <c r="Q1218" s="5">
        <v>11.807219999999999</v>
      </c>
      <c r="R1218" s="8">
        <f t="shared" si="107"/>
        <v>0</v>
      </c>
      <c r="S1218" s="9">
        <f t="shared" si="108"/>
        <v>0</v>
      </c>
      <c r="T1218" s="9">
        <v>1.5</v>
      </c>
      <c r="U1218" s="9">
        <f t="shared" si="109"/>
        <v>0</v>
      </c>
      <c r="V1218" s="9">
        <f t="shared" si="110"/>
        <v>0</v>
      </c>
      <c r="W1218" s="9">
        <f t="shared" si="111"/>
        <v>11.807219999999999</v>
      </c>
    </row>
    <row r="1219" spans="1:23">
      <c r="A1219" s="2" t="s">
        <v>335</v>
      </c>
      <c r="B1219" s="2" t="s">
        <v>499</v>
      </c>
      <c r="C1219" s="3">
        <v>133</v>
      </c>
      <c r="D1219" s="3">
        <v>2.4700000000000002</v>
      </c>
      <c r="E1219" s="2" t="s">
        <v>508</v>
      </c>
      <c r="F1219" s="4">
        <v>42045</v>
      </c>
      <c r="G1219" s="3">
        <v>58</v>
      </c>
      <c r="H1219" s="3">
        <v>2.5</v>
      </c>
      <c r="I1219" s="4">
        <v>42059</v>
      </c>
      <c r="J1219" s="3">
        <v>61.5</v>
      </c>
      <c r="K1219" s="3">
        <v>3</v>
      </c>
      <c r="L1219" s="3">
        <v>14</v>
      </c>
      <c r="M1219" s="5">
        <v>3.5</v>
      </c>
      <c r="N1219" s="5">
        <v>0.5</v>
      </c>
      <c r="O1219" s="5">
        <v>34.580000000000005</v>
      </c>
      <c r="P1219" s="5">
        <v>250</v>
      </c>
      <c r="Q1219" s="5">
        <v>24.428127499999999</v>
      </c>
      <c r="R1219" s="8">
        <f t="shared" si="107"/>
        <v>14</v>
      </c>
      <c r="S1219" s="9">
        <f t="shared" si="108"/>
        <v>3.5</v>
      </c>
      <c r="T1219" s="9">
        <v>1.5</v>
      </c>
      <c r="U1219" s="9">
        <f t="shared" si="109"/>
        <v>34.580000000000005</v>
      </c>
      <c r="V1219" s="9">
        <f t="shared" si="110"/>
        <v>250</v>
      </c>
      <c r="W1219" s="9">
        <f t="shared" si="111"/>
        <v>24.428127499999999</v>
      </c>
    </row>
    <row r="1220" spans="1:23">
      <c r="A1220" s="2" t="s">
        <v>335</v>
      </c>
      <c r="B1220" s="2" t="s">
        <v>499</v>
      </c>
      <c r="C1220" s="3">
        <v>133</v>
      </c>
      <c r="D1220" s="3">
        <v>2.4700000000000002</v>
      </c>
      <c r="E1220" s="2" t="s">
        <v>508</v>
      </c>
      <c r="F1220" s="4">
        <v>42045</v>
      </c>
      <c r="G1220" s="3">
        <v>58</v>
      </c>
      <c r="H1220" s="3">
        <v>2.5</v>
      </c>
      <c r="I1220" s="4">
        <v>42066</v>
      </c>
      <c r="J1220" s="3">
        <v>60.5</v>
      </c>
      <c r="K1220" s="3">
        <v>3</v>
      </c>
      <c r="L1220" s="3">
        <v>21</v>
      </c>
      <c r="M1220" s="5">
        <v>2.5</v>
      </c>
      <c r="N1220" s="5">
        <v>0.5</v>
      </c>
      <c r="O1220" s="5">
        <v>51.870000000000005</v>
      </c>
      <c r="P1220" s="5">
        <v>119.04761904761904</v>
      </c>
      <c r="Q1220" s="5">
        <v>17.887630119047618</v>
      </c>
      <c r="R1220" s="8">
        <f t="shared" si="107"/>
        <v>7</v>
      </c>
      <c r="S1220" s="9">
        <f t="shared" si="108"/>
        <v>-1</v>
      </c>
      <c r="T1220" s="9">
        <v>1.5</v>
      </c>
      <c r="U1220" s="9">
        <f t="shared" si="109"/>
        <v>17.290000000000003</v>
      </c>
      <c r="V1220" s="9">
        <f t="shared" si="110"/>
        <v>-142.85714285714286</v>
      </c>
      <c r="W1220" s="9">
        <f t="shared" si="111"/>
        <v>4.9757253571428572</v>
      </c>
    </row>
    <row r="1221" spans="1:23">
      <c r="A1221" s="2" t="s">
        <v>335</v>
      </c>
      <c r="B1221" s="2" t="s">
        <v>499</v>
      </c>
      <c r="C1221" s="3">
        <v>133</v>
      </c>
      <c r="D1221" s="3">
        <v>2.4700000000000002</v>
      </c>
      <c r="E1221" s="2" t="s">
        <v>508</v>
      </c>
      <c r="F1221" s="4">
        <v>42045</v>
      </c>
      <c r="G1221" s="3">
        <v>58</v>
      </c>
      <c r="H1221" s="3">
        <v>2.5</v>
      </c>
      <c r="I1221" s="4">
        <v>42073</v>
      </c>
      <c r="J1221" s="3">
        <v>61</v>
      </c>
      <c r="K1221" s="3">
        <v>2.5</v>
      </c>
      <c r="L1221" s="3">
        <v>28</v>
      </c>
      <c r="M1221" s="5">
        <v>3</v>
      </c>
      <c r="N1221" s="5">
        <v>0</v>
      </c>
      <c r="O1221" s="5">
        <v>69.160000000000011</v>
      </c>
      <c r="P1221" s="5">
        <v>107.14285714285714</v>
      </c>
      <c r="Q1221" s="5">
        <v>17.342997857142855</v>
      </c>
      <c r="R1221" s="8">
        <f t="shared" si="107"/>
        <v>7</v>
      </c>
      <c r="S1221" s="9">
        <f t="shared" si="108"/>
        <v>0.5</v>
      </c>
      <c r="T1221" s="9">
        <v>1.5</v>
      </c>
      <c r="U1221" s="9">
        <f t="shared" si="109"/>
        <v>17.290000000000003</v>
      </c>
      <c r="V1221" s="9">
        <f t="shared" si="110"/>
        <v>71.428571428571431</v>
      </c>
      <c r="W1221" s="9">
        <f t="shared" si="111"/>
        <v>15.582283571428571</v>
      </c>
    </row>
    <row r="1222" spans="1:23">
      <c r="A1222" s="2" t="s">
        <v>335</v>
      </c>
      <c r="B1222" s="2" t="s">
        <v>499</v>
      </c>
      <c r="C1222" s="3">
        <v>133</v>
      </c>
      <c r="D1222" s="3">
        <v>2.4700000000000002</v>
      </c>
      <c r="E1222" s="2" t="s">
        <v>508</v>
      </c>
      <c r="F1222" s="4">
        <v>42045</v>
      </c>
      <c r="G1222" s="3">
        <v>58</v>
      </c>
      <c r="H1222" s="3">
        <v>2.5</v>
      </c>
      <c r="I1222" s="4">
        <v>42087</v>
      </c>
      <c r="J1222" s="3">
        <v>59.2</v>
      </c>
      <c r="K1222" s="3">
        <v>3.5</v>
      </c>
      <c r="L1222" s="3">
        <v>42</v>
      </c>
      <c r="M1222" s="5">
        <v>1.2000000000000028</v>
      </c>
      <c r="N1222" s="5">
        <v>1</v>
      </c>
      <c r="O1222" s="5">
        <v>103.74000000000001</v>
      </c>
      <c r="P1222" s="5">
        <v>28.57142857142864</v>
      </c>
      <c r="Q1222" s="5">
        <v>13.317245428571432</v>
      </c>
      <c r="R1222" s="8">
        <f t="shared" si="107"/>
        <v>14</v>
      </c>
      <c r="S1222" s="9">
        <f t="shared" si="108"/>
        <v>-1.7999999999999972</v>
      </c>
      <c r="T1222" s="9">
        <v>1.5</v>
      </c>
      <c r="U1222" s="9">
        <f t="shared" si="109"/>
        <v>34.580000000000005</v>
      </c>
      <c r="V1222" s="9">
        <f t="shared" si="110"/>
        <v>-128.57142857142836</v>
      </c>
      <c r="W1222" s="9">
        <f t="shared" si="111"/>
        <v>5.5701025714285812</v>
      </c>
    </row>
    <row r="1223" spans="1:23">
      <c r="A1223" s="2" t="s">
        <v>335</v>
      </c>
      <c r="B1223" s="2" t="s">
        <v>499</v>
      </c>
      <c r="C1223" s="3">
        <v>133</v>
      </c>
      <c r="D1223" s="3">
        <v>2.4700000000000002</v>
      </c>
      <c r="E1223" s="2" t="s">
        <v>509</v>
      </c>
      <c r="F1223" s="4">
        <v>42045</v>
      </c>
      <c r="G1223" s="3">
        <v>57.6</v>
      </c>
      <c r="H1223" s="3">
        <v>3</v>
      </c>
      <c r="I1223" s="4">
        <v>42045</v>
      </c>
      <c r="J1223" s="3">
        <v>57.6</v>
      </c>
      <c r="K1223" s="3">
        <v>3</v>
      </c>
      <c r="L1223" s="3">
        <v>0</v>
      </c>
      <c r="M1223" s="5">
        <v>0</v>
      </c>
      <c r="N1223" s="5">
        <v>0</v>
      </c>
      <c r="O1223" s="5">
        <v>0</v>
      </c>
      <c r="P1223" s="5">
        <v>0</v>
      </c>
      <c r="Q1223" s="5">
        <v>11.739583999999999</v>
      </c>
      <c r="R1223" s="8">
        <f t="shared" si="107"/>
        <v>0</v>
      </c>
      <c r="S1223" s="9">
        <f t="shared" si="108"/>
        <v>0</v>
      </c>
      <c r="T1223" s="9">
        <v>1.5</v>
      </c>
      <c r="U1223" s="9">
        <f t="shared" si="109"/>
        <v>0</v>
      </c>
      <c r="V1223" s="9">
        <f t="shared" si="110"/>
        <v>0</v>
      </c>
      <c r="W1223" s="9">
        <f t="shared" si="111"/>
        <v>11.739583999999999</v>
      </c>
    </row>
    <row r="1224" spans="1:23">
      <c r="A1224" s="2" t="s">
        <v>335</v>
      </c>
      <c r="B1224" s="2" t="s">
        <v>499</v>
      </c>
      <c r="C1224" s="3">
        <v>133</v>
      </c>
      <c r="D1224" s="3">
        <v>2.4700000000000002</v>
      </c>
      <c r="E1224" s="2" t="s">
        <v>509</v>
      </c>
      <c r="F1224" s="4">
        <v>42045</v>
      </c>
      <c r="G1224" s="3">
        <v>57.6</v>
      </c>
      <c r="H1224" s="3">
        <v>3</v>
      </c>
      <c r="I1224" s="4">
        <v>42059</v>
      </c>
      <c r="J1224" s="3">
        <v>59.5</v>
      </c>
      <c r="K1224" s="3">
        <v>4</v>
      </c>
      <c r="L1224" s="3">
        <v>14</v>
      </c>
      <c r="M1224" s="5">
        <v>1.8999999999999986</v>
      </c>
      <c r="N1224" s="5">
        <v>1</v>
      </c>
      <c r="O1224" s="5">
        <v>34.580000000000005</v>
      </c>
      <c r="P1224" s="5">
        <v>135.71428571428561</v>
      </c>
      <c r="Q1224" s="5">
        <v>18.590933785714277</v>
      </c>
      <c r="R1224" s="8">
        <f t="shared" si="107"/>
        <v>14</v>
      </c>
      <c r="S1224" s="9">
        <f t="shared" si="108"/>
        <v>1.8999999999999986</v>
      </c>
      <c r="T1224" s="9">
        <v>1.5</v>
      </c>
      <c r="U1224" s="9">
        <f t="shared" si="109"/>
        <v>34.580000000000005</v>
      </c>
      <c r="V1224" s="9">
        <f t="shared" si="110"/>
        <v>135.71428571428561</v>
      </c>
      <c r="W1224" s="9">
        <f t="shared" si="111"/>
        <v>18.590933785714277</v>
      </c>
    </row>
    <row r="1225" spans="1:23">
      <c r="A1225" s="2" t="s">
        <v>335</v>
      </c>
      <c r="B1225" s="2" t="s">
        <v>499</v>
      </c>
      <c r="C1225" s="3">
        <v>133</v>
      </c>
      <c r="D1225" s="3">
        <v>2.4700000000000002</v>
      </c>
      <c r="E1225" s="2" t="s">
        <v>509</v>
      </c>
      <c r="F1225" s="4">
        <v>42045</v>
      </c>
      <c r="G1225" s="3">
        <v>57.6</v>
      </c>
      <c r="H1225" s="3">
        <v>3</v>
      </c>
      <c r="I1225" s="4">
        <v>42066</v>
      </c>
      <c r="J1225" s="3">
        <v>58.5</v>
      </c>
      <c r="K1225" s="3">
        <v>4.5</v>
      </c>
      <c r="L1225" s="3">
        <v>21</v>
      </c>
      <c r="M1225" s="5">
        <v>0.89999999999999858</v>
      </c>
      <c r="N1225" s="5">
        <v>1.5</v>
      </c>
      <c r="O1225" s="5">
        <v>51.870000000000005</v>
      </c>
      <c r="P1225" s="5">
        <v>42.85714285714279</v>
      </c>
      <c r="Q1225" s="5">
        <v>13.928531642857138</v>
      </c>
      <c r="R1225" s="8">
        <f t="shared" si="107"/>
        <v>7</v>
      </c>
      <c r="S1225" s="9">
        <f t="shared" si="108"/>
        <v>-1</v>
      </c>
      <c r="T1225" s="9">
        <v>1.5</v>
      </c>
      <c r="U1225" s="9">
        <f t="shared" si="109"/>
        <v>17.290000000000003</v>
      </c>
      <c r="V1225" s="9">
        <f t="shared" si="110"/>
        <v>-142.85714285714286</v>
      </c>
      <c r="W1225" s="9">
        <f t="shared" si="111"/>
        <v>4.7728173571428565</v>
      </c>
    </row>
    <row r="1226" spans="1:23">
      <c r="A1226" s="2" t="s">
        <v>335</v>
      </c>
      <c r="B1226" s="2" t="s">
        <v>499</v>
      </c>
      <c r="C1226" s="3">
        <v>133</v>
      </c>
      <c r="D1226" s="3">
        <v>2.4700000000000002</v>
      </c>
      <c r="E1226" s="2" t="s">
        <v>509</v>
      </c>
      <c r="F1226" s="4">
        <v>42045</v>
      </c>
      <c r="G1226" s="3">
        <v>57.6</v>
      </c>
      <c r="H1226" s="3">
        <v>3</v>
      </c>
      <c r="I1226" s="4">
        <v>42073</v>
      </c>
      <c r="J1226" s="3">
        <v>60.2</v>
      </c>
      <c r="K1226" s="3">
        <v>4</v>
      </c>
      <c r="L1226" s="3">
        <v>28</v>
      </c>
      <c r="M1226" s="5">
        <v>2.6000000000000014</v>
      </c>
      <c r="N1226" s="5">
        <v>1</v>
      </c>
      <c r="O1226" s="5">
        <v>69.160000000000011</v>
      </c>
      <c r="P1226" s="5">
        <v>92.857142857142904</v>
      </c>
      <c r="Q1226" s="5">
        <v>16.537258142857144</v>
      </c>
      <c r="R1226" s="8">
        <f t="shared" si="107"/>
        <v>7</v>
      </c>
      <c r="S1226" s="9">
        <f t="shared" si="108"/>
        <v>1.7000000000000028</v>
      </c>
      <c r="T1226" s="9">
        <v>1.5</v>
      </c>
      <c r="U1226" s="9">
        <f t="shared" si="109"/>
        <v>17.290000000000003</v>
      </c>
      <c r="V1226" s="9">
        <f t="shared" si="110"/>
        <v>242.85714285714326</v>
      </c>
      <c r="W1226" s="9">
        <f t="shared" si="111"/>
        <v>23.932258142857162</v>
      </c>
    </row>
    <row r="1227" spans="1:23">
      <c r="A1227" s="2" t="s">
        <v>335</v>
      </c>
      <c r="B1227" s="2" t="s">
        <v>499</v>
      </c>
      <c r="C1227" s="3">
        <v>133</v>
      </c>
      <c r="D1227" s="3">
        <v>2.4700000000000002</v>
      </c>
      <c r="E1227" s="2" t="s">
        <v>509</v>
      </c>
      <c r="F1227" s="4">
        <v>42045</v>
      </c>
      <c r="G1227" s="3">
        <v>57.6</v>
      </c>
      <c r="H1227" s="3">
        <v>3</v>
      </c>
      <c r="I1227" s="4">
        <v>42087</v>
      </c>
      <c r="J1227" s="3">
        <v>58</v>
      </c>
      <c r="K1227" s="3">
        <v>4</v>
      </c>
      <c r="L1227" s="3">
        <v>42</v>
      </c>
      <c r="M1227" s="5">
        <v>0.39999999999999858</v>
      </c>
      <c r="N1227" s="5">
        <v>1</v>
      </c>
      <c r="O1227" s="5">
        <v>103.74000000000001</v>
      </c>
      <c r="P1227" s="5">
        <v>9.52380952380949</v>
      </c>
      <c r="Q1227" s="5">
        <v>12.242925809523808</v>
      </c>
      <c r="R1227" s="8">
        <f t="shared" si="107"/>
        <v>14</v>
      </c>
      <c r="S1227" s="9">
        <f t="shared" si="108"/>
        <v>-2.2000000000000028</v>
      </c>
      <c r="T1227" s="9">
        <v>1.5</v>
      </c>
      <c r="U1227" s="9">
        <f t="shared" si="109"/>
        <v>34.580000000000005</v>
      </c>
      <c r="V1227" s="9">
        <f t="shared" si="110"/>
        <v>-157.14285714285734</v>
      </c>
      <c r="W1227" s="9">
        <f t="shared" si="111"/>
        <v>4.0262591428571328</v>
      </c>
    </row>
    <row r="1228" spans="1:23">
      <c r="A1228" s="2" t="s">
        <v>335</v>
      </c>
      <c r="B1228" s="2" t="s">
        <v>499</v>
      </c>
      <c r="C1228" s="3">
        <v>133</v>
      </c>
      <c r="D1228" s="3">
        <v>2.4700000000000002</v>
      </c>
      <c r="E1228" s="2" t="s">
        <v>510</v>
      </c>
      <c r="F1228" s="4">
        <v>42045</v>
      </c>
      <c r="G1228" s="3">
        <v>55.4</v>
      </c>
      <c r="H1228" s="3">
        <v>3</v>
      </c>
      <c r="I1228" s="4">
        <v>42045</v>
      </c>
      <c r="J1228" s="3">
        <v>55.4</v>
      </c>
      <c r="K1228" s="3">
        <v>3</v>
      </c>
      <c r="L1228" s="3">
        <v>0</v>
      </c>
      <c r="M1228" s="5">
        <v>0</v>
      </c>
      <c r="N1228" s="5">
        <v>0</v>
      </c>
      <c r="O1228" s="5">
        <v>0</v>
      </c>
      <c r="P1228" s="5">
        <v>0</v>
      </c>
      <c r="Q1228" s="5">
        <v>11.367585999999999</v>
      </c>
      <c r="R1228" s="8">
        <f t="shared" si="107"/>
        <v>0</v>
      </c>
      <c r="S1228" s="9">
        <f t="shared" si="108"/>
        <v>0</v>
      </c>
      <c r="T1228" s="9">
        <v>1.5</v>
      </c>
      <c r="U1228" s="9">
        <f t="shared" si="109"/>
        <v>0</v>
      </c>
      <c r="V1228" s="9">
        <f t="shared" si="110"/>
        <v>0</v>
      </c>
      <c r="W1228" s="9">
        <f t="shared" si="111"/>
        <v>11.367585999999999</v>
      </c>
    </row>
    <row r="1229" spans="1:23">
      <c r="A1229" s="2" t="s">
        <v>335</v>
      </c>
      <c r="B1229" s="2" t="s">
        <v>499</v>
      </c>
      <c r="C1229" s="3">
        <v>133</v>
      </c>
      <c r="D1229" s="3">
        <v>2.4700000000000002</v>
      </c>
      <c r="E1229" s="2" t="s">
        <v>510</v>
      </c>
      <c r="F1229" s="4">
        <v>42045</v>
      </c>
      <c r="G1229" s="3">
        <v>55.4</v>
      </c>
      <c r="H1229" s="3">
        <v>3</v>
      </c>
      <c r="I1229" s="4">
        <v>42059</v>
      </c>
      <c r="J1229" s="3">
        <v>54.5</v>
      </c>
      <c r="K1229" s="3">
        <v>3</v>
      </c>
      <c r="L1229" s="3">
        <v>14</v>
      </c>
      <c r="M1229" s="5">
        <v>-0.89999999999999858</v>
      </c>
      <c r="N1229" s="5">
        <v>0</v>
      </c>
      <c r="O1229" s="5">
        <v>34.580000000000005</v>
      </c>
      <c r="P1229" s="5">
        <v>-64.285714285714178</v>
      </c>
      <c r="Q1229" s="5">
        <v>8.1222097857142899</v>
      </c>
      <c r="R1229" s="8">
        <f t="shared" si="107"/>
        <v>14</v>
      </c>
      <c r="S1229" s="9">
        <f t="shared" si="108"/>
        <v>-0.89999999999999858</v>
      </c>
      <c r="T1229" s="9">
        <v>1.5</v>
      </c>
      <c r="U1229" s="9">
        <f t="shared" si="109"/>
        <v>34.580000000000005</v>
      </c>
      <c r="V1229" s="9">
        <f t="shared" si="110"/>
        <v>-64.285714285714178</v>
      </c>
      <c r="W1229" s="9">
        <f t="shared" si="111"/>
        <v>8.1222097857142899</v>
      </c>
    </row>
    <row r="1230" spans="1:23">
      <c r="A1230" s="2" t="s">
        <v>335</v>
      </c>
      <c r="B1230" s="2" t="s">
        <v>499</v>
      </c>
      <c r="C1230" s="3">
        <v>133</v>
      </c>
      <c r="D1230" s="3">
        <v>2.4700000000000002</v>
      </c>
      <c r="E1230" s="2" t="s">
        <v>510</v>
      </c>
      <c r="F1230" s="4">
        <v>42045</v>
      </c>
      <c r="G1230" s="3">
        <v>55.4</v>
      </c>
      <c r="H1230" s="3">
        <v>3</v>
      </c>
      <c r="I1230" s="4">
        <v>42066</v>
      </c>
      <c r="J1230" s="3">
        <v>56.5</v>
      </c>
      <c r="K1230" s="3">
        <v>4</v>
      </c>
      <c r="L1230" s="3">
        <v>21</v>
      </c>
      <c r="M1230" s="5">
        <v>1.1000000000000014</v>
      </c>
      <c r="N1230" s="5">
        <v>1</v>
      </c>
      <c r="O1230" s="5">
        <v>51.870000000000005</v>
      </c>
      <c r="P1230" s="5">
        <v>52.380952380952451</v>
      </c>
      <c r="Q1230" s="5">
        <v>14.042966452380956</v>
      </c>
      <c r="R1230" s="8">
        <f t="shared" si="107"/>
        <v>7</v>
      </c>
      <c r="S1230" s="9">
        <f t="shared" si="108"/>
        <v>2</v>
      </c>
      <c r="T1230" s="9">
        <v>1.5</v>
      </c>
      <c r="U1230" s="9">
        <f t="shared" si="109"/>
        <v>17.290000000000003</v>
      </c>
      <c r="V1230" s="9">
        <f t="shared" si="110"/>
        <v>285.71428571428572</v>
      </c>
      <c r="W1230" s="9">
        <f t="shared" si="111"/>
        <v>25.546299785714282</v>
      </c>
    </row>
    <row r="1231" spans="1:23">
      <c r="A1231" s="2" t="s">
        <v>335</v>
      </c>
      <c r="B1231" s="2" t="s">
        <v>499</v>
      </c>
      <c r="C1231" s="3">
        <v>133</v>
      </c>
      <c r="D1231" s="3">
        <v>2.4700000000000002</v>
      </c>
      <c r="E1231" s="2" t="s">
        <v>510</v>
      </c>
      <c r="F1231" s="4">
        <v>42045</v>
      </c>
      <c r="G1231" s="3">
        <v>55.4</v>
      </c>
      <c r="H1231" s="3">
        <v>3</v>
      </c>
      <c r="I1231" s="4">
        <v>42073</v>
      </c>
      <c r="J1231" s="3">
        <v>56.8</v>
      </c>
      <c r="K1231" s="3">
        <v>3</v>
      </c>
      <c r="L1231" s="3">
        <v>28</v>
      </c>
      <c r="M1231" s="5">
        <v>1.3999999999999986</v>
      </c>
      <c r="N1231" s="5">
        <v>0</v>
      </c>
      <c r="O1231" s="5">
        <v>69.160000000000011</v>
      </c>
      <c r="P1231" s="5">
        <v>49.99999999999995</v>
      </c>
      <c r="Q1231" s="5">
        <v>13.950948999999994</v>
      </c>
      <c r="R1231" s="8">
        <f t="shared" si="107"/>
        <v>7</v>
      </c>
      <c r="S1231" s="9">
        <f t="shared" si="108"/>
        <v>0.29999999999999716</v>
      </c>
      <c r="T1231" s="9">
        <v>1.5</v>
      </c>
      <c r="U1231" s="9">
        <f t="shared" si="109"/>
        <v>17.290000000000003</v>
      </c>
      <c r="V1231" s="9">
        <f t="shared" si="110"/>
        <v>42.857142857142449</v>
      </c>
      <c r="W1231" s="9">
        <f t="shared" si="111"/>
        <v>13.598806142857121</v>
      </c>
    </row>
    <row r="1232" spans="1:23">
      <c r="A1232" s="2" t="s">
        <v>335</v>
      </c>
      <c r="B1232" s="2" t="s">
        <v>499</v>
      </c>
      <c r="C1232" s="3">
        <v>133</v>
      </c>
      <c r="D1232" s="3">
        <v>2.4700000000000002</v>
      </c>
      <c r="E1232" s="2" t="s">
        <v>510</v>
      </c>
      <c r="F1232" s="4">
        <v>42045</v>
      </c>
      <c r="G1232" s="3">
        <v>55.4</v>
      </c>
      <c r="H1232" s="3">
        <v>3</v>
      </c>
      <c r="I1232" s="4">
        <v>42087</v>
      </c>
      <c r="J1232" s="3">
        <v>57</v>
      </c>
      <c r="K1232" s="3">
        <v>3.5</v>
      </c>
      <c r="L1232" s="3">
        <v>42</v>
      </c>
      <c r="M1232" s="5">
        <v>1.6000000000000014</v>
      </c>
      <c r="N1232" s="5">
        <v>0.5</v>
      </c>
      <c r="O1232" s="5">
        <v>103.74000000000001</v>
      </c>
      <c r="P1232" s="5">
        <v>38.095238095238123</v>
      </c>
      <c r="Q1232" s="5">
        <v>13.380953238095239</v>
      </c>
      <c r="R1232" s="8">
        <f t="shared" si="107"/>
        <v>14</v>
      </c>
      <c r="S1232" s="9">
        <f t="shared" si="108"/>
        <v>0.20000000000000284</v>
      </c>
      <c r="T1232" s="9">
        <v>1.5</v>
      </c>
      <c r="U1232" s="9">
        <f t="shared" si="109"/>
        <v>34.580000000000005</v>
      </c>
      <c r="V1232" s="9">
        <f t="shared" si="110"/>
        <v>14.285714285714489</v>
      </c>
      <c r="W1232" s="9">
        <f t="shared" si="111"/>
        <v>12.207143714285724</v>
      </c>
    </row>
    <row r="1233" spans="1:23">
      <c r="A1233" s="2" t="s">
        <v>335</v>
      </c>
      <c r="B1233" s="2" t="s">
        <v>499</v>
      </c>
      <c r="C1233" s="3">
        <v>133</v>
      </c>
      <c r="D1233" s="3">
        <v>2.4700000000000002</v>
      </c>
      <c r="E1233" s="2" t="s">
        <v>511</v>
      </c>
      <c r="F1233" s="4">
        <v>42045</v>
      </c>
      <c r="G1233" s="3">
        <v>58</v>
      </c>
      <c r="H1233" s="3">
        <v>3</v>
      </c>
      <c r="I1233" s="4">
        <v>42045</v>
      </c>
      <c r="J1233" s="3">
        <v>58</v>
      </c>
      <c r="K1233" s="3">
        <v>3</v>
      </c>
      <c r="L1233" s="3">
        <v>0</v>
      </c>
      <c r="M1233" s="5">
        <v>0</v>
      </c>
      <c r="N1233" s="5">
        <v>0</v>
      </c>
      <c r="O1233" s="5">
        <v>0</v>
      </c>
      <c r="P1233" s="5">
        <v>0</v>
      </c>
      <c r="Q1233" s="5">
        <v>11.807219999999999</v>
      </c>
      <c r="R1233" s="8">
        <f t="shared" si="107"/>
        <v>0</v>
      </c>
      <c r="S1233" s="9">
        <f t="shared" si="108"/>
        <v>0</v>
      </c>
      <c r="T1233" s="9">
        <v>1.5</v>
      </c>
      <c r="U1233" s="9">
        <f t="shared" si="109"/>
        <v>0</v>
      </c>
      <c r="V1233" s="9">
        <f t="shared" si="110"/>
        <v>0</v>
      </c>
      <c r="W1233" s="9">
        <f t="shared" si="111"/>
        <v>11.807219999999999</v>
      </c>
    </row>
    <row r="1234" spans="1:23">
      <c r="A1234" s="2" t="s">
        <v>335</v>
      </c>
      <c r="B1234" s="2" t="s">
        <v>499</v>
      </c>
      <c r="C1234" s="3">
        <v>133</v>
      </c>
      <c r="D1234" s="3">
        <v>2.4700000000000002</v>
      </c>
      <c r="E1234" s="2" t="s">
        <v>511</v>
      </c>
      <c r="F1234" s="4">
        <v>42045</v>
      </c>
      <c r="G1234" s="3">
        <v>58</v>
      </c>
      <c r="H1234" s="3">
        <v>3</v>
      </c>
      <c r="I1234" s="4">
        <v>42059</v>
      </c>
      <c r="J1234" s="3">
        <v>61</v>
      </c>
      <c r="K1234" s="3">
        <v>3</v>
      </c>
      <c r="L1234" s="3">
        <v>14</v>
      </c>
      <c r="M1234" s="5">
        <v>3</v>
      </c>
      <c r="N1234" s="5">
        <v>0</v>
      </c>
      <c r="O1234" s="5">
        <v>34.580000000000005</v>
      </c>
      <c r="P1234" s="5">
        <v>214.28571428571428</v>
      </c>
      <c r="Q1234" s="5">
        <v>22.625140714285713</v>
      </c>
      <c r="R1234" s="8">
        <f t="shared" si="107"/>
        <v>14</v>
      </c>
      <c r="S1234" s="9">
        <f t="shared" si="108"/>
        <v>3</v>
      </c>
      <c r="T1234" s="9">
        <v>1.5</v>
      </c>
      <c r="U1234" s="9">
        <f t="shared" si="109"/>
        <v>34.580000000000005</v>
      </c>
      <c r="V1234" s="9">
        <f t="shared" si="110"/>
        <v>214.28571428571428</v>
      </c>
      <c r="W1234" s="9">
        <f t="shared" si="111"/>
        <v>22.625140714285713</v>
      </c>
    </row>
    <row r="1235" spans="1:23">
      <c r="A1235" s="2" t="s">
        <v>335</v>
      </c>
      <c r="B1235" s="2" t="s">
        <v>499</v>
      </c>
      <c r="C1235" s="3">
        <v>133</v>
      </c>
      <c r="D1235" s="3">
        <v>2.4700000000000002</v>
      </c>
      <c r="E1235" s="2" t="s">
        <v>511</v>
      </c>
      <c r="F1235" s="4">
        <v>42045</v>
      </c>
      <c r="G1235" s="3">
        <v>58</v>
      </c>
      <c r="H1235" s="3">
        <v>3</v>
      </c>
      <c r="I1235" s="4">
        <v>42066</v>
      </c>
      <c r="J1235" s="3">
        <v>60.5</v>
      </c>
      <c r="K1235" s="3">
        <v>4</v>
      </c>
      <c r="L1235" s="3">
        <v>21</v>
      </c>
      <c r="M1235" s="5">
        <v>2.5</v>
      </c>
      <c r="N1235" s="5">
        <v>1</v>
      </c>
      <c r="O1235" s="5">
        <v>51.870000000000005</v>
      </c>
      <c r="P1235" s="5">
        <v>119.04761904761904</v>
      </c>
      <c r="Q1235" s="5">
        <v>17.887630119047618</v>
      </c>
      <c r="R1235" s="8">
        <f t="shared" si="107"/>
        <v>7</v>
      </c>
      <c r="S1235" s="9">
        <f t="shared" si="108"/>
        <v>-0.5</v>
      </c>
      <c r="T1235" s="9">
        <v>1.5</v>
      </c>
      <c r="U1235" s="9">
        <f t="shared" si="109"/>
        <v>17.290000000000003</v>
      </c>
      <c r="V1235" s="9">
        <f t="shared" si="110"/>
        <v>-71.428571428571431</v>
      </c>
      <c r="W1235" s="9">
        <f t="shared" si="111"/>
        <v>8.4971539285714286</v>
      </c>
    </row>
    <row r="1236" spans="1:23">
      <c r="A1236" s="2" t="s">
        <v>335</v>
      </c>
      <c r="B1236" s="2" t="s">
        <v>499</v>
      </c>
      <c r="C1236" s="3">
        <v>133</v>
      </c>
      <c r="D1236" s="3">
        <v>2.4700000000000002</v>
      </c>
      <c r="E1236" s="2" t="s">
        <v>511</v>
      </c>
      <c r="F1236" s="4">
        <v>42045</v>
      </c>
      <c r="G1236" s="3">
        <v>58</v>
      </c>
      <c r="H1236" s="3">
        <v>3</v>
      </c>
      <c r="I1236" s="4">
        <v>42073</v>
      </c>
      <c r="J1236" s="3">
        <v>58.6</v>
      </c>
      <c r="K1236" s="3">
        <v>3</v>
      </c>
      <c r="L1236" s="3">
        <v>28</v>
      </c>
      <c r="M1236" s="5">
        <v>0.60000000000000142</v>
      </c>
      <c r="N1236" s="5">
        <v>0</v>
      </c>
      <c r="O1236" s="5">
        <v>69.160000000000011</v>
      </c>
      <c r="P1236" s="5">
        <v>21.42857142857148</v>
      </c>
      <c r="Q1236" s="5">
        <v>12.914375571428574</v>
      </c>
      <c r="R1236" s="8">
        <f t="shared" si="107"/>
        <v>7</v>
      </c>
      <c r="S1236" s="9">
        <f t="shared" si="108"/>
        <v>-1.8999999999999986</v>
      </c>
      <c r="T1236" s="9">
        <v>1.5</v>
      </c>
      <c r="U1236" s="9">
        <f t="shared" si="109"/>
        <v>17.290000000000003</v>
      </c>
      <c r="V1236" s="9">
        <f t="shared" si="110"/>
        <v>-271.42857142857122</v>
      </c>
      <c r="W1236" s="9">
        <f t="shared" si="111"/>
        <v>-1.5234815714285617</v>
      </c>
    </row>
    <row r="1237" spans="1:23">
      <c r="A1237" s="2" t="s">
        <v>335</v>
      </c>
      <c r="B1237" s="2" t="s">
        <v>499</v>
      </c>
      <c r="C1237" s="3">
        <v>133</v>
      </c>
      <c r="D1237" s="3">
        <v>2.4700000000000002</v>
      </c>
      <c r="E1237" s="2" t="s">
        <v>511</v>
      </c>
      <c r="F1237" s="4">
        <v>42045</v>
      </c>
      <c r="G1237" s="3">
        <v>58</v>
      </c>
      <c r="H1237" s="3">
        <v>3</v>
      </c>
      <c r="I1237" s="4">
        <v>42087</v>
      </c>
      <c r="J1237" s="3">
        <v>53.8</v>
      </c>
      <c r="K1237" s="3">
        <v>3.5</v>
      </c>
      <c r="L1237" s="3">
        <v>42</v>
      </c>
      <c r="M1237" s="5">
        <v>-4.2000000000000028</v>
      </c>
      <c r="N1237" s="5">
        <v>0.5</v>
      </c>
      <c r="O1237" s="5">
        <v>103.74000000000001</v>
      </c>
      <c r="P1237" s="5">
        <v>-100.00000000000006</v>
      </c>
      <c r="Q1237" s="5">
        <v>6.5221309999999972</v>
      </c>
      <c r="R1237" s="8">
        <f t="shared" si="107"/>
        <v>14</v>
      </c>
      <c r="S1237" s="9">
        <f t="shared" si="108"/>
        <v>-4.8000000000000043</v>
      </c>
      <c r="T1237" s="9">
        <v>1.5</v>
      </c>
      <c r="U1237" s="9">
        <f t="shared" si="109"/>
        <v>34.580000000000005</v>
      </c>
      <c r="V1237" s="9">
        <f t="shared" si="110"/>
        <v>-342.85714285714312</v>
      </c>
      <c r="W1237" s="9">
        <f t="shared" si="111"/>
        <v>-5.450726142857155</v>
      </c>
    </row>
    <row r="1238" spans="1:23">
      <c r="A1238" s="2" t="s">
        <v>335</v>
      </c>
      <c r="B1238" s="2" t="s">
        <v>499</v>
      </c>
      <c r="C1238" s="3">
        <v>133</v>
      </c>
      <c r="D1238" s="3">
        <v>2.4700000000000002</v>
      </c>
      <c r="E1238" s="2" t="s">
        <v>512</v>
      </c>
      <c r="F1238" s="4">
        <v>42045</v>
      </c>
      <c r="G1238" s="3">
        <v>52.2</v>
      </c>
      <c r="H1238" s="3">
        <v>2.5</v>
      </c>
      <c r="I1238" s="4">
        <v>42045</v>
      </c>
      <c r="J1238" s="3">
        <v>52.2</v>
      </c>
      <c r="K1238" s="3">
        <v>2.5</v>
      </c>
      <c r="L1238" s="3">
        <v>0</v>
      </c>
      <c r="M1238" s="5">
        <v>0</v>
      </c>
      <c r="N1238" s="5">
        <v>0</v>
      </c>
      <c r="O1238" s="5">
        <v>0</v>
      </c>
      <c r="P1238" s="5">
        <v>0</v>
      </c>
      <c r="Q1238" s="5">
        <v>10.826498000000001</v>
      </c>
      <c r="R1238" s="8">
        <f t="shared" si="107"/>
        <v>0</v>
      </c>
      <c r="S1238" s="9">
        <f t="shared" si="108"/>
        <v>0</v>
      </c>
      <c r="T1238" s="9">
        <v>1.5</v>
      </c>
      <c r="U1238" s="9">
        <f t="shared" si="109"/>
        <v>0</v>
      </c>
      <c r="V1238" s="9">
        <f t="shared" si="110"/>
        <v>0</v>
      </c>
      <c r="W1238" s="9">
        <f t="shared" si="111"/>
        <v>10.826498000000001</v>
      </c>
    </row>
    <row r="1239" spans="1:23">
      <c r="A1239" s="2" t="s">
        <v>335</v>
      </c>
      <c r="B1239" s="2" t="s">
        <v>499</v>
      </c>
      <c r="C1239" s="3">
        <v>133</v>
      </c>
      <c r="D1239" s="3">
        <v>2.4700000000000002</v>
      </c>
      <c r="E1239" s="2" t="s">
        <v>512</v>
      </c>
      <c r="F1239" s="4">
        <v>42045</v>
      </c>
      <c r="G1239" s="3">
        <v>52.2</v>
      </c>
      <c r="H1239" s="3">
        <v>2.5</v>
      </c>
      <c r="I1239" s="4">
        <v>42059</v>
      </c>
      <c r="J1239" s="3">
        <v>57.5</v>
      </c>
      <c r="K1239" s="3">
        <v>3.5</v>
      </c>
      <c r="L1239" s="3">
        <v>14</v>
      </c>
      <c r="M1239" s="5">
        <v>5.2999999999999972</v>
      </c>
      <c r="N1239" s="5">
        <v>1</v>
      </c>
      <c r="O1239" s="5">
        <v>34.580000000000005</v>
      </c>
      <c r="P1239" s="5">
        <v>378.57142857142838</v>
      </c>
      <c r="Q1239" s="5">
        <v>29.938157928571421</v>
      </c>
      <c r="R1239" s="8">
        <f t="shared" si="107"/>
        <v>14</v>
      </c>
      <c r="S1239" s="9">
        <f t="shared" si="108"/>
        <v>5.2999999999999972</v>
      </c>
      <c r="T1239" s="9">
        <v>1.5</v>
      </c>
      <c r="U1239" s="9">
        <f t="shared" si="109"/>
        <v>34.580000000000005</v>
      </c>
      <c r="V1239" s="9">
        <f t="shared" si="110"/>
        <v>378.57142857142838</v>
      </c>
      <c r="W1239" s="9">
        <f t="shared" si="111"/>
        <v>29.938157928571421</v>
      </c>
    </row>
    <row r="1240" spans="1:23">
      <c r="A1240" s="2" t="s">
        <v>335</v>
      </c>
      <c r="B1240" s="2" t="s">
        <v>499</v>
      </c>
      <c r="C1240" s="3">
        <v>133</v>
      </c>
      <c r="D1240" s="3">
        <v>2.4700000000000002</v>
      </c>
      <c r="E1240" s="2" t="s">
        <v>512</v>
      </c>
      <c r="F1240" s="4">
        <v>42045</v>
      </c>
      <c r="G1240" s="3">
        <v>52.2</v>
      </c>
      <c r="H1240" s="3">
        <v>2.5</v>
      </c>
      <c r="I1240" s="4">
        <v>42066</v>
      </c>
      <c r="J1240" s="3">
        <v>59.5</v>
      </c>
      <c r="K1240" s="3">
        <v>3.5</v>
      </c>
      <c r="L1240" s="3">
        <v>21</v>
      </c>
      <c r="M1240" s="5">
        <v>7.2999999999999972</v>
      </c>
      <c r="N1240" s="5">
        <v>1</v>
      </c>
      <c r="O1240" s="5">
        <v>51.870000000000005</v>
      </c>
      <c r="P1240" s="5">
        <v>347.61904761904748</v>
      </c>
      <c r="Q1240" s="5">
        <v>28.581295547619042</v>
      </c>
      <c r="R1240" s="8">
        <f t="shared" si="107"/>
        <v>7</v>
      </c>
      <c r="S1240" s="9">
        <f t="shared" si="108"/>
        <v>2</v>
      </c>
      <c r="T1240" s="9">
        <v>1.5</v>
      </c>
      <c r="U1240" s="9">
        <f t="shared" si="109"/>
        <v>17.290000000000003</v>
      </c>
      <c r="V1240" s="9">
        <f t="shared" si="110"/>
        <v>285.71428571428572</v>
      </c>
      <c r="W1240" s="9">
        <f t="shared" si="111"/>
        <v>25.529390785714284</v>
      </c>
    </row>
    <row r="1241" spans="1:23">
      <c r="A1241" s="2" t="s">
        <v>335</v>
      </c>
      <c r="B1241" s="2" t="s">
        <v>499</v>
      </c>
      <c r="C1241" s="3">
        <v>133</v>
      </c>
      <c r="D1241" s="3">
        <v>2.4700000000000002</v>
      </c>
      <c r="E1241" s="2" t="s">
        <v>512</v>
      </c>
      <c r="F1241" s="4">
        <v>42045</v>
      </c>
      <c r="G1241" s="3">
        <v>52.2</v>
      </c>
      <c r="H1241" s="3">
        <v>2.5</v>
      </c>
      <c r="I1241" s="4">
        <v>42073</v>
      </c>
      <c r="J1241" s="3">
        <v>60.8</v>
      </c>
      <c r="K1241" s="3">
        <v>3.5</v>
      </c>
      <c r="L1241" s="3">
        <v>28</v>
      </c>
      <c r="M1241" s="5">
        <v>8.5999999999999943</v>
      </c>
      <c r="N1241" s="5">
        <v>1</v>
      </c>
      <c r="O1241" s="5">
        <v>69.160000000000011</v>
      </c>
      <c r="P1241" s="5">
        <v>307.14285714285694</v>
      </c>
      <c r="Q1241" s="5">
        <v>26.695727857142849</v>
      </c>
      <c r="R1241" s="8">
        <f t="shared" si="107"/>
        <v>7</v>
      </c>
      <c r="S1241" s="9">
        <f t="shared" si="108"/>
        <v>1.2999999999999972</v>
      </c>
      <c r="T1241" s="9">
        <v>1.5</v>
      </c>
      <c r="U1241" s="9">
        <f t="shared" si="109"/>
        <v>17.290000000000003</v>
      </c>
      <c r="V1241" s="9">
        <f t="shared" si="110"/>
        <v>185.7142857142853</v>
      </c>
      <c r="W1241" s="9">
        <f t="shared" si="111"/>
        <v>20.709299285714266</v>
      </c>
    </row>
    <row r="1242" spans="1:23">
      <c r="A1242" s="2" t="s">
        <v>335</v>
      </c>
      <c r="B1242" s="2" t="s">
        <v>499</v>
      </c>
      <c r="C1242" s="3">
        <v>133</v>
      </c>
      <c r="D1242" s="3">
        <v>2.4700000000000002</v>
      </c>
      <c r="E1242" s="2" t="s">
        <v>512</v>
      </c>
      <c r="F1242" s="4">
        <v>42045</v>
      </c>
      <c r="G1242" s="3">
        <v>52.2</v>
      </c>
      <c r="H1242" s="3">
        <v>2.5</v>
      </c>
      <c r="I1242" s="4">
        <v>42087</v>
      </c>
      <c r="J1242" s="3">
        <v>60</v>
      </c>
      <c r="K1242" s="3">
        <v>2.5</v>
      </c>
      <c r="L1242" s="3">
        <v>42</v>
      </c>
      <c r="M1242" s="5">
        <v>7.7999999999999972</v>
      </c>
      <c r="N1242" s="5">
        <v>0</v>
      </c>
      <c r="O1242" s="5">
        <v>103.74000000000001</v>
      </c>
      <c r="P1242" s="5">
        <v>185.71428571428564</v>
      </c>
      <c r="Q1242" s="5">
        <v>20.64166328571428</v>
      </c>
      <c r="R1242" s="8">
        <f t="shared" si="107"/>
        <v>14</v>
      </c>
      <c r="S1242" s="9">
        <f t="shared" si="108"/>
        <v>-0.79999999999999716</v>
      </c>
      <c r="T1242" s="9">
        <v>1.5</v>
      </c>
      <c r="U1242" s="9">
        <f t="shared" si="109"/>
        <v>34.580000000000005</v>
      </c>
      <c r="V1242" s="9">
        <f t="shared" si="110"/>
        <v>-57.14285714285694</v>
      </c>
      <c r="W1242" s="9">
        <f t="shared" si="111"/>
        <v>8.6688061428571537</v>
      </c>
    </row>
    <row r="1243" spans="1:23">
      <c r="A1243" s="2" t="s">
        <v>335</v>
      </c>
      <c r="B1243" s="2" t="s">
        <v>499</v>
      </c>
      <c r="C1243" s="3">
        <v>133</v>
      </c>
      <c r="D1243" s="3">
        <v>2.4700000000000002</v>
      </c>
      <c r="E1243" s="2" t="s">
        <v>513</v>
      </c>
      <c r="F1243" s="4">
        <v>42045</v>
      </c>
      <c r="G1243" s="3">
        <v>53.6</v>
      </c>
      <c r="H1243" s="3">
        <v>3</v>
      </c>
      <c r="I1243" s="4">
        <v>42045</v>
      </c>
      <c r="J1243" s="3">
        <v>53.6</v>
      </c>
      <c r="K1243" s="3">
        <v>3</v>
      </c>
      <c r="L1243" s="3">
        <v>0</v>
      </c>
      <c r="M1243" s="5">
        <v>0</v>
      </c>
      <c r="N1243" s="5">
        <v>0</v>
      </c>
      <c r="O1243" s="5">
        <v>0</v>
      </c>
      <c r="P1243" s="5">
        <v>0</v>
      </c>
      <c r="Q1243" s="5">
        <v>11.063224</v>
      </c>
      <c r="R1243" s="8">
        <f t="shared" si="107"/>
        <v>0</v>
      </c>
      <c r="S1243" s="9">
        <f t="shared" si="108"/>
        <v>0</v>
      </c>
      <c r="T1243" s="9">
        <v>1.5</v>
      </c>
      <c r="U1243" s="9">
        <f t="shared" si="109"/>
        <v>0</v>
      </c>
      <c r="V1243" s="9">
        <f t="shared" si="110"/>
        <v>0</v>
      </c>
      <c r="W1243" s="9">
        <f t="shared" si="111"/>
        <v>11.063224</v>
      </c>
    </row>
    <row r="1244" spans="1:23">
      <c r="A1244" s="2" t="s">
        <v>335</v>
      </c>
      <c r="B1244" s="2" t="s">
        <v>499</v>
      </c>
      <c r="C1244" s="3">
        <v>133</v>
      </c>
      <c r="D1244" s="3">
        <v>2.4700000000000002</v>
      </c>
      <c r="E1244" s="2" t="s">
        <v>513</v>
      </c>
      <c r="F1244" s="4">
        <v>42045</v>
      </c>
      <c r="G1244" s="3">
        <v>53.6</v>
      </c>
      <c r="H1244" s="3">
        <v>3</v>
      </c>
      <c r="I1244" s="4">
        <v>42059</v>
      </c>
      <c r="J1244" s="3">
        <v>57.5</v>
      </c>
      <c r="K1244" s="3">
        <v>4</v>
      </c>
      <c r="L1244" s="3">
        <v>14</v>
      </c>
      <c r="M1244" s="5">
        <v>3.8999999999999986</v>
      </c>
      <c r="N1244" s="5">
        <v>1</v>
      </c>
      <c r="O1244" s="5">
        <v>34.580000000000005</v>
      </c>
      <c r="P1244" s="5">
        <v>278.57142857142844</v>
      </c>
      <c r="Q1244" s="5">
        <v>25.126520928571416</v>
      </c>
      <c r="R1244" s="8">
        <f t="shared" si="107"/>
        <v>14</v>
      </c>
      <c r="S1244" s="9">
        <f t="shared" si="108"/>
        <v>3.8999999999999986</v>
      </c>
      <c r="T1244" s="9">
        <v>1.5</v>
      </c>
      <c r="U1244" s="9">
        <f t="shared" si="109"/>
        <v>34.580000000000005</v>
      </c>
      <c r="V1244" s="9">
        <f t="shared" si="110"/>
        <v>278.57142857142844</v>
      </c>
      <c r="W1244" s="9">
        <f t="shared" si="111"/>
        <v>25.126520928571416</v>
      </c>
    </row>
    <row r="1245" spans="1:23">
      <c r="A1245" s="2" t="s">
        <v>335</v>
      </c>
      <c r="B1245" s="2" t="s">
        <v>499</v>
      </c>
      <c r="C1245" s="3">
        <v>133</v>
      </c>
      <c r="D1245" s="3">
        <v>2.4700000000000002</v>
      </c>
      <c r="E1245" s="2" t="s">
        <v>513</v>
      </c>
      <c r="F1245" s="4">
        <v>42045</v>
      </c>
      <c r="G1245" s="3">
        <v>53.6</v>
      </c>
      <c r="H1245" s="3">
        <v>3</v>
      </c>
      <c r="I1245" s="4">
        <v>42066</v>
      </c>
      <c r="J1245" s="3">
        <v>57</v>
      </c>
      <c r="K1245" s="3">
        <v>3.5</v>
      </c>
      <c r="L1245" s="3">
        <v>21</v>
      </c>
      <c r="M1245" s="5">
        <v>3.3999999999999986</v>
      </c>
      <c r="N1245" s="5">
        <v>0.5</v>
      </c>
      <c r="O1245" s="5">
        <v>51.870000000000005</v>
      </c>
      <c r="P1245" s="5">
        <v>161.90476190476184</v>
      </c>
      <c r="Q1245" s="5">
        <v>19.332581761904756</v>
      </c>
      <c r="R1245" s="8">
        <f t="shared" si="107"/>
        <v>7</v>
      </c>
      <c r="S1245" s="9">
        <f t="shared" si="108"/>
        <v>-0.5</v>
      </c>
      <c r="T1245" s="9">
        <v>1.5</v>
      </c>
      <c r="U1245" s="9">
        <f t="shared" si="109"/>
        <v>17.290000000000003</v>
      </c>
      <c r="V1245" s="9">
        <f t="shared" si="110"/>
        <v>-71.428571428571431</v>
      </c>
      <c r="W1245" s="9">
        <f t="shared" si="111"/>
        <v>7.8292484285714288</v>
      </c>
    </row>
    <row r="1246" spans="1:23">
      <c r="A1246" s="2" t="s">
        <v>335</v>
      </c>
      <c r="B1246" s="2" t="s">
        <v>499</v>
      </c>
      <c r="C1246" s="3">
        <v>133</v>
      </c>
      <c r="D1246" s="3">
        <v>2.4700000000000002</v>
      </c>
      <c r="E1246" s="2" t="s">
        <v>513</v>
      </c>
      <c r="F1246" s="4">
        <v>42045</v>
      </c>
      <c r="G1246" s="3">
        <v>53.6</v>
      </c>
      <c r="H1246" s="3">
        <v>3</v>
      </c>
      <c r="I1246" s="4">
        <v>42073</v>
      </c>
      <c r="J1246" s="3">
        <v>60</v>
      </c>
      <c r="K1246" s="3">
        <v>4</v>
      </c>
      <c r="L1246" s="3">
        <v>28</v>
      </c>
      <c r="M1246" s="5">
        <v>6.3999999999999986</v>
      </c>
      <c r="N1246" s="5">
        <v>1</v>
      </c>
      <c r="O1246" s="5">
        <v>69.160000000000011</v>
      </c>
      <c r="P1246" s="5">
        <v>228.5714285714285</v>
      </c>
      <c r="Q1246" s="5">
        <v>22.872883428571424</v>
      </c>
      <c r="R1246" s="8">
        <f t="shared" si="107"/>
        <v>7</v>
      </c>
      <c r="S1246" s="9">
        <f t="shared" si="108"/>
        <v>3</v>
      </c>
      <c r="T1246" s="9">
        <v>1.5</v>
      </c>
      <c r="U1246" s="9">
        <f t="shared" si="109"/>
        <v>17.290000000000003</v>
      </c>
      <c r="V1246" s="9">
        <f t="shared" si="110"/>
        <v>428.57142857142856</v>
      </c>
      <c r="W1246" s="9">
        <f t="shared" si="111"/>
        <v>32.732883428571427</v>
      </c>
    </row>
    <row r="1247" spans="1:23">
      <c r="A1247" s="2" t="s">
        <v>335</v>
      </c>
      <c r="B1247" s="2" t="s">
        <v>499</v>
      </c>
      <c r="C1247" s="3">
        <v>133</v>
      </c>
      <c r="D1247" s="3">
        <v>2.4700000000000002</v>
      </c>
      <c r="E1247" s="2" t="s">
        <v>513</v>
      </c>
      <c r="F1247" s="4">
        <v>42045</v>
      </c>
      <c r="G1247" s="3">
        <v>53.6</v>
      </c>
      <c r="H1247" s="3">
        <v>3</v>
      </c>
      <c r="I1247" s="4">
        <v>42087</v>
      </c>
      <c r="J1247" s="3">
        <v>52.8</v>
      </c>
      <c r="K1247" s="3">
        <v>3.5</v>
      </c>
      <c r="L1247" s="3">
        <v>42</v>
      </c>
      <c r="M1247" s="5">
        <v>-0.80000000000000426</v>
      </c>
      <c r="N1247" s="5">
        <v>0.5</v>
      </c>
      <c r="O1247" s="5">
        <v>103.74000000000001</v>
      </c>
      <c r="P1247" s="5">
        <v>-19.04761904761915</v>
      </c>
      <c r="Q1247" s="5">
        <v>10.056540380952375</v>
      </c>
      <c r="R1247" s="8">
        <f t="shared" si="107"/>
        <v>14</v>
      </c>
      <c r="S1247" s="9">
        <f t="shared" si="108"/>
        <v>-7.2000000000000028</v>
      </c>
      <c r="T1247" s="9">
        <v>1.5</v>
      </c>
      <c r="U1247" s="9">
        <f t="shared" si="109"/>
        <v>34.580000000000005</v>
      </c>
      <c r="V1247" s="9">
        <f t="shared" si="110"/>
        <v>-514.28571428571445</v>
      </c>
      <c r="W1247" s="9">
        <f t="shared" si="111"/>
        <v>-14.358697714285725</v>
      </c>
    </row>
    <row r="1248" spans="1:23">
      <c r="A1248" s="2" t="s">
        <v>335</v>
      </c>
      <c r="B1248" s="2" t="s">
        <v>499</v>
      </c>
      <c r="C1248" s="3">
        <v>133</v>
      </c>
      <c r="D1248" s="3">
        <v>2.4700000000000002</v>
      </c>
      <c r="E1248" s="2" t="s">
        <v>514</v>
      </c>
      <c r="F1248" s="4">
        <v>42045</v>
      </c>
      <c r="G1248" s="3">
        <v>60</v>
      </c>
      <c r="H1248" s="3">
        <v>3.5</v>
      </c>
      <c r="I1248" s="4">
        <v>42045</v>
      </c>
      <c r="J1248" s="3">
        <v>60</v>
      </c>
      <c r="K1248" s="3">
        <v>3.5</v>
      </c>
      <c r="L1248" s="3">
        <v>0</v>
      </c>
      <c r="M1248" s="5">
        <v>0</v>
      </c>
      <c r="N1248" s="5">
        <v>0</v>
      </c>
      <c r="O1248" s="5">
        <v>0</v>
      </c>
      <c r="P1248" s="5">
        <v>0</v>
      </c>
      <c r="Q1248" s="5">
        <v>12.145399999999999</v>
      </c>
      <c r="R1248" s="8">
        <f t="shared" si="107"/>
        <v>0</v>
      </c>
      <c r="S1248" s="9">
        <f t="shared" si="108"/>
        <v>0</v>
      </c>
      <c r="T1248" s="9">
        <v>1.5</v>
      </c>
      <c r="U1248" s="9">
        <f t="shared" si="109"/>
        <v>0</v>
      </c>
      <c r="V1248" s="9">
        <f t="shared" si="110"/>
        <v>0</v>
      </c>
      <c r="W1248" s="9">
        <f t="shared" si="111"/>
        <v>12.145399999999999</v>
      </c>
    </row>
    <row r="1249" spans="1:23">
      <c r="A1249" s="2" t="s">
        <v>335</v>
      </c>
      <c r="B1249" s="2" t="s">
        <v>499</v>
      </c>
      <c r="C1249" s="3">
        <v>133</v>
      </c>
      <c r="D1249" s="3">
        <v>2.4700000000000002</v>
      </c>
      <c r="E1249" s="2" t="s">
        <v>514</v>
      </c>
      <c r="F1249" s="4">
        <v>42045</v>
      </c>
      <c r="G1249" s="3">
        <v>60</v>
      </c>
      <c r="H1249" s="3">
        <v>3.5</v>
      </c>
      <c r="I1249" s="4">
        <v>42059</v>
      </c>
      <c r="J1249" s="3">
        <v>61.5</v>
      </c>
      <c r="K1249" s="3">
        <v>4</v>
      </c>
      <c r="L1249" s="3">
        <v>14</v>
      </c>
      <c r="M1249" s="5">
        <v>1.5</v>
      </c>
      <c r="N1249" s="5">
        <v>0.5</v>
      </c>
      <c r="O1249" s="5">
        <v>34.580000000000005</v>
      </c>
      <c r="P1249" s="5">
        <v>107.14285714285714</v>
      </c>
      <c r="Q1249" s="5">
        <v>17.554360357142855</v>
      </c>
      <c r="R1249" s="8">
        <f t="shared" si="107"/>
        <v>14</v>
      </c>
      <c r="S1249" s="9">
        <f t="shared" si="108"/>
        <v>1.5</v>
      </c>
      <c r="T1249" s="9">
        <v>1.5</v>
      </c>
      <c r="U1249" s="9">
        <f t="shared" si="109"/>
        <v>34.580000000000005</v>
      </c>
      <c r="V1249" s="9">
        <f t="shared" si="110"/>
        <v>107.14285714285714</v>
      </c>
      <c r="W1249" s="9">
        <f t="shared" si="111"/>
        <v>17.554360357142855</v>
      </c>
    </row>
    <row r="1250" spans="1:23">
      <c r="A1250" s="2" t="s">
        <v>335</v>
      </c>
      <c r="B1250" s="2" t="s">
        <v>499</v>
      </c>
      <c r="C1250" s="3">
        <v>133</v>
      </c>
      <c r="D1250" s="3">
        <v>2.4700000000000002</v>
      </c>
      <c r="E1250" s="2" t="s">
        <v>514</v>
      </c>
      <c r="F1250" s="4">
        <v>42045</v>
      </c>
      <c r="G1250" s="3">
        <v>60</v>
      </c>
      <c r="H1250" s="3">
        <v>3.5</v>
      </c>
      <c r="I1250" s="4">
        <v>42066</v>
      </c>
      <c r="J1250" s="3">
        <v>64</v>
      </c>
      <c r="K1250" s="3">
        <v>4.5</v>
      </c>
      <c r="L1250" s="3">
        <v>21</v>
      </c>
      <c r="M1250" s="5">
        <v>4</v>
      </c>
      <c r="N1250" s="5">
        <v>1</v>
      </c>
      <c r="O1250" s="5">
        <v>51.870000000000005</v>
      </c>
      <c r="P1250" s="5">
        <v>190.47619047619045</v>
      </c>
      <c r="Q1250" s="5">
        <v>21.874056190476189</v>
      </c>
      <c r="R1250" s="8">
        <f t="shared" si="107"/>
        <v>7</v>
      </c>
      <c r="S1250" s="9">
        <f t="shared" si="108"/>
        <v>2.5</v>
      </c>
      <c r="T1250" s="9">
        <v>1.5</v>
      </c>
      <c r="U1250" s="9">
        <f t="shared" si="109"/>
        <v>17.290000000000003</v>
      </c>
      <c r="V1250" s="9">
        <f t="shared" si="110"/>
        <v>357.14285714285717</v>
      </c>
      <c r="W1250" s="9">
        <f t="shared" si="111"/>
        <v>30.090722857142858</v>
      </c>
    </row>
    <row r="1251" spans="1:23">
      <c r="A1251" s="2" t="s">
        <v>335</v>
      </c>
      <c r="B1251" s="2" t="s">
        <v>499</v>
      </c>
      <c r="C1251" s="3">
        <v>133</v>
      </c>
      <c r="D1251" s="3">
        <v>2.4700000000000002</v>
      </c>
      <c r="E1251" s="2" t="s">
        <v>514</v>
      </c>
      <c r="F1251" s="4">
        <v>42045</v>
      </c>
      <c r="G1251" s="3">
        <v>60</v>
      </c>
      <c r="H1251" s="3">
        <v>3.5</v>
      </c>
      <c r="I1251" s="4">
        <v>42073</v>
      </c>
      <c r="J1251" s="3">
        <v>66</v>
      </c>
      <c r="K1251" s="3">
        <v>4</v>
      </c>
      <c r="L1251" s="3">
        <v>28</v>
      </c>
      <c r="M1251" s="5">
        <v>6</v>
      </c>
      <c r="N1251" s="5">
        <v>0.5</v>
      </c>
      <c r="O1251" s="5">
        <v>69.160000000000011</v>
      </c>
      <c r="P1251" s="5">
        <v>214.28571428571428</v>
      </c>
      <c r="Q1251" s="5">
        <v>23.21695571428571</v>
      </c>
      <c r="R1251" s="8">
        <f t="shared" si="107"/>
        <v>7</v>
      </c>
      <c r="S1251" s="9">
        <f t="shared" si="108"/>
        <v>2</v>
      </c>
      <c r="T1251" s="9">
        <v>1.5</v>
      </c>
      <c r="U1251" s="9">
        <f t="shared" si="109"/>
        <v>17.290000000000003</v>
      </c>
      <c r="V1251" s="9">
        <f t="shared" si="110"/>
        <v>285.71428571428572</v>
      </c>
      <c r="W1251" s="9">
        <f t="shared" si="111"/>
        <v>26.738384285714282</v>
      </c>
    </row>
    <row r="1252" spans="1:23">
      <c r="A1252" s="2" t="s">
        <v>335</v>
      </c>
      <c r="B1252" s="2" t="s">
        <v>499</v>
      </c>
      <c r="C1252" s="3">
        <v>133</v>
      </c>
      <c r="D1252" s="3">
        <v>2.4700000000000002</v>
      </c>
      <c r="E1252" s="2" t="s">
        <v>514</v>
      </c>
      <c r="F1252" s="4">
        <v>42045</v>
      </c>
      <c r="G1252" s="3">
        <v>60</v>
      </c>
      <c r="H1252" s="3">
        <v>3.5</v>
      </c>
      <c r="I1252" s="4">
        <v>42087</v>
      </c>
      <c r="J1252" s="3">
        <v>62</v>
      </c>
      <c r="K1252" s="3">
        <v>4</v>
      </c>
      <c r="L1252" s="3">
        <v>42</v>
      </c>
      <c r="M1252" s="5">
        <v>2</v>
      </c>
      <c r="N1252" s="5">
        <v>0.5</v>
      </c>
      <c r="O1252" s="5">
        <v>103.74000000000001</v>
      </c>
      <c r="P1252" s="5">
        <v>47.619047619047613</v>
      </c>
      <c r="Q1252" s="5">
        <v>14.662109047619047</v>
      </c>
      <c r="R1252" s="8">
        <f t="shared" si="107"/>
        <v>14</v>
      </c>
      <c r="S1252" s="9">
        <f t="shared" si="108"/>
        <v>-4</v>
      </c>
      <c r="T1252" s="9">
        <v>1.5</v>
      </c>
      <c r="U1252" s="9">
        <f t="shared" si="109"/>
        <v>34.580000000000005</v>
      </c>
      <c r="V1252" s="9">
        <f t="shared" si="110"/>
        <v>-285.71428571428572</v>
      </c>
      <c r="W1252" s="9">
        <f t="shared" si="111"/>
        <v>-1.7712242857142844</v>
      </c>
    </row>
    <row r="1253" spans="1:23">
      <c r="A1253" s="2" t="s">
        <v>335</v>
      </c>
      <c r="B1253" s="2" t="s">
        <v>499</v>
      </c>
      <c r="C1253" s="3">
        <v>133</v>
      </c>
      <c r="D1253" s="3">
        <v>2.4700000000000002</v>
      </c>
      <c r="E1253" s="2" t="s">
        <v>515</v>
      </c>
      <c r="F1253" s="4">
        <v>42045</v>
      </c>
      <c r="G1253" s="3">
        <v>52.6</v>
      </c>
      <c r="H1253" s="3">
        <v>2.5</v>
      </c>
      <c r="I1253" s="4">
        <v>42045</v>
      </c>
      <c r="J1253" s="3">
        <v>52.6</v>
      </c>
      <c r="K1253" s="3">
        <v>2.5</v>
      </c>
      <c r="L1253" s="3">
        <v>0</v>
      </c>
      <c r="M1253" s="5">
        <v>0</v>
      </c>
      <c r="N1253" s="5">
        <v>0</v>
      </c>
      <c r="O1253" s="5">
        <v>0</v>
      </c>
      <c r="P1253" s="5">
        <v>0</v>
      </c>
      <c r="Q1253" s="5">
        <v>10.894133999999999</v>
      </c>
      <c r="R1253" s="8">
        <f t="shared" si="107"/>
        <v>0</v>
      </c>
      <c r="S1253" s="9">
        <f t="shared" si="108"/>
        <v>0</v>
      </c>
      <c r="T1253" s="9">
        <v>1.5</v>
      </c>
      <c r="U1253" s="9">
        <f t="shared" si="109"/>
        <v>0</v>
      </c>
      <c r="V1253" s="9">
        <f t="shared" si="110"/>
        <v>0</v>
      </c>
      <c r="W1253" s="9">
        <f t="shared" si="111"/>
        <v>10.894133999999999</v>
      </c>
    </row>
    <row r="1254" spans="1:23">
      <c r="A1254" s="2" t="s">
        <v>335</v>
      </c>
      <c r="B1254" s="2" t="s">
        <v>499</v>
      </c>
      <c r="C1254" s="3">
        <v>133</v>
      </c>
      <c r="D1254" s="3">
        <v>2.4700000000000002</v>
      </c>
      <c r="E1254" s="2" t="s">
        <v>515</v>
      </c>
      <c r="F1254" s="4">
        <v>42045</v>
      </c>
      <c r="G1254" s="3">
        <v>52.6</v>
      </c>
      <c r="H1254" s="3">
        <v>2.5</v>
      </c>
      <c r="I1254" s="4">
        <v>42059</v>
      </c>
      <c r="J1254" s="3">
        <v>53.5</v>
      </c>
      <c r="K1254" s="3">
        <v>4</v>
      </c>
      <c r="L1254" s="3">
        <v>14</v>
      </c>
      <c r="M1254" s="5">
        <v>0.89999999999999858</v>
      </c>
      <c r="N1254" s="5">
        <v>1.5</v>
      </c>
      <c r="O1254" s="5">
        <v>34.580000000000005</v>
      </c>
      <c r="P1254" s="5">
        <v>64.285714285714178</v>
      </c>
      <c r="Q1254" s="5">
        <v>14.139510214285707</v>
      </c>
      <c r="R1254" s="8">
        <f t="shared" si="107"/>
        <v>14</v>
      </c>
      <c r="S1254" s="9">
        <f t="shared" si="108"/>
        <v>0.89999999999999858</v>
      </c>
      <c r="T1254" s="9">
        <v>1.5</v>
      </c>
      <c r="U1254" s="9">
        <f t="shared" si="109"/>
        <v>34.580000000000005</v>
      </c>
      <c r="V1254" s="9">
        <f t="shared" si="110"/>
        <v>64.285714285714178</v>
      </c>
      <c r="W1254" s="9">
        <f t="shared" si="111"/>
        <v>14.139510214285707</v>
      </c>
    </row>
    <row r="1255" spans="1:23">
      <c r="A1255" s="2" t="s">
        <v>335</v>
      </c>
      <c r="B1255" s="2" t="s">
        <v>499</v>
      </c>
      <c r="C1255" s="3">
        <v>133</v>
      </c>
      <c r="D1255" s="3">
        <v>2.4700000000000002</v>
      </c>
      <c r="E1255" s="2" t="s">
        <v>515</v>
      </c>
      <c r="F1255" s="4">
        <v>42045</v>
      </c>
      <c r="G1255" s="3">
        <v>52.6</v>
      </c>
      <c r="H1255" s="3">
        <v>2.5</v>
      </c>
      <c r="I1255" s="4">
        <v>42066</v>
      </c>
      <c r="J1255" s="3">
        <v>54.5</v>
      </c>
      <c r="K1255" s="3">
        <v>3.2</v>
      </c>
      <c r="L1255" s="3">
        <v>21</v>
      </c>
      <c r="M1255" s="5">
        <v>1.8999999999999986</v>
      </c>
      <c r="N1255" s="5">
        <v>0.70000000000000018</v>
      </c>
      <c r="O1255" s="5">
        <v>51.870000000000005</v>
      </c>
      <c r="P1255" s="5">
        <v>90.476190476190411</v>
      </c>
      <c r="Q1255" s="5">
        <v>15.515245690476185</v>
      </c>
      <c r="R1255" s="8">
        <f t="shared" si="107"/>
        <v>7</v>
      </c>
      <c r="S1255" s="9">
        <f t="shared" si="108"/>
        <v>1</v>
      </c>
      <c r="T1255" s="9">
        <v>1.5</v>
      </c>
      <c r="U1255" s="9">
        <f t="shared" si="109"/>
        <v>17.290000000000003</v>
      </c>
      <c r="V1255" s="9">
        <f t="shared" si="110"/>
        <v>142.85714285714286</v>
      </c>
      <c r="W1255" s="9">
        <f t="shared" si="111"/>
        <v>18.09762664285714</v>
      </c>
    </row>
    <row r="1256" spans="1:23">
      <c r="A1256" s="2" t="s">
        <v>335</v>
      </c>
      <c r="B1256" s="2" t="s">
        <v>499</v>
      </c>
      <c r="C1256" s="3">
        <v>133</v>
      </c>
      <c r="D1256" s="3">
        <v>2.4700000000000002</v>
      </c>
      <c r="E1256" s="2" t="s">
        <v>515</v>
      </c>
      <c r="F1256" s="4">
        <v>42045</v>
      </c>
      <c r="G1256" s="3">
        <v>52.6</v>
      </c>
      <c r="H1256" s="3">
        <v>2.5</v>
      </c>
      <c r="I1256" s="4">
        <v>42073</v>
      </c>
      <c r="J1256" s="3">
        <v>54.6</v>
      </c>
      <c r="K1256" s="3">
        <v>3</v>
      </c>
      <c r="L1256" s="3">
        <v>28</v>
      </c>
      <c r="M1256" s="5">
        <v>2</v>
      </c>
      <c r="N1256" s="5">
        <v>0.5</v>
      </c>
      <c r="O1256" s="5">
        <v>69.160000000000011</v>
      </c>
      <c r="P1256" s="5">
        <v>71.428571428571431</v>
      </c>
      <c r="Q1256" s="5">
        <v>14.58465257142857</v>
      </c>
      <c r="R1256" s="8">
        <f t="shared" si="107"/>
        <v>7</v>
      </c>
      <c r="S1256" s="9">
        <f t="shared" si="108"/>
        <v>0.10000000000000142</v>
      </c>
      <c r="T1256" s="9">
        <v>1.5</v>
      </c>
      <c r="U1256" s="9">
        <f t="shared" si="109"/>
        <v>17.290000000000003</v>
      </c>
      <c r="V1256" s="9">
        <f t="shared" si="110"/>
        <v>14.285714285714489</v>
      </c>
      <c r="W1256" s="9">
        <f t="shared" si="111"/>
        <v>11.767509714285724</v>
      </c>
    </row>
    <row r="1257" spans="1:23">
      <c r="A1257" s="2" t="s">
        <v>335</v>
      </c>
      <c r="B1257" s="2" t="s">
        <v>499</v>
      </c>
      <c r="C1257" s="3">
        <v>133</v>
      </c>
      <c r="D1257" s="3">
        <v>2.4700000000000002</v>
      </c>
      <c r="E1257" s="2" t="s">
        <v>515</v>
      </c>
      <c r="F1257" s="4">
        <v>42045</v>
      </c>
      <c r="G1257" s="3">
        <v>52.6</v>
      </c>
      <c r="H1257" s="3">
        <v>2.5</v>
      </c>
      <c r="I1257" s="4">
        <v>42087</v>
      </c>
      <c r="J1257" s="3">
        <v>55.2</v>
      </c>
      <c r="K1257" s="3">
        <v>3.5</v>
      </c>
      <c r="L1257" s="3">
        <v>42</v>
      </c>
      <c r="M1257" s="5">
        <v>2.6000000000000014</v>
      </c>
      <c r="N1257" s="5">
        <v>1</v>
      </c>
      <c r="O1257" s="5">
        <v>103.74000000000001</v>
      </c>
      <c r="P1257" s="5">
        <v>61.904761904761941</v>
      </c>
      <c r="Q1257" s="5">
        <v>14.165855761904764</v>
      </c>
      <c r="R1257" s="8">
        <f t="shared" si="107"/>
        <v>14</v>
      </c>
      <c r="S1257" s="9">
        <f t="shared" si="108"/>
        <v>0.60000000000000142</v>
      </c>
      <c r="T1257" s="9">
        <v>1.5</v>
      </c>
      <c r="U1257" s="9">
        <f t="shared" si="109"/>
        <v>34.580000000000005</v>
      </c>
      <c r="V1257" s="9">
        <f t="shared" si="110"/>
        <v>42.857142857142961</v>
      </c>
      <c r="W1257" s="9">
        <f t="shared" si="111"/>
        <v>13.226808142857148</v>
      </c>
    </row>
    <row r="1258" spans="1:23">
      <c r="A1258" s="2" t="s">
        <v>335</v>
      </c>
      <c r="B1258" s="2" t="s">
        <v>499</v>
      </c>
      <c r="C1258" s="3">
        <v>133</v>
      </c>
      <c r="D1258" s="3">
        <v>2.4700000000000002</v>
      </c>
      <c r="E1258" s="2" t="s">
        <v>516</v>
      </c>
      <c r="F1258" s="4">
        <v>42045</v>
      </c>
      <c r="G1258" s="3">
        <v>57.2</v>
      </c>
      <c r="H1258" s="3">
        <v>3</v>
      </c>
      <c r="I1258" s="4">
        <v>42045</v>
      </c>
      <c r="J1258" s="3">
        <v>57.2</v>
      </c>
      <c r="K1258" s="3">
        <v>3</v>
      </c>
      <c r="L1258" s="3">
        <v>0</v>
      </c>
      <c r="M1258" s="5">
        <v>0</v>
      </c>
      <c r="N1258" s="5">
        <v>0</v>
      </c>
      <c r="O1258" s="5">
        <v>0</v>
      </c>
      <c r="P1258" s="5">
        <v>0</v>
      </c>
      <c r="Q1258" s="5">
        <v>11.671948</v>
      </c>
      <c r="R1258" s="8">
        <f t="shared" si="107"/>
        <v>0</v>
      </c>
      <c r="S1258" s="9">
        <f t="shared" si="108"/>
        <v>0</v>
      </c>
      <c r="T1258" s="9">
        <v>1.5</v>
      </c>
      <c r="U1258" s="9">
        <f t="shared" si="109"/>
        <v>0</v>
      </c>
      <c r="V1258" s="9">
        <f t="shared" si="110"/>
        <v>0</v>
      </c>
      <c r="W1258" s="9">
        <f t="shared" si="111"/>
        <v>11.671948</v>
      </c>
    </row>
    <row r="1259" spans="1:23">
      <c r="A1259" s="2" t="s">
        <v>335</v>
      </c>
      <c r="B1259" s="2" t="s">
        <v>499</v>
      </c>
      <c r="C1259" s="3">
        <v>133</v>
      </c>
      <c r="D1259" s="3">
        <v>2.4700000000000002</v>
      </c>
      <c r="E1259" s="2" t="s">
        <v>516</v>
      </c>
      <c r="F1259" s="4">
        <v>42045</v>
      </c>
      <c r="G1259" s="3">
        <v>57.2</v>
      </c>
      <c r="H1259" s="3">
        <v>3</v>
      </c>
      <c r="I1259" s="4">
        <v>42059</v>
      </c>
      <c r="J1259" s="3">
        <v>64</v>
      </c>
      <c r="K1259" s="3">
        <v>4</v>
      </c>
      <c r="L1259" s="3">
        <v>14</v>
      </c>
      <c r="M1259" s="5">
        <v>6.7999999999999972</v>
      </c>
      <c r="N1259" s="5">
        <v>1</v>
      </c>
      <c r="O1259" s="5">
        <v>34.580000000000005</v>
      </c>
      <c r="P1259" s="5">
        <v>485.7142857142855</v>
      </c>
      <c r="Q1259" s="5">
        <v>36.192568285714273</v>
      </c>
      <c r="R1259" s="8">
        <f t="shared" si="107"/>
        <v>14</v>
      </c>
      <c r="S1259" s="9">
        <f t="shared" si="108"/>
        <v>6.7999999999999972</v>
      </c>
      <c r="T1259" s="9">
        <v>1.5</v>
      </c>
      <c r="U1259" s="9">
        <f t="shared" si="109"/>
        <v>34.580000000000005</v>
      </c>
      <c r="V1259" s="9">
        <f t="shared" si="110"/>
        <v>485.7142857142855</v>
      </c>
      <c r="W1259" s="9">
        <f t="shared" si="111"/>
        <v>36.192568285714273</v>
      </c>
    </row>
    <row r="1260" spans="1:23">
      <c r="A1260" s="2" t="s">
        <v>335</v>
      </c>
      <c r="B1260" s="2" t="s">
        <v>499</v>
      </c>
      <c r="C1260" s="3">
        <v>133</v>
      </c>
      <c r="D1260" s="3">
        <v>2.4700000000000002</v>
      </c>
      <c r="E1260" s="2" t="s">
        <v>516</v>
      </c>
      <c r="F1260" s="4">
        <v>42045</v>
      </c>
      <c r="G1260" s="3">
        <v>57.2</v>
      </c>
      <c r="H1260" s="3">
        <v>3</v>
      </c>
      <c r="I1260" s="4">
        <v>42066</v>
      </c>
      <c r="J1260" s="3">
        <v>61</v>
      </c>
      <c r="K1260" s="3">
        <v>3.5</v>
      </c>
      <c r="L1260" s="3">
        <v>21</v>
      </c>
      <c r="M1260" s="5">
        <v>3.7999999999999972</v>
      </c>
      <c r="N1260" s="5">
        <v>0.5</v>
      </c>
      <c r="O1260" s="5">
        <v>51.870000000000005</v>
      </c>
      <c r="P1260" s="5">
        <v>180.95238095238082</v>
      </c>
      <c r="Q1260" s="5">
        <v>20.914171380952375</v>
      </c>
      <c r="R1260" s="8">
        <f t="shared" si="107"/>
        <v>7</v>
      </c>
      <c r="S1260" s="9">
        <f t="shared" si="108"/>
        <v>-3</v>
      </c>
      <c r="T1260" s="9">
        <v>1.5</v>
      </c>
      <c r="U1260" s="9">
        <f t="shared" si="109"/>
        <v>17.290000000000003</v>
      </c>
      <c r="V1260" s="9">
        <f t="shared" si="110"/>
        <v>-428.57142857142856</v>
      </c>
      <c r="W1260" s="9">
        <f t="shared" si="111"/>
        <v>-9.1353524285714265</v>
      </c>
    </row>
    <row r="1261" spans="1:23">
      <c r="A1261" s="2" t="s">
        <v>335</v>
      </c>
      <c r="B1261" s="2" t="s">
        <v>499</v>
      </c>
      <c r="C1261" s="3">
        <v>133</v>
      </c>
      <c r="D1261" s="3">
        <v>2.4700000000000002</v>
      </c>
      <c r="E1261" s="2" t="s">
        <v>516</v>
      </c>
      <c r="F1261" s="4">
        <v>42045</v>
      </c>
      <c r="G1261" s="3">
        <v>57.2</v>
      </c>
      <c r="H1261" s="3">
        <v>3</v>
      </c>
      <c r="I1261" s="4">
        <v>42073</v>
      </c>
      <c r="J1261" s="3">
        <v>62</v>
      </c>
      <c r="K1261" s="3">
        <v>3.5</v>
      </c>
      <c r="L1261" s="3">
        <v>28</v>
      </c>
      <c r="M1261" s="5">
        <v>4.7999999999999972</v>
      </c>
      <c r="N1261" s="5">
        <v>0.5</v>
      </c>
      <c r="O1261" s="5">
        <v>69.160000000000011</v>
      </c>
      <c r="P1261" s="5">
        <v>171.42857142857133</v>
      </c>
      <c r="Q1261" s="5">
        <v>20.529192571428567</v>
      </c>
      <c r="R1261" s="8">
        <f t="shared" si="107"/>
        <v>7</v>
      </c>
      <c r="S1261" s="9">
        <f t="shared" si="108"/>
        <v>1</v>
      </c>
      <c r="T1261" s="9">
        <v>1.5</v>
      </c>
      <c r="U1261" s="9">
        <f t="shared" si="109"/>
        <v>17.290000000000003</v>
      </c>
      <c r="V1261" s="9">
        <f t="shared" si="110"/>
        <v>142.85714285714286</v>
      </c>
      <c r="W1261" s="9">
        <f t="shared" si="111"/>
        <v>19.120621142857143</v>
      </c>
    </row>
    <row r="1262" spans="1:23">
      <c r="A1262" s="2" t="s">
        <v>335</v>
      </c>
      <c r="B1262" s="2" t="s">
        <v>499</v>
      </c>
      <c r="C1262" s="3">
        <v>133</v>
      </c>
      <c r="D1262" s="3">
        <v>2.4700000000000002</v>
      </c>
      <c r="E1262" s="2" t="s">
        <v>516</v>
      </c>
      <c r="F1262" s="4">
        <v>42045</v>
      </c>
      <c r="G1262" s="3">
        <v>57.2</v>
      </c>
      <c r="H1262" s="3">
        <v>3</v>
      </c>
      <c r="I1262" s="4">
        <v>42087</v>
      </c>
      <c r="J1262" s="3">
        <v>58</v>
      </c>
      <c r="K1262" s="3">
        <v>3.5</v>
      </c>
      <c r="L1262" s="3">
        <v>42</v>
      </c>
      <c r="M1262" s="5">
        <v>0.79999999999999716</v>
      </c>
      <c r="N1262" s="5">
        <v>0.5</v>
      </c>
      <c r="O1262" s="5">
        <v>103.74000000000001</v>
      </c>
      <c r="P1262" s="5">
        <v>19.04761904761898</v>
      </c>
      <c r="Q1262" s="5">
        <v>12.678631619047614</v>
      </c>
      <c r="R1262" s="8">
        <f t="shared" si="107"/>
        <v>14</v>
      </c>
      <c r="S1262" s="9">
        <f t="shared" si="108"/>
        <v>-4</v>
      </c>
      <c r="T1262" s="9">
        <v>1.5</v>
      </c>
      <c r="U1262" s="9">
        <f t="shared" si="109"/>
        <v>34.580000000000005</v>
      </c>
      <c r="V1262" s="9">
        <f t="shared" si="110"/>
        <v>-285.71428571428572</v>
      </c>
      <c r="W1262" s="9">
        <f t="shared" si="111"/>
        <v>-2.3461302857142847</v>
      </c>
    </row>
    <row r="1263" spans="1:23">
      <c r="A1263" s="2" t="s">
        <v>335</v>
      </c>
      <c r="B1263" s="2" t="s">
        <v>499</v>
      </c>
      <c r="C1263" s="3">
        <v>133</v>
      </c>
      <c r="D1263" s="3">
        <v>2.4700000000000002</v>
      </c>
      <c r="E1263" s="2" t="s">
        <v>517</v>
      </c>
      <c r="F1263" s="4">
        <v>42045</v>
      </c>
      <c r="G1263" s="3">
        <v>57.2</v>
      </c>
      <c r="H1263" s="3">
        <v>3.5</v>
      </c>
      <c r="I1263" s="4">
        <v>42045</v>
      </c>
      <c r="J1263" s="3">
        <v>57.2</v>
      </c>
      <c r="K1263" s="3">
        <v>3.5</v>
      </c>
      <c r="L1263" s="3">
        <v>0</v>
      </c>
      <c r="M1263" s="5">
        <v>0</v>
      </c>
      <c r="N1263" s="5">
        <v>0</v>
      </c>
      <c r="O1263" s="5">
        <v>0</v>
      </c>
      <c r="P1263" s="5">
        <v>0</v>
      </c>
      <c r="Q1263" s="5">
        <v>11.671948</v>
      </c>
      <c r="R1263" s="8">
        <f t="shared" si="107"/>
        <v>0</v>
      </c>
      <c r="S1263" s="9">
        <f t="shared" si="108"/>
        <v>0</v>
      </c>
      <c r="T1263" s="9">
        <v>1.5</v>
      </c>
      <c r="U1263" s="9">
        <f t="shared" si="109"/>
        <v>0</v>
      </c>
      <c r="V1263" s="9">
        <f t="shared" si="110"/>
        <v>0</v>
      </c>
      <c r="W1263" s="9">
        <f t="shared" si="111"/>
        <v>11.671948</v>
      </c>
    </row>
    <row r="1264" spans="1:23">
      <c r="A1264" s="2" t="s">
        <v>335</v>
      </c>
      <c r="B1264" s="2" t="s">
        <v>499</v>
      </c>
      <c r="C1264" s="3">
        <v>133</v>
      </c>
      <c r="D1264" s="3">
        <v>2.4700000000000002</v>
      </c>
      <c r="E1264" s="2" t="s">
        <v>517</v>
      </c>
      <c r="F1264" s="4">
        <v>42045</v>
      </c>
      <c r="G1264" s="3">
        <v>57.2</v>
      </c>
      <c r="H1264" s="3">
        <v>3.5</v>
      </c>
      <c r="I1264" s="4">
        <v>42059</v>
      </c>
      <c r="J1264" s="3">
        <v>60</v>
      </c>
      <c r="K1264" s="3">
        <v>3.5</v>
      </c>
      <c r="L1264" s="3">
        <v>14</v>
      </c>
      <c r="M1264" s="5">
        <v>2.7999999999999972</v>
      </c>
      <c r="N1264" s="5">
        <v>0</v>
      </c>
      <c r="O1264" s="5">
        <v>34.580000000000005</v>
      </c>
      <c r="P1264" s="5">
        <v>199.9999999999998</v>
      </c>
      <c r="Q1264" s="5">
        <v>21.76867399999999</v>
      </c>
      <c r="R1264" s="8">
        <f t="shared" si="107"/>
        <v>14</v>
      </c>
      <c r="S1264" s="9">
        <f t="shared" si="108"/>
        <v>2.7999999999999972</v>
      </c>
      <c r="T1264" s="9">
        <v>1.5</v>
      </c>
      <c r="U1264" s="9">
        <f t="shared" si="109"/>
        <v>34.580000000000005</v>
      </c>
      <c r="V1264" s="9">
        <f t="shared" si="110"/>
        <v>199.9999999999998</v>
      </c>
      <c r="W1264" s="9">
        <f t="shared" si="111"/>
        <v>21.76867399999999</v>
      </c>
    </row>
    <row r="1265" spans="1:23">
      <c r="A1265" s="2" t="s">
        <v>335</v>
      </c>
      <c r="B1265" s="2" t="s">
        <v>499</v>
      </c>
      <c r="C1265" s="3">
        <v>133</v>
      </c>
      <c r="D1265" s="3">
        <v>2.4700000000000002</v>
      </c>
      <c r="E1265" s="2" t="s">
        <v>517</v>
      </c>
      <c r="F1265" s="4">
        <v>42045</v>
      </c>
      <c r="G1265" s="3">
        <v>57.2</v>
      </c>
      <c r="H1265" s="3">
        <v>3.5</v>
      </c>
      <c r="I1265" s="4">
        <v>42066</v>
      </c>
      <c r="J1265" s="3">
        <v>59</v>
      </c>
      <c r="K1265" s="3">
        <v>4</v>
      </c>
      <c r="L1265" s="3">
        <v>21</v>
      </c>
      <c r="M1265" s="5">
        <v>1.7999999999999972</v>
      </c>
      <c r="N1265" s="5">
        <v>0.5</v>
      </c>
      <c r="O1265" s="5">
        <v>51.870000000000005</v>
      </c>
      <c r="P1265" s="5">
        <v>85.71428571428558</v>
      </c>
      <c r="Q1265" s="5">
        <v>16.049843285714278</v>
      </c>
      <c r="R1265" s="8">
        <f t="shared" si="107"/>
        <v>7</v>
      </c>
      <c r="S1265" s="9">
        <f t="shared" si="108"/>
        <v>-1</v>
      </c>
      <c r="T1265" s="9">
        <v>1.5</v>
      </c>
      <c r="U1265" s="9">
        <f t="shared" si="109"/>
        <v>17.290000000000003</v>
      </c>
      <c r="V1265" s="9">
        <f t="shared" si="110"/>
        <v>-142.85714285714286</v>
      </c>
      <c r="W1265" s="9">
        <f t="shared" si="111"/>
        <v>4.7812718571428574</v>
      </c>
    </row>
    <row r="1266" spans="1:23">
      <c r="A1266" s="2" t="s">
        <v>335</v>
      </c>
      <c r="B1266" s="2" t="s">
        <v>499</v>
      </c>
      <c r="C1266" s="3">
        <v>133</v>
      </c>
      <c r="D1266" s="3">
        <v>2.4700000000000002</v>
      </c>
      <c r="E1266" s="2" t="s">
        <v>517</v>
      </c>
      <c r="F1266" s="4">
        <v>42045</v>
      </c>
      <c r="G1266" s="3">
        <v>57.2</v>
      </c>
      <c r="H1266" s="3">
        <v>3.5</v>
      </c>
      <c r="I1266" s="4">
        <v>42073</v>
      </c>
      <c r="J1266" s="3">
        <v>56.8</v>
      </c>
      <c r="K1266" s="3">
        <v>3.5</v>
      </c>
      <c r="L1266" s="3">
        <v>28</v>
      </c>
      <c r="M1266" s="5">
        <v>-0.40000000000000568</v>
      </c>
      <c r="N1266" s="5">
        <v>0</v>
      </c>
      <c r="O1266" s="5">
        <v>69.160000000000011</v>
      </c>
      <c r="P1266" s="5">
        <v>-14.285714285714489</v>
      </c>
      <c r="Q1266" s="5">
        <v>10.933844285714276</v>
      </c>
      <c r="R1266" s="8">
        <f t="shared" si="107"/>
        <v>7</v>
      </c>
      <c r="S1266" s="9">
        <f t="shared" si="108"/>
        <v>-2.2000000000000028</v>
      </c>
      <c r="T1266" s="9">
        <v>1.5</v>
      </c>
      <c r="U1266" s="9">
        <f t="shared" si="109"/>
        <v>17.290000000000003</v>
      </c>
      <c r="V1266" s="9">
        <f t="shared" si="110"/>
        <v>-314.28571428571468</v>
      </c>
      <c r="W1266" s="9">
        <f t="shared" si="111"/>
        <v>-3.8561557142857321</v>
      </c>
    </row>
    <row r="1267" spans="1:23">
      <c r="A1267" s="2" t="s">
        <v>335</v>
      </c>
      <c r="B1267" s="2" t="s">
        <v>499</v>
      </c>
      <c r="C1267" s="3">
        <v>133</v>
      </c>
      <c r="D1267" s="3">
        <v>2.4700000000000002</v>
      </c>
      <c r="E1267" s="2" t="s">
        <v>517</v>
      </c>
      <c r="F1267" s="4">
        <v>42045</v>
      </c>
      <c r="G1267" s="3">
        <v>57.2</v>
      </c>
      <c r="H1267" s="3">
        <v>3.5</v>
      </c>
      <c r="I1267" s="4">
        <v>42087</v>
      </c>
      <c r="J1267" s="3">
        <v>54.2</v>
      </c>
      <c r="K1267" s="3">
        <v>3</v>
      </c>
      <c r="L1267" s="3">
        <v>42</v>
      </c>
      <c r="M1267" s="5">
        <v>-3</v>
      </c>
      <c r="N1267" s="5">
        <v>-0.5</v>
      </c>
      <c r="O1267" s="5">
        <v>103.74000000000001</v>
      </c>
      <c r="P1267" s="5">
        <v>-71.428571428571431</v>
      </c>
      <c r="Q1267" s="5">
        <v>7.896884428571429</v>
      </c>
      <c r="R1267" s="8">
        <f t="shared" si="107"/>
        <v>14</v>
      </c>
      <c r="S1267" s="9">
        <f t="shared" si="108"/>
        <v>-2.5999999999999943</v>
      </c>
      <c r="T1267" s="9">
        <v>1.5</v>
      </c>
      <c r="U1267" s="9">
        <f t="shared" si="109"/>
        <v>34.580000000000005</v>
      </c>
      <c r="V1267" s="9">
        <f t="shared" si="110"/>
        <v>-185.7142857142853</v>
      </c>
      <c r="W1267" s="9">
        <f t="shared" si="111"/>
        <v>2.2625987142857351</v>
      </c>
    </row>
    <row r="1268" spans="1:23">
      <c r="A1268" s="2" t="s">
        <v>335</v>
      </c>
      <c r="B1268" s="2" t="s">
        <v>499</v>
      </c>
      <c r="C1268" s="3">
        <v>133</v>
      </c>
      <c r="D1268" s="3">
        <v>2.4700000000000002</v>
      </c>
      <c r="E1268" s="2" t="s">
        <v>518</v>
      </c>
      <c r="F1268" s="4">
        <v>42045</v>
      </c>
      <c r="G1268" s="3">
        <v>54.6</v>
      </c>
      <c r="H1268" s="3">
        <v>3</v>
      </c>
      <c r="I1268" s="4">
        <v>42045</v>
      </c>
      <c r="J1268" s="3">
        <v>54.6</v>
      </c>
      <c r="K1268" s="3">
        <v>3</v>
      </c>
      <c r="L1268" s="3">
        <v>0</v>
      </c>
      <c r="M1268" s="5">
        <v>0</v>
      </c>
      <c r="N1268" s="5">
        <v>0</v>
      </c>
      <c r="O1268" s="5">
        <v>0</v>
      </c>
      <c r="P1268" s="5">
        <v>0</v>
      </c>
      <c r="Q1268" s="5">
        <v>11.232314000000001</v>
      </c>
      <c r="R1268" s="8">
        <f t="shared" si="107"/>
        <v>0</v>
      </c>
      <c r="S1268" s="9">
        <f t="shared" si="108"/>
        <v>0</v>
      </c>
      <c r="T1268" s="9">
        <v>1.5</v>
      </c>
      <c r="U1268" s="9">
        <f t="shared" si="109"/>
        <v>0</v>
      </c>
      <c r="V1268" s="9">
        <f t="shared" si="110"/>
        <v>0</v>
      </c>
      <c r="W1268" s="9">
        <f t="shared" si="111"/>
        <v>11.232314000000001</v>
      </c>
    </row>
    <row r="1269" spans="1:23">
      <c r="A1269" s="2" t="s">
        <v>335</v>
      </c>
      <c r="B1269" s="2" t="s">
        <v>499</v>
      </c>
      <c r="C1269" s="3">
        <v>133</v>
      </c>
      <c r="D1269" s="3">
        <v>2.4700000000000002</v>
      </c>
      <c r="E1269" s="2" t="s">
        <v>518</v>
      </c>
      <c r="F1269" s="4">
        <v>42045</v>
      </c>
      <c r="G1269" s="3">
        <v>54.6</v>
      </c>
      <c r="H1269" s="3">
        <v>3</v>
      </c>
      <c r="I1269" s="4">
        <v>42059</v>
      </c>
      <c r="J1269" s="3">
        <v>55.5</v>
      </c>
      <c r="K1269" s="3">
        <v>3</v>
      </c>
      <c r="L1269" s="3">
        <v>14</v>
      </c>
      <c r="M1269" s="5">
        <v>0.89999999999999858</v>
      </c>
      <c r="N1269" s="5">
        <v>0</v>
      </c>
      <c r="O1269" s="5">
        <v>34.580000000000005</v>
      </c>
      <c r="P1269" s="5">
        <v>64.285714285714178</v>
      </c>
      <c r="Q1269" s="5">
        <v>14.477690214285708</v>
      </c>
      <c r="R1269" s="8">
        <f t="shared" si="107"/>
        <v>14</v>
      </c>
      <c r="S1269" s="9">
        <f t="shared" si="108"/>
        <v>0.89999999999999858</v>
      </c>
      <c r="T1269" s="9">
        <v>1.5</v>
      </c>
      <c r="U1269" s="9">
        <f t="shared" si="109"/>
        <v>34.580000000000005</v>
      </c>
      <c r="V1269" s="9">
        <f t="shared" si="110"/>
        <v>64.285714285714178</v>
      </c>
      <c r="W1269" s="9">
        <f t="shared" si="111"/>
        <v>14.477690214285708</v>
      </c>
    </row>
    <row r="1270" spans="1:23">
      <c r="A1270" s="2" t="s">
        <v>335</v>
      </c>
      <c r="B1270" s="2" t="s">
        <v>499</v>
      </c>
      <c r="C1270" s="3">
        <v>133</v>
      </c>
      <c r="D1270" s="3">
        <v>2.4700000000000002</v>
      </c>
      <c r="E1270" s="2" t="s">
        <v>518</v>
      </c>
      <c r="F1270" s="4">
        <v>42045</v>
      </c>
      <c r="G1270" s="3">
        <v>54.6</v>
      </c>
      <c r="H1270" s="3">
        <v>3</v>
      </c>
      <c r="I1270" s="4">
        <v>42066</v>
      </c>
      <c r="J1270" s="3">
        <v>57</v>
      </c>
      <c r="K1270" s="3">
        <v>4.5</v>
      </c>
      <c r="L1270" s="3">
        <v>21</v>
      </c>
      <c r="M1270" s="5">
        <v>2.3999999999999986</v>
      </c>
      <c r="N1270" s="5">
        <v>1.5</v>
      </c>
      <c r="O1270" s="5">
        <v>51.870000000000005</v>
      </c>
      <c r="P1270" s="5">
        <v>114.28571428571421</v>
      </c>
      <c r="Q1270" s="5">
        <v>17.069507714285709</v>
      </c>
      <c r="R1270" s="8">
        <f t="shared" si="107"/>
        <v>7</v>
      </c>
      <c r="S1270" s="9">
        <f t="shared" si="108"/>
        <v>1.5</v>
      </c>
      <c r="T1270" s="9">
        <v>1.5</v>
      </c>
      <c r="U1270" s="9">
        <f t="shared" si="109"/>
        <v>17.290000000000003</v>
      </c>
      <c r="V1270" s="9">
        <f t="shared" si="110"/>
        <v>214.28571428571428</v>
      </c>
      <c r="W1270" s="9">
        <f t="shared" si="111"/>
        <v>21.999507714285713</v>
      </c>
    </row>
    <row r="1271" spans="1:23">
      <c r="A1271" s="2" t="s">
        <v>335</v>
      </c>
      <c r="B1271" s="2" t="s">
        <v>499</v>
      </c>
      <c r="C1271" s="3">
        <v>133</v>
      </c>
      <c r="D1271" s="3">
        <v>2.4700000000000002</v>
      </c>
      <c r="E1271" s="2" t="s">
        <v>518</v>
      </c>
      <c r="F1271" s="4">
        <v>42045</v>
      </c>
      <c r="G1271" s="3">
        <v>54.6</v>
      </c>
      <c r="H1271" s="3">
        <v>3</v>
      </c>
      <c r="I1271" s="4">
        <v>42073</v>
      </c>
      <c r="J1271" s="3">
        <v>57.2</v>
      </c>
      <c r="K1271" s="3">
        <v>2.5</v>
      </c>
      <c r="L1271" s="3">
        <v>28</v>
      </c>
      <c r="M1271" s="5">
        <v>2.6000000000000014</v>
      </c>
      <c r="N1271" s="5">
        <v>-0.5</v>
      </c>
      <c r="O1271" s="5">
        <v>69.160000000000011</v>
      </c>
      <c r="P1271" s="5">
        <v>92.857142857142904</v>
      </c>
      <c r="Q1271" s="5">
        <v>16.029988142857142</v>
      </c>
      <c r="R1271" s="8">
        <f t="shared" si="107"/>
        <v>7</v>
      </c>
      <c r="S1271" s="9">
        <f t="shared" si="108"/>
        <v>0.20000000000000284</v>
      </c>
      <c r="T1271" s="9">
        <v>1.5</v>
      </c>
      <c r="U1271" s="9">
        <f t="shared" si="109"/>
        <v>17.290000000000003</v>
      </c>
      <c r="V1271" s="9">
        <f t="shared" si="110"/>
        <v>28.571428571428978</v>
      </c>
      <c r="W1271" s="9">
        <f t="shared" si="111"/>
        <v>12.860702428571448</v>
      </c>
    </row>
    <row r="1272" spans="1:23">
      <c r="A1272" s="2" t="s">
        <v>335</v>
      </c>
      <c r="B1272" s="2" t="s">
        <v>499</v>
      </c>
      <c r="C1272" s="3">
        <v>133</v>
      </c>
      <c r="D1272" s="3">
        <v>2.4700000000000002</v>
      </c>
      <c r="E1272" s="2" t="s">
        <v>518</v>
      </c>
      <c r="F1272" s="4">
        <v>42045</v>
      </c>
      <c r="G1272" s="3">
        <v>54.6</v>
      </c>
      <c r="H1272" s="3">
        <v>3</v>
      </c>
      <c r="I1272" s="4">
        <v>42087</v>
      </c>
      <c r="J1272" s="3">
        <v>54.4</v>
      </c>
      <c r="K1272" s="3">
        <v>4</v>
      </c>
      <c r="L1272" s="3">
        <v>42</v>
      </c>
      <c r="M1272" s="5">
        <v>-0.20000000000000284</v>
      </c>
      <c r="N1272" s="5">
        <v>1</v>
      </c>
      <c r="O1272" s="5">
        <v>103.74000000000001</v>
      </c>
      <c r="P1272" s="5">
        <v>-4.7619047619048303</v>
      </c>
      <c r="Q1272" s="5">
        <v>10.98064309523809</v>
      </c>
      <c r="R1272" s="8">
        <f t="shared" ref="R1272:R1335" si="112">IF(I1272-F1272=0,0,I1272-I1271)</f>
        <v>14</v>
      </c>
      <c r="S1272" s="9">
        <f t="shared" ref="S1272:S1335" si="113">IF(R1272=0,J1272-G1272,J1272-J1271)</f>
        <v>-2.8000000000000043</v>
      </c>
      <c r="T1272" s="9">
        <v>1.5</v>
      </c>
      <c r="U1272" s="9">
        <f t="shared" ref="U1272:U1335" si="114">D1272*R1272</f>
        <v>34.580000000000005</v>
      </c>
      <c r="V1272" s="9">
        <f t="shared" ref="V1272:V1335" si="115">IF(R1272=0,0,(S1272/R1272*1000))</f>
        <v>-200.00000000000031</v>
      </c>
      <c r="W1272" s="9">
        <f t="shared" ref="W1272:W1335" si="116">IF(R1272=0,(((G1272)*0.16909+(V1272/1000)*49.3)+2),((((G1272+J1272)/2)*0.16909+(V1272/1000)*49.3)+2))</f>
        <v>1.3554049999999833</v>
      </c>
    </row>
    <row r="1273" spans="1:23">
      <c r="A1273" s="2" t="s">
        <v>335</v>
      </c>
      <c r="B1273" s="2" t="s">
        <v>499</v>
      </c>
      <c r="C1273" s="3">
        <v>133</v>
      </c>
      <c r="D1273" s="3">
        <v>2.4700000000000002</v>
      </c>
      <c r="E1273" s="2" t="s">
        <v>519</v>
      </c>
      <c r="F1273" s="4">
        <v>42045</v>
      </c>
      <c r="G1273" s="3">
        <v>55.2</v>
      </c>
      <c r="H1273" s="3">
        <v>3</v>
      </c>
      <c r="I1273" s="4">
        <v>42045</v>
      </c>
      <c r="J1273" s="3">
        <v>55.2</v>
      </c>
      <c r="K1273" s="3">
        <v>3</v>
      </c>
      <c r="L1273" s="3">
        <v>0</v>
      </c>
      <c r="M1273" s="5">
        <v>0</v>
      </c>
      <c r="N1273" s="5">
        <v>0</v>
      </c>
      <c r="O1273" s="5">
        <v>0</v>
      </c>
      <c r="P1273" s="5">
        <v>0</v>
      </c>
      <c r="Q1273" s="5">
        <v>11.333767999999999</v>
      </c>
      <c r="R1273" s="8">
        <f t="shared" si="112"/>
        <v>0</v>
      </c>
      <c r="S1273" s="9">
        <f t="shared" si="113"/>
        <v>0</v>
      </c>
      <c r="T1273" s="9">
        <v>1.5</v>
      </c>
      <c r="U1273" s="9">
        <f t="shared" si="114"/>
        <v>0</v>
      </c>
      <c r="V1273" s="9">
        <f t="shared" si="115"/>
        <v>0</v>
      </c>
      <c r="W1273" s="9">
        <f t="shared" si="116"/>
        <v>11.333767999999999</v>
      </c>
    </row>
    <row r="1274" spans="1:23">
      <c r="A1274" s="2" t="s">
        <v>335</v>
      </c>
      <c r="B1274" s="2" t="s">
        <v>499</v>
      </c>
      <c r="C1274" s="3">
        <v>133</v>
      </c>
      <c r="D1274" s="3">
        <v>2.4700000000000002</v>
      </c>
      <c r="E1274" s="2" t="s">
        <v>519</v>
      </c>
      <c r="F1274" s="4">
        <v>42045</v>
      </c>
      <c r="G1274" s="3">
        <v>55.2</v>
      </c>
      <c r="H1274" s="3">
        <v>3</v>
      </c>
      <c r="I1274" s="4">
        <v>42059</v>
      </c>
      <c r="J1274" s="3">
        <v>52.5</v>
      </c>
      <c r="K1274" s="3">
        <v>3</v>
      </c>
      <c r="L1274" s="3">
        <v>14</v>
      </c>
      <c r="M1274" s="5">
        <v>-2.7000000000000028</v>
      </c>
      <c r="N1274" s="5">
        <v>0</v>
      </c>
      <c r="O1274" s="5">
        <v>34.580000000000005</v>
      </c>
      <c r="P1274" s="5">
        <v>-192.85714285714306</v>
      </c>
      <c r="Q1274" s="5">
        <v>1.5976393571428478</v>
      </c>
      <c r="R1274" s="8">
        <f t="shared" si="112"/>
        <v>14</v>
      </c>
      <c r="S1274" s="9">
        <f t="shared" si="113"/>
        <v>-2.7000000000000028</v>
      </c>
      <c r="T1274" s="9">
        <v>1.5</v>
      </c>
      <c r="U1274" s="9">
        <f t="shared" si="114"/>
        <v>34.580000000000005</v>
      </c>
      <c r="V1274" s="9">
        <f t="shared" si="115"/>
        <v>-192.85714285714306</v>
      </c>
      <c r="W1274" s="9">
        <f t="shared" si="116"/>
        <v>1.5976393571428478</v>
      </c>
    </row>
    <row r="1275" spans="1:23">
      <c r="A1275" s="2" t="s">
        <v>335</v>
      </c>
      <c r="B1275" s="2" t="s">
        <v>499</v>
      </c>
      <c r="C1275" s="3">
        <v>133</v>
      </c>
      <c r="D1275" s="3">
        <v>2.4700000000000002</v>
      </c>
      <c r="E1275" s="2" t="s">
        <v>519</v>
      </c>
      <c r="F1275" s="4">
        <v>42045</v>
      </c>
      <c r="G1275" s="3">
        <v>55.2</v>
      </c>
      <c r="H1275" s="3">
        <v>3</v>
      </c>
      <c r="I1275" s="4">
        <v>42066</v>
      </c>
      <c r="J1275" s="3">
        <v>52</v>
      </c>
      <c r="K1275" s="3">
        <v>4</v>
      </c>
      <c r="L1275" s="3">
        <v>21</v>
      </c>
      <c r="M1275" s="5">
        <v>-3.2000000000000028</v>
      </c>
      <c r="N1275" s="5">
        <v>1</v>
      </c>
      <c r="O1275" s="5">
        <v>51.870000000000005</v>
      </c>
      <c r="P1275" s="5">
        <v>-152.38095238095249</v>
      </c>
      <c r="Q1275" s="5">
        <v>3.5508430476190416</v>
      </c>
      <c r="R1275" s="8">
        <f t="shared" si="112"/>
        <v>7</v>
      </c>
      <c r="S1275" s="9">
        <f t="shared" si="113"/>
        <v>-0.5</v>
      </c>
      <c r="T1275" s="9">
        <v>1.5</v>
      </c>
      <c r="U1275" s="9">
        <f t="shared" si="114"/>
        <v>17.290000000000003</v>
      </c>
      <c r="V1275" s="9">
        <f t="shared" si="115"/>
        <v>-71.428571428571431</v>
      </c>
      <c r="W1275" s="9">
        <f t="shared" si="116"/>
        <v>7.5417954285714295</v>
      </c>
    </row>
    <row r="1276" spans="1:23">
      <c r="A1276" s="2" t="s">
        <v>335</v>
      </c>
      <c r="B1276" s="2" t="s">
        <v>499</v>
      </c>
      <c r="C1276" s="3">
        <v>133</v>
      </c>
      <c r="D1276" s="3">
        <v>2.4700000000000002</v>
      </c>
      <c r="E1276" s="2" t="s">
        <v>519</v>
      </c>
      <c r="F1276" s="4">
        <v>42045</v>
      </c>
      <c r="G1276" s="3">
        <v>55.2</v>
      </c>
      <c r="H1276" s="3">
        <v>3</v>
      </c>
      <c r="I1276" s="4">
        <v>42073</v>
      </c>
      <c r="J1276" s="3">
        <v>53</v>
      </c>
      <c r="K1276" s="3">
        <v>3.5</v>
      </c>
      <c r="L1276" s="3">
        <v>28</v>
      </c>
      <c r="M1276" s="5">
        <v>-2.2000000000000028</v>
      </c>
      <c r="N1276" s="5">
        <v>0.5</v>
      </c>
      <c r="O1276" s="5">
        <v>69.160000000000011</v>
      </c>
      <c r="P1276" s="5">
        <v>-78.571428571428669</v>
      </c>
      <c r="Q1276" s="5">
        <v>7.2741975714285676</v>
      </c>
      <c r="R1276" s="8">
        <f t="shared" si="112"/>
        <v>7</v>
      </c>
      <c r="S1276" s="9">
        <f t="shared" si="113"/>
        <v>1</v>
      </c>
      <c r="T1276" s="9">
        <v>1.5</v>
      </c>
      <c r="U1276" s="9">
        <f t="shared" si="114"/>
        <v>17.290000000000003</v>
      </c>
      <c r="V1276" s="9">
        <f t="shared" si="115"/>
        <v>142.85714285714286</v>
      </c>
      <c r="W1276" s="9">
        <f t="shared" si="116"/>
        <v>18.190626142857141</v>
      </c>
    </row>
    <row r="1277" spans="1:23">
      <c r="A1277" s="2" t="s">
        <v>335</v>
      </c>
      <c r="B1277" s="2" t="s">
        <v>499</v>
      </c>
      <c r="C1277" s="3">
        <v>133</v>
      </c>
      <c r="D1277" s="3">
        <v>2.4700000000000002</v>
      </c>
      <c r="E1277" s="2" t="s">
        <v>519</v>
      </c>
      <c r="F1277" s="4">
        <v>42045</v>
      </c>
      <c r="G1277" s="3">
        <v>55.2</v>
      </c>
      <c r="H1277" s="3">
        <v>3</v>
      </c>
      <c r="I1277" s="4">
        <v>42087</v>
      </c>
      <c r="J1277" s="3">
        <v>51.4</v>
      </c>
      <c r="K1277" s="3">
        <v>3.5</v>
      </c>
      <c r="L1277" s="3">
        <v>42</v>
      </c>
      <c r="M1277" s="5">
        <v>-3.8000000000000043</v>
      </c>
      <c r="N1277" s="5">
        <v>0.5</v>
      </c>
      <c r="O1277" s="5">
        <v>103.74000000000001</v>
      </c>
      <c r="P1277" s="5">
        <v>-90.476190476190567</v>
      </c>
      <c r="Q1277" s="5">
        <v>6.5520208095238051</v>
      </c>
      <c r="R1277" s="8">
        <f t="shared" si="112"/>
        <v>14</v>
      </c>
      <c r="S1277" s="9">
        <f t="shared" si="113"/>
        <v>-1.6000000000000014</v>
      </c>
      <c r="T1277" s="9">
        <v>1.5</v>
      </c>
      <c r="U1277" s="9">
        <f t="shared" si="114"/>
        <v>34.580000000000005</v>
      </c>
      <c r="V1277" s="9">
        <f t="shared" si="115"/>
        <v>-114.28571428571439</v>
      </c>
      <c r="W1277" s="9">
        <f t="shared" si="116"/>
        <v>5.3782112857142801</v>
      </c>
    </row>
    <row r="1278" spans="1:23">
      <c r="A1278" s="2" t="s">
        <v>520</v>
      </c>
      <c r="B1278" s="2" t="s">
        <v>521</v>
      </c>
      <c r="C1278" s="3">
        <v>110</v>
      </c>
      <c r="D1278" s="3">
        <v>2.2000000000000002</v>
      </c>
      <c r="E1278" s="2" t="s">
        <v>522</v>
      </c>
      <c r="F1278" s="4">
        <v>42346</v>
      </c>
      <c r="G1278" s="3">
        <v>60</v>
      </c>
      <c r="H1278" s="3">
        <v>3.5</v>
      </c>
      <c r="I1278" s="4">
        <v>42346</v>
      </c>
      <c r="J1278" s="3">
        <v>60</v>
      </c>
      <c r="K1278" s="3">
        <v>3.5</v>
      </c>
      <c r="L1278" s="3">
        <v>0</v>
      </c>
      <c r="M1278" s="5">
        <v>0</v>
      </c>
      <c r="N1278" s="5">
        <v>0</v>
      </c>
      <c r="O1278" s="5">
        <v>0</v>
      </c>
      <c r="P1278" s="5">
        <v>0</v>
      </c>
      <c r="Q1278" s="5">
        <v>12.145399999999999</v>
      </c>
      <c r="R1278" s="8">
        <f t="shared" si="112"/>
        <v>0</v>
      </c>
      <c r="S1278" s="9">
        <f t="shared" si="113"/>
        <v>0</v>
      </c>
      <c r="T1278" s="9">
        <v>1.5</v>
      </c>
      <c r="U1278" s="9">
        <f t="shared" si="114"/>
        <v>0</v>
      </c>
      <c r="V1278" s="9">
        <f t="shared" si="115"/>
        <v>0</v>
      </c>
      <c r="W1278" s="9">
        <f t="shared" si="116"/>
        <v>12.145399999999999</v>
      </c>
    </row>
    <row r="1279" spans="1:23">
      <c r="A1279" s="2" t="s">
        <v>520</v>
      </c>
      <c r="B1279" s="2" t="s">
        <v>521</v>
      </c>
      <c r="C1279" s="3">
        <v>110</v>
      </c>
      <c r="D1279" s="3">
        <v>2.2000000000000002</v>
      </c>
      <c r="E1279" s="2" t="s">
        <v>522</v>
      </c>
      <c r="F1279" s="4">
        <v>42346</v>
      </c>
      <c r="G1279" s="3">
        <v>60</v>
      </c>
      <c r="H1279" s="3">
        <v>3.5</v>
      </c>
      <c r="I1279" s="4">
        <v>42359</v>
      </c>
      <c r="J1279" s="3">
        <v>64</v>
      </c>
      <c r="K1279" s="3">
        <v>3.5</v>
      </c>
      <c r="L1279" s="3">
        <v>13</v>
      </c>
      <c r="M1279" s="5">
        <v>4</v>
      </c>
      <c r="N1279" s="5">
        <v>0</v>
      </c>
      <c r="O1279" s="5">
        <v>28.6</v>
      </c>
      <c r="P1279" s="5">
        <v>307.69230769230774</v>
      </c>
      <c r="Q1279" s="5">
        <v>27.652810769230769</v>
      </c>
      <c r="R1279" s="8">
        <f t="shared" si="112"/>
        <v>13</v>
      </c>
      <c r="S1279" s="9">
        <f t="shared" si="113"/>
        <v>4</v>
      </c>
      <c r="T1279" s="9">
        <v>1.5</v>
      </c>
      <c r="U1279" s="9">
        <f t="shared" si="114"/>
        <v>28.6</v>
      </c>
      <c r="V1279" s="9">
        <f t="shared" si="115"/>
        <v>307.69230769230774</v>
      </c>
      <c r="W1279" s="9">
        <f t="shared" si="116"/>
        <v>27.652810769230769</v>
      </c>
    </row>
    <row r="1280" spans="1:23">
      <c r="A1280" s="2" t="s">
        <v>520</v>
      </c>
      <c r="B1280" s="2" t="s">
        <v>521</v>
      </c>
      <c r="C1280" s="3">
        <v>110</v>
      </c>
      <c r="D1280" s="3">
        <v>2.2000000000000002</v>
      </c>
      <c r="E1280" s="2" t="s">
        <v>522</v>
      </c>
      <c r="F1280" s="4">
        <v>42346</v>
      </c>
      <c r="G1280" s="3">
        <v>60</v>
      </c>
      <c r="H1280" s="3">
        <v>3.5</v>
      </c>
      <c r="I1280" s="4">
        <v>42373</v>
      </c>
      <c r="J1280" s="3">
        <v>60.5</v>
      </c>
      <c r="K1280" s="3">
        <v>3</v>
      </c>
      <c r="L1280" s="3">
        <v>27</v>
      </c>
      <c r="M1280" s="5">
        <v>0.5</v>
      </c>
      <c r="N1280" s="5">
        <v>-0.5</v>
      </c>
      <c r="O1280" s="5">
        <v>59.400000000000006</v>
      </c>
      <c r="P1280" s="5">
        <v>18.518518518518519</v>
      </c>
      <c r="Q1280" s="5">
        <v>13.100635462962963</v>
      </c>
      <c r="R1280" s="8">
        <f t="shared" si="112"/>
        <v>14</v>
      </c>
      <c r="S1280" s="9">
        <f t="shared" si="113"/>
        <v>-3.5</v>
      </c>
      <c r="T1280" s="9">
        <v>1.5</v>
      </c>
      <c r="U1280" s="9">
        <f t="shared" si="114"/>
        <v>30.800000000000004</v>
      </c>
      <c r="V1280" s="9">
        <f t="shared" si="115"/>
        <v>-250</v>
      </c>
      <c r="W1280" s="9">
        <f t="shared" si="116"/>
        <v>-0.1373274999999996</v>
      </c>
    </row>
    <row r="1281" spans="1:23">
      <c r="A1281" s="2" t="s">
        <v>520</v>
      </c>
      <c r="B1281" s="2" t="s">
        <v>521</v>
      </c>
      <c r="C1281" s="3">
        <v>110</v>
      </c>
      <c r="D1281" s="3">
        <v>2.2000000000000002</v>
      </c>
      <c r="E1281" s="2" t="s">
        <v>523</v>
      </c>
      <c r="F1281" s="4">
        <v>42346</v>
      </c>
      <c r="G1281" s="3">
        <v>60</v>
      </c>
      <c r="H1281" s="3">
        <v>3</v>
      </c>
      <c r="I1281" s="4">
        <v>42346</v>
      </c>
      <c r="J1281" s="3">
        <v>60</v>
      </c>
      <c r="K1281" s="3">
        <v>3</v>
      </c>
      <c r="L1281" s="3">
        <v>0</v>
      </c>
      <c r="M1281" s="5">
        <v>0</v>
      </c>
      <c r="N1281" s="5">
        <v>0</v>
      </c>
      <c r="O1281" s="5">
        <v>0</v>
      </c>
      <c r="P1281" s="5">
        <v>0</v>
      </c>
      <c r="Q1281" s="5">
        <v>12.145399999999999</v>
      </c>
      <c r="R1281" s="8">
        <f t="shared" si="112"/>
        <v>0</v>
      </c>
      <c r="S1281" s="9">
        <f t="shared" si="113"/>
        <v>0</v>
      </c>
      <c r="T1281" s="9">
        <v>1.5</v>
      </c>
      <c r="U1281" s="9">
        <f t="shared" si="114"/>
        <v>0</v>
      </c>
      <c r="V1281" s="9">
        <f t="shared" si="115"/>
        <v>0</v>
      </c>
      <c r="W1281" s="9">
        <f t="shared" si="116"/>
        <v>12.145399999999999</v>
      </c>
    </row>
    <row r="1282" spans="1:23">
      <c r="A1282" s="2" t="s">
        <v>520</v>
      </c>
      <c r="B1282" s="2" t="s">
        <v>521</v>
      </c>
      <c r="C1282" s="3">
        <v>110</v>
      </c>
      <c r="D1282" s="3">
        <v>2.2000000000000002</v>
      </c>
      <c r="E1282" s="2" t="s">
        <v>523</v>
      </c>
      <c r="F1282" s="4">
        <v>42346</v>
      </c>
      <c r="G1282" s="3">
        <v>60</v>
      </c>
      <c r="H1282" s="3">
        <v>3</v>
      </c>
      <c r="I1282" s="4">
        <v>42359</v>
      </c>
      <c r="J1282" s="3">
        <v>64</v>
      </c>
      <c r="K1282" s="3">
        <v>3.5</v>
      </c>
      <c r="L1282" s="3">
        <v>13</v>
      </c>
      <c r="M1282" s="5">
        <v>4</v>
      </c>
      <c r="N1282" s="5">
        <v>0.5</v>
      </c>
      <c r="O1282" s="5">
        <v>28.6</v>
      </c>
      <c r="P1282" s="5">
        <v>307.69230769230774</v>
      </c>
      <c r="Q1282" s="5">
        <v>27.652810769230769</v>
      </c>
      <c r="R1282" s="8">
        <f t="shared" si="112"/>
        <v>13</v>
      </c>
      <c r="S1282" s="9">
        <f t="shared" si="113"/>
        <v>4</v>
      </c>
      <c r="T1282" s="9">
        <v>1.5</v>
      </c>
      <c r="U1282" s="9">
        <f t="shared" si="114"/>
        <v>28.6</v>
      </c>
      <c r="V1282" s="9">
        <f t="shared" si="115"/>
        <v>307.69230769230774</v>
      </c>
      <c r="W1282" s="9">
        <f t="shared" si="116"/>
        <v>27.652810769230769</v>
      </c>
    </row>
    <row r="1283" spans="1:23">
      <c r="A1283" s="2" t="s">
        <v>520</v>
      </c>
      <c r="B1283" s="2" t="s">
        <v>521</v>
      </c>
      <c r="C1283" s="3">
        <v>110</v>
      </c>
      <c r="D1283" s="3">
        <v>2.2000000000000002</v>
      </c>
      <c r="E1283" s="2" t="s">
        <v>523</v>
      </c>
      <c r="F1283" s="4">
        <v>42346</v>
      </c>
      <c r="G1283" s="3">
        <v>60</v>
      </c>
      <c r="H1283" s="3">
        <v>3</v>
      </c>
      <c r="I1283" s="4">
        <v>42373</v>
      </c>
      <c r="J1283" s="3">
        <v>65</v>
      </c>
      <c r="K1283" s="3">
        <v>3.5</v>
      </c>
      <c r="L1283" s="3">
        <v>27</v>
      </c>
      <c r="M1283" s="5">
        <v>5</v>
      </c>
      <c r="N1283" s="5">
        <v>0.5</v>
      </c>
      <c r="O1283" s="5">
        <v>59.400000000000006</v>
      </c>
      <c r="P1283" s="5">
        <v>185.18518518518516</v>
      </c>
      <c r="Q1283" s="5">
        <v>21.697754629629628</v>
      </c>
      <c r="R1283" s="8">
        <f t="shared" si="112"/>
        <v>14</v>
      </c>
      <c r="S1283" s="9">
        <f t="shared" si="113"/>
        <v>1</v>
      </c>
      <c r="T1283" s="9">
        <v>1.5</v>
      </c>
      <c r="U1283" s="9">
        <f t="shared" si="114"/>
        <v>30.800000000000004</v>
      </c>
      <c r="V1283" s="9">
        <f t="shared" si="115"/>
        <v>71.428571428571431</v>
      </c>
      <c r="W1283" s="9">
        <f t="shared" si="116"/>
        <v>16.089553571428571</v>
      </c>
    </row>
    <row r="1284" spans="1:23">
      <c r="A1284" s="2" t="s">
        <v>520</v>
      </c>
      <c r="B1284" s="2" t="s">
        <v>521</v>
      </c>
      <c r="C1284" s="3">
        <v>110</v>
      </c>
      <c r="D1284" s="3">
        <v>2.2000000000000002</v>
      </c>
      <c r="E1284" s="2" t="s">
        <v>524</v>
      </c>
      <c r="F1284" s="4">
        <v>42346</v>
      </c>
      <c r="G1284" s="3">
        <v>62.5</v>
      </c>
      <c r="H1284" s="3">
        <v>3.5</v>
      </c>
      <c r="I1284" s="4">
        <v>42346</v>
      </c>
      <c r="J1284" s="3">
        <v>62.5</v>
      </c>
      <c r="K1284" s="3">
        <v>3.5</v>
      </c>
      <c r="L1284" s="3">
        <v>0</v>
      </c>
      <c r="M1284" s="5">
        <v>0</v>
      </c>
      <c r="N1284" s="5">
        <v>0</v>
      </c>
      <c r="O1284" s="5">
        <v>0</v>
      </c>
      <c r="P1284" s="5">
        <v>0</v>
      </c>
      <c r="Q1284" s="5">
        <v>12.568125</v>
      </c>
      <c r="R1284" s="8">
        <f t="shared" si="112"/>
        <v>0</v>
      </c>
      <c r="S1284" s="9">
        <f t="shared" si="113"/>
        <v>0</v>
      </c>
      <c r="T1284" s="9">
        <v>1.5</v>
      </c>
      <c r="U1284" s="9">
        <f t="shared" si="114"/>
        <v>0</v>
      </c>
      <c r="V1284" s="9">
        <f t="shared" si="115"/>
        <v>0</v>
      </c>
      <c r="W1284" s="9">
        <f t="shared" si="116"/>
        <v>12.568125</v>
      </c>
    </row>
    <row r="1285" spans="1:23">
      <c r="A1285" s="2" t="s">
        <v>520</v>
      </c>
      <c r="B1285" s="2" t="s">
        <v>521</v>
      </c>
      <c r="C1285" s="3">
        <v>110</v>
      </c>
      <c r="D1285" s="3">
        <v>2.2000000000000002</v>
      </c>
      <c r="E1285" s="2" t="s">
        <v>524</v>
      </c>
      <c r="F1285" s="4">
        <v>42346</v>
      </c>
      <c r="G1285" s="3">
        <v>62.5</v>
      </c>
      <c r="H1285" s="3">
        <v>3.5</v>
      </c>
      <c r="I1285" s="4">
        <v>42359</v>
      </c>
      <c r="J1285" s="3">
        <v>67</v>
      </c>
      <c r="K1285" s="3">
        <v>4</v>
      </c>
      <c r="L1285" s="3">
        <v>13</v>
      </c>
      <c r="M1285" s="5">
        <v>4.5</v>
      </c>
      <c r="N1285" s="5">
        <v>0.5</v>
      </c>
      <c r="O1285" s="5">
        <v>28.6</v>
      </c>
      <c r="P1285" s="5">
        <v>346.15384615384613</v>
      </c>
      <c r="Q1285" s="5">
        <v>30.013962115384611</v>
      </c>
      <c r="R1285" s="8">
        <f t="shared" si="112"/>
        <v>13</v>
      </c>
      <c r="S1285" s="9">
        <f t="shared" si="113"/>
        <v>4.5</v>
      </c>
      <c r="T1285" s="9">
        <v>1.5</v>
      </c>
      <c r="U1285" s="9">
        <f t="shared" si="114"/>
        <v>28.6</v>
      </c>
      <c r="V1285" s="9">
        <f t="shared" si="115"/>
        <v>346.15384615384613</v>
      </c>
      <c r="W1285" s="9">
        <f t="shared" si="116"/>
        <v>30.013962115384611</v>
      </c>
    </row>
    <row r="1286" spans="1:23">
      <c r="A1286" s="2" t="s">
        <v>520</v>
      </c>
      <c r="B1286" s="2" t="s">
        <v>521</v>
      </c>
      <c r="C1286" s="3">
        <v>110</v>
      </c>
      <c r="D1286" s="3">
        <v>2.2000000000000002</v>
      </c>
      <c r="E1286" s="2" t="s">
        <v>524</v>
      </c>
      <c r="F1286" s="4">
        <v>42346</v>
      </c>
      <c r="G1286" s="3">
        <v>62.5</v>
      </c>
      <c r="H1286" s="3">
        <v>3.5</v>
      </c>
      <c r="I1286" s="4">
        <v>42373</v>
      </c>
      <c r="J1286" s="3">
        <v>65</v>
      </c>
      <c r="K1286" s="3">
        <v>3.5</v>
      </c>
      <c r="L1286" s="3">
        <v>27</v>
      </c>
      <c r="M1286" s="5">
        <v>2.5</v>
      </c>
      <c r="N1286" s="5">
        <v>0</v>
      </c>
      <c r="O1286" s="5">
        <v>59.400000000000006</v>
      </c>
      <c r="P1286" s="5">
        <v>92.592592592592581</v>
      </c>
      <c r="Q1286" s="5">
        <v>17.344302314814815</v>
      </c>
      <c r="R1286" s="8">
        <f t="shared" si="112"/>
        <v>14</v>
      </c>
      <c r="S1286" s="9">
        <f t="shared" si="113"/>
        <v>-2</v>
      </c>
      <c r="T1286" s="9">
        <v>1.5</v>
      </c>
      <c r="U1286" s="9">
        <f t="shared" si="114"/>
        <v>30.800000000000004</v>
      </c>
      <c r="V1286" s="9">
        <f t="shared" si="115"/>
        <v>-142.85714285714286</v>
      </c>
      <c r="W1286" s="9">
        <f t="shared" si="116"/>
        <v>5.7366303571428583</v>
      </c>
    </row>
    <row r="1287" spans="1:23">
      <c r="A1287" s="2" t="s">
        <v>520</v>
      </c>
      <c r="B1287" s="2" t="s">
        <v>521</v>
      </c>
      <c r="C1287" s="3">
        <v>110</v>
      </c>
      <c r="D1287" s="3">
        <v>2.2000000000000002</v>
      </c>
      <c r="E1287" s="2" t="s">
        <v>525</v>
      </c>
      <c r="F1287" s="4">
        <v>42346</v>
      </c>
      <c r="G1287" s="3">
        <v>58</v>
      </c>
      <c r="H1287" s="3">
        <v>3.5</v>
      </c>
      <c r="I1287" s="4">
        <v>42346</v>
      </c>
      <c r="J1287" s="3">
        <v>58</v>
      </c>
      <c r="K1287" s="3">
        <v>3.5</v>
      </c>
      <c r="L1287" s="3">
        <v>0</v>
      </c>
      <c r="M1287" s="5">
        <v>0</v>
      </c>
      <c r="N1287" s="5">
        <v>0</v>
      </c>
      <c r="O1287" s="5">
        <v>0</v>
      </c>
      <c r="P1287" s="5">
        <v>0</v>
      </c>
      <c r="Q1287" s="5">
        <v>11.807219999999999</v>
      </c>
      <c r="R1287" s="8">
        <f t="shared" si="112"/>
        <v>0</v>
      </c>
      <c r="S1287" s="9">
        <f t="shared" si="113"/>
        <v>0</v>
      </c>
      <c r="T1287" s="9">
        <v>1.5</v>
      </c>
      <c r="U1287" s="9">
        <f t="shared" si="114"/>
        <v>0</v>
      </c>
      <c r="V1287" s="9">
        <f t="shared" si="115"/>
        <v>0</v>
      </c>
      <c r="W1287" s="9">
        <f t="shared" si="116"/>
        <v>11.807219999999999</v>
      </c>
    </row>
    <row r="1288" spans="1:23">
      <c r="A1288" s="2" t="s">
        <v>520</v>
      </c>
      <c r="B1288" s="2" t="s">
        <v>521</v>
      </c>
      <c r="C1288" s="3">
        <v>110</v>
      </c>
      <c r="D1288" s="3">
        <v>2.2000000000000002</v>
      </c>
      <c r="E1288" s="2" t="s">
        <v>525</v>
      </c>
      <c r="F1288" s="4">
        <v>42346</v>
      </c>
      <c r="G1288" s="3">
        <v>58</v>
      </c>
      <c r="H1288" s="3">
        <v>3.5</v>
      </c>
      <c r="I1288" s="4">
        <v>42359</v>
      </c>
      <c r="J1288" s="3">
        <v>62.5</v>
      </c>
      <c r="K1288" s="3">
        <v>3.5</v>
      </c>
      <c r="L1288" s="3">
        <v>13</v>
      </c>
      <c r="M1288" s="5">
        <v>4.5</v>
      </c>
      <c r="N1288" s="5">
        <v>0</v>
      </c>
      <c r="O1288" s="5">
        <v>28.6</v>
      </c>
      <c r="P1288" s="5">
        <v>346.15384615384613</v>
      </c>
      <c r="Q1288" s="5">
        <v>29.253057115384614</v>
      </c>
      <c r="R1288" s="8">
        <f t="shared" si="112"/>
        <v>13</v>
      </c>
      <c r="S1288" s="9">
        <f t="shared" si="113"/>
        <v>4.5</v>
      </c>
      <c r="T1288" s="9">
        <v>1.5</v>
      </c>
      <c r="U1288" s="9">
        <f t="shared" si="114"/>
        <v>28.6</v>
      </c>
      <c r="V1288" s="9">
        <f t="shared" si="115"/>
        <v>346.15384615384613</v>
      </c>
      <c r="W1288" s="9">
        <f t="shared" si="116"/>
        <v>29.253057115384614</v>
      </c>
    </row>
    <row r="1289" spans="1:23">
      <c r="A1289" s="2" t="s">
        <v>520</v>
      </c>
      <c r="B1289" s="2" t="s">
        <v>521</v>
      </c>
      <c r="C1289" s="3">
        <v>110</v>
      </c>
      <c r="D1289" s="3">
        <v>2.2000000000000002</v>
      </c>
      <c r="E1289" s="2" t="s">
        <v>525</v>
      </c>
      <c r="F1289" s="4">
        <v>42346</v>
      </c>
      <c r="G1289" s="3">
        <v>58</v>
      </c>
      <c r="H1289" s="3">
        <v>3.5</v>
      </c>
      <c r="I1289" s="4">
        <v>42373</v>
      </c>
      <c r="J1289" s="3">
        <v>62.5</v>
      </c>
      <c r="K1289" s="3">
        <v>3.5</v>
      </c>
      <c r="L1289" s="3">
        <v>27</v>
      </c>
      <c r="M1289" s="5">
        <v>4.5</v>
      </c>
      <c r="N1289" s="5">
        <v>0</v>
      </c>
      <c r="O1289" s="5">
        <v>59.400000000000006</v>
      </c>
      <c r="P1289" s="5">
        <v>166.66666666666666</v>
      </c>
      <c r="Q1289" s="5">
        <v>20.404339166666666</v>
      </c>
      <c r="R1289" s="8">
        <f t="shared" si="112"/>
        <v>14</v>
      </c>
      <c r="S1289" s="9">
        <f t="shared" si="113"/>
        <v>0</v>
      </c>
      <c r="T1289" s="9">
        <v>1.5</v>
      </c>
      <c r="U1289" s="9">
        <f t="shared" si="114"/>
        <v>30.800000000000004</v>
      </c>
      <c r="V1289" s="9">
        <f t="shared" si="115"/>
        <v>0</v>
      </c>
      <c r="W1289" s="9">
        <f t="shared" si="116"/>
        <v>12.1876725</v>
      </c>
    </row>
    <row r="1290" spans="1:23">
      <c r="A1290" s="2" t="s">
        <v>520</v>
      </c>
      <c r="B1290" s="2" t="s">
        <v>521</v>
      </c>
      <c r="C1290" s="3">
        <v>110</v>
      </c>
      <c r="D1290" s="3">
        <v>2.2000000000000002</v>
      </c>
      <c r="E1290" s="2" t="s">
        <v>526</v>
      </c>
      <c r="F1290" s="4">
        <v>42346</v>
      </c>
      <c r="G1290" s="3">
        <v>57.5</v>
      </c>
      <c r="H1290" s="3">
        <v>3</v>
      </c>
      <c r="I1290" s="4">
        <v>42346</v>
      </c>
      <c r="J1290" s="3">
        <v>57.5</v>
      </c>
      <c r="K1290" s="3">
        <v>3</v>
      </c>
      <c r="L1290" s="3">
        <v>0</v>
      </c>
      <c r="M1290" s="5">
        <v>0</v>
      </c>
      <c r="N1290" s="5">
        <v>0</v>
      </c>
      <c r="O1290" s="5">
        <v>0</v>
      </c>
      <c r="P1290" s="5">
        <v>0</v>
      </c>
      <c r="Q1290" s="5">
        <v>11.722674999999999</v>
      </c>
      <c r="R1290" s="8">
        <f t="shared" si="112"/>
        <v>0</v>
      </c>
      <c r="S1290" s="9">
        <f t="shared" si="113"/>
        <v>0</v>
      </c>
      <c r="T1290" s="9">
        <v>1.5</v>
      </c>
      <c r="U1290" s="9">
        <f t="shared" si="114"/>
        <v>0</v>
      </c>
      <c r="V1290" s="9">
        <f t="shared" si="115"/>
        <v>0</v>
      </c>
      <c r="W1290" s="9">
        <f t="shared" si="116"/>
        <v>11.722674999999999</v>
      </c>
    </row>
    <row r="1291" spans="1:23">
      <c r="A1291" s="2" t="s">
        <v>520</v>
      </c>
      <c r="B1291" s="2" t="s">
        <v>521</v>
      </c>
      <c r="C1291" s="3">
        <v>110</v>
      </c>
      <c r="D1291" s="3">
        <v>2.2000000000000002</v>
      </c>
      <c r="E1291" s="2" t="s">
        <v>526</v>
      </c>
      <c r="F1291" s="4">
        <v>42346</v>
      </c>
      <c r="G1291" s="3">
        <v>57.5</v>
      </c>
      <c r="H1291" s="3">
        <v>3</v>
      </c>
      <c r="I1291" s="4">
        <v>42359</v>
      </c>
      <c r="J1291" s="3">
        <v>62.5</v>
      </c>
      <c r="K1291" s="3">
        <v>3</v>
      </c>
      <c r="L1291" s="3">
        <v>13</v>
      </c>
      <c r="M1291" s="5">
        <v>5</v>
      </c>
      <c r="N1291" s="5">
        <v>0</v>
      </c>
      <c r="O1291" s="5">
        <v>28.6</v>
      </c>
      <c r="P1291" s="5">
        <v>384.61538461538464</v>
      </c>
      <c r="Q1291" s="5">
        <v>31.106938461538459</v>
      </c>
      <c r="R1291" s="8">
        <f t="shared" si="112"/>
        <v>13</v>
      </c>
      <c r="S1291" s="9">
        <f t="shared" si="113"/>
        <v>5</v>
      </c>
      <c r="T1291" s="9">
        <v>1.5</v>
      </c>
      <c r="U1291" s="9">
        <f t="shared" si="114"/>
        <v>28.6</v>
      </c>
      <c r="V1291" s="9">
        <f t="shared" si="115"/>
        <v>384.61538461538464</v>
      </c>
      <c r="W1291" s="9">
        <f t="shared" si="116"/>
        <v>31.106938461538459</v>
      </c>
    </row>
    <row r="1292" spans="1:23">
      <c r="A1292" s="2" t="s">
        <v>520</v>
      </c>
      <c r="B1292" s="2" t="s">
        <v>521</v>
      </c>
      <c r="C1292" s="3">
        <v>110</v>
      </c>
      <c r="D1292" s="3">
        <v>2.2000000000000002</v>
      </c>
      <c r="E1292" s="2" t="s">
        <v>526</v>
      </c>
      <c r="F1292" s="4">
        <v>42346</v>
      </c>
      <c r="G1292" s="3">
        <v>57.5</v>
      </c>
      <c r="H1292" s="3">
        <v>3</v>
      </c>
      <c r="I1292" s="4">
        <v>42373</v>
      </c>
      <c r="J1292" s="3">
        <v>63</v>
      </c>
      <c r="K1292" s="3">
        <v>3.5</v>
      </c>
      <c r="L1292" s="3">
        <v>27</v>
      </c>
      <c r="M1292" s="5">
        <v>5.5</v>
      </c>
      <c r="N1292" s="5">
        <v>0.5</v>
      </c>
      <c r="O1292" s="5">
        <v>59.400000000000006</v>
      </c>
      <c r="P1292" s="5">
        <v>203.7037037037037</v>
      </c>
      <c r="Q1292" s="5">
        <v>22.230265092592589</v>
      </c>
      <c r="R1292" s="8">
        <f t="shared" si="112"/>
        <v>14</v>
      </c>
      <c r="S1292" s="9">
        <f t="shared" si="113"/>
        <v>0.5</v>
      </c>
      <c r="T1292" s="9">
        <v>1.5</v>
      </c>
      <c r="U1292" s="9">
        <f t="shared" si="114"/>
        <v>30.800000000000004</v>
      </c>
      <c r="V1292" s="9">
        <f t="shared" si="115"/>
        <v>35.714285714285715</v>
      </c>
      <c r="W1292" s="9">
        <f t="shared" si="116"/>
        <v>13.948386785714286</v>
      </c>
    </row>
    <row r="1293" spans="1:23">
      <c r="A1293" s="2" t="s">
        <v>520</v>
      </c>
      <c r="B1293" s="2" t="s">
        <v>521</v>
      </c>
      <c r="C1293" s="3">
        <v>110</v>
      </c>
      <c r="D1293" s="3">
        <v>2.2000000000000002</v>
      </c>
      <c r="E1293" s="2" t="s">
        <v>527</v>
      </c>
      <c r="F1293" s="4">
        <v>42346</v>
      </c>
      <c r="G1293" s="3">
        <v>59.5</v>
      </c>
      <c r="H1293" s="3">
        <v>3</v>
      </c>
      <c r="I1293" s="4">
        <v>42346</v>
      </c>
      <c r="J1293" s="3">
        <v>59.5</v>
      </c>
      <c r="K1293" s="3">
        <v>3</v>
      </c>
      <c r="L1293" s="3">
        <v>0</v>
      </c>
      <c r="M1293" s="5">
        <v>0</v>
      </c>
      <c r="N1293" s="5">
        <v>0</v>
      </c>
      <c r="O1293" s="5">
        <v>0</v>
      </c>
      <c r="P1293" s="5">
        <v>0</v>
      </c>
      <c r="Q1293" s="5">
        <v>12.060855</v>
      </c>
      <c r="R1293" s="8">
        <f t="shared" si="112"/>
        <v>0</v>
      </c>
      <c r="S1293" s="9">
        <f t="shared" si="113"/>
        <v>0</v>
      </c>
      <c r="T1293" s="9">
        <v>1.5</v>
      </c>
      <c r="U1293" s="9">
        <f t="shared" si="114"/>
        <v>0</v>
      </c>
      <c r="V1293" s="9">
        <f t="shared" si="115"/>
        <v>0</v>
      </c>
      <c r="W1293" s="9">
        <f t="shared" si="116"/>
        <v>12.060855</v>
      </c>
    </row>
    <row r="1294" spans="1:23">
      <c r="A1294" s="2" t="s">
        <v>520</v>
      </c>
      <c r="B1294" s="2" t="s">
        <v>521</v>
      </c>
      <c r="C1294" s="3">
        <v>110</v>
      </c>
      <c r="D1294" s="3">
        <v>2.2000000000000002</v>
      </c>
      <c r="E1294" s="2" t="s">
        <v>527</v>
      </c>
      <c r="F1294" s="4">
        <v>42346</v>
      </c>
      <c r="G1294" s="3">
        <v>59.5</v>
      </c>
      <c r="H1294" s="3">
        <v>3</v>
      </c>
      <c r="I1294" s="4">
        <v>42359</v>
      </c>
      <c r="J1294" s="3">
        <v>58</v>
      </c>
      <c r="K1294" s="3">
        <v>3</v>
      </c>
      <c r="L1294" s="3">
        <v>13</v>
      </c>
      <c r="M1294" s="5">
        <v>-1.5</v>
      </c>
      <c r="N1294" s="5">
        <v>0</v>
      </c>
      <c r="O1294" s="5">
        <v>28.6</v>
      </c>
      <c r="P1294" s="5">
        <v>-115.38461538461539</v>
      </c>
      <c r="Q1294" s="5">
        <v>6.2455759615384601</v>
      </c>
      <c r="R1294" s="8">
        <f t="shared" si="112"/>
        <v>13</v>
      </c>
      <c r="S1294" s="9">
        <f t="shared" si="113"/>
        <v>-1.5</v>
      </c>
      <c r="T1294" s="9">
        <v>1.5</v>
      </c>
      <c r="U1294" s="9">
        <f t="shared" si="114"/>
        <v>28.6</v>
      </c>
      <c r="V1294" s="9">
        <f t="shared" si="115"/>
        <v>-115.38461538461539</v>
      </c>
      <c r="W1294" s="9">
        <f t="shared" si="116"/>
        <v>6.2455759615384601</v>
      </c>
    </row>
    <row r="1295" spans="1:23">
      <c r="A1295" s="2" t="s">
        <v>520</v>
      </c>
      <c r="B1295" s="2" t="s">
        <v>521</v>
      </c>
      <c r="C1295" s="3">
        <v>110</v>
      </c>
      <c r="D1295" s="3">
        <v>2.2000000000000002</v>
      </c>
      <c r="E1295" s="2" t="s">
        <v>527</v>
      </c>
      <c r="F1295" s="4">
        <v>42346</v>
      </c>
      <c r="G1295" s="3">
        <v>59.5</v>
      </c>
      <c r="H1295" s="3">
        <v>3</v>
      </c>
      <c r="I1295" s="4">
        <v>42373</v>
      </c>
      <c r="J1295" s="3">
        <v>58.5</v>
      </c>
      <c r="K1295" s="3">
        <v>3.5</v>
      </c>
      <c r="L1295" s="3">
        <v>27</v>
      </c>
      <c r="M1295" s="5">
        <v>-1</v>
      </c>
      <c r="N1295" s="5">
        <v>0.5</v>
      </c>
      <c r="O1295" s="5">
        <v>59.400000000000006</v>
      </c>
      <c r="P1295" s="5">
        <v>-37.037037037037038</v>
      </c>
      <c r="Q1295" s="5">
        <v>10.150384074074074</v>
      </c>
      <c r="R1295" s="8">
        <f t="shared" si="112"/>
        <v>14</v>
      </c>
      <c r="S1295" s="9">
        <f t="shared" si="113"/>
        <v>0.5</v>
      </c>
      <c r="T1295" s="9">
        <v>1.5</v>
      </c>
      <c r="U1295" s="9">
        <f t="shared" si="114"/>
        <v>30.800000000000004</v>
      </c>
      <c r="V1295" s="9">
        <f t="shared" si="115"/>
        <v>35.714285714285715</v>
      </c>
      <c r="W1295" s="9">
        <f t="shared" si="116"/>
        <v>13.737024285714286</v>
      </c>
    </row>
    <row r="1296" spans="1:23">
      <c r="A1296" s="2" t="s">
        <v>520</v>
      </c>
      <c r="B1296" s="2" t="s">
        <v>521</v>
      </c>
      <c r="C1296" s="3">
        <v>110</v>
      </c>
      <c r="D1296" s="3">
        <v>2.2000000000000002</v>
      </c>
      <c r="E1296" s="2" t="s">
        <v>528</v>
      </c>
      <c r="F1296" s="4">
        <v>42346</v>
      </c>
      <c r="G1296" s="3">
        <v>62</v>
      </c>
      <c r="H1296" s="3">
        <v>3</v>
      </c>
      <c r="I1296" s="4">
        <v>42346</v>
      </c>
      <c r="J1296" s="3">
        <v>62</v>
      </c>
      <c r="K1296" s="3">
        <v>3</v>
      </c>
      <c r="L1296" s="3">
        <v>0</v>
      </c>
      <c r="M1296" s="5">
        <v>0</v>
      </c>
      <c r="N1296" s="5">
        <v>0</v>
      </c>
      <c r="O1296" s="5">
        <v>0</v>
      </c>
      <c r="P1296" s="5">
        <v>0</v>
      </c>
      <c r="Q1296" s="5">
        <v>12.48358</v>
      </c>
      <c r="R1296" s="8">
        <f t="shared" si="112"/>
        <v>0</v>
      </c>
      <c r="S1296" s="9">
        <f t="shared" si="113"/>
        <v>0</v>
      </c>
      <c r="T1296" s="9">
        <v>1.5</v>
      </c>
      <c r="U1296" s="9">
        <f t="shared" si="114"/>
        <v>0</v>
      </c>
      <c r="V1296" s="9">
        <f t="shared" si="115"/>
        <v>0</v>
      </c>
      <c r="W1296" s="9">
        <f t="shared" si="116"/>
        <v>12.48358</v>
      </c>
    </row>
    <row r="1297" spans="1:23">
      <c r="A1297" s="2" t="s">
        <v>520</v>
      </c>
      <c r="B1297" s="2" t="s">
        <v>521</v>
      </c>
      <c r="C1297" s="3">
        <v>110</v>
      </c>
      <c r="D1297" s="3">
        <v>2.2000000000000002</v>
      </c>
      <c r="E1297" s="2" t="s">
        <v>528</v>
      </c>
      <c r="F1297" s="4">
        <v>42346</v>
      </c>
      <c r="G1297" s="3">
        <v>62</v>
      </c>
      <c r="H1297" s="3">
        <v>3</v>
      </c>
      <c r="I1297" s="4">
        <v>42359</v>
      </c>
      <c r="J1297" s="3">
        <v>68</v>
      </c>
      <c r="K1297" s="3">
        <v>3.5</v>
      </c>
      <c r="L1297" s="3">
        <v>13</v>
      </c>
      <c r="M1297" s="5">
        <v>6</v>
      </c>
      <c r="N1297" s="5">
        <v>0.5</v>
      </c>
      <c r="O1297" s="5">
        <v>28.6</v>
      </c>
      <c r="P1297" s="5">
        <v>461.53846153846155</v>
      </c>
      <c r="Q1297" s="5">
        <v>35.744696153846157</v>
      </c>
      <c r="R1297" s="8">
        <f t="shared" si="112"/>
        <v>13</v>
      </c>
      <c r="S1297" s="9">
        <f t="shared" si="113"/>
        <v>6</v>
      </c>
      <c r="T1297" s="9">
        <v>1.5</v>
      </c>
      <c r="U1297" s="9">
        <f t="shared" si="114"/>
        <v>28.6</v>
      </c>
      <c r="V1297" s="9">
        <f t="shared" si="115"/>
        <v>461.53846153846155</v>
      </c>
      <c r="W1297" s="9">
        <f t="shared" si="116"/>
        <v>35.744696153846157</v>
      </c>
    </row>
    <row r="1298" spans="1:23">
      <c r="A1298" s="2" t="s">
        <v>520</v>
      </c>
      <c r="B1298" s="2" t="s">
        <v>521</v>
      </c>
      <c r="C1298" s="3">
        <v>110</v>
      </c>
      <c r="D1298" s="3">
        <v>2.2000000000000002</v>
      </c>
      <c r="E1298" s="2" t="s">
        <v>528</v>
      </c>
      <c r="F1298" s="4">
        <v>42346</v>
      </c>
      <c r="G1298" s="3">
        <v>62</v>
      </c>
      <c r="H1298" s="3">
        <v>3</v>
      </c>
      <c r="I1298" s="4">
        <v>42373</v>
      </c>
      <c r="J1298" s="3">
        <v>64</v>
      </c>
      <c r="K1298" s="3">
        <v>3</v>
      </c>
      <c r="L1298" s="3">
        <v>27</v>
      </c>
      <c r="M1298" s="5">
        <v>2</v>
      </c>
      <c r="N1298" s="5">
        <v>0</v>
      </c>
      <c r="O1298" s="5">
        <v>59.400000000000006</v>
      </c>
      <c r="P1298" s="5">
        <v>74.074074074074076</v>
      </c>
      <c r="Q1298" s="5">
        <v>16.304521851851852</v>
      </c>
      <c r="R1298" s="8">
        <f t="shared" si="112"/>
        <v>14</v>
      </c>
      <c r="S1298" s="9">
        <f t="shared" si="113"/>
        <v>-4</v>
      </c>
      <c r="T1298" s="9">
        <v>1.5</v>
      </c>
      <c r="U1298" s="9">
        <f t="shared" si="114"/>
        <v>30.800000000000004</v>
      </c>
      <c r="V1298" s="9">
        <f t="shared" si="115"/>
        <v>-285.71428571428572</v>
      </c>
      <c r="W1298" s="9">
        <f t="shared" si="116"/>
        <v>-1.4330442857142849</v>
      </c>
    </row>
    <row r="1299" spans="1:23">
      <c r="A1299" s="2" t="s">
        <v>520</v>
      </c>
      <c r="B1299" s="2" t="s">
        <v>521</v>
      </c>
      <c r="C1299" s="3">
        <v>110</v>
      </c>
      <c r="D1299" s="3">
        <v>2.2000000000000002</v>
      </c>
      <c r="E1299" s="2" t="s">
        <v>529</v>
      </c>
      <c r="F1299" s="4">
        <v>42346</v>
      </c>
      <c r="G1299" s="3">
        <v>58.5</v>
      </c>
      <c r="H1299" s="3">
        <v>3</v>
      </c>
      <c r="I1299" s="4">
        <v>42346</v>
      </c>
      <c r="J1299" s="3">
        <v>58.5</v>
      </c>
      <c r="K1299" s="3">
        <v>3</v>
      </c>
      <c r="L1299" s="3">
        <v>0</v>
      </c>
      <c r="M1299" s="5">
        <v>0</v>
      </c>
      <c r="N1299" s="5">
        <v>0</v>
      </c>
      <c r="O1299" s="5">
        <v>0</v>
      </c>
      <c r="P1299" s="5">
        <v>0</v>
      </c>
      <c r="Q1299" s="5">
        <v>11.891764999999999</v>
      </c>
      <c r="R1299" s="8">
        <f t="shared" si="112"/>
        <v>0</v>
      </c>
      <c r="S1299" s="9">
        <f t="shared" si="113"/>
        <v>0</v>
      </c>
      <c r="T1299" s="9">
        <v>1.5</v>
      </c>
      <c r="U1299" s="9">
        <f t="shared" si="114"/>
        <v>0</v>
      </c>
      <c r="V1299" s="9">
        <f t="shared" si="115"/>
        <v>0</v>
      </c>
      <c r="W1299" s="9">
        <f t="shared" si="116"/>
        <v>11.891764999999999</v>
      </c>
    </row>
    <row r="1300" spans="1:23">
      <c r="A1300" s="2" t="s">
        <v>520</v>
      </c>
      <c r="B1300" s="2" t="s">
        <v>521</v>
      </c>
      <c r="C1300" s="3">
        <v>110</v>
      </c>
      <c r="D1300" s="3">
        <v>2.2000000000000002</v>
      </c>
      <c r="E1300" s="2" t="s">
        <v>529</v>
      </c>
      <c r="F1300" s="4">
        <v>42346</v>
      </c>
      <c r="G1300" s="3">
        <v>58.5</v>
      </c>
      <c r="H1300" s="3">
        <v>3</v>
      </c>
      <c r="I1300" s="4">
        <v>42359</v>
      </c>
      <c r="J1300" s="3">
        <v>62.5</v>
      </c>
      <c r="K1300" s="3">
        <v>3</v>
      </c>
      <c r="L1300" s="3">
        <v>13</v>
      </c>
      <c r="M1300" s="5">
        <v>4</v>
      </c>
      <c r="N1300" s="5">
        <v>0</v>
      </c>
      <c r="O1300" s="5">
        <v>28.6</v>
      </c>
      <c r="P1300" s="5">
        <v>307.69230769230774</v>
      </c>
      <c r="Q1300" s="5">
        <v>27.399175769230766</v>
      </c>
      <c r="R1300" s="8">
        <f t="shared" si="112"/>
        <v>13</v>
      </c>
      <c r="S1300" s="9">
        <f t="shared" si="113"/>
        <v>4</v>
      </c>
      <c r="T1300" s="9">
        <v>1.5</v>
      </c>
      <c r="U1300" s="9">
        <f t="shared" si="114"/>
        <v>28.6</v>
      </c>
      <c r="V1300" s="9">
        <f t="shared" si="115"/>
        <v>307.69230769230774</v>
      </c>
      <c r="W1300" s="9">
        <f t="shared" si="116"/>
        <v>27.399175769230766</v>
      </c>
    </row>
    <row r="1301" spans="1:23">
      <c r="A1301" s="2" t="s">
        <v>520</v>
      </c>
      <c r="B1301" s="2" t="s">
        <v>521</v>
      </c>
      <c r="C1301" s="3">
        <v>110</v>
      </c>
      <c r="D1301" s="3">
        <v>2.2000000000000002</v>
      </c>
      <c r="E1301" s="2" t="s">
        <v>529</v>
      </c>
      <c r="F1301" s="4">
        <v>42346</v>
      </c>
      <c r="G1301" s="3">
        <v>58.5</v>
      </c>
      <c r="H1301" s="3">
        <v>3</v>
      </c>
      <c r="I1301" s="4">
        <v>42373</v>
      </c>
      <c r="J1301" s="3">
        <v>60</v>
      </c>
      <c r="K1301" s="3">
        <v>2.5</v>
      </c>
      <c r="L1301" s="3">
        <v>27</v>
      </c>
      <c r="M1301" s="5">
        <v>1.5</v>
      </c>
      <c r="N1301" s="5">
        <v>-0.5</v>
      </c>
      <c r="O1301" s="5">
        <v>59.400000000000006</v>
      </c>
      <c r="P1301" s="5">
        <v>55.55555555555555</v>
      </c>
      <c r="Q1301" s="5">
        <v>14.757471388888888</v>
      </c>
      <c r="R1301" s="8">
        <f t="shared" si="112"/>
        <v>14</v>
      </c>
      <c r="S1301" s="9">
        <f t="shared" si="113"/>
        <v>-2.5</v>
      </c>
      <c r="T1301" s="9">
        <v>1.5</v>
      </c>
      <c r="U1301" s="9">
        <f t="shared" si="114"/>
        <v>30.800000000000004</v>
      </c>
      <c r="V1301" s="9">
        <f t="shared" si="115"/>
        <v>-178.57142857142858</v>
      </c>
      <c r="W1301" s="9">
        <f t="shared" si="116"/>
        <v>3.2150110714285702</v>
      </c>
    </row>
    <row r="1302" spans="1:23">
      <c r="A1302" s="2" t="s">
        <v>520</v>
      </c>
      <c r="B1302" s="2" t="s">
        <v>521</v>
      </c>
      <c r="C1302" s="3">
        <v>110</v>
      </c>
      <c r="D1302" s="3">
        <v>2.2000000000000002</v>
      </c>
      <c r="E1302" s="2" t="s">
        <v>530</v>
      </c>
      <c r="F1302" s="4">
        <v>42346</v>
      </c>
      <c r="G1302" s="3">
        <v>59</v>
      </c>
      <c r="H1302" s="3">
        <v>3</v>
      </c>
      <c r="I1302" s="4">
        <v>42346</v>
      </c>
      <c r="J1302" s="3">
        <v>59</v>
      </c>
      <c r="K1302" s="3">
        <v>3</v>
      </c>
      <c r="L1302" s="3">
        <v>0</v>
      </c>
      <c r="M1302" s="5">
        <v>0</v>
      </c>
      <c r="N1302" s="5">
        <v>0</v>
      </c>
      <c r="O1302" s="5">
        <v>0</v>
      </c>
      <c r="P1302" s="5">
        <v>0</v>
      </c>
      <c r="Q1302" s="5">
        <v>11.97631</v>
      </c>
      <c r="R1302" s="8">
        <f t="shared" si="112"/>
        <v>0</v>
      </c>
      <c r="S1302" s="9">
        <f t="shared" si="113"/>
        <v>0</v>
      </c>
      <c r="T1302" s="9">
        <v>1.5</v>
      </c>
      <c r="U1302" s="9">
        <f t="shared" si="114"/>
        <v>0</v>
      </c>
      <c r="V1302" s="9">
        <f t="shared" si="115"/>
        <v>0</v>
      </c>
      <c r="W1302" s="9">
        <f t="shared" si="116"/>
        <v>11.97631</v>
      </c>
    </row>
    <row r="1303" spans="1:23">
      <c r="A1303" s="2" t="s">
        <v>520</v>
      </c>
      <c r="B1303" s="2" t="s">
        <v>521</v>
      </c>
      <c r="C1303" s="3">
        <v>110</v>
      </c>
      <c r="D1303" s="3">
        <v>2.2000000000000002</v>
      </c>
      <c r="E1303" s="2" t="s">
        <v>530</v>
      </c>
      <c r="F1303" s="4">
        <v>42346</v>
      </c>
      <c r="G1303" s="3">
        <v>59</v>
      </c>
      <c r="H1303" s="3">
        <v>3</v>
      </c>
      <c r="I1303" s="4">
        <v>42359</v>
      </c>
      <c r="J1303" s="3">
        <v>62.5</v>
      </c>
      <c r="K1303" s="3">
        <v>3.5</v>
      </c>
      <c r="L1303" s="3">
        <v>13</v>
      </c>
      <c r="M1303" s="5">
        <v>3.5</v>
      </c>
      <c r="N1303" s="5">
        <v>0.5</v>
      </c>
      <c r="O1303" s="5">
        <v>28.6</v>
      </c>
      <c r="P1303" s="5">
        <v>269.23076923076923</v>
      </c>
      <c r="Q1303" s="5">
        <v>25.545294423076921</v>
      </c>
      <c r="R1303" s="8">
        <f t="shared" si="112"/>
        <v>13</v>
      </c>
      <c r="S1303" s="9">
        <f t="shared" si="113"/>
        <v>3.5</v>
      </c>
      <c r="T1303" s="9">
        <v>1.5</v>
      </c>
      <c r="U1303" s="9">
        <f t="shared" si="114"/>
        <v>28.6</v>
      </c>
      <c r="V1303" s="9">
        <f t="shared" si="115"/>
        <v>269.23076923076923</v>
      </c>
      <c r="W1303" s="9">
        <f t="shared" si="116"/>
        <v>25.545294423076921</v>
      </c>
    </row>
    <row r="1304" spans="1:23">
      <c r="A1304" s="2" t="s">
        <v>520</v>
      </c>
      <c r="B1304" s="2" t="s">
        <v>521</v>
      </c>
      <c r="C1304" s="3">
        <v>110</v>
      </c>
      <c r="D1304" s="3">
        <v>2.2000000000000002</v>
      </c>
      <c r="E1304" s="2" t="s">
        <v>530</v>
      </c>
      <c r="F1304" s="4">
        <v>42346</v>
      </c>
      <c r="G1304" s="3">
        <v>59</v>
      </c>
      <c r="H1304" s="3">
        <v>3</v>
      </c>
      <c r="I1304" s="4">
        <v>42373</v>
      </c>
      <c r="J1304" s="3">
        <v>60.5</v>
      </c>
      <c r="K1304" s="3">
        <v>3</v>
      </c>
      <c r="L1304" s="3">
        <v>27</v>
      </c>
      <c r="M1304" s="5">
        <v>1.5</v>
      </c>
      <c r="N1304" s="5">
        <v>0</v>
      </c>
      <c r="O1304" s="5">
        <v>59.400000000000006</v>
      </c>
      <c r="P1304" s="5">
        <v>55.55555555555555</v>
      </c>
      <c r="Q1304" s="5">
        <v>14.842016388888888</v>
      </c>
      <c r="R1304" s="8">
        <f t="shared" si="112"/>
        <v>14</v>
      </c>
      <c r="S1304" s="9">
        <f t="shared" si="113"/>
        <v>-2</v>
      </c>
      <c r="T1304" s="9">
        <v>1.5</v>
      </c>
      <c r="U1304" s="9">
        <f t="shared" si="114"/>
        <v>30.800000000000004</v>
      </c>
      <c r="V1304" s="9">
        <f t="shared" si="115"/>
        <v>-142.85714285714286</v>
      </c>
      <c r="W1304" s="9">
        <f t="shared" si="116"/>
        <v>5.0602703571428576</v>
      </c>
    </row>
    <row r="1305" spans="1:23">
      <c r="A1305" s="2" t="s">
        <v>520</v>
      </c>
      <c r="B1305" s="2" t="s">
        <v>521</v>
      </c>
      <c r="C1305" s="3">
        <v>110</v>
      </c>
      <c r="D1305" s="3">
        <v>2.2000000000000002</v>
      </c>
      <c r="E1305" s="2" t="s">
        <v>531</v>
      </c>
      <c r="F1305" s="4">
        <v>42346</v>
      </c>
      <c r="G1305" s="3">
        <v>57</v>
      </c>
      <c r="H1305" s="3">
        <v>3</v>
      </c>
      <c r="I1305" s="4">
        <v>42346</v>
      </c>
      <c r="J1305" s="3">
        <v>57</v>
      </c>
      <c r="K1305" s="3">
        <v>3</v>
      </c>
      <c r="L1305" s="3">
        <v>0</v>
      </c>
      <c r="M1305" s="5">
        <v>0</v>
      </c>
      <c r="N1305" s="5">
        <v>0</v>
      </c>
      <c r="O1305" s="5">
        <v>0</v>
      </c>
      <c r="P1305" s="5">
        <v>0</v>
      </c>
      <c r="Q1305" s="5">
        <v>11.63813</v>
      </c>
      <c r="R1305" s="8">
        <f t="shared" si="112"/>
        <v>0</v>
      </c>
      <c r="S1305" s="9">
        <f t="shared" si="113"/>
        <v>0</v>
      </c>
      <c r="T1305" s="9">
        <v>1.5</v>
      </c>
      <c r="U1305" s="9">
        <f t="shared" si="114"/>
        <v>0</v>
      </c>
      <c r="V1305" s="9">
        <f t="shared" si="115"/>
        <v>0</v>
      </c>
      <c r="W1305" s="9">
        <f t="shared" si="116"/>
        <v>11.63813</v>
      </c>
    </row>
    <row r="1306" spans="1:23">
      <c r="A1306" s="2" t="s">
        <v>520</v>
      </c>
      <c r="B1306" s="2" t="s">
        <v>521</v>
      </c>
      <c r="C1306" s="3">
        <v>110</v>
      </c>
      <c r="D1306" s="3">
        <v>2.2000000000000002</v>
      </c>
      <c r="E1306" s="2" t="s">
        <v>531</v>
      </c>
      <c r="F1306" s="4">
        <v>42346</v>
      </c>
      <c r="G1306" s="3">
        <v>57</v>
      </c>
      <c r="H1306" s="3">
        <v>3</v>
      </c>
      <c r="I1306" s="4">
        <v>42359</v>
      </c>
      <c r="J1306" s="3">
        <v>62.5</v>
      </c>
      <c r="K1306" s="3">
        <v>3</v>
      </c>
      <c r="L1306" s="3">
        <v>13</v>
      </c>
      <c r="M1306" s="5">
        <v>5.5</v>
      </c>
      <c r="N1306" s="5">
        <v>0</v>
      </c>
      <c r="O1306" s="5">
        <v>28.6</v>
      </c>
      <c r="P1306" s="5">
        <v>423.07692307692309</v>
      </c>
      <c r="Q1306" s="5">
        <v>32.960819807692303</v>
      </c>
      <c r="R1306" s="8">
        <f t="shared" si="112"/>
        <v>13</v>
      </c>
      <c r="S1306" s="9">
        <f t="shared" si="113"/>
        <v>5.5</v>
      </c>
      <c r="T1306" s="9">
        <v>1.5</v>
      </c>
      <c r="U1306" s="9">
        <f t="shared" si="114"/>
        <v>28.6</v>
      </c>
      <c r="V1306" s="9">
        <f t="shared" si="115"/>
        <v>423.07692307692309</v>
      </c>
      <c r="W1306" s="9">
        <f t="shared" si="116"/>
        <v>32.960819807692303</v>
      </c>
    </row>
    <row r="1307" spans="1:23">
      <c r="A1307" s="2" t="s">
        <v>520</v>
      </c>
      <c r="B1307" s="2" t="s">
        <v>521</v>
      </c>
      <c r="C1307" s="3">
        <v>110</v>
      </c>
      <c r="D1307" s="3">
        <v>2.2000000000000002</v>
      </c>
      <c r="E1307" s="2" t="s">
        <v>531</v>
      </c>
      <c r="F1307" s="4">
        <v>42346</v>
      </c>
      <c r="G1307" s="3">
        <v>57</v>
      </c>
      <c r="H1307" s="3">
        <v>3</v>
      </c>
      <c r="I1307" s="4">
        <v>42373</v>
      </c>
      <c r="J1307" s="3">
        <v>58</v>
      </c>
      <c r="K1307" s="3">
        <v>3</v>
      </c>
      <c r="L1307" s="3">
        <v>27</v>
      </c>
      <c r="M1307" s="5">
        <v>1</v>
      </c>
      <c r="N1307" s="5">
        <v>0</v>
      </c>
      <c r="O1307" s="5">
        <v>59.400000000000006</v>
      </c>
      <c r="P1307" s="5">
        <v>37.037037037037038</v>
      </c>
      <c r="Q1307" s="5">
        <v>13.548600925925925</v>
      </c>
      <c r="R1307" s="8">
        <f t="shared" si="112"/>
        <v>14</v>
      </c>
      <c r="S1307" s="9">
        <f t="shared" si="113"/>
        <v>-4.5</v>
      </c>
      <c r="T1307" s="9">
        <v>1.5</v>
      </c>
      <c r="U1307" s="9">
        <f t="shared" si="114"/>
        <v>30.800000000000004</v>
      </c>
      <c r="V1307" s="9">
        <f t="shared" si="115"/>
        <v>-321.42857142857144</v>
      </c>
      <c r="W1307" s="9">
        <f t="shared" si="116"/>
        <v>-4.1237535714285727</v>
      </c>
    </row>
    <row r="1308" spans="1:23">
      <c r="A1308" s="2" t="s">
        <v>520</v>
      </c>
      <c r="B1308" s="2" t="s">
        <v>521</v>
      </c>
      <c r="C1308" s="3">
        <v>110</v>
      </c>
      <c r="D1308" s="3">
        <v>2.2000000000000002</v>
      </c>
      <c r="E1308" s="2" t="s">
        <v>532</v>
      </c>
      <c r="F1308" s="4">
        <v>42346</v>
      </c>
      <c r="G1308" s="3">
        <v>60.5</v>
      </c>
      <c r="H1308" s="3">
        <v>3</v>
      </c>
      <c r="I1308" s="4">
        <v>42346</v>
      </c>
      <c r="J1308" s="3">
        <v>60.5</v>
      </c>
      <c r="K1308" s="3">
        <v>3</v>
      </c>
      <c r="L1308" s="3">
        <v>0</v>
      </c>
      <c r="M1308" s="5">
        <v>0</v>
      </c>
      <c r="N1308" s="5">
        <v>0</v>
      </c>
      <c r="O1308" s="5">
        <v>0</v>
      </c>
      <c r="P1308" s="5">
        <v>0</v>
      </c>
      <c r="Q1308" s="5">
        <v>12.229944999999999</v>
      </c>
      <c r="R1308" s="8">
        <f t="shared" si="112"/>
        <v>0</v>
      </c>
      <c r="S1308" s="9">
        <f t="shared" si="113"/>
        <v>0</v>
      </c>
      <c r="T1308" s="9">
        <v>1.5</v>
      </c>
      <c r="U1308" s="9">
        <f t="shared" si="114"/>
        <v>0</v>
      </c>
      <c r="V1308" s="9">
        <f t="shared" si="115"/>
        <v>0</v>
      </c>
      <c r="W1308" s="9">
        <f t="shared" si="116"/>
        <v>12.229944999999999</v>
      </c>
    </row>
    <row r="1309" spans="1:23">
      <c r="A1309" s="2" t="s">
        <v>520</v>
      </c>
      <c r="B1309" s="2" t="s">
        <v>521</v>
      </c>
      <c r="C1309" s="3">
        <v>110</v>
      </c>
      <c r="D1309" s="3">
        <v>2.2000000000000002</v>
      </c>
      <c r="E1309" s="2" t="s">
        <v>532</v>
      </c>
      <c r="F1309" s="4">
        <v>42346</v>
      </c>
      <c r="G1309" s="3">
        <v>60.5</v>
      </c>
      <c r="H1309" s="3">
        <v>3</v>
      </c>
      <c r="I1309" s="4">
        <v>42359</v>
      </c>
      <c r="J1309" s="3">
        <v>63.5</v>
      </c>
      <c r="K1309" s="3">
        <v>3</v>
      </c>
      <c r="L1309" s="3">
        <v>13</v>
      </c>
      <c r="M1309" s="5">
        <v>3</v>
      </c>
      <c r="N1309" s="5">
        <v>0</v>
      </c>
      <c r="O1309" s="5">
        <v>28.6</v>
      </c>
      <c r="P1309" s="5">
        <v>230.76923076923077</v>
      </c>
      <c r="Q1309" s="5">
        <v>23.860503076923077</v>
      </c>
      <c r="R1309" s="8">
        <f t="shared" si="112"/>
        <v>13</v>
      </c>
      <c r="S1309" s="9">
        <f t="shared" si="113"/>
        <v>3</v>
      </c>
      <c r="T1309" s="9">
        <v>1.5</v>
      </c>
      <c r="U1309" s="9">
        <f t="shared" si="114"/>
        <v>28.6</v>
      </c>
      <c r="V1309" s="9">
        <f t="shared" si="115"/>
        <v>230.76923076923077</v>
      </c>
      <c r="W1309" s="9">
        <f t="shared" si="116"/>
        <v>23.860503076923077</v>
      </c>
    </row>
    <row r="1310" spans="1:23">
      <c r="A1310" s="2" t="s">
        <v>520</v>
      </c>
      <c r="B1310" s="2" t="s">
        <v>521</v>
      </c>
      <c r="C1310" s="3">
        <v>110</v>
      </c>
      <c r="D1310" s="3">
        <v>2.2000000000000002</v>
      </c>
      <c r="E1310" s="2" t="s">
        <v>532</v>
      </c>
      <c r="F1310" s="4">
        <v>42346</v>
      </c>
      <c r="G1310" s="3">
        <v>60.5</v>
      </c>
      <c r="H1310" s="3">
        <v>3</v>
      </c>
      <c r="I1310" s="4">
        <v>42373</v>
      </c>
      <c r="J1310" s="3">
        <v>64</v>
      </c>
      <c r="K1310" s="3">
        <v>3</v>
      </c>
      <c r="L1310" s="3">
        <v>27</v>
      </c>
      <c r="M1310" s="5">
        <v>3.5</v>
      </c>
      <c r="N1310" s="5">
        <v>0</v>
      </c>
      <c r="O1310" s="5">
        <v>59.400000000000006</v>
      </c>
      <c r="P1310" s="5">
        <v>129.62962962962962</v>
      </c>
      <c r="Q1310" s="5">
        <v>18.916593240740738</v>
      </c>
      <c r="R1310" s="8">
        <f t="shared" si="112"/>
        <v>14</v>
      </c>
      <c r="S1310" s="9">
        <f t="shared" si="113"/>
        <v>0.5</v>
      </c>
      <c r="T1310" s="9">
        <v>1.5</v>
      </c>
      <c r="U1310" s="9">
        <f t="shared" si="114"/>
        <v>30.800000000000004</v>
      </c>
      <c r="V1310" s="9">
        <f t="shared" si="115"/>
        <v>35.714285714285715</v>
      </c>
      <c r="W1310" s="9">
        <f t="shared" si="116"/>
        <v>14.286566785714285</v>
      </c>
    </row>
    <row r="1311" spans="1:23">
      <c r="A1311" s="2" t="s">
        <v>520</v>
      </c>
      <c r="B1311" s="2" t="s">
        <v>521</v>
      </c>
      <c r="C1311" s="3">
        <v>110</v>
      </c>
      <c r="D1311" s="3">
        <v>2.2000000000000002</v>
      </c>
      <c r="E1311" s="2" t="s">
        <v>533</v>
      </c>
      <c r="F1311" s="4">
        <v>42346</v>
      </c>
      <c r="G1311" s="3">
        <v>60.5</v>
      </c>
      <c r="H1311" s="3">
        <v>3</v>
      </c>
      <c r="I1311" s="4">
        <v>42346</v>
      </c>
      <c r="J1311" s="3">
        <v>60.5</v>
      </c>
      <c r="K1311" s="3">
        <v>3</v>
      </c>
      <c r="L1311" s="3">
        <v>0</v>
      </c>
      <c r="M1311" s="5">
        <v>0</v>
      </c>
      <c r="N1311" s="5">
        <v>0</v>
      </c>
      <c r="O1311" s="5">
        <v>0</v>
      </c>
      <c r="P1311" s="5">
        <v>0</v>
      </c>
      <c r="Q1311" s="5">
        <v>12.229944999999999</v>
      </c>
      <c r="R1311" s="8">
        <f t="shared" si="112"/>
        <v>0</v>
      </c>
      <c r="S1311" s="9">
        <f t="shared" si="113"/>
        <v>0</v>
      </c>
      <c r="T1311" s="9">
        <v>1.5</v>
      </c>
      <c r="U1311" s="9">
        <f t="shared" si="114"/>
        <v>0</v>
      </c>
      <c r="V1311" s="9">
        <f t="shared" si="115"/>
        <v>0</v>
      </c>
      <c r="W1311" s="9">
        <f t="shared" si="116"/>
        <v>12.229944999999999</v>
      </c>
    </row>
    <row r="1312" spans="1:23">
      <c r="A1312" s="2" t="s">
        <v>520</v>
      </c>
      <c r="B1312" s="2" t="s">
        <v>521</v>
      </c>
      <c r="C1312" s="3">
        <v>110</v>
      </c>
      <c r="D1312" s="3">
        <v>2.2000000000000002</v>
      </c>
      <c r="E1312" s="2" t="s">
        <v>533</v>
      </c>
      <c r="F1312" s="4">
        <v>42346</v>
      </c>
      <c r="G1312" s="3">
        <v>60.5</v>
      </c>
      <c r="H1312" s="3">
        <v>3</v>
      </c>
      <c r="I1312" s="4">
        <v>42359</v>
      </c>
      <c r="J1312" s="3">
        <v>67</v>
      </c>
      <c r="K1312" s="3">
        <v>3.5</v>
      </c>
      <c r="L1312" s="3">
        <v>13</v>
      </c>
      <c r="M1312" s="5">
        <v>6.5</v>
      </c>
      <c r="N1312" s="5">
        <v>0.5</v>
      </c>
      <c r="O1312" s="5">
        <v>28.6</v>
      </c>
      <c r="P1312" s="5">
        <v>500</v>
      </c>
      <c r="Q1312" s="5">
        <v>37.4294875</v>
      </c>
      <c r="R1312" s="8">
        <f t="shared" si="112"/>
        <v>13</v>
      </c>
      <c r="S1312" s="9">
        <f t="shared" si="113"/>
        <v>6.5</v>
      </c>
      <c r="T1312" s="9">
        <v>1.5</v>
      </c>
      <c r="U1312" s="9">
        <f t="shared" si="114"/>
        <v>28.6</v>
      </c>
      <c r="V1312" s="9">
        <f t="shared" si="115"/>
        <v>500</v>
      </c>
      <c r="W1312" s="9">
        <f t="shared" si="116"/>
        <v>37.4294875</v>
      </c>
    </row>
    <row r="1313" spans="1:23">
      <c r="A1313" s="2" t="s">
        <v>520</v>
      </c>
      <c r="B1313" s="2" t="s">
        <v>521</v>
      </c>
      <c r="C1313" s="3">
        <v>110</v>
      </c>
      <c r="D1313" s="3">
        <v>2.2000000000000002</v>
      </c>
      <c r="E1313" s="2" t="s">
        <v>533</v>
      </c>
      <c r="F1313" s="4">
        <v>42346</v>
      </c>
      <c r="G1313" s="3">
        <v>60.5</v>
      </c>
      <c r="H1313" s="3">
        <v>3</v>
      </c>
      <c r="I1313" s="4">
        <v>42373</v>
      </c>
      <c r="J1313" s="3">
        <v>62</v>
      </c>
      <c r="K1313" s="3">
        <v>3</v>
      </c>
      <c r="L1313" s="3">
        <v>27</v>
      </c>
      <c r="M1313" s="5">
        <v>1.5</v>
      </c>
      <c r="N1313" s="5">
        <v>0</v>
      </c>
      <c r="O1313" s="5">
        <v>59.400000000000006</v>
      </c>
      <c r="P1313" s="5">
        <v>55.55555555555555</v>
      </c>
      <c r="Q1313" s="5">
        <v>15.095651388888887</v>
      </c>
      <c r="R1313" s="8">
        <f t="shared" si="112"/>
        <v>14</v>
      </c>
      <c r="S1313" s="9">
        <f t="shared" si="113"/>
        <v>-5</v>
      </c>
      <c r="T1313" s="9">
        <v>1.5</v>
      </c>
      <c r="U1313" s="9">
        <f t="shared" si="114"/>
        <v>30.800000000000004</v>
      </c>
      <c r="V1313" s="9">
        <f t="shared" si="115"/>
        <v>-357.14285714285717</v>
      </c>
      <c r="W1313" s="9">
        <f t="shared" si="116"/>
        <v>-5.2503803571428591</v>
      </c>
    </row>
    <row r="1314" spans="1:23">
      <c r="A1314" s="2" t="s">
        <v>520</v>
      </c>
      <c r="B1314" s="2" t="s">
        <v>521</v>
      </c>
      <c r="C1314" s="3">
        <v>110</v>
      </c>
      <c r="D1314" s="3">
        <v>2.2000000000000002</v>
      </c>
      <c r="E1314" s="2" t="s">
        <v>534</v>
      </c>
      <c r="F1314" s="4">
        <v>42346</v>
      </c>
      <c r="G1314" s="3">
        <v>59.5</v>
      </c>
      <c r="H1314" s="3">
        <v>2.5</v>
      </c>
      <c r="I1314" s="4">
        <v>42346</v>
      </c>
      <c r="J1314" s="3">
        <v>59.5</v>
      </c>
      <c r="K1314" s="3">
        <v>2.5</v>
      </c>
      <c r="L1314" s="3">
        <v>0</v>
      </c>
      <c r="M1314" s="5">
        <v>0</v>
      </c>
      <c r="N1314" s="5">
        <v>0</v>
      </c>
      <c r="O1314" s="5">
        <v>0</v>
      </c>
      <c r="P1314" s="5">
        <v>0</v>
      </c>
      <c r="Q1314" s="5">
        <v>12.060855</v>
      </c>
      <c r="R1314" s="8">
        <f t="shared" si="112"/>
        <v>0</v>
      </c>
      <c r="S1314" s="9">
        <f t="shared" si="113"/>
        <v>0</v>
      </c>
      <c r="T1314" s="9">
        <v>1.5</v>
      </c>
      <c r="U1314" s="9">
        <f t="shared" si="114"/>
        <v>0</v>
      </c>
      <c r="V1314" s="9">
        <f t="shared" si="115"/>
        <v>0</v>
      </c>
      <c r="W1314" s="9">
        <f t="shared" si="116"/>
        <v>12.060855</v>
      </c>
    </row>
    <row r="1315" spans="1:23">
      <c r="A1315" s="2" t="s">
        <v>520</v>
      </c>
      <c r="B1315" s="2" t="s">
        <v>521</v>
      </c>
      <c r="C1315" s="3">
        <v>110</v>
      </c>
      <c r="D1315" s="3">
        <v>2.2000000000000002</v>
      </c>
      <c r="E1315" s="2" t="s">
        <v>534</v>
      </c>
      <c r="F1315" s="4">
        <v>42346</v>
      </c>
      <c r="G1315" s="3">
        <v>59.5</v>
      </c>
      <c r="H1315" s="3">
        <v>2.5</v>
      </c>
      <c r="I1315" s="4">
        <v>42359</v>
      </c>
      <c r="J1315" s="3">
        <v>59</v>
      </c>
      <c r="K1315" s="3">
        <v>3</v>
      </c>
      <c r="L1315" s="3">
        <v>13</v>
      </c>
      <c r="M1315" s="5">
        <v>-0.5</v>
      </c>
      <c r="N1315" s="5">
        <v>0.5</v>
      </c>
      <c r="O1315" s="5">
        <v>28.6</v>
      </c>
      <c r="P1315" s="5">
        <v>-38.461538461538467</v>
      </c>
      <c r="Q1315" s="5">
        <v>10.122428653846153</v>
      </c>
      <c r="R1315" s="8">
        <f t="shared" si="112"/>
        <v>13</v>
      </c>
      <c r="S1315" s="9">
        <f t="shared" si="113"/>
        <v>-0.5</v>
      </c>
      <c r="T1315" s="9">
        <v>1.5</v>
      </c>
      <c r="U1315" s="9">
        <f t="shared" si="114"/>
        <v>28.6</v>
      </c>
      <c r="V1315" s="9">
        <f t="shared" si="115"/>
        <v>-38.461538461538467</v>
      </c>
      <c r="W1315" s="9">
        <f t="shared" si="116"/>
        <v>10.122428653846153</v>
      </c>
    </row>
    <row r="1316" spans="1:23">
      <c r="A1316" s="2" t="s">
        <v>520</v>
      </c>
      <c r="B1316" s="2" t="s">
        <v>521</v>
      </c>
      <c r="C1316" s="3">
        <v>110</v>
      </c>
      <c r="D1316" s="3">
        <v>2.2000000000000002</v>
      </c>
      <c r="E1316" s="2" t="s">
        <v>534</v>
      </c>
      <c r="F1316" s="4">
        <v>42346</v>
      </c>
      <c r="G1316" s="3">
        <v>59.5</v>
      </c>
      <c r="H1316" s="3">
        <v>2.5</v>
      </c>
      <c r="I1316" s="4">
        <v>42373</v>
      </c>
      <c r="J1316" s="3">
        <v>62.5</v>
      </c>
      <c r="K1316" s="3">
        <v>3.5</v>
      </c>
      <c r="L1316" s="3">
        <v>27</v>
      </c>
      <c r="M1316" s="5">
        <v>3</v>
      </c>
      <c r="N1316" s="5">
        <v>1</v>
      </c>
      <c r="O1316" s="5">
        <v>59.400000000000006</v>
      </c>
      <c r="P1316" s="5">
        <v>111.1111111111111</v>
      </c>
      <c r="Q1316" s="5">
        <v>17.792267777777777</v>
      </c>
      <c r="R1316" s="8">
        <f t="shared" si="112"/>
        <v>14</v>
      </c>
      <c r="S1316" s="9">
        <f t="shared" si="113"/>
        <v>3.5</v>
      </c>
      <c r="T1316" s="9">
        <v>1.5</v>
      </c>
      <c r="U1316" s="9">
        <f t="shared" si="114"/>
        <v>30.800000000000004</v>
      </c>
      <c r="V1316" s="9">
        <f t="shared" si="115"/>
        <v>250</v>
      </c>
      <c r="W1316" s="9">
        <f t="shared" si="116"/>
        <v>24.639489999999999</v>
      </c>
    </row>
    <row r="1317" spans="1:23">
      <c r="A1317" s="2" t="s">
        <v>520</v>
      </c>
      <c r="B1317" s="2" t="s">
        <v>521</v>
      </c>
      <c r="C1317" s="3">
        <v>110</v>
      </c>
      <c r="D1317" s="3">
        <v>2.2000000000000002</v>
      </c>
      <c r="E1317" s="2" t="s">
        <v>535</v>
      </c>
      <c r="F1317" s="4">
        <v>42346</v>
      </c>
      <c r="G1317" s="3">
        <v>58</v>
      </c>
      <c r="H1317" s="3">
        <v>3</v>
      </c>
      <c r="I1317" s="4">
        <v>42346</v>
      </c>
      <c r="J1317" s="3">
        <v>58</v>
      </c>
      <c r="K1317" s="3">
        <v>3</v>
      </c>
      <c r="L1317" s="3">
        <v>0</v>
      </c>
      <c r="M1317" s="5">
        <v>0</v>
      </c>
      <c r="N1317" s="5">
        <v>0</v>
      </c>
      <c r="O1317" s="5">
        <v>0</v>
      </c>
      <c r="P1317" s="5">
        <v>0</v>
      </c>
      <c r="Q1317" s="5">
        <v>11.807219999999999</v>
      </c>
      <c r="R1317" s="8">
        <f t="shared" si="112"/>
        <v>0</v>
      </c>
      <c r="S1317" s="9">
        <f t="shared" si="113"/>
        <v>0</v>
      </c>
      <c r="T1317" s="9">
        <v>1.5</v>
      </c>
      <c r="U1317" s="9">
        <f t="shared" si="114"/>
        <v>0</v>
      </c>
      <c r="V1317" s="9">
        <f t="shared" si="115"/>
        <v>0</v>
      </c>
      <c r="W1317" s="9">
        <f t="shared" si="116"/>
        <v>11.807219999999999</v>
      </c>
    </row>
    <row r="1318" spans="1:23">
      <c r="A1318" s="2" t="s">
        <v>520</v>
      </c>
      <c r="B1318" s="2" t="s">
        <v>521</v>
      </c>
      <c r="C1318" s="3">
        <v>110</v>
      </c>
      <c r="D1318" s="3">
        <v>2.2000000000000002</v>
      </c>
      <c r="E1318" s="2" t="s">
        <v>535</v>
      </c>
      <c r="F1318" s="4">
        <v>42346</v>
      </c>
      <c r="G1318" s="3">
        <v>58</v>
      </c>
      <c r="H1318" s="3">
        <v>3</v>
      </c>
      <c r="I1318" s="4">
        <v>42359</v>
      </c>
      <c r="J1318" s="3">
        <v>60.5</v>
      </c>
      <c r="K1318" s="3">
        <v>3</v>
      </c>
      <c r="L1318" s="3">
        <v>13</v>
      </c>
      <c r="M1318" s="5">
        <v>2.5</v>
      </c>
      <c r="N1318" s="5">
        <v>0</v>
      </c>
      <c r="O1318" s="5">
        <v>28.6</v>
      </c>
      <c r="P1318" s="5">
        <v>192.30769230769232</v>
      </c>
      <c r="Q1318" s="5">
        <v>21.499351730769227</v>
      </c>
      <c r="R1318" s="8">
        <f t="shared" si="112"/>
        <v>13</v>
      </c>
      <c r="S1318" s="9">
        <f t="shared" si="113"/>
        <v>2.5</v>
      </c>
      <c r="T1318" s="9">
        <v>1.5</v>
      </c>
      <c r="U1318" s="9">
        <f t="shared" si="114"/>
        <v>28.6</v>
      </c>
      <c r="V1318" s="9">
        <f t="shared" si="115"/>
        <v>192.30769230769232</v>
      </c>
      <c r="W1318" s="9">
        <f t="shared" si="116"/>
        <v>21.499351730769227</v>
      </c>
    </row>
    <row r="1319" spans="1:23">
      <c r="A1319" s="2" t="s">
        <v>520</v>
      </c>
      <c r="B1319" s="2" t="s">
        <v>521</v>
      </c>
      <c r="C1319" s="3">
        <v>110</v>
      </c>
      <c r="D1319" s="3">
        <v>2.2000000000000002</v>
      </c>
      <c r="E1319" s="2" t="s">
        <v>535</v>
      </c>
      <c r="F1319" s="4">
        <v>42346</v>
      </c>
      <c r="G1319" s="3">
        <v>58</v>
      </c>
      <c r="H1319" s="3">
        <v>3</v>
      </c>
      <c r="I1319" s="4">
        <v>42373</v>
      </c>
      <c r="J1319" s="3">
        <v>57.5</v>
      </c>
      <c r="K1319" s="3">
        <v>2.75</v>
      </c>
      <c r="L1319" s="3">
        <v>27</v>
      </c>
      <c r="M1319" s="5">
        <v>-0.5</v>
      </c>
      <c r="N1319" s="5">
        <v>-0.25</v>
      </c>
      <c r="O1319" s="5">
        <v>59.400000000000006</v>
      </c>
      <c r="P1319" s="5">
        <v>-18.518518518518519</v>
      </c>
      <c r="Q1319" s="5">
        <v>10.851984537037037</v>
      </c>
      <c r="R1319" s="8">
        <f t="shared" si="112"/>
        <v>14</v>
      </c>
      <c r="S1319" s="9">
        <f t="shared" si="113"/>
        <v>-3</v>
      </c>
      <c r="T1319" s="9">
        <v>1.5</v>
      </c>
      <c r="U1319" s="9">
        <f t="shared" si="114"/>
        <v>30.800000000000004</v>
      </c>
      <c r="V1319" s="9">
        <f t="shared" si="115"/>
        <v>-214.28571428571428</v>
      </c>
      <c r="W1319" s="9">
        <f t="shared" si="116"/>
        <v>1.2006617857142867</v>
      </c>
    </row>
    <row r="1320" spans="1:23">
      <c r="A1320" s="2" t="s">
        <v>520</v>
      </c>
      <c r="B1320" s="2" t="s">
        <v>521</v>
      </c>
      <c r="C1320" s="3">
        <v>110</v>
      </c>
      <c r="D1320" s="3">
        <v>2.2000000000000002</v>
      </c>
      <c r="E1320" s="2" t="s">
        <v>536</v>
      </c>
      <c r="F1320" s="4">
        <v>42346</v>
      </c>
      <c r="G1320" s="3">
        <v>63.5</v>
      </c>
      <c r="H1320" s="3">
        <v>3</v>
      </c>
      <c r="I1320" s="4">
        <v>42346</v>
      </c>
      <c r="J1320" s="3">
        <v>63.5</v>
      </c>
      <c r="K1320" s="3">
        <v>3</v>
      </c>
      <c r="L1320" s="3">
        <v>0</v>
      </c>
      <c r="M1320" s="5">
        <v>0</v>
      </c>
      <c r="N1320" s="5">
        <v>0</v>
      </c>
      <c r="O1320" s="5">
        <v>0</v>
      </c>
      <c r="P1320" s="5">
        <v>0</v>
      </c>
      <c r="Q1320" s="5">
        <v>12.737214999999999</v>
      </c>
      <c r="R1320" s="8">
        <f t="shared" si="112"/>
        <v>0</v>
      </c>
      <c r="S1320" s="9">
        <f t="shared" si="113"/>
        <v>0</v>
      </c>
      <c r="T1320" s="9">
        <v>1.5</v>
      </c>
      <c r="U1320" s="9">
        <f t="shared" si="114"/>
        <v>0</v>
      </c>
      <c r="V1320" s="9">
        <f t="shared" si="115"/>
        <v>0</v>
      </c>
      <c r="W1320" s="9">
        <f t="shared" si="116"/>
        <v>12.737214999999999</v>
      </c>
    </row>
    <row r="1321" spans="1:23">
      <c r="A1321" s="2" t="s">
        <v>520</v>
      </c>
      <c r="B1321" s="2" t="s">
        <v>521</v>
      </c>
      <c r="C1321" s="3">
        <v>110</v>
      </c>
      <c r="D1321" s="3">
        <v>2.2000000000000002</v>
      </c>
      <c r="E1321" s="2" t="s">
        <v>536</v>
      </c>
      <c r="F1321" s="4">
        <v>42346</v>
      </c>
      <c r="G1321" s="3">
        <v>63.5</v>
      </c>
      <c r="H1321" s="3">
        <v>3</v>
      </c>
      <c r="I1321" s="4">
        <v>42359</v>
      </c>
      <c r="J1321" s="3">
        <v>69</v>
      </c>
      <c r="K1321" s="3">
        <v>3.5</v>
      </c>
      <c r="L1321" s="3">
        <v>13</v>
      </c>
      <c r="M1321" s="5">
        <v>5.5</v>
      </c>
      <c r="N1321" s="5">
        <v>0.5</v>
      </c>
      <c r="O1321" s="5">
        <v>28.6</v>
      </c>
      <c r="P1321" s="5">
        <v>423.07692307692309</v>
      </c>
      <c r="Q1321" s="5">
        <v>34.059904807692305</v>
      </c>
      <c r="R1321" s="8">
        <f t="shared" si="112"/>
        <v>13</v>
      </c>
      <c r="S1321" s="9">
        <f t="shared" si="113"/>
        <v>5.5</v>
      </c>
      <c r="T1321" s="9">
        <v>1.5</v>
      </c>
      <c r="U1321" s="9">
        <f t="shared" si="114"/>
        <v>28.6</v>
      </c>
      <c r="V1321" s="9">
        <f t="shared" si="115"/>
        <v>423.07692307692309</v>
      </c>
      <c r="W1321" s="9">
        <f t="shared" si="116"/>
        <v>34.059904807692305</v>
      </c>
    </row>
    <row r="1322" spans="1:23">
      <c r="A1322" s="2" t="s">
        <v>520</v>
      </c>
      <c r="B1322" s="2" t="s">
        <v>521</v>
      </c>
      <c r="C1322" s="3">
        <v>110</v>
      </c>
      <c r="D1322" s="3">
        <v>2.2000000000000002</v>
      </c>
      <c r="E1322" s="2" t="s">
        <v>536</v>
      </c>
      <c r="F1322" s="4">
        <v>42346</v>
      </c>
      <c r="G1322" s="3">
        <v>63.5</v>
      </c>
      <c r="H1322" s="3">
        <v>3</v>
      </c>
      <c r="I1322" s="4">
        <v>42373</v>
      </c>
      <c r="J1322" s="3">
        <v>69</v>
      </c>
      <c r="K1322" s="3">
        <v>3</v>
      </c>
      <c r="L1322" s="3">
        <v>27</v>
      </c>
      <c r="M1322" s="5">
        <v>5.5</v>
      </c>
      <c r="N1322" s="5">
        <v>0</v>
      </c>
      <c r="O1322" s="5">
        <v>59.400000000000006</v>
      </c>
      <c r="P1322" s="5">
        <v>203.7037037037037</v>
      </c>
      <c r="Q1322" s="5">
        <v>23.244805092592593</v>
      </c>
      <c r="R1322" s="8">
        <f t="shared" si="112"/>
        <v>14</v>
      </c>
      <c r="S1322" s="9">
        <f t="shared" si="113"/>
        <v>0</v>
      </c>
      <c r="T1322" s="9">
        <v>1.5</v>
      </c>
      <c r="U1322" s="9">
        <f t="shared" si="114"/>
        <v>30.800000000000004</v>
      </c>
      <c r="V1322" s="9">
        <f t="shared" si="115"/>
        <v>0</v>
      </c>
      <c r="W1322" s="9">
        <f t="shared" si="116"/>
        <v>13.2022125</v>
      </c>
    </row>
    <row r="1323" spans="1:23">
      <c r="A1323" s="2" t="s">
        <v>520</v>
      </c>
      <c r="B1323" s="2" t="s">
        <v>521</v>
      </c>
      <c r="C1323" s="3">
        <v>110</v>
      </c>
      <c r="D1323" s="3">
        <v>2.2000000000000002</v>
      </c>
      <c r="E1323" s="2" t="s">
        <v>537</v>
      </c>
      <c r="F1323" s="4">
        <v>42346</v>
      </c>
      <c r="G1323" s="3">
        <v>60.5</v>
      </c>
      <c r="H1323" s="3">
        <v>3</v>
      </c>
      <c r="I1323" s="4">
        <v>42346</v>
      </c>
      <c r="J1323" s="3">
        <v>60.5</v>
      </c>
      <c r="K1323" s="3">
        <v>3</v>
      </c>
      <c r="L1323" s="3">
        <v>0</v>
      </c>
      <c r="M1323" s="5">
        <v>0</v>
      </c>
      <c r="N1323" s="5">
        <v>0</v>
      </c>
      <c r="O1323" s="5">
        <v>0</v>
      </c>
      <c r="P1323" s="5">
        <v>0</v>
      </c>
      <c r="Q1323" s="5">
        <v>12.229944999999999</v>
      </c>
      <c r="R1323" s="8">
        <f t="shared" si="112"/>
        <v>0</v>
      </c>
      <c r="S1323" s="9">
        <f t="shared" si="113"/>
        <v>0</v>
      </c>
      <c r="T1323" s="9">
        <v>1.5</v>
      </c>
      <c r="U1323" s="9">
        <f t="shared" si="114"/>
        <v>0</v>
      </c>
      <c r="V1323" s="9">
        <f t="shared" si="115"/>
        <v>0</v>
      </c>
      <c r="W1323" s="9">
        <f t="shared" si="116"/>
        <v>12.229944999999999</v>
      </c>
    </row>
    <row r="1324" spans="1:23">
      <c r="A1324" s="2" t="s">
        <v>520</v>
      </c>
      <c r="B1324" s="2" t="s">
        <v>521</v>
      </c>
      <c r="C1324" s="3">
        <v>110</v>
      </c>
      <c r="D1324" s="3">
        <v>2.2000000000000002</v>
      </c>
      <c r="E1324" s="2" t="s">
        <v>537</v>
      </c>
      <c r="F1324" s="4">
        <v>42346</v>
      </c>
      <c r="G1324" s="3">
        <v>60.5</v>
      </c>
      <c r="H1324" s="3">
        <v>3</v>
      </c>
      <c r="I1324" s="4">
        <v>42359</v>
      </c>
      <c r="J1324" s="3">
        <v>66</v>
      </c>
      <c r="K1324" s="3">
        <v>3.5</v>
      </c>
      <c r="L1324" s="3">
        <v>13</v>
      </c>
      <c r="M1324" s="5">
        <v>5.5</v>
      </c>
      <c r="N1324" s="5">
        <v>0.5</v>
      </c>
      <c r="O1324" s="5">
        <v>28.6</v>
      </c>
      <c r="P1324" s="5">
        <v>423.07692307692309</v>
      </c>
      <c r="Q1324" s="5">
        <v>33.552634807692307</v>
      </c>
      <c r="R1324" s="8">
        <f t="shared" si="112"/>
        <v>13</v>
      </c>
      <c r="S1324" s="9">
        <f t="shared" si="113"/>
        <v>5.5</v>
      </c>
      <c r="T1324" s="9">
        <v>1.5</v>
      </c>
      <c r="U1324" s="9">
        <f t="shared" si="114"/>
        <v>28.6</v>
      </c>
      <c r="V1324" s="9">
        <f t="shared" si="115"/>
        <v>423.07692307692309</v>
      </c>
      <c r="W1324" s="9">
        <f t="shared" si="116"/>
        <v>33.552634807692307</v>
      </c>
    </row>
    <row r="1325" spans="1:23">
      <c r="A1325" s="2" t="s">
        <v>520</v>
      </c>
      <c r="B1325" s="2" t="s">
        <v>521</v>
      </c>
      <c r="C1325" s="3">
        <v>110</v>
      </c>
      <c r="D1325" s="3">
        <v>2.2000000000000002</v>
      </c>
      <c r="E1325" s="2" t="s">
        <v>537</v>
      </c>
      <c r="F1325" s="4">
        <v>42346</v>
      </c>
      <c r="G1325" s="3">
        <v>60.5</v>
      </c>
      <c r="H1325" s="3">
        <v>3</v>
      </c>
      <c r="I1325" s="4">
        <v>42373</v>
      </c>
      <c r="J1325" s="3">
        <v>64</v>
      </c>
      <c r="K1325" s="3">
        <v>3</v>
      </c>
      <c r="L1325" s="3">
        <v>27</v>
      </c>
      <c r="M1325" s="5">
        <v>3.5</v>
      </c>
      <c r="N1325" s="5">
        <v>0</v>
      </c>
      <c r="O1325" s="5">
        <v>59.400000000000006</v>
      </c>
      <c r="P1325" s="5">
        <v>129.62962962962962</v>
      </c>
      <c r="Q1325" s="5">
        <v>18.916593240740738</v>
      </c>
      <c r="R1325" s="8">
        <f t="shared" si="112"/>
        <v>14</v>
      </c>
      <c r="S1325" s="9">
        <f t="shared" si="113"/>
        <v>-2</v>
      </c>
      <c r="T1325" s="9">
        <v>1.5</v>
      </c>
      <c r="U1325" s="9">
        <f t="shared" si="114"/>
        <v>30.800000000000004</v>
      </c>
      <c r="V1325" s="9">
        <f t="shared" si="115"/>
        <v>-142.85714285714286</v>
      </c>
      <c r="W1325" s="9">
        <f t="shared" si="116"/>
        <v>5.4829953571428574</v>
      </c>
    </row>
    <row r="1326" spans="1:23">
      <c r="A1326" s="2" t="s">
        <v>520</v>
      </c>
      <c r="B1326" s="2" t="s">
        <v>521</v>
      </c>
      <c r="C1326" s="3">
        <v>110</v>
      </c>
      <c r="D1326" s="3">
        <v>2.2000000000000002</v>
      </c>
      <c r="E1326" s="2" t="s">
        <v>538</v>
      </c>
      <c r="F1326" s="4">
        <v>42346</v>
      </c>
      <c r="G1326" s="3">
        <v>58.5</v>
      </c>
      <c r="H1326" s="3">
        <v>3</v>
      </c>
      <c r="I1326" s="4">
        <v>42346</v>
      </c>
      <c r="J1326" s="3">
        <v>58.5</v>
      </c>
      <c r="K1326" s="3">
        <v>3</v>
      </c>
      <c r="L1326" s="3">
        <v>0</v>
      </c>
      <c r="M1326" s="5">
        <v>0</v>
      </c>
      <c r="N1326" s="5">
        <v>0</v>
      </c>
      <c r="O1326" s="5">
        <v>0</v>
      </c>
      <c r="P1326" s="5">
        <v>0</v>
      </c>
      <c r="Q1326" s="5">
        <v>11.891764999999999</v>
      </c>
      <c r="R1326" s="8">
        <f t="shared" si="112"/>
        <v>0</v>
      </c>
      <c r="S1326" s="9">
        <f t="shared" si="113"/>
        <v>0</v>
      </c>
      <c r="T1326" s="9">
        <v>1.5</v>
      </c>
      <c r="U1326" s="9">
        <f t="shared" si="114"/>
        <v>0</v>
      </c>
      <c r="V1326" s="9">
        <f t="shared" si="115"/>
        <v>0</v>
      </c>
      <c r="W1326" s="9">
        <f t="shared" si="116"/>
        <v>11.891764999999999</v>
      </c>
    </row>
    <row r="1327" spans="1:23">
      <c r="A1327" s="2" t="s">
        <v>520</v>
      </c>
      <c r="B1327" s="2" t="s">
        <v>521</v>
      </c>
      <c r="C1327" s="3">
        <v>110</v>
      </c>
      <c r="D1327" s="3">
        <v>2.2000000000000002</v>
      </c>
      <c r="E1327" s="2" t="s">
        <v>538</v>
      </c>
      <c r="F1327" s="4">
        <v>42346</v>
      </c>
      <c r="G1327" s="3">
        <v>58.5</v>
      </c>
      <c r="H1327" s="3">
        <v>3</v>
      </c>
      <c r="I1327" s="4">
        <v>42359</v>
      </c>
      <c r="J1327" s="3">
        <v>64.5</v>
      </c>
      <c r="K1327" s="3">
        <v>3.5</v>
      </c>
      <c r="L1327" s="3">
        <v>13</v>
      </c>
      <c r="M1327" s="5">
        <v>6</v>
      </c>
      <c r="N1327" s="5">
        <v>0.5</v>
      </c>
      <c r="O1327" s="5">
        <v>28.6</v>
      </c>
      <c r="P1327" s="5">
        <v>461.53846153846155</v>
      </c>
      <c r="Q1327" s="5">
        <v>35.152881153846153</v>
      </c>
      <c r="R1327" s="8">
        <f t="shared" si="112"/>
        <v>13</v>
      </c>
      <c r="S1327" s="9">
        <f t="shared" si="113"/>
        <v>6</v>
      </c>
      <c r="T1327" s="9">
        <v>1.5</v>
      </c>
      <c r="U1327" s="9">
        <f t="shared" si="114"/>
        <v>28.6</v>
      </c>
      <c r="V1327" s="9">
        <f t="shared" si="115"/>
        <v>461.53846153846155</v>
      </c>
      <c r="W1327" s="9">
        <f t="shared" si="116"/>
        <v>35.152881153846153</v>
      </c>
    </row>
    <row r="1328" spans="1:23">
      <c r="A1328" s="2" t="s">
        <v>520</v>
      </c>
      <c r="B1328" s="2" t="s">
        <v>521</v>
      </c>
      <c r="C1328" s="3">
        <v>110</v>
      </c>
      <c r="D1328" s="3">
        <v>2.2000000000000002</v>
      </c>
      <c r="E1328" s="2" t="s">
        <v>538</v>
      </c>
      <c r="F1328" s="4">
        <v>42346</v>
      </c>
      <c r="G1328" s="3">
        <v>58.5</v>
      </c>
      <c r="H1328" s="3">
        <v>3</v>
      </c>
      <c r="I1328" s="4">
        <v>42373</v>
      </c>
      <c r="J1328" s="3">
        <v>65.5</v>
      </c>
      <c r="K1328" s="3">
        <v>3</v>
      </c>
      <c r="L1328" s="3">
        <v>27</v>
      </c>
      <c r="M1328" s="5">
        <v>7</v>
      </c>
      <c r="N1328" s="5">
        <v>0</v>
      </c>
      <c r="O1328" s="5">
        <v>59.400000000000006</v>
      </c>
      <c r="P1328" s="5">
        <v>259.25925925925924</v>
      </c>
      <c r="Q1328" s="5">
        <v>25.265061481481482</v>
      </c>
      <c r="R1328" s="8">
        <f t="shared" si="112"/>
        <v>14</v>
      </c>
      <c r="S1328" s="9">
        <f t="shared" si="113"/>
        <v>1</v>
      </c>
      <c r="T1328" s="9">
        <v>1.5</v>
      </c>
      <c r="U1328" s="9">
        <f t="shared" si="114"/>
        <v>30.800000000000004</v>
      </c>
      <c r="V1328" s="9">
        <f t="shared" si="115"/>
        <v>71.428571428571431</v>
      </c>
      <c r="W1328" s="9">
        <f t="shared" si="116"/>
        <v>16.005008571428569</v>
      </c>
    </row>
    <row r="1329" spans="1:23">
      <c r="A1329" s="2" t="s">
        <v>520</v>
      </c>
      <c r="B1329" s="2" t="s">
        <v>521</v>
      </c>
      <c r="C1329" s="3">
        <v>110</v>
      </c>
      <c r="D1329" s="3">
        <v>2.2000000000000002</v>
      </c>
      <c r="E1329" s="2" t="s">
        <v>539</v>
      </c>
      <c r="F1329" s="4">
        <v>42346</v>
      </c>
      <c r="G1329" s="3">
        <v>60</v>
      </c>
      <c r="H1329" s="3">
        <v>3</v>
      </c>
      <c r="I1329" s="4">
        <v>42346</v>
      </c>
      <c r="J1329" s="3">
        <v>60</v>
      </c>
      <c r="K1329" s="3">
        <v>3</v>
      </c>
      <c r="L1329" s="3">
        <v>0</v>
      </c>
      <c r="M1329" s="5">
        <v>0</v>
      </c>
      <c r="N1329" s="5">
        <v>0</v>
      </c>
      <c r="O1329" s="5">
        <v>0</v>
      </c>
      <c r="P1329" s="5">
        <v>0</v>
      </c>
      <c r="Q1329" s="5">
        <v>12.145399999999999</v>
      </c>
      <c r="R1329" s="8">
        <f t="shared" si="112"/>
        <v>0</v>
      </c>
      <c r="S1329" s="9">
        <f t="shared" si="113"/>
        <v>0</v>
      </c>
      <c r="T1329" s="9">
        <v>1.5</v>
      </c>
      <c r="U1329" s="9">
        <f t="shared" si="114"/>
        <v>0</v>
      </c>
      <c r="V1329" s="9">
        <f t="shared" si="115"/>
        <v>0</v>
      </c>
      <c r="W1329" s="9">
        <f t="shared" si="116"/>
        <v>12.145399999999999</v>
      </c>
    </row>
    <row r="1330" spans="1:23">
      <c r="A1330" s="2" t="s">
        <v>520</v>
      </c>
      <c r="B1330" s="2" t="s">
        <v>521</v>
      </c>
      <c r="C1330" s="3">
        <v>110</v>
      </c>
      <c r="D1330" s="3">
        <v>2.2000000000000002</v>
      </c>
      <c r="E1330" s="2" t="s">
        <v>539</v>
      </c>
      <c r="F1330" s="4">
        <v>42346</v>
      </c>
      <c r="G1330" s="3">
        <v>60</v>
      </c>
      <c r="H1330" s="3">
        <v>3</v>
      </c>
      <c r="I1330" s="4">
        <v>42359</v>
      </c>
      <c r="J1330" s="3">
        <v>65</v>
      </c>
      <c r="K1330" s="3">
        <v>3.5</v>
      </c>
      <c r="L1330" s="3">
        <v>13</v>
      </c>
      <c r="M1330" s="5">
        <v>5</v>
      </c>
      <c r="N1330" s="5">
        <v>0.5</v>
      </c>
      <c r="O1330" s="5">
        <v>28.6</v>
      </c>
      <c r="P1330" s="5">
        <v>384.61538461538464</v>
      </c>
      <c r="Q1330" s="5">
        <v>31.529663461538462</v>
      </c>
      <c r="R1330" s="8">
        <f t="shared" si="112"/>
        <v>13</v>
      </c>
      <c r="S1330" s="9">
        <f t="shared" si="113"/>
        <v>5</v>
      </c>
      <c r="T1330" s="9">
        <v>1.5</v>
      </c>
      <c r="U1330" s="9">
        <f t="shared" si="114"/>
        <v>28.6</v>
      </c>
      <c r="V1330" s="9">
        <f t="shared" si="115"/>
        <v>384.61538461538464</v>
      </c>
      <c r="W1330" s="9">
        <f t="shared" si="116"/>
        <v>31.529663461538462</v>
      </c>
    </row>
    <row r="1331" spans="1:23">
      <c r="A1331" s="2" t="s">
        <v>520</v>
      </c>
      <c r="B1331" s="2" t="s">
        <v>521</v>
      </c>
      <c r="C1331" s="3">
        <v>110</v>
      </c>
      <c r="D1331" s="3">
        <v>2.2000000000000002</v>
      </c>
      <c r="E1331" s="2" t="s">
        <v>539</v>
      </c>
      <c r="F1331" s="4">
        <v>42346</v>
      </c>
      <c r="G1331" s="3">
        <v>60</v>
      </c>
      <c r="H1331" s="3">
        <v>3</v>
      </c>
      <c r="I1331" s="4">
        <v>42373</v>
      </c>
      <c r="J1331" s="3">
        <v>68.5</v>
      </c>
      <c r="K1331" s="3">
        <v>3</v>
      </c>
      <c r="L1331" s="3">
        <v>27</v>
      </c>
      <c r="M1331" s="5">
        <v>8.5</v>
      </c>
      <c r="N1331" s="5">
        <v>0</v>
      </c>
      <c r="O1331" s="5">
        <v>59.400000000000006</v>
      </c>
      <c r="P1331" s="5">
        <v>314.81481481481484</v>
      </c>
      <c r="Q1331" s="5">
        <v>28.384402870370369</v>
      </c>
      <c r="R1331" s="8">
        <f t="shared" si="112"/>
        <v>14</v>
      </c>
      <c r="S1331" s="9">
        <f t="shared" si="113"/>
        <v>3.5</v>
      </c>
      <c r="T1331" s="9">
        <v>1.5</v>
      </c>
      <c r="U1331" s="9">
        <f t="shared" si="114"/>
        <v>30.800000000000004</v>
      </c>
      <c r="V1331" s="9">
        <f t="shared" si="115"/>
        <v>250</v>
      </c>
      <c r="W1331" s="9">
        <f t="shared" si="116"/>
        <v>25.189032499999996</v>
      </c>
    </row>
    <row r="1332" spans="1:23">
      <c r="A1332" s="2" t="s">
        <v>520</v>
      </c>
      <c r="B1332" s="2" t="s">
        <v>521</v>
      </c>
      <c r="C1332" s="3">
        <v>110</v>
      </c>
      <c r="D1332" s="3">
        <v>2.2000000000000002</v>
      </c>
      <c r="E1332" s="2" t="s">
        <v>540</v>
      </c>
      <c r="F1332" s="4">
        <v>42346</v>
      </c>
      <c r="G1332" s="3">
        <v>59.5</v>
      </c>
      <c r="H1332" s="3">
        <v>3</v>
      </c>
      <c r="I1332" s="4">
        <v>42346</v>
      </c>
      <c r="J1332" s="3">
        <v>59.5</v>
      </c>
      <c r="K1332" s="3">
        <v>3</v>
      </c>
      <c r="L1332" s="3">
        <v>0</v>
      </c>
      <c r="M1332" s="5">
        <v>0</v>
      </c>
      <c r="N1332" s="5">
        <v>0</v>
      </c>
      <c r="O1332" s="5">
        <v>0</v>
      </c>
      <c r="P1332" s="5">
        <v>0</v>
      </c>
      <c r="Q1332" s="5">
        <v>12.060855</v>
      </c>
      <c r="R1332" s="8">
        <f t="shared" si="112"/>
        <v>0</v>
      </c>
      <c r="S1332" s="9">
        <f t="shared" si="113"/>
        <v>0</v>
      </c>
      <c r="T1332" s="9">
        <v>1.5</v>
      </c>
      <c r="U1332" s="9">
        <f t="shared" si="114"/>
        <v>0</v>
      </c>
      <c r="V1332" s="9">
        <f t="shared" si="115"/>
        <v>0</v>
      </c>
      <c r="W1332" s="9">
        <f t="shared" si="116"/>
        <v>12.060855</v>
      </c>
    </row>
    <row r="1333" spans="1:23">
      <c r="A1333" s="2" t="s">
        <v>520</v>
      </c>
      <c r="B1333" s="2" t="s">
        <v>521</v>
      </c>
      <c r="C1333" s="3">
        <v>110</v>
      </c>
      <c r="D1333" s="3">
        <v>2.2000000000000002</v>
      </c>
      <c r="E1333" s="2" t="s">
        <v>540</v>
      </c>
      <c r="F1333" s="4">
        <v>42346</v>
      </c>
      <c r="G1333" s="3">
        <v>59.5</v>
      </c>
      <c r="H1333" s="3">
        <v>3</v>
      </c>
      <c r="I1333" s="4">
        <v>42359</v>
      </c>
      <c r="J1333" s="3">
        <v>65.5</v>
      </c>
      <c r="K1333" s="3">
        <v>3</v>
      </c>
      <c r="L1333" s="3">
        <v>13</v>
      </c>
      <c r="M1333" s="5">
        <v>6</v>
      </c>
      <c r="N1333" s="5">
        <v>0</v>
      </c>
      <c r="O1333" s="5">
        <v>28.6</v>
      </c>
      <c r="P1333" s="5">
        <v>461.53846153846155</v>
      </c>
      <c r="Q1333" s="5">
        <v>35.321971153846157</v>
      </c>
      <c r="R1333" s="8">
        <f t="shared" si="112"/>
        <v>13</v>
      </c>
      <c r="S1333" s="9">
        <f t="shared" si="113"/>
        <v>6</v>
      </c>
      <c r="T1333" s="9">
        <v>1.5</v>
      </c>
      <c r="U1333" s="9">
        <f t="shared" si="114"/>
        <v>28.6</v>
      </c>
      <c r="V1333" s="9">
        <f t="shared" si="115"/>
        <v>461.53846153846155</v>
      </c>
      <c r="W1333" s="9">
        <f t="shared" si="116"/>
        <v>35.321971153846157</v>
      </c>
    </row>
    <row r="1334" spans="1:23">
      <c r="A1334" s="2" t="s">
        <v>520</v>
      </c>
      <c r="B1334" s="2" t="s">
        <v>521</v>
      </c>
      <c r="C1334" s="3">
        <v>110</v>
      </c>
      <c r="D1334" s="3">
        <v>2.2000000000000002</v>
      </c>
      <c r="E1334" s="2" t="s">
        <v>540</v>
      </c>
      <c r="F1334" s="4">
        <v>42346</v>
      </c>
      <c r="G1334" s="3">
        <v>59.5</v>
      </c>
      <c r="H1334" s="3">
        <v>3</v>
      </c>
      <c r="I1334" s="4">
        <v>42373</v>
      </c>
      <c r="J1334" s="3">
        <v>64</v>
      </c>
      <c r="K1334" s="3">
        <v>3</v>
      </c>
      <c r="L1334" s="3">
        <v>27</v>
      </c>
      <c r="M1334" s="5">
        <v>4.5</v>
      </c>
      <c r="N1334" s="5">
        <v>0</v>
      </c>
      <c r="O1334" s="5">
        <v>59.400000000000006</v>
      </c>
      <c r="P1334" s="5">
        <v>166.66666666666666</v>
      </c>
      <c r="Q1334" s="5">
        <v>20.657974166666662</v>
      </c>
      <c r="R1334" s="8">
        <f t="shared" si="112"/>
        <v>14</v>
      </c>
      <c r="S1334" s="9">
        <f t="shared" si="113"/>
        <v>-1.5</v>
      </c>
      <c r="T1334" s="9">
        <v>1.5</v>
      </c>
      <c r="U1334" s="9">
        <f t="shared" si="114"/>
        <v>30.800000000000004</v>
      </c>
      <c r="V1334" s="9">
        <f t="shared" si="115"/>
        <v>-107.14285714285714</v>
      </c>
      <c r="W1334" s="9">
        <f t="shared" si="116"/>
        <v>7.1591646428571423</v>
      </c>
    </row>
    <row r="1335" spans="1:23">
      <c r="A1335" s="2" t="s">
        <v>520</v>
      </c>
      <c r="B1335" s="2" t="s">
        <v>521</v>
      </c>
      <c r="C1335" s="3">
        <v>110</v>
      </c>
      <c r="D1335" s="3">
        <v>2.2000000000000002</v>
      </c>
      <c r="E1335" s="2" t="s">
        <v>541</v>
      </c>
      <c r="F1335" s="4">
        <v>42346</v>
      </c>
      <c r="G1335" s="3">
        <v>62</v>
      </c>
      <c r="H1335" s="3">
        <v>3</v>
      </c>
      <c r="I1335" s="4">
        <v>42346</v>
      </c>
      <c r="J1335" s="3">
        <v>62</v>
      </c>
      <c r="K1335" s="3">
        <v>3</v>
      </c>
      <c r="L1335" s="3">
        <v>0</v>
      </c>
      <c r="M1335" s="5">
        <v>0</v>
      </c>
      <c r="N1335" s="5">
        <v>0</v>
      </c>
      <c r="O1335" s="5">
        <v>0</v>
      </c>
      <c r="P1335" s="5">
        <v>0</v>
      </c>
      <c r="Q1335" s="5">
        <v>12.48358</v>
      </c>
      <c r="R1335" s="8">
        <f t="shared" si="112"/>
        <v>0</v>
      </c>
      <c r="S1335" s="9">
        <f t="shared" si="113"/>
        <v>0</v>
      </c>
      <c r="T1335" s="9">
        <v>1.5</v>
      </c>
      <c r="U1335" s="9">
        <f t="shared" si="114"/>
        <v>0</v>
      </c>
      <c r="V1335" s="9">
        <f t="shared" si="115"/>
        <v>0</v>
      </c>
      <c r="W1335" s="9">
        <f t="shared" si="116"/>
        <v>12.48358</v>
      </c>
    </row>
    <row r="1336" spans="1:23">
      <c r="A1336" s="2" t="s">
        <v>520</v>
      </c>
      <c r="B1336" s="2" t="s">
        <v>521</v>
      </c>
      <c r="C1336" s="3">
        <v>110</v>
      </c>
      <c r="D1336" s="3">
        <v>2.2000000000000002</v>
      </c>
      <c r="E1336" s="2" t="s">
        <v>541</v>
      </c>
      <c r="F1336" s="4">
        <v>42346</v>
      </c>
      <c r="G1336" s="3">
        <v>62</v>
      </c>
      <c r="H1336" s="3">
        <v>3</v>
      </c>
      <c r="I1336" s="4">
        <v>42359</v>
      </c>
      <c r="J1336" s="3">
        <v>68</v>
      </c>
      <c r="K1336" s="3">
        <v>3.5</v>
      </c>
      <c r="L1336" s="3">
        <v>13</v>
      </c>
      <c r="M1336" s="5">
        <v>6</v>
      </c>
      <c r="N1336" s="5">
        <v>0.5</v>
      </c>
      <c r="O1336" s="5">
        <v>28.6</v>
      </c>
      <c r="P1336" s="5">
        <v>461.53846153846155</v>
      </c>
      <c r="Q1336" s="5">
        <v>35.744696153846157</v>
      </c>
      <c r="R1336" s="8">
        <f t="shared" ref="R1336:R1367" si="117">IF(I1336-F1336=0,0,I1336-I1335)</f>
        <v>13</v>
      </c>
      <c r="S1336" s="9">
        <f t="shared" ref="S1336:S1367" si="118">IF(R1336=0,J1336-G1336,J1336-J1335)</f>
        <v>6</v>
      </c>
      <c r="T1336" s="9">
        <v>1.5</v>
      </c>
      <c r="U1336" s="9">
        <f t="shared" ref="U1336:U1367" si="119">D1336*R1336</f>
        <v>28.6</v>
      </c>
      <c r="V1336" s="9">
        <f t="shared" ref="V1336:V1367" si="120">IF(R1336=0,0,(S1336/R1336*1000))</f>
        <v>461.53846153846155</v>
      </c>
      <c r="W1336" s="9">
        <f t="shared" ref="W1336:W1367" si="121">IF(R1336=0,(((G1336)*0.16909+(V1336/1000)*49.3)+2),((((G1336+J1336)/2)*0.16909+(V1336/1000)*49.3)+2))</f>
        <v>35.744696153846157</v>
      </c>
    </row>
    <row r="1337" spans="1:23">
      <c r="A1337" s="2" t="s">
        <v>520</v>
      </c>
      <c r="B1337" s="2" t="s">
        <v>521</v>
      </c>
      <c r="C1337" s="3">
        <v>110</v>
      </c>
      <c r="D1337" s="3">
        <v>2.2000000000000002</v>
      </c>
      <c r="E1337" s="2" t="s">
        <v>541</v>
      </c>
      <c r="F1337" s="4">
        <v>42346</v>
      </c>
      <c r="G1337" s="3">
        <v>62</v>
      </c>
      <c r="H1337" s="3">
        <v>3</v>
      </c>
      <c r="I1337" s="4">
        <v>42373</v>
      </c>
      <c r="J1337" s="3">
        <v>67.5</v>
      </c>
      <c r="K1337" s="3">
        <v>3.5</v>
      </c>
      <c r="L1337" s="3">
        <v>27</v>
      </c>
      <c r="M1337" s="5">
        <v>5.5</v>
      </c>
      <c r="N1337" s="5">
        <v>0.5</v>
      </c>
      <c r="O1337" s="5">
        <v>59.400000000000006</v>
      </c>
      <c r="P1337" s="5">
        <v>203.7037037037037</v>
      </c>
      <c r="Q1337" s="5">
        <v>22.99117009259259</v>
      </c>
      <c r="R1337" s="8">
        <f t="shared" si="117"/>
        <v>14</v>
      </c>
      <c r="S1337" s="9">
        <f t="shared" si="118"/>
        <v>-0.5</v>
      </c>
      <c r="T1337" s="9">
        <v>1.5</v>
      </c>
      <c r="U1337" s="9">
        <f t="shared" si="119"/>
        <v>30.800000000000004</v>
      </c>
      <c r="V1337" s="9">
        <f t="shared" si="120"/>
        <v>-35.714285714285715</v>
      </c>
      <c r="W1337" s="9">
        <f t="shared" si="121"/>
        <v>11.187863214285713</v>
      </c>
    </row>
    <row r="1338" spans="1:23">
      <c r="A1338" s="2" t="s">
        <v>520</v>
      </c>
      <c r="B1338" s="2" t="s">
        <v>521</v>
      </c>
      <c r="C1338" s="3">
        <v>110</v>
      </c>
      <c r="D1338" s="3">
        <v>2.2000000000000002</v>
      </c>
      <c r="E1338" s="2" t="s">
        <v>542</v>
      </c>
      <c r="F1338" s="4">
        <v>42346</v>
      </c>
      <c r="G1338" s="3">
        <v>60.5</v>
      </c>
      <c r="H1338" s="3">
        <v>3</v>
      </c>
      <c r="I1338" s="4">
        <v>42346</v>
      </c>
      <c r="J1338" s="3">
        <v>60.5</v>
      </c>
      <c r="K1338" s="3">
        <v>3</v>
      </c>
      <c r="L1338" s="3">
        <v>0</v>
      </c>
      <c r="M1338" s="5">
        <v>0</v>
      </c>
      <c r="N1338" s="5">
        <v>0</v>
      </c>
      <c r="O1338" s="5">
        <v>0</v>
      </c>
      <c r="P1338" s="5">
        <v>0</v>
      </c>
      <c r="Q1338" s="5">
        <v>12.229944999999999</v>
      </c>
      <c r="R1338" s="8">
        <f t="shared" si="117"/>
        <v>0</v>
      </c>
      <c r="S1338" s="9">
        <f t="shared" si="118"/>
        <v>0</v>
      </c>
      <c r="T1338" s="9">
        <v>1.5</v>
      </c>
      <c r="U1338" s="9">
        <f t="shared" si="119"/>
        <v>0</v>
      </c>
      <c r="V1338" s="9">
        <f t="shared" si="120"/>
        <v>0</v>
      </c>
      <c r="W1338" s="9">
        <f t="shared" si="121"/>
        <v>12.229944999999999</v>
      </c>
    </row>
    <row r="1339" spans="1:23">
      <c r="A1339" s="2" t="s">
        <v>520</v>
      </c>
      <c r="B1339" s="2" t="s">
        <v>521</v>
      </c>
      <c r="C1339" s="3">
        <v>110</v>
      </c>
      <c r="D1339" s="3">
        <v>2.2000000000000002</v>
      </c>
      <c r="E1339" s="2" t="s">
        <v>542</v>
      </c>
      <c r="F1339" s="4">
        <v>42346</v>
      </c>
      <c r="G1339" s="3">
        <v>60.5</v>
      </c>
      <c r="H1339" s="3">
        <v>3</v>
      </c>
      <c r="I1339" s="4">
        <v>42359</v>
      </c>
      <c r="J1339" s="3">
        <v>66</v>
      </c>
      <c r="K1339" s="3">
        <v>3.5</v>
      </c>
      <c r="L1339" s="3">
        <v>13</v>
      </c>
      <c r="M1339" s="5">
        <v>5.5</v>
      </c>
      <c r="N1339" s="5">
        <v>0.5</v>
      </c>
      <c r="O1339" s="5">
        <v>28.6</v>
      </c>
      <c r="P1339" s="5">
        <v>423.07692307692309</v>
      </c>
      <c r="Q1339" s="5">
        <v>33.552634807692307</v>
      </c>
      <c r="R1339" s="8">
        <f t="shared" si="117"/>
        <v>13</v>
      </c>
      <c r="S1339" s="9">
        <f t="shared" si="118"/>
        <v>5.5</v>
      </c>
      <c r="T1339" s="9">
        <v>1.5</v>
      </c>
      <c r="U1339" s="9">
        <f t="shared" si="119"/>
        <v>28.6</v>
      </c>
      <c r="V1339" s="9">
        <f t="shared" si="120"/>
        <v>423.07692307692309</v>
      </c>
      <c r="W1339" s="9">
        <f t="shared" si="121"/>
        <v>33.552634807692307</v>
      </c>
    </row>
    <row r="1340" spans="1:23">
      <c r="A1340" s="2" t="s">
        <v>520</v>
      </c>
      <c r="B1340" s="2" t="s">
        <v>521</v>
      </c>
      <c r="C1340" s="3">
        <v>110</v>
      </c>
      <c r="D1340" s="3">
        <v>2.2000000000000002</v>
      </c>
      <c r="E1340" s="2" t="s">
        <v>542</v>
      </c>
      <c r="F1340" s="4">
        <v>42346</v>
      </c>
      <c r="G1340" s="3">
        <v>60.5</v>
      </c>
      <c r="H1340" s="3">
        <v>3</v>
      </c>
      <c r="I1340" s="4">
        <v>42373</v>
      </c>
      <c r="J1340" s="3">
        <v>66.5</v>
      </c>
      <c r="K1340" s="3">
        <v>3</v>
      </c>
      <c r="L1340" s="3">
        <v>27</v>
      </c>
      <c r="M1340" s="5">
        <v>6</v>
      </c>
      <c r="N1340" s="5">
        <v>0</v>
      </c>
      <c r="O1340" s="5">
        <v>59.400000000000006</v>
      </c>
      <c r="P1340" s="5">
        <v>222.2222222222222</v>
      </c>
      <c r="Q1340" s="5">
        <v>23.692770555555555</v>
      </c>
      <c r="R1340" s="8">
        <f t="shared" si="117"/>
        <v>14</v>
      </c>
      <c r="S1340" s="9">
        <f t="shared" si="118"/>
        <v>0.5</v>
      </c>
      <c r="T1340" s="9">
        <v>1.5</v>
      </c>
      <c r="U1340" s="9">
        <f t="shared" si="119"/>
        <v>30.800000000000004</v>
      </c>
      <c r="V1340" s="9">
        <f t="shared" si="120"/>
        <v>35.714285714285715</v>
      </c>
      <c r="W1340" s="9">
        <f t="shared" si="121"/>
        <v>14.497929285714285</v>
      </c>
    </row>
    <row r="1341" spans="1:23">
      <c r="A1341" s="2" t="s">
        <v>520</v>
      </c>
      <c r="B1341" s="2" t="s">
        <v>521</v>
      </c>
      <c r="C1341" s="3">
        <v>110</v>
      </c>
      <c r="D1341" s="3">
        <v>2.2000000000000002</v>
      </c>
      <c r="E1341" s="2" t="s">
        <v>543</v>
      </c>
      <c r="F1341" s="4">
        <v>42346</v>
      </c>
      <c r="G1341" s="3">
        <v>62.5</v>
      </c>
      <c r="H1341" s="3">
        <v>3</v>
      </c>
      <c r="I1341" s="4">
        <v>42346</v>
      </c>
      <c r="J1341" s="3">
        <v>62.5</v>
      </c>
      <c r="K1341" s="3">
        <v>3</v>
      </c>
      <c r="L1341" s="3">
        <v>0</v>
      </c>
      <c r="M1341" s="5">
        <v>0</v>
      </c>
      <c r="N1341" s="5">
        <v>0</v>
      </c>
      <c r="O1341" s="5">
        <v>0</v>
      </c>
      <c r="P1341" s="5">
        <v>0</v>
      </c>
      <c r="Q1341" s="5">
        <v>12.568125</v>
      </c>
      <c r="R1341" s="8">
        <f t="shared" si="117"/>
        <v>0</v>
      </c>
      <c r="S1341" s="9">
        <f t="shared" si="118"/>
        <v>0</v>
      </c>
      <c r="T1341" s="9">
        <v>1.5</v>
      </c>
      <c r="U1341" s="9">
        <f t="shared" si="119"/>
        <v>0</v>
      </c>
      <c r="V1341" s="9">
        <f t="shared" si="120"/>
        <v>0</v>
      </c>
      <c r="W1341" s="9">
        <f t="shared" si="121"/>
        <v>12.568125</v>
      </c>
    </row>
    <row r="1342" spans="1:23">
      <c r="A1342" s="2" t="s">
        <v>520</v>
      </c>
      <c r="B1342" s="2" t="s">
        <v>521</v>
      </c>
      <c r="C1342" s="3">
        <v>110</v>
      </c>
      <c r="D1342" s="3">
        <v>2.2000000000000002</v>
      </c>
      <c r="E1342" s="2" t="s">
        <v>543</v>
      </c>
      <c r="F1342" s="4">
        <v>42346</v>
      </c>
      <c r="G1342" s="3">
        <v>62.5</v>
      </c>
      <c r="H1342" s="3">
        <v>3</v>
      </c>
      <c r="I1342" s="4">
        <v>42359</v>
      </c>
      <c r="J1342" s="3">
        <v>67</v>
      </c>
      <c r="K1342" s="3">
        <v>3.5</v>
      </c>
      <c r="L1342" s="3">
        <v>13</v>
      </c>
      <c r="M1342" s="5">
        <v>4.5</v>
      </c>
      <c r="N1342" s="5">
        <v>0.5</v>
      </c>
      <c r="O1342" s="5">
        <v>28.6</v>
      </c>
      <c r="P1342" s="5">
        <v>346.15384615384613</v>
      </c>
      <c r="Q1342" s="5">
        <v>30.013962115384611</v>
      </c>
      <c r="R1342" s="8">
        <f t="shared" si="117"/>
        <v>13</v>
      </c>
      <c r="S1342" s="9">
        <f t="shared" si="118"/>
        <v>4.5</v>
      </c>
      <c r="T1342" s="9">
        <v>1.5</v>
      </c>
      <c r="U1342" s="9">
        <f t="shared" si="119"/>
        <v>28.6</v>
      </c>
      <c r="V1342" s="9">
        <f t="shared" si="120"/>
        <v>346.15384615384613</v>
      </c>
      <c r="W1342" s="9">
        <f t="shared" si="121"/>
        <v>30.013962115384611</v>
      </c>
    </row>
    <row r="1343" spans="1:23">
      <c r="A1343" s="2" t="s">
        <v>520</v>
      </c>
      <c r="B1343" s="2" t="s">
        <v>521</v>
      </c>
      <c r="C1343" s="3">
        <v>110</v>
      </c>
      <c r="D1343" s="3">
        <v>2.2000000000000002</v>
      </c>
      <c r="E1343" s="2" t="s">
        <v>543</v>
      </c>
      <c r="F1343" s="4">
        <v>42346</v>
      </c>
      <c r="G1343" s="3">
        <v>62.5</v>
      </c>
      <c r="H1343" s="3">
        <v>3</v>
      </c>
      <c r="I1343" s="4">
        <v>42373</v>
      </c>
      <c r="J1343" s="3">
        <v>63</v>
      </c>
      <c r="K1343" s="3">
        <v>3</v>
      </c>
      <c r="L1343" s="3">
        <v>27</v>
      </c>
      <c r="M1343" s="5">
        <v>0.5</v>
      </c>
      <c r="N1343" s="5">
        <v>0</v>
      </c>
      <c r="O1343" s="5">
        <v>59.400000000000006</v>
      </c>
      <c r="P1343" s="5">
        <v>18.518518518518519</v>
      </c>
      <c r="Q1343" s="5">
        <v>13.523360462962962</v>
      </c>
      <c r="R1343" s="8">
        <f t="shared" si="117"/>
        <v>14</v>
      </c>
      <c r="S1343" s="9">
        <f t="shared" si="118"/>
        <v>-4</v>
      </c>
      <c r="T1343" s="9">
        <v>1.5</v>
      </c>
      <c r="U1343" s="9">
        <f t="shared" si="119"/>
        <v>30.800000000000004</v>
      </c>
      <c r="V1343" s="9">
        <f t="shared" si="120"/>
        <v>-285.71428571428572</v>
      </c>
      <c r="W1343" s="9">
        <f t="shared" si="121"/>
        <v>-1.4753167857142842</v>
      </c>
    </row>
    <row r="1344" spans="1:23">
      <c r="A1344" s="2" t="s">
        <v>520</v>
      </c>
      <c r="B1344" s="2" t="s">
        <v>521</v>
      </c>
      <c r="C1344" s="3">
        <v>110</v>
      </c>
      <c r="D1344" s="3">
        <v>2.2000000000000002</v>
      </c>
      <c r="E1344" s="2" t="s">
        <v>544</v>
      </c>
      <c r="F1344" s="4">
        <v>42346</v>
      </c>
      <c r="G1344" s="3">
        <v>60.5</v>
      </c>
      <c r="H1344" s="3">
        <v>3</v>
      </c>
      <c r="I1344" s="4">
        <v>42346</v>
      </c>
      <c r="J1344" s="3">
        <v>60.5</v>
      </c>
      <c r="K1344" s="3">
        <v>3</v>
      </c>
      <c r="L1344" s="3">
        <v>0</v>
      </c>
      <c r="M1344" s="5">
        <v>0</v>
      </c>
      <c r="N1344" s="5">
        <v>0</v>
      </c>
      <c r="O1344" s="5">
        <v>0</v>
      </c>
      <c r="P1344" s="5">
        <v>0</v>
      </c>
      <c r="Q1344" s="5">
        <v>12.229944999999999</v>
      </c>
      <c r="R1344" s="8">
        <f t="shared" si="117"/>
        <v>0</v>
      </c>
      <c r="S1344" s="9">
        <f t="shared" si="118"/>
        <v>0</v>
      </c>
      <c r="T1344" s="9">
        <v>1.5</v>
      </c>
      <c r="U1344" s="9">
        <f t="shared" si="119"/>
        <v>0</v>
      </c>
      <c r="V1344" s="9">
        <f t="shared" si="120"/>
        <v>0</v>
      </c>
      <c r="W1344" s="9">
        <f t="shared" si="121"/>
        <v>12.229944999999999</v>
      </c>
    </row>
    <row r="1345" spans="1:23">
      <c r="A1345" s="2" t="s">
        <v>520</v>
      </c>
      <c r="B1345" s="2" t="s">
        <v>521</v>
      </c>
      <c r="C1345" s="3">
        <v>110</v>
      </c>
      <c r="D1345" s="3">
        <v>2.2000000000000002</v>
      </c>
      <c r="E1345" s="2" t="s">
        <v>544</v>
      </c>
      <c r="F1345" s="4">
        <v>42346</v>
      </c>
      <c r="G1345" s="3">
        <v>60.5</v>
      </c>
      <c r="H1345" s="3">
        <v>3</v>
      </c>
      <c r="I1345" s="4">
        <v>42359</v>
      </c>
      <c r="J1345" s="3">
        <v>66.5</v>
      </c>
      <c r="K1345" s="3">
        <v>3.5</v>
      </c>
      <c r="L1345" s="3">
        <v>13</v>
      </c>
      <c r="M1345" s="5">
        <v>6</v>
      </c>
      <c r="N1345" s="5">
        <v>0.5</v>
      </c>
      <c r="O1345" s="5">
        <v>28.6</v>
      </c>
      <c r="P1345" s="5">
        <v>461.53846153846155</v>
      </c>
      <c r="Q1345" s="5">
        <v>35.491061153846154</v>
      </c>
      <c r="R1345" s="8">
        <f t="shared" si="117"/>
        <v>13</v>
      </c>
      <c r="S1345" s="9">
        <f t="shared" si="118"/>
        <v>6</v>
      </c>
      <c r="T1345" s="9">
        <v>1.5</v>
      </c>
      <c r="U1345" s="9">
        <f t="shared" si="119"/>
        <v>28.6</v>
      </c>
      <c r="V1345" s="9">
        <f t="shared" si="120"/>
        <v>461.53846153846155</v>
      </c>
      <c r="W1345" s="9">
        <f t="shared" si="121"/>
        <v>35.491061153846154</v>
      </c>
    </row>
    <row r="1346" spans="1:23">
      <c r="A1346" s="2" t="s">
        <v>520</v>
      </c>
      <c r="B1346" s="2" t="s">
        <v>521</v>
      </c>
      <c r="C1346" s="3">
        <v>110</v>
      </c>
      <c r="D1346" s="3">
        <v>2.2000000000000002</v>
      </c>
      <c r="E1346" s="2" t="s">
        <v>544</v>
      </c>
      <c r="F1346" s="4">
        <v>42346</v>
      </c>
      <c r="G1346" s="3">
        <v>60.5</v>
      </c>
      <c r="H1346" s="3">
        <v>3</v>
      </c>
      <c r="I1346" s="4">
        <v>42373</v>
      </c>
      <c r="J1346" s="3">
        <v>64.5</v>
      </c>
      <c r="K1346" s="3">
        <v>3</v>
      </c>
      <c r="L1346" s="3">
        <v>27</v>
      </c>
      <c r="M1346" s="5">
        <v>4</v>
      </c>
      <c r="N1346" s="5">
        <v>0</v>
      </c>
      <c r="O1346" s="5">
        <v>59.400000000000006</v>
      </c>
      <c r="P1346" s="5">
        <v>148.14814814814815</v>
      </c>
      <c r="Q1346" s="5">
        <v>19.871828703703702</v>
      </c>
      <c r="R1346" s="8">
        <f t="shared" si="117"/>
        <v>14</v>
      </c>
      <c r="S1346" s="9">
        <f t="shared" si="118"/>
        <v>-2</v>
      </c>
      <c r="T1346" s="9">
        <v>1.5</v>
      </c>
      <c r="U1346" s="9">
        <f t="shared" si="119"/>
        <v>30.800000000000004</v>
      </c>
      <c r="V1346" s="9">
        <f t="shared" si="120"/>
        <v>-142.85714285714286</v>
      </c>
      <c r="W1346" s="9">
        <f t="shared" si="121"/>
        <v>5.5252678571428584</v>
      </c>
    </row>
    <row r="1347" spans="1:23">
      <c r="A1347" s="2" t="s">
        <v>520</v>
      </c>
      <c r="B1347" s="2" t="s">
        <v>521</v>
      </c>
      <c r="C1347" s="3">
        <v>110</v>
      </c>
      <c r="D1347" s="3">
        <v>2.2000000000000002</v>
      </c>
      <c r="E1347" s="2" t="s">
        <v>545</v>
      </c>
      <c r="F1347" s="4">
        <v>42346</v>
      </c>
      <c r="G1347" s="3">
        <v>60</v>
      </c>
      <c r="H1347" s="3">
        <v>3</v>
      </c>
      <c r="I1347" s="4">
        <v>42346</v>
      </c>
      <c r="J1347" s="3">
        <v>60</v>
      </c>
      <c r="K1347" s="3">
        <v>3</v>
      </c>
      <c r="L1347" s="3">
        <v>0</v>
      </c>
      <c r="M1347" s="5">
        <v>0</v>
      </c>
      <c r="N1347" s="5">
        <v>0</v>
      </c>
      <c r="O1347" s="5">
        <v>0</v>
      </c>
      <c r="P1347" s="5">
        <v>0</v>
      </c>
      <c r="Q1347" s="5">
        <v>12.145399999999999</v>
      </c>
      <c r="R1347" s="8">
        <f t="shared" si="117"/>
        <v>0</v>
      </c>
      <c r="S1347" s="9">
        <f t="shared" si="118"/>
        <v>0</v>
      </c>
      <c r="T1347" s="9">
        <v>1.5</v>
      </c>
      <c r="U1347" s="9">
        <f t="shared" si="119"/>
        <v>0</v>
      </c>
      <c r="V1347" s="9">
        <f t="shared" si="120"/>
        <v>0</v>
      </c>
      <c r="W1347" s="9">
        <f t="shared" si="121"/>
        <v>12.145399999999999</v>
      </c>
    </row>
    <row r="1348" spans="1:23">
      <c r="A1348" s="2" t="s">
        <v>520</v>
      </c>
      <c r="B1348" s="2" t="s">
        <v>521</v>
      </c>
      <c r="C1348" s="3">
        <v>110</v>
      </c>
      <c r="D1348" s="3">
        <v>2.2000000000000002</v>
      </c>
      <c r="E1348" s="2" t="s">
        <v>545</v>
      </c>
      <c r="F1348" s="4">
        <v>42346</v>
      </c>
      <c r="G1348" s="3">
        <v>60</v>
      </c>
      <c r="H1348" s="3">
        <v>3</v>
      </c>
      <c r="I1348" s="4">
        <v>42359</v>
      </c>
      <c r="J1348" s="3">
        <v>61</v>
      </c>
      <c r="K1348" s="3">
        <v>3</v>
      </c>
      <c r="L1348" s="3">
        <v>13</v>
      </c>
      <c r="M1348" s="5">
        <v>1</v>
      </c>
      <c r="N1348" s="5">
        <v>0</v>
      </c>
      <c r="O1348" s="5">
        <v>28.6</v>
      </c>
      <c r="P1348" s="5">
        <v>76.923076923076934</v>
      </c>
      <c r="Q1348" s="5">
        <v>16.022252692307692</v>
      </c>
      <c r="R1348" s="8">
        <f t="shared" si="117"/>
        <v>13</v>
      </c>
      <c r="S1348" s="9">
        <f t="shared" si="118"/>
        <v>1</v>
      </c>
      <c r="T1348" s="9">
        <v>1.5</v>
      </c>
      <c r="U1348" s="9">
        <f t="shared" si="119"/>
        <v>28.6</v>
      </c>
      <c r="V1348" s="9">
        <f t="shared" si="120"/>
        <v>76.923076923076934</v>
      </c>
      <c r="W1348" s="9">
        <f t="shared" si="121"/>
        <v>16.022252692307692</v>
      </c>
    </row>
    <row r="1349" spans="1:23">
      <c r="A1349" s="2" t="s">
        <v>520</v>
      </c>
      <c r="B1349" s="2" t="s">
        <v>521</v>
      </c>
      <c r="C1349" s="3">
        <v>110</v>
      </c>
      <c r="D1349" s="3">
        <v>2.2000000000000002</v>
      </c>
      <c r="E1349" s="2" t="s">
        <v>545</v>
      </c>
      <c r="F1349" s="4">
        <v>42346</v>
      </c>
      <c r="G1349" s="3">
        <v>60</v>
      </c>
      <c r="H1349" s="3">
        <v>3</v>
      </c>
      <c r="I1349" s="4">
        <v>42373</v>
      </c>
      <c r="J1349" s="3">
        <v>66</v>
      </c>
      <c r="K1349" s="3">
        <v>3</v>
      </c>
      <c r="L1349" s="3">
        <v>27</v>
      </c>
      <c r="M1349" s="5">
        <v>6</v>
      </c>
      <c r="N1349" s="5">
        <v>0</v>
      </c>
      <c r="O1349" s="5">
        <v>59.400000000000006</v>
      </c>
      <c r="P1349" s="5">
        <v>222.2222222222222</v>
      </c>
      <c r="Q1349" s="5">
        <v>23.608225555555553</v>
      </c>
      <c r="R1349" s="8">
        <f t="shared" si="117"/>
        <v>14</v>
      </c>
      <c r="S1349" s="9">
        <f t="shared" si="118"/>
        <v>5</v>
      </c>
      <c r="T1349" s="9">
        <v>1.5</v>
      </c>
      <c r="U1349" s="9">
        <f t="shared" si="119"/>
        <v>30.800000000000004</v>
      </c>
      <c r="V1349" s="9">
        <f t="shared" si="120"/>
        <v>357.14285714285717</v>
      </c>
      <c r="W1349" s="9">
        <f t="shared" si="121"/>
        <v>30.259812857142855</v>
      </c>
    </row>
    <row r="1350" spans="1:23">
      <c r="A1350" s="2" t="s">
        <v>520</v>
      </c>
      <c r="B1350" s="2" t="s">
        <v>521</v>
      </c>
      <c r="C1350" s="3">
        <v>110</v>
      </c>
      <c r="D1350" s="3">
        <v>2.2000000000000002</v>
      </c>
      <c r="E1350" s="2" t="s">
        <v>546</v>
      </c>
      <c r="F1350" s="4">
        <v>42346</v>
      </c>
      <c r="G1350" s="3">
        <v>59</v>
      </c>
      <c r="H1350" s="3">
        <v>3</v>
      </c>
      <c r="I1350" s="4">
        <v>42346</v>
      </c>
      <c r="J1350" s="3">
        <v>59</v>
      </c>
      <c r="K1350" s="3">
        <v>3</v>
      </c>
      <c r="L1350" s="3">
        <v>0</v>
      </c>
      <c r="M1350" s="5">
        <v>0</v>
      </c>
      <c r="N1350" s="5">
        <v>0</v>
      </c>
      <c r="O1350" s="5">
        <v>0</v>
      </c>
      <c r="P1350" s="5">
        <v>0</v>
      </c>
      <c r="Q1350" s="5">
        <v>11.97631</v>
      </c>
      <c r="R1350" s="8">
        <f t="shared" si="117"/>
        <v>0</v>
      </c>
      <c r="S1350" s="9">
        <f t="shared" si="118"/>
        <v>0</v>
      </c>
      <c r="T1350" s="9">
        <v>1.5</v>
      </c>
      <c r="U1350" s="9">
        <f t="shared" si="119"/>
        <v>0</v>
      </c>
      <c r="V1350" s="9">
        <f t="shared" si="120"/>
        <v>0</v>
      </c>
      <c r="W1350" s="9">
        <f t="shared" si="121"/>
        <v>11.97631</v>
      </c>
    </row>
    <row r="1351" spans="1:23">
      <c r="A1351" s="2" t="s">
        <v>520</v>
      </c>
      <c r="B1351" s="2" t="s">
        <v>521</v>
      </c>
      <c r="C1351" s="3">
        <v>110</v>
      </c>
      <c r="D1351" s="3">
        <v>2.2000000000000002</v>
      </c>
      <c r="E1351" s="2" t="s">
        <v>546</v>
      </c>
      <c r="F1351" s="4">
        <v>42346</v>
      </c>
      <c r="G1351" s="3">
        <v>59</v>
      </c>
      <c r="H1351" s="3">
        <v>3</v>
      </c>
      <c r="I1351" s="4">
        <v>42359</v>
      </c>
      <c r="J1351" s="3">
        <v>62.5</v>
      </c>
      <c r="K1351" s="3">
        <v>3.5</v>
      </c>
      <c r="L1351" s="3">
        <v>13</v>
      </c>
      <c r="M1351" s="5">
        <v>3.5</v>
      </c>
      <c r="N1351" s="5">
        <v>0.5</v>
      </c>
      <c r="O1351" s="5">
        <v>28.6</v>
      </c>
      <c r="P1351" s="5">
        <v>269.23076923076923</v>
      </c>
      <c r="Q1351" s="5">
        <v>25.545294423076921</v>
      </c>
      <c r="R1351" s="8">
        <f t="shared" si="117"/>
        <v>13</v>
      </c>
      <c r="S1351" s="9">
        <f t="shared" si="118"/>
        <v>3.5</v>
      </c>
      <c r="T1351" s="9">
        <v>1.5</v>
      </c>
      <c r="U1351" s="9">
        <f t="shared" si="119"/>
        <v>28.6</v>
      </c>
      <c r="V1351" s="9">
        <f t="shared" si="120"/>
        <v>269.23076923076923</v>
      </c>
      <c r="W1351" s="9">
        <f t="shared" si="121"/>
        <v>25.545294423076921</v>
      </c>
    </row>
    <row r="1352" spans="1:23">
      <c r="A1352" s="2" t="s">
        <v>520</v>
      </c>
      <c r="B1352" s="2" t="s">
        <v>521</v>
      </c>
      <c r="C1352" s="3">
        <v>110</v>
      </c>
      <c r="D1352" s="3">
        <v>2.2000000000000002</v>
      </c>
      <c r="E1352" s="2" t="s">
        <v>546</v>
      </c>
      <c r="F1352" s="4">
        <v>42346</v>
      </c>
      <c r="G1352" s="3">
        <v>59</v>
      </c>
      <c r="H1352" s="3">
        <v>3</v>
      </c>
      <c r="I1352" s="4">
        <v>42373</v>
      </c>
      <c r="J1352" s="3">
        <v>60</v>
      </c>
      <c r="K1352" s="3">
        <v>3</v>
      </c>
      <c r="L1352" s="3">
        <v>27</v>
      </c>
      <c r="M1352" s="5">
        <v>1</v>
      </c>
      <c r="N1352" s="5">
        <v>0</v>
      </c>
      <c r="O1352" s="5">
        <v>59.400000000000006</v>
      </c>
      <c r="P1352" s="5">
        <v>37.037037037037038</v>
      </c>
      <c r="Q1352" s="5">
        <v>13.886780925925926</v>
      </c>
      <c r="R1352" s="8">
        <f t="shared" si="117"/>
        <v>14</v>
      </c>
      <c r="S1352" s="9">
        <f t="shared" si="118"/>
        <v>-2.5</v>
      </c>
      <c r="T1352" s="9">
        <v>1.5</v>
      </c>
      <c r="U1352" s="9">
        <f t="shared" si="119"/>
        <v>30.800000000000004</v>
      </c>
      <c r="V1352" s="9">
        <f t="shared" si="120"/>
        <v>-178.57142857142858</v>
      </c>
      <c r="W1352" s="9">
        <f t="shared" si="121"/>
        <v>3.2572835714285713</v>
      </c>
    </row>
    <row r="1353" spans="1:23">
      <c r="A1353" s="2" t="s">
        <v>520</v>
      </c>
      <c r="B1353" s="2" t="s">
        <v>521</v>
      </c>
      <c r="C1353" s="3">
        <v>110</v>
      </c>
      <c r="D1353" s="3">
        <v>2.2000000000000002</v>
      </c>
      <c r="E1353" s="2" t="s">
        <v>547</v>
      </c>
      <c r="F1353" s="4">
        <v>42346</v>
      </c>
      <c r="G1353" s="3">
        <v>63.5</v>
      </c>
      <c r="H1353" s="3">
        <v>3.5</v>
      </c>
      <c r="I1353" s="4">
        <v>42346</v>
      </c>
      <c r="J1353" s="3">
        <v>63.5</v>
      </c>
      <c r="K1353" s="3">
        <v>3.5</v>
      </c>
      <c r="L1353" s="3">
        <v>0</v>
      </c>
      <c r="M1353" s="5">
        <v>0</v>
      </c>
      <c r="N1353" s="5">
        <v>0</v>
      </c>
      <c r="O1353" s="5">
        <v>0</v>
      </c>
      <c r="P1353" s="5">
        <v>0</v>
      </c>
      <c r="Q1353" s="5">
        <v>12.737214999999999</v>
      </c>
      <c r="R1353" s="8">
        <f t="shared" si="117"/>
        <v>0</v>
      </c>
      <c r="S1353" s="9">
        <f t="shared" si="118"/>
        <v>0</v>
      </c>
      <c r="T1353" s="9">
        <v>1.5</v>
      </c>
      <c r="U1353" s="9">
        <f t="shared" si="119"/>
        <v>0</v>
      </c>
      <c r="V1353" s="9">
        <f t="shared" si="120"/>
        <v>0</v>
      </c>
      <c r="W1353" s="9">
        <f t="shared" si="121"/>
        <v>12.737214999999999</v>
      </c>
    </row>
    <row r="1354" spans="1:23">
      <c r="A1354" s="2" t="s">
        <v>520</v>
      </c>
      <c r="B1354" s="2" t="s">
        <v>521</v>
      </c>
      <c r="C1354" s="3">
        <v>110</v>
      </c>
      <c r="D1354" s="3">
        <v>2.2000000000000002</v>
      </c>
      <c r="E1354" s="2" t="s">
        <v>547</v>
      </c>
      <c r="F1354" s="4">
        <v>42346</v>
      </c>
      <c r="G1354" s="3">
        <v>63.5</v>
      </c>
      <c r="H1354" s="3">
        <v>3.5</v>
      </c>
      <c r="I1354" s="4">
        <v>42359</v>
      </c>
      <c r="J1354" s="3">
        <v>71</v>
      </c>
      <c r="K1354" s="3">
        <v>4</v>
      </c>
      <c r="L1354" s="3">
        <v>13</v>
      </c>
      <c r="M1354" s="5">
        <v>7.5</v>
      </c>
      <c r="N1354" s="5">
        <v>0.5</v>
      </c>
      <c r="O1354" s="5">
        <v>28.6</v>
      </c>
      <c r="P1354" s="5">
        <v>576.92307692307691</v>
      </c>
      <c r="Q1354" s="5">
        <v>41.813610192307692</v>
      </c>
      <c r="R1354" s="8">
        <f t="shared" si="117"/>
        <v>13</v>
      </c>
      <c r="S1354" s="9">
        <f t="shared" si="118"/>
        <v>7.5</v>
      </c>
      <c r="T1354" s="9">
        <v>1.5</v>
      </c>
      <c r="U1354" s="9">
        <f t="shared" si="119"/>
        <v>28.6</v>
      </c>
      <c r="V1354" s="9">
        <f t="shared" si="120"/>
        <v>576.92307692307691</v>
      </c>
      <c r="W1354" s="9">
        <f t="shared" si="121"/>
        <v>41.813610192307692</v>
      </c>
    </row>
    <row r="1355" spans="1:23">
      <c r="A1355" s="2" t="s">
        <v>520</v>
      </c>
      <c r="B1355" s="2" t="s">
        <v>521</v>
      </c>
      <c r="C1355" s="3">
        <v>110</v>
      </c>
      <c r="D1355" s="3">
        <v>2.2000000000000002</v>
      </c>
      <c r="E1355" s="2" t="s">
        <v>547</v>
      </c>
      <c r="F1355" s="4">
        <v>42346</v>
      </c>
      <c r="G1355" s="3">
        <v>63.5</v>
      </c>
      <c r="H1355" s="3">
        <v>3.5</v>
      </c>
      <c r="I1355" s="4">
        <v>42373</v>
      </c>
      <c r="J1355" s="3">
        <v>67</v>
      </c>
      <c r="K1355" s="3">
        <v>3.5</v>
      </c>
      <c r="L1355" s="3">
        <v>27</v>
      </c>
      <c r="M1355" s="5">
        <v>3.5</v>
      </c>
      <c r="N1355" s="5">
        <v>0</v>
      </c>
      <c r="O1355" s="5">
        <v>59.400000000000006</v>
      </c>
      <c r="P1355" s="5">
        <v>129.62962962962962</v>
      </c>
      <c r="Q1355" s="5">
        <v>19.42386324074074</v>
      </c>
      <c r="R1355" s="8">
        <f t="shared" si="117"/>
        <v>14</v>
      </c>
      <c r="S1355" s="9">
        <f t="shared" si="118"/>
        <v>-4</v>
      </c>
      <c r="T1355" s="9">
        <v>1.5</v>
      </c>
      <c r="U1355" s="9">
        <f t="shared" si="119"/>
        <v>30.800000000000004</v>
      </c>
      <c r="V1355" s="9">
        <f t="shared" si="120"/>
        <v>-285.71428571428572</v>
      </c>
      <c r="W1355" s="9">
        <f t="shared" si="121"/>
        <v>-1.0525917857142844</v>
      </c>
    </row>
    <row r="1356" spans="1:23">
      <c r="A1356" s="2" t="s">
        <v>520</v>
      </c>
      <c r="B1356" s="2" t="s">
        <v>521</v>
      </c>
      <c r="C1356" s="3">
        <v>110</v>
      </c>
      <c r="D1356" s="3">
        <v>2.2000000000000002</v>
      </c>
      <c r="E1356" s="2" t="s">
        <v>548</v>
      </c>
      <c r="F1356" s="4">
        <v>42346</v>
      </c>
      <c r="G1356" s="3">
        <v>59.5</v>
      </c>
      <c r="H1356" s="3">
        <v>3</v>
      </c>
      <c r="I1356" s="4">
        <v>42346</v>
      </c>
      <c r="J1356" s="3">
        <v>59.5</v>
      </c>
      <c r="K1356" s="3">
        <v>3</v>
      </c>
      <c r="L1356" s="3">
        <v>0</v>
      </c>
      <c r="M1356" s="5">
        <v>0</v>
      </c>
      <c r="N1356" s="5">
        <v>0</v>
      </c>
      <c r="O1356" s="5">
        <v>0</v>
      </c>
      <c r="P1356" s="5">
        <v>0</v>
      </c>
      <c r="Q1356" s="5">
        <v>12.060855</v>
      </c>
      <c r="R1356" s="8">
        <f t="shared" si="117"/>
        <v>0</v>
      </c>
      <c r="S1356" s="9">
        <f t="shared" si="118"/>
        <v>0</v>
      </c>
      <c r="T1356" s="9">
        <v>1.5</v>
      </c>
      <c r="U1356" s="9">
        <f t="shared" si="119"/>
        <v>0</v>
      </c>
      <c r="V1356" s="9">
        <f t="shared" si="120"/>
        <v>0</v>
      </c>
      <c r="W1356" s="9">
        <f t="shared" si="121"/>
        <v>12.060855</v>
      </c>
    </row>
    <row r="1357" spans="1:23">
      <c r="A1357" s="2" t="s">
        <v>520</v>
      </c>
      <c r="B1357" s="2" t="s">
        <v>521</v>
      </c>
      <c r="C1357" s="3">
        <v>110</v>
      </c>
      <c r="D1357" s="3">
        <v>2.2000000000000002</v>
      </c>
      <c r="E1357" s="2" t="s">
        <v>548</v>
      </c>
      <c r="F1357" s="4">
        <v>42346</v>
      </c>
      <c r="G1357" s="3">
        <v>59.5</v>
      </c>
      <c r="H1357" s="3">
        <v>3</v>
      </c>
      <c r="I1357" s="4">
        <v>42359</v>
      </c>
      <c r="J1357" s="3">
        <v>65.5</v>
      </c>
      <c r="K1357" s="3">
        <v>3.5</v>
      </c>
      <c r="L1357" s="3">
        <v>13</v>
      </c>
      <c r="M1357" s="5">
        <v>6</v>
      </c>
      <c r="N1357" s="5">
        <v>0.5</v>
      </c>
      <c r="O1357" s="5">
        <v>28.6</v>
      </c>
      <c r="P1357" s="5">
        <v>461.53846153846155</v>
      </c>
      <c r="Q1357" s="5">
        <v>35.321971153846157</v>
      </c>
      <c r="R1357" s="8">
        <f t="shared" si="117"/>
        <v>13</v>
      </c>
      <c r="S1357" s="9">
        <f t="shared" si="118"/>
        <v>6</v>
      </c>
      <c r="T1357" s="9">
        <v>1.5</v>
      </c>
      <c r="U1357" s="9">
        <f t="shared" si="119"/>
        <v>28.6</v>
      </c>
      <c r="V1357" s="9">
        <f t="shared" si="120"/>
        <v>461.53846153846155</v>
      </c>
      <c r="W1357" s="9">
        <f t="shared" si="121"/>
        <v>35.321971153846157</v>
      </c>
    </row>
    <row r="1358" spans="1:23">
      <c r="A1358" s="2" t="s">
        <v>520</v>
      </c>
      <c r="B1358" s="2" t="s">
        <v>521</v>
      </c>
      <c r="C1358" s="3">
        <v>110</v>
      </c>
      <c r="D1358" s="3">
        <v>2.2000000000000002</v>
      </c>
      <c r="E1358" s="2" t="s">
        <v>548</v>
      </c>
      <c r="F1358" s="4">
        <v>42346</v>
      </c>
      <c r="G1358" s="3">
        <v>59.5</v>
      </c>
      <c r="H1358" s="3">
        <v>3</v>
      </c>
      <c r="I1358" s="4">
        <v>42373</v>
      </c>
      <c r="J1358" s="3">
        <v>61</v>
      </c>
      <c r="K1358" s="3">
        <v>3</v>
      </c>
      <c r="L1358" s="3">
        <v>27</v>
      </c>
      <c r="M1358" s="5">
        <v>1.5</v>
      </c>
      <c r="N1358" s="5">
        <v>0</v>
      </c>
      <c r="O1358" s="5">
        <v>59.400000000000006</v>
      </c>
      <c r="P1358" s="5">
        <v>55.55555555555555</v>
      </c>
      <c r="Q1358" s="5">
        <v>14.926561388888889</v>
      </c>
      <c r="R1358" s="8">
        <f t="shared" si="117"/>
        <v>14</v>
      </c>
      <c r="S1358" s="9">
        <f t="shared" si="118"/>
        <v>-4.5</v>
      </c>
      <c r="T1358" s="9">
        <v>1.5</v>
      </c>
      <c r="U1358" s="9">
        <f t="shared" si="119"/>
        <v>30.800000000000004</v>
      </c>
      <c r="V1358" s="9">
        <f t="shared" si="120"/>
        <v>-321.42857142857144</v>
      </c>
      <c r="W1358" s="9">
        <f t="shared" si="121"/>
        <v>-3.6587560714285718</v>
      </c>
    </row>
    <row r="1359" spans="1:23">
      <c r="A1359" s="2" t="s">
        <v>520</v>
      </c>
      <c r="B1359" s="2" t="s">
        <v>521</v>
      </c>
      <c r="C1359" s="3">
        <v>110</v>
      </c>
      <c r="D1359" s="3">
        <v>2.2000000000000002</v>
      </c>
      <c r="E1359" s="2" t="s">
        <v>549</v>
      </c>
      <c r="F1359" s="4">
        <v>42346</v>
      </c>
      <c r="G1359" s="3">
        <v>58.5</v>
      </c>
      <c r="H1359" s="3">
        <v>3.5</v>
      </c>
      <c r="I1359" s="4">
        <v>42346</v>
      </c>
      <c r="J1359" s="3">
        <v>58.5</v>
      </c>
      <c r="K1359" s="3">
        <v>3.5</v>
      </c>
      <c r="L1359" s="3">
        <v>0</v>
      </c>
      <c r="M1359" s="5">
        <v>0</v>
      </c>
      <c r="N1359" s="5">
        <v>0</v>
      </c>
      <c r="O1359" s="5">
        <v>0</v>
      </c>
      <c r="P1359" s="5">
        <v>0</v>
      </c>
      <c r="Q1359" s="5">
        <v>11.891764999999999</v>
      </c>
      <c r="R1359" s="8">
        <f t="shared" si="117"/>
        <v>0</v>
      </c>
      <c r="S1359" s="9">
        <f t="shared" si="118"/>
        <v>0</v>
      </c>
      <c r="T1359" s="9">
        <v>1.5</v>
      </c>
      <c r="U1359" s="9">
        <f t="shared" si="119"/>
        <v>0</v>
      </c>
      <c r="V1359" s="9">
        <f t="shared" si="120"/>
        <v>0</v>
      </c>
      <c r="W1359" s="9">
        <f t="shared" si="121"/>
        <v>11.891764999999999</v>
      </c>
    </row>
    <row r="1360" spans="1:23">
      <c r="A1360" s="2" t="s">
        <v>520</v>
      </c>
      <c r="B1360" s="2" t="s">
        <v>521</v>
      </c>
      <c r="C1360" s="3">
        <v>110</v>
      </c>
      <c r="D1360" s="3">
        <v>2.2000000000000002</v>
      </c>
      <c r="E1360" s="2" t="s">
        <v>549</v>
      </c>
      <c r="F1360" s="4">
        <v>42346</v>
      </c>
      <c r="G1360" s="3">
        <v>58.5</v>
      </c>
      <c r="H1360" s="3">
        <v>3.5</v>
      </c>
      <c r="I1360" s="4">
        <v>42359</v>
      </c>
      <c r="J1360" s="3">
        <v>59.5</v>
      </c>
      <c r="K1360" s="3">
        <v>3.5</v>
      </c>
      <c r="L1360" s="3">
        <v>13</v>
      </c>
      <c r="M1360" s="5">
        <v>1</v>
      </c>
      <c r="N1360" s="5">
        <v>0</v>
      </c>
      <c r="O1360" s="5">
        <v>28.6</v>
      </c>
      <c r="P1360" s="5">
        <v>76.923076923076934</v>
      </c>
      <c r="Q1360" s="5">
        <v>15.768617692307693</v>
      </c>
      <c r="R1360" s="8">
        <f t="shared" si="117"/>
        <v>13</v>
      </c>
      <c r="S1360" s="9">
        <f t="shared" si="118"/>
        <v>1</v>
      </c>
      <c r="T1360" s="9">
        <v>1.5</v>
      </c>
      <c r="U1360" s="9">
        <f t="shared" si="119"/>
        <v>28.6</v>
      </c>
      <c r="V1360" s="9">
        <f t="shared" si="120"/>
        <v>76.923076923076934</v>
      </c>
      <c r="W1360" s="9">
        <f t="shared" si="121"/>
        <v>15.768617692307693</v>
      </c>
    </row>
    <row r="1361" spans="1:23">
      <c r="A1361" s="2" t="s">
        <v>520</v>
      </c>
      <c r="B1361" s="2" t="s">
        <v>521</v>
      </c>
      <c r="C1361" s="3">
        <v>110</v>
      </c>
      <c r="D1361" s="3">
        <v>2.2000000000000002</v>
      </c>
      <c r="E1361" s="2" t="s">
        <v>549</v>
      </c>
      <c r="F1361" s="4">
        <v>42346</v>
      </c>
      <c r="G1361" s="3">
        <v>58.5</v>
      </c>
      <c r="H1361" s="3">
        <v>3.5</v>
      </c>
      <c r="I1361" s="4">
        <v>42373</v>
      </c>
      <c r="J1361" s="3">
        <v>57</v>
      </c>
      <c r="K1361" s="3">
        <v>3</v>
      </c>
      <c r="L1361" s="3">
        <v>27</v>
      </c>
      <c r="M1361" s="5">
        <v>-1.5</v>
      </c>
      <c r="N1361" s="5">
        <v>-0.5</v>
      </c>
      <c r="O1361" s="5">
        <v>59.400000000000006</v>
      </c>
      <c r="P1361" s="5">
        <v>-55.55555555555555</v>
      </c>
      <c r="Q1361" s="5">
        <v>9.026058611111111</v>
      </c>
      <c r="R1361" s="8">
        <f t="shared" si="117"/>
        <v>14</v>
      </c>
      <c r="S1361" s="9">
        <f t="shared" si="118"/>
        <v>-2.5</v>
      </c>
      <c r="T1361" s="9">
        <v>1.5</v>
      </c>
      <c r="U1361" s="9">
        <f t="shared" si="119"/>
        <v>30.800000000000004</v>
      </c>
      <c r="V1361" s="9">
        <f t="shared" si="120"/>
        <v>-178.57142857142858</v>
      </c>
      <c r="W1361" s="9">
        <f t="shared" si="121"/>
        <v>2.9613760714285711</v>
      </c>
    </row>
    <row r="1362" spans="1:23">
      <c r="A1362" s="2" t="s">
        <v>520</v>
      </c>
      <c r="B1362" s="2" t="s">
        <v>521</v>
      </c>
      <c r="C1362" s="3">
        <v>110</v>
      </c>
      <c r="D1362" s="3">
        <v>2.2000000000000002</v>
      </c>
      <c r="E1362" s="2" t="s">
        <v>550</v>
      </c>
      <c r="F1362" s="4">
        <v>42346</v>
      </c>
      <c r="G1362" s="3">
        <v>64.5</v>
      </c>
      <c r="H1362" s="3">
        <v>3.5</v>
      </c>
      <c r="I1362" s="4">
        <v>42346</v>
      </c>
      <c r="J1362" s="3">
        <v>64.5</v>
      </c>
      <c r="K1362" s="3">
        <v>3.5</v>
      </c>
      <c r="L1362" s="3">
        <v>0</v>
      </c>
      <c r="M1362" s="5">
        <v>0</v>
      </c>
      <c r="N1362" s="5">
        <v>0</v>
      </c>
      <c r="O1362" s="5">
        <v>0</v>
      </c>
      <c r="P1362" s="5">
        <v>0</v>
      </c>
      <c r="Q1362" s="5">
        <v>12.906305</v>
      </c>
      <c r="R1362" s="8">
        <f t="shared" si="117"/>
        <v>0</v>
      </c>
      <c r="S1362" s="9">
        <f t="shared" si="118"/>
        <v>0</v>
      </c>
      <c r="T1362" s="9">
        <v>1.5</v>
      </c>
      <c r="U1362" s="9">
        <f t="shared" si="119"/>
        <v>0</v>
      </c>
      <c r="V1362" s="9">
        <f t="shared" si="120"/>
        <v>0</v>
      </c>
      <c r="W1362" s="9">
        <f t="shared" si="121"/>
        <v>12.906305</v>
      </c>
    </row>
    <row r="1363" spans="1:23">
      <c r="A1363" s="2" t="s">
        <v>520</v>
      </c>
      <c r="B1363" s="2" t="s">
        <v>521</v>
      </c>
      <c r="C1363" s="3">
        <v>110</v>
      </c>
      <c r="D1363" s="3">
        <v>2.2000000000000002</v>
      </c>
      <c r="E1363" s="2" t="s">
        <v>550</v>
      </c>
      <c r="F1363" s="4">
        <v>42346</v>
      </c>
      <c r="G1363" s="3">
        <v>64.5</v>
      </c>
      <c r="H1363" s="3">
        <v>3.5</v>
      </c>
      <c r="I1363" s="4">
        <v>42359</v>
      </c>
      <c r="J1363" s="3">
        <v>70</v>
      </c>
      <c r="K1363" s="3">
        <v>4</v>
      </c>
      <c r="L1363" s="3">
        <v>13</v>
      </c>
      <c r="M1363" s="5">
        <v>5.5</v>
      </c>
      <c r="N1363" s="5">
        <v>0.5</v>
      </c>
      <c r="O1363" s="5">
        <v>28.6</v>
      </c>
      <c r="P1363" s="5">
        <v>423.07692307692309</v>
      </c>
      <c r="Q1363" s="5">
        <v>34.228994807692303</v>
      </c>
      <c r="R1363" s="8">
        <f t="shared" si="117"/>
        <v>13</v>
      </c>
      <c r="S1363" s="9">
        <f t="shared" si="118"/>
        <v>5.5</v>
      </c>
      <c r="T1363" s="9">
        <v>1.5</v>
      </c>
      <c r="U1363" s="9">
        <f t="shared" si="119"/>
        <v>28.6</v>
      </c>
      <c r="V1363" s="9">
        <f t="shared" si="120"/>
        <v>423.07692307692309</v>
      </c>
      <c r="W1363" s="9">
        <f t="shared" si="121"/>
        <v>34.228994807692303</v>
      </c>
    </row>
    <row r="1364" spans="1:23">
      <c r="A1364" s="2" t="s">
        <v>520</v>
      </c>
      <c r="B1364" s="2" t="s">
        <v>521</v>
      </c>
      <c r="C1364" s="3">
        <v>110</v>
      </c>
      <c r="D1364" s="3">
        <v>2.2000000000000002</v>
      </c>
      <c r="E1364" s="2" t="s">
        <v>550</v>
      </c>
      <c r="F1364" s="4">
        <v>42346</v>
      </c>
      <c r="G1364" s="3">
        <v>64.5</v>
      </c>
      <c r="H1364" s="3">
        <v>3.5</v>
      </c>
      <c r="I1364" s="4">
        <v>42373</v>
      </c>
      <c r="J1364" s="3">
        <v>69</v>
      </c>
      <c r="K1364" s="3">
        <v>4</v>
      </c>
      <c r="L1364" s="3">
        <v>27</v>
      </c>
      <c r="M1364" s="5">
        <v>4.5</v>
      </c>
      <c r="N1364" s="5">
        <v>0.5</v>
      </c>
      <c r="O1364" s="5">
        <v>59.400000000000006</v>
      </c>
      <c r="P1364" s="5">
        <v>166.66666666666666</v>
      </c>
      <c r="Q1364" s="5">
        <v>21.503424166666665</v>
      </c>
      <c r="R1364" s="8">
        <f t="shared" si="117"/>
        <v>14</v>
      </c>
      <c r="S1364" s="9">
        <f t="shared" si="118"/>
        <v>-1</v>
      </c>
      <c r="T1364" s="9">
        <v>1.5</v>
      </c>
      <c r="U1364" s="9">
        <f t="shared" si="119"/>
        <v>30.800000000000004</v>
      </c>
      <c r="V1364" s="9">
        <f t="shared" si="120"/>
        <v>-71.428571428571431</v>
      </c>
      <c r="W1364" s="9">
        <f t="shared" si="121"/>
        <v>9.7653289285714298</v>
      </c>
    </row>
    <row r="1365" spans="1:23">
      <c r="A1365" s="2" t="s">
        <v>520</v>
      </c>
      <c r="B1365" s="2" t="s">
        <v>521</v>
      </c>
      <c r="C1365" s="3">
        <v>110</v>
      </c>
      <c r="D1365" s="3">
        <v>2.2000000000000002</v>
      </c>
      <c r="E1365" s="2" t="s">
        <v>551</v>
      </c>
      <c r="F1365" s="4">
        <v>42346</v>
      </c>
      <c r="G1365" s="3">
        <v>57</v>
      </c>
      <c r="H1365" s="3">
        <v>3.5</v>
      </c>
      <c r="I1365" s="4">
        <v>42346</v>
      </c>
      <c r="J1365" s="3">
        <v>57</v>
      </c>
      <c r="K1365" s="3">
        <v>3.5</v>
      </c>
      <c r="L1365" s="3">
        <v>0</v>
      </c>
      <c r="M1365" s="5">
        <v>0</v>
      </c>
      <c r="N1365" s="5">
        <v>0</v>
      </c>
      <c r="O1365" s="5">
        <v>0</v>
      </c>
      <c r="P1365" s="5">
        <v>0</v>
      </c>
      <c r="Q1365" s="5">
        <v>11.63813</v>
      </c>
      <c r="R1365" s="8">
        <f t="shared" si="117"/>
        <v>0</v>
      </c>
      <c r="S1365" s="9">
        <f t="shared" si="118"/>
        <v>0</v>
      </c>
      <c r="T1365" s="9">
        <v>1.5</v>
      </c>
      <c r="U1365" s="9">
        <f t="shared" si="119"/>
        <v>0</v>
      </c>
      <c r="V1365" s="9">
        <f t="shared" si="120"/>
        <v>0</v>
      </c>
      <c r="W1365" s="9">
        <f t="shared" si="121"/>
        <v>11.63813</v>
      </c>
    </row>
    <row r="1366" spans="1:23">
      <c r="A1366" s="2" t="s">
        <v>520</v>
      </c>
      <c r="B1366" s="2" t="s">
        <v>521</v>
      </c>
      <c r="C1366" s="3">
        <v>110</v>
      </c>
      <c r="D1366" s="3">
        <v>2.2000000000000002</v>
      </c>
      <c r="E1366" s="2" t="s">
        <v>551</v>
      </c>
      <c r="F1366" s="4">
        <v>42346</v>
      </c>
      <c r="G1366" s="3">
        <v>57</v>
      </c>
      <c r="H1366" s="3">
        <v>3.5</v>
      </c>
      <c r="I1366" s="4">
        <v>42359</v>
      </c>
      <c r="J1366" s="3">
        <v>60.5</v>
      </c>
      <c r="K1366" s="3">
        <v>3.5</v>
      </c>
      <c r="L1366" s="3">
        <v>13</v>
      </c>
      <c r="M1366" s="5">
        <v>3.5</v>
      </c>
      <c r="N1366" s="5">
        <v>0</v>
      </c>
      <c r="O1366" s="5">
        <v>28.6</v>
      </c>
      <c r="P1366" s="5">
        <v>269.23076923076923</v>
      </c>
      <c r="Q1366" s="5">
        <v>25.20711442307692</v>
      </c>
      <c r="R1366" s="8">
        <f t="shared" si="117"/>
        <v>13</v>
      </c>
      <c r="S1366" s="9">
        <f t="shared" si="118"/>
        <v>3.5</v>
      </c>
      <c r="T1366" s="9">
        <v>1.5</v>
      </c>
      <c r="U1366" s="9">
        <f t="shared" si="119"/>
        <v>28.6</v>
      </c>
      <c r="V1366" s="9">
        <f t="shared" si="120"/>
        <v>269.23076923076923</v>
      </c>
      <c r="W1366" s="9">
        <f t="shared" si="121"/>
        <v>25.20711442307692</v>
      </c>
    </row>
    <row r="1367" spans="1:23">
      <c r="A1367" s="2" t="s">
        <v>520</v>
      </c>
      <c r="B1367" s="2" t="s">
        <v>521</v>
      </c>
      <c r="C1367" s="3">
        <v>110</v>
      </c>
      <c r="D1367" s="3">
        <v>2.2000000000000002</v>
      </c>
      <c r="E1367" s="2" t="s">
        <v>551</v>
      </c>
      <c r="F1367" s="4">
        <v>42346</v>
      </c>
      <c r="G1367" s="3">
        <v>57</v>
      </c>
      <c r="H1367" s="3">
        <v>3.5</v>
      </c>
      <c r="I1367" s="4">
        <v>42373</v>
      </c>
      <c r="J1367" s="3">
        <v>60.5</v>
      </c>
      <c r="K1367" s="3">
        <v>3</v>
      </c>
      <c r="L1367" s="3">
        <v>27</v>
      </c>
      <c r="M1367" s="5">
        <v>3.5</v>
      </c>
      <c r="N1367" s="5">
        <v>-0.5</v>
      </c>
      <c r="O1367" s="5">
        <v>59.400000000000006</v>
      </c>
      <c r="P1367" s="5">
        <v>129.62962962962962</v>
      </c>
      <c r="Q1367" s="5">
        <v>18.324778240740738</v>
      </c>
      <c r="R1367" s="8">
        <f t="shared" si="117"/>
        <v>14</v>
      </c>
      <c r="S1367" s="9">
        <f t="shared" si="118"/>
        <v>0</v>
      </c>
      <c r="T1367" s="9">
        <v>1.5</v>
      </c>
      <c r="U1367" s="9">
        <f t="shared" si="119"/>
        <v>30.800000000000004</v>
      </c>
      <c r="V1367" s="9">
        <f t="shared" si="120"/>
        <v>0</v>
      </c>
      <c r="W1367" s="9">
        <f t="shared" si="121"/>
        <v>11.934037499999999</v>
      </c>
    </row>
  </sheetData>
  <customSheetViews>
    <customSheetView guid="{51F81FF1-EE1A-40FC-8953-32A9F2F33EA5}" state="hidden">
      <pageMargins left="0" right="0" top="0" bottom="0" header="0" footer="0"/>
      <pageSetup paperSize="9" orientation="portrait" verticalDpi="0" r:id="rId1"/>
    </customSheetView>
  </customSheetView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6ABD2-B56A-4DB0-ADCB-D015F040C35C}">
  <sheetPr codeName="Sheet9"/>
  <dimension ref="A1:Y1064"/>
  <sheetViews>
    <sheetView workbookViewId="0">
      <selection activeCell="A2" sqref="A2"/>
    </sheetView>
  </sheetViews>
  <sheetFormatPr defaultRowHeight="14.85"/>
  <cols>
    <col min="1" max="1" width="11.42578125" style="12" bestFit="1" customWidth="1"/>
    <col min="2" max="2" width="9.7109375" style="12" bestFit="1" customWidth="1"/>
    <col min="3" max="3" width="11.5703125" style="12" bestFit="1" customWidth="1"/>
    <col min="4" max="4" width="14.140625" style="12" bestFit="1" customWidth="1"/>
    <col min="5" max="5" width="13.28515625" style="12" bestFit="1" customWidth="1"/>
    <col min="6" max="6" width="10.7109375" style="13" bestFit="1" customWidth="1"/>
    <col min="7" max="7" width="13.42578125" style="12" bestFit="1" customWidth="1"/>
    <col min="8" max="8" width="9.28515625" style="12" bestFit="1" customWidth="1"/>
    <col min="9" max="9" width="11.42578125" style="13" bestFit="1" customWidth="1"/>
    <col min="10" max="10" width="10.42578125" style="12" bestFit="1" customWidth="1"/>
    <col min="11" max="11" width="5" style="12" bestFit="1" customWidth="1"/>
    <col min="12" max="12" width="9.28515625" style="12" bestFit="1" customWidth="1"/>
    <col min="13" max="13" width="12.85546875" style="12" bestFit="1" customWidth="1"/>
    <col min="14" max="14" width="12.140625" style="12" bestFit="1" customWidth="1"/>
    <col min="15" max="15" width="15.85546875" style="12" bestFit="1" customWidth="1"/>
    <col min="16" max="16" width="15.85546875" style="12" customWidth="1"/>
    <col min="17" max="17" width="16.28515625" style="12" bestFit="1" customWidth="1"/>
    <col min="18" max="19" width="8.5703125" style="12" bestFit="1" customWidth="1"/>
    <col min="20" max="20" width="12.140625" style="12" bestFit="1" customWidth="1"/>
    <col min="21" max="21" width="15.140625" style="12" bestFit="1" customWidth="1"/>
    <col min="22" max="22" width="15.5703125" style="12" bestFit="1" customWidth="1"/>
    <col min="23" max="23" width="7.85546875" style="12" bestFit="1" customWidth="1"/>
    <col min="24" max="24" width="11" customWidth="1"/>
    <col min="25" max="25" width="12.140625" customWidth="1"/>
  </cols>
  <sheetData>
    <row r="1" spans="1:25">
      <c r="A1" s="12" t="s">
        <v>552</v>
      </c>
      <c r="B1" s="12" t="s">
        <v>553</v>
      </c>
      <c r="C1" s="12" t="s">
        <v>554</v>
      </c>
      <c r="D1" s="12" t="s">
        <v>555</v>
      </c>
      <c r="E1" s="12" t="s">
        <v>556</v>
      </c>
      <c r="F1" s="13" t="s">
        <v>557</v>
      </c>
      <c r="G1" s="12" t="s">
        <v>558</v>
      </c>
      <c r="H1" s="12" t="s">
        <v>559</v>
      </c>
      <c r="I1" s="13" t="s">
        <v>560</v>
      </c>
      <c r="J1" s="12" t="s">
        <v>561</v>
      </c>
      <c r="K1" s="12" t="s">
        <v>230</v>
      </c>
      <c r="L1" s="12" t="s">
        <v>562</v>
      </c>
      <c r="M1" s="12" t="s">
        <v>563</v>
      </c>
      <c r="N1" s="12" t="s">
        <v>564</v>
      </c>
      <c r="O1" s="12" t="s">
        <v>565</v>
      </c>
      <c r="P1" s="12" t="s">
        <v>566</v>
      </c>
      <c r="Q1" s="12" t="s">
        <v>567</v>
      </c>
      <c r="R1" s="12" t="s">
        <v>568</v>
      </c>
      <c r="S1" s="12" t="s">
        <v>569</v>
      </c>
      <c r="T1" s="12" t="s">
        <v>570</v>
      </c>
      <c r="U1" s="12" t="s">
        <v>571</v>
      </c>
      <c r="V1" s="12" t="s">
        <v>572</v>
      </c>
      <c r="W1" s="12" t="s">
        <v>573</v>
      </c>
      <c r="X1" s="12" t="s">
        <v>574</v>
      </c>
      <c r="Y1" s="12" t="s">
        <v>575</v>
      </c>
    </row>
    <row r="2" spans="1:25">
      <c r="A2" s="12" t="s">
        <v>299</v>
      </c>
      <c r="B2" s="12" t="s">
        <v>300</v>
      </c>
      <c r="C2" s="12">
        <v>14</v>
      </c>
      <c r="D2" s="12">
        <v>1.98</v>
      </c>
      <c r="E2" s="12" t="s">
        <v>301</v>
      </c>
      <c r="F2" s="13">
        <v>39476</v>
      </c>
      <c r="G2" s="12">
        <v>54</v>
      </c>
      <c r="H2" s="12">
        <v>2.5</v>
      </c>
      <c r="I2" s="13">
        <v>39483</v>
      </c>
      <c r="J2" s="12">
        <v>58.2</v>
      </c>
      <c r="L2" s="12">
        <v>7</v>
      </c>
      <c r="M2" s="12">
        <v>4.2000000000000028</v>
      </c>
      <c r="O2" s="17">
        <v>13.86</v>
      </c>
      <c r="P2" s="17"/>
      <c r="Q2" s="17">
        <v>600.00000000000045</v>
      </c>
      <c r="R2" s="14">
        <v>41.065949000000018</v>
      </c>
      <c r="S2" s="12">
        <v>7</v>
      </c>
      <c r="T2" s="12">
        <v>4.2000000000000028</v>
      </c>
      <c r="U2" s="14">
        <v>13.86</v>
      </c>
      <c r="V2" s="17">
        <v>600.00000000000045</v>
      </c>
      <c r="W2" s="14">
        <v>41.065949000000018</v>
      </c>
      <c r="X2">
        <f>IF(H2&gt;0,-4.1485*H2 + 28.398,17.1)</f>
        <v>18.02675</v>
      </c>
      <c r="Y2">
        <f>W2*X2/17.1</f>
        <v>43.291555329576042</v>
      </c>
    </row>
    <row r="3" spans="1:25">
      <c r="A3" s="12" t="s">
        <v>299</v>
      </c>
      <c r="B3" s="12" t="s">
        <v>300</v>
      </c>
      <c r="C3" s="12">
        <v>14</v>
      </c>
      <c r="D3" s="12">
        <v>1.98</v>
      </c>
      <c r="E3" s="12" t="s">
        <v>302</v>
      </c>
      <c r="F3" s="13">
        <v>39476</v>
      </c>
      <c r="G3" s="12">
        <v>56.6</v>
      </c>
      <c r="H3" s="12">
        <v>2.5</v>
      </c>
      <c r="I3" s="13">
        <v>39483</v>
      </c>
      <c r="J3" s="12">
        <v>62.4</v>
      </c>
      <c r="L3" s="12">
        <v>7</v>
      </c>
      <c r="M3" s="12">
        <v>5.7999999999999972</v>
      </c>
      <c r="O3" s="17">
        <v>13.86</v>
      </c>
      <c r="P3" s="17"/>
      <c r="Q3" s="17">
        <v>828.57142857142821</v>
      </c>
      <c r="R3" s="14">
        <v>52.909426428571408</v>
      </c>
      <c r="S3" s="12">
        <v>7</v>
      </c>
      <c r="T3" s="12">
        <v>5.7999999999999972</v>
      </c>
      <c r="U3" s="14">
        <v>13.86</v>
      </c>
      <c r="V3" s="17">
        <v>828.57142857142821</v>
      </c>
      <c r="W3" s="14">
        <v>52.909426428571408</v>
      </c>
      <c r="X3">
        <f t="shared" ref="X3:X66" si="0">IF(H3&gt;0,-4.1485*H3 + 28.398,17.1)</f>
        <v>18.02675</v>
      </c>
      <c r="Y3">
        <f t="shared" ref="Y3:Y66" si="1">W3*X3/17.1</f>
        <v>55.776900752704648</v>
      </c>
    </row>
    <row r="4" spans="1:25">
      <c r="A4" s="12" t="s">
        <v>299</v>
      </c>
      <c r="B4" s="12" t="s">
        <v>300</v>
      </c>
      <c r="C4" s="12">
        <v>14</v>
      </c>
      <c r="D4" s="12">
        <v>1.98</v>
      </c>
      <c r="E4" s="12" t="s">
        <v>303</v>
      </c>
      <c r="F4" s="13">
        <v>39476</v>
      </c>
      <c r="G4" s="12">
        <v>56.6</v>
      </c>
      <c r="H4" s="12">
        <v>3.25</v>
      </c>
      <c r="I4" s="13">
        <v>39483</v>
      </c>
      <c r="J4" s="12">
        <v>60.8</v>
      </c>
      <c r="L4" s="12">
        <v>7</v>
      </c>
      <c r="M4" s="12">
        <v>4.1999999999999957</v>
      </c>
      <c r="O4" s="17">
        <v>13.86</v>
      </c>
      <c r="P4" s="17"/>
      <c r="Q4" s="17">
        <v>599.99999999999943</v>
      </c>
      <c r="R4" s="14">
        <v>41.505582999999973</v>
      </c>
      <c r="S4" s="12">
        <v>7</v>
      </c>
      <c r="T4" s="12">
        <v>4.1999999999999957</v>
      </c>
      <c r="U4" s="14">
        <v>13.86</v>
      </c>
      <c r="V4" s="17">
        <v>599.99999999999943</v>
      </c>
      <c r="W4" s="14">
        <v>41.505582999999973</v>
      </c>
      <c r="X4">
        <f t="shared" si="0"/>
        <v>14.915374999999999</v>
      </c>
      <c r="Y4">
        <f t="shared" si="1"/>
        <v>36.203002049042368</v>
      </c>
    </row>
    <row r="5" spans="1:25">
      <c r="A5" s="12" t="s">
        <v>299</v>
      </c>
      <c r="B5" s="12" t="s">
        <v>300</v>
      </c>
      <c r="C5" s="12">
        <v>14</v>
      </c>
      <c r="D5" s="12">
        <v>1.98</v>
      </c>
      <c r="E5" s="12" t="s">
        <v>304</v>
      </c>
      <c r="F5" s="13">
        <v>39476</v>
      </c>
      <c r="G5" s="12">
        <v>63.6</v>
      </c>
      <c r="H5" s="12">
        <v>3.25</v>
      </c>
      <c r="I5" s="13">
        <v>39483</v>
      </c>
      <c r="J5" s="12">
        <v>68</v>
      </c>
      <c r="L5" s="12">
        <v>7</v>
      </c>
      <c r="M5" s="12">
        <v>4.3999999999999986</v>
      </c>
      <c r="O5" s="17">
        <v>13.86</v>
      </c>
      <c r="P5" s="17"/>
      <c r="Q5" s="17">
        <v>628.57142857142833</v>
      </c>
      <c r="R5" s="14">
        <v>44.114693428571414</v>
      </c>
      <c r="S5" s="12">
        <v>7</v>
      </c>
      <c r="T5" s="12">
        <v>4.3999999999999986</v>
      </c>
      <c r="U5" s="14">
        <v>13.86</v>
      </c>
      <c r="V5" s="17">
        <v>628.57142857142833</v>
      </c>
      <c r="W5" s="14">
        <v>44.114693428571414</v>
      </c>
      <c r="X5">
        <f t="shared" si="0"/>
        <v>14.915374999999999</v>
      </c>
      <c r="Y5">
        <f t="shared" si="1"/>
        <v>38.47878336240808</v>
      </c>
    </row>
    <row r="6" spans="1:25">
      <c r="A6" s="12" t="s">
        <v>299</v>
      </c>
      <c r="B6" s="12" t="s">
        <v>300</v>
      </c>
      <c r="C6" s="12">
        <v>14</v>
      </c>
      <c r="D6" s="12">
        <v>1.98</v>
      </c>
      <c r="E6" s="12" t="s">
        <v>305</v>
      </c>
      <c r="F6" s="13">
        <v>39476</v>
      </c>
      <c r="G6" s="12">
        <v>52.4</v>
      </c>
      <c r="H6" s="12">
        <v>2</v>
      </c>
      <c r="I6" s="13">
        <v>39483</v>
      </c>
      <c r="J6" s="12">
        <v>58</v>
      </c>
      <c r="L6" s="12">
        <v>7</v>
      </c>
      <c r="M6" s="12">
        <v>5.6000000000000014</v>
      </c>
      <c r="O6" s="17">
        <v>13.86</v>
      </c>
      <c r="P6" s="17"/>
      <c r="Q6" s="17">
        <v>800.00000000000011</v>
      </c>
      <c r="R6" s="14">
        <v>50.773768000000004</v>
      </c>
      <c r="S6" s="12">
        <v>7</v>
      </c>
      <c r="T6" s="12">
        <v>5.6000000000000014</v>
      </c>
      <c r="U6" s="14">
        <v>13.86</v>
      </c>
      <c r="V6" s="17">
        <v>800.00000000000011</v>
      </c>
      <c r="W6" s="14">
        <v>50.773768000000004</v>
      </c>
      <c r="X6">
        <f t="shared" si="0"/>
        <v>20.100999999999999</v>
      </c>
      <c r="Y6">
        <f t="shared" si="1"/>
        <v>59.684415822690056</v>
      </c>
    </row>
    <row r="7" spans="1:25">
      <c r="A7" s="12" t="s">
        <v>299</v>
      </c>
      <c r="B7" s="12" t="s">
        <v>300</v>
      </c>
      <c r="C7" s="12">
        <v>14</v>
      </c>
      <c r="D7" s="12">
        <v>1.98</v>
      </c>
      <c r="E7" s="12" t="s">
        <v>306</v>
      </c>
      <c r="F7" s="13">
        <v>39476</v>
      </c>
      <c r="G7" s="12">
        <v>53.2</v>
      </c>
      <c r="H7" s="12">
        <v>2.5</v>
      </c>
      <c r="I7" s="13">
        <v>39483</v>
      </c>
      <c r="J7" s="12">
        <v>57.2</v>
      </c>
      <c r="L7" s="12">
        <v>7</v>
      </c>
      <c r="M7" s="12">
        <v>4</v>
      </c>
      <c r="O7" s="17">
        <v>13.86</v>
      </c>
      <c r="P7" s="17"/>
      <c r="Q7" s="17">
        <v>571.42857142857144</v>
      </c>
      <c r="R7" s="14">
        <v>39.50519657142857</v>
      </c>
      <c r="S7" s="12">
        <v>7</v>
      </c>
      <c r="T7" s="12">
        <v>4</v>
      </c>
      <c r="U7" s="14">
        <v>13.86</v>
      </c>
      <c r="V7" s="17">
        <v>571.42857142857144</v>
      </c>
      <c r="W7" s="14">
        <v>39.50519657142857</v>
      </c>
      <c r="X7">
        <f t="shared" si="0"/>
        <v>18.02675</v>
      </c>
      <c r="Y7">
        <f t="shared" si="1"/>
        <v>41.646216508421048</v>
      </c>
    </row>
    <row r="8" spans="1:25">
      <c r="A8" s="12" t="s">
        <v>299</v>
      </c>
      <c r="B8" s="12" t="s">
        <v>300</v>
      </c>
      <c r="C8" s="12">
        <v>14</v>
      </c>
      <c r="D8" s="12">
        <v>1.98</v>
      </c>
      <c r="E8" s="12" t="s">
        <v>307</v>
      </c>
      <c r="F8" s="13">
        <v>39476</v>
      </c>
      <c r="G8" s="12">
        <v>60.2</v>
      </c>
      <c r="H8" s="12">
        <v>2.25</v>
      </c>
      <c r="I8" s="13">
        <v>39483</v>
      </c>
      <c r="J8" s="12">
        <v>66</v>
      </c>
      <c r="L8" s="12">
        <v>7</v>
      </c>
      <c r="M8" s="12">
        <v>5.7999999999999972</v>
      </c>
      <c r="O8" s="17">
        <v>13.86</v>
      </c>
      <c r="P8" s="17"/>
      <c r="Q8" s="17">
        <v>828.57142857142821</v>
      </c>
      <c r="R8" s="14">
        <v>53.518150428571403</v>
      </c>
      <c r="S8" s="12">
        <v>7</v>
      </c>
      <c r="T8" s="12">
        <v>5.7999999999999972</v>
      </c>
      <c r="U8" s="14">
        <v>13.86</v>
      </c>
      <c r="V8" s="17">
        <v>828.57142857142821</v>
      </c>
      <c r="W8" s="14">
        <v>53.518150428571403</v>
      </c>
      <c r="X8">
        <f t="shared" si="0"/>
        <v>19.063874999999999</v>
      </c>
      <c r="Y8">
        <f t="shared" si="1"/>
        <v>59.664522222308868</v>
      </c>
    </row>
    <row r="9" spans="1:25">
      <c r="A9" s="12" t="s">
        <v>299</v>
      </c>
      <c r="B9" s="12" t="s">
        <v>300</v>
      </c>
      <c r="C9" s="12">
        <v>14</v>
      </c>
      <c r="D9" s="12">
        <v>1.98</v>
      </c>
      <c r="E9" s="12" t="s">
        <v>308</v>
      </c>
      <c r="F9" s="13">
        <v>39476</v>
      </c>
      <c r="G9" s="12">
        <v>60.2</v>
      </c>
      <c r="H9" s="12">
        <v>3</v>
      </c>
      <c r="I9" s="13">
        <v>39483</v>
      </c>
      <c r="J9" s="12">
        <v>64.2</v>
      </c>
      <c r="L9" s="12">
        <v>7</v>
      </c>
      <c r="M9" s="12">
        <v>4</v>
      </c>
      <c r="O9" s="17">
        <v>13.86</v>
      </c>
      <c r="P9" s="17"/>
      <c r="Q9" s="17">
        <v>571.4</v>
      </c>
      <c r="R9" s="14">
        <v>40.700000000000003</v>
      </c>
      <c r="S9" s="12">
        <v>7</v>
      </c>
      <c r="T9" s="12">
        <v>4</v>
      </c>
      <c r="U9" s="14">
        <v>13.86</v>
      </c>
      <c r="V9" s="17">
        <v>571.42857142857144</v>
      </c>
      <c r="W9" s="14">
        <v>40.688826571428564</v>
      </c>
      <c r="X9">
        <f t="shared" si="0"/>
        <v>15.952499999999999</v>
      </c>
      <c r="Y9">
        <f t="shared" si="1"/>
        <v>37.958392156766905</v>
      </c>
    </row>
    <row r="10" spans="1:25">
      <c r="A10" s="12" t="s">
        <v>299</v>
      </c>
      <c r="B10" s="12" t="s">
        <v>300</v>
      </c>
      <c r="C10" s="12">
        <v>14</v>
      </c>
      <c r="D10" s="12">
        <v>1.98</v>
      </c>
      <c r="E10" s="12" t="s">
        <v>309</v>
      </c>
      <c r="F10" s="13">
        <v>39476</v>
      </c>
      <c r="G10" s="12">
        <v>50.6</v>
      </c>
      <c r="H10" s="12">
        <v>1.75</v>
      </c>
      <c r="I10" s="13">
        <v>39483</v>
      </c>
      <c r="J10" s="12">
        <v>60</v>
      </c>
      <c r="L10" s="12">
        <v>7</v>
      </c>
      <c r="M10" s="12">
        <v>9.3999999999999986</v>
      </c>
      <c r="O10" s="17">
        <v>13.86</v>
      </c>
      <c r="P10" s="17"/>
      <c r="Q10" s="17">
        <v>1342.8571428571427</v>
      </c>
      <c r="R10" s="14">
        <v>77.553534142857131</v>
      </c>
      <c r="S10" s="12">
        <v>7</v>
      </c>
      <c r="T10" s="12">
        <v>9.3999999999999986</v>
      </c>
      <c r="U10" s="14">
        <v>13.86</v>
      </c>
      <c r="V10" s="17">
        <v>1342.8571428571427</v>
      </c>
      <c r="W10" s="14">
        <v>77.553534142857131</v>
      </c>
      <c r="X10">
        <f t="shared" si="0"/>
        <v>21.138124999999999</v>
      </c>
      <c r="Y10">
        <f t="shared" si="1"/>
        <v>95.867619818917049</v>
      </c>
    </row>
    <row r="11" spans="1:25">
      <c r="A11" s="12" t="s">
        <v>299</v>
      </c>
      <c r="B11" s="12" t="s">
        <v>300</v>
      </c>
      <c r="C11" s="12">
        <v>14</v>
      </c>
      <c r="D11" s="12">
        <v>1.98</v>
      </c>
      <c r="E11" s="12" t="s">
        <v>310</v>
      </c>
      <c r="F11" s="13">
        <v>39476</v>
      </c>
      <c r="G11" s="12">
        <v>63.2</v>
      </c>
      <c r="H11" s="12">
        <v>2.5</v>
      </c>
      <c r="I11" s="13">
        <v>39483</v>
      </c>
      <c r="J11" s="12">
        <v>68.599999999999994</v>
      </c>
      <c r="L11" s="12">
        <v>7</v>
      </c>
      <c r="M11" s="12">
        <v>5.3999999999999915</v>
      </c>
      <c r="O11" s="17">
        <v>13.86</v>
      </c>
      <c r="P11" s="17"/>
      <c r="Q11" s="17">
        <v>771.42857142857019</v>
      </c>
      <c r="R11" s="14">
        <v>51.174459571428514</v>
      </c>
      <c r="S11" s="12">
        <v>7</v>
      </c>
      <c r="T11" s="12">
        <v>5.3999999999999915</v>
      </c>
      <c r="U11" s="14">
        <v>13.86</v>
      </c>
      <c r="V11" s="17">
        <v>771.42857142857019</v>
      </c>
      <c r="W11" s="14">
        <v>51.174459571428514</v>
      </c>
      <c r="X11">
        <f t="shared" si="0"/>
        <v>18.02675</v>
      </c>
      <c r="Y11">
        <f t="shared" si="1"/>
        <v>53.947905794108117</v>
      </c>
    </row>
    <row r="12" spans="1:25">
      <c r="A12" s="12" t="s">
        <v>299</v>
      </c>
      <c r="B12" s="12" t="s">
        <v>300</v>
      </c>
      <c r="C12" s="12">
        <v>14</v>
      </c>
      <c r="D12" s="12">
        <v>1.98</v>
      </c>
      <c r="E12" s="12" t="s">
        <v>311</v>
      </c>
      <c r="F12" s="13">
        <v>39476</v>
      </c>
      <c r="G12" s="12">
        <v>57.2</v>
      </c>
      <c r="H12" s="12">
        <v>3.5</v>
      </c>
      <c r="I12" s="13">
        <v>39483</v>
      </c>
      <c r="J12" s="12">
        <v>65.2</v>
      </c>
      <c r="L12" s="12">
        <v>7</v>
      </c>
      <c r="M12" s="12">
        <v>8</v>
      </c>
      <c r="O12" s="17">
        <v>13.86</v>
      </c>
      <c r="P12" s="17"/>
      <c r="Q12" s="17">
        <v>1142.8571428571429</v>
      </c>
      <c r="R12" s="14">
        <v>68.69116514285713</v>
      </c>
      <c r="S12" s="12">
        <v>7</v>
      </c>
      <c r="T12" s="12">
        <v>8</v>
      </c>
      <c r="U12" s="14">
        <v>13.86</v>
      </c>
      <c r="V12" s="17">
        <v>1142.8571428571429</v>
      </c>
      <c r="W12" s="14">
        <v>68.69116514285713</v>
      </c>
      <c r="X12">
        <f t="shared" si="0"/>
        <v>13.878249999999998</v>
      </c>
      <c r="Y12">
        <f t="shared" si="1"/>
        <v>55.749307756950685</v>
      </c>
    </row>
    <row r="13" spans="1:25">
      <c r="A13" s="12" t="s">
        <v>299</v>
      </c>
      <c r="B13" s="12" t="s">
        <v>300</v>
      </c>
      <c r="C13" s="12">
        <v>14</v>
      </c>
      <c r="D13" s="12">
        <v>1.98</v>
      </c>
      <c r="E13" s="12" t="s">
        <v>312</v>
      </c>
      <c r="F13" s="13">
        <v>39476</v>
      </c>
      <c r="G13" s="12">
        <v>48.2</v>
      </c>
      <c r="H13" s="12">
        <v>2.25</v>
      </c>
      <c r="I13" s="13">
        <v>39483</v>
      </c>
      <c r="J13" s="12">
        <v>55.8</v>
      </c>
      <c r="L13" s="12">
        <v>7</v>
      </c>
      <c r="M13" s="12">
        <v>7.5999999999999943</v>
      </c>
      <c r="O13" s="17">
        <v>13.86</v>
      </c>
      <c r="P13" s="17"/>
      <c r="Q13" s="17">
        <v>1085.7142857142849</v>
      </c>
      <c r="R13" s="14">
        <v>64.318394285714248</v>
      </c>
      <c r="S13" s="12">
        <v>7</v>
      </c>
      <c r="T13" s="12">
        <v>7.5999999999999943</v>
      </c>
      <c r="U13" s="14">
        <v>13.86</v>
      </c>
      <c r="V13" s="17">
        <v>1085.7142857142849</v>
      </c>
      <c r="W13" s="14">
        <v>64.318394285714248</v>
      </c>
      <c r="X13">
        <f t="shared" si="0"/>
        <v>19.063874999999999</v>
      </c>
      <c r="Y13">
        <f t="shared" si="1"/>
        <v>71.705136190852087</v>
      </c>
    </row>
    <row r="14" spans="1:25">
      <c r="A14" s="12" t="s">
        <v>299</v>
      </c>
      <c r="B14" s="12" t="s">
        <v>300</v>
      </c>
      <c r="C14" s="12">
        <v>14</v>
      </c>
      <c r="D14" s="12">
        <v>1.98</v>
      </c>
      <c r="E14" s="12" t="s">
        <v>313</v>
      </c>
      <c r="F14" s="13">
        <v>39476</v>
      </c>
      <c r="G14" s="12">
        <v>66.400000000000006</v>
      </c>
      <c r="H14" s="12">
        <v>2.5</v>
      </c>
      <c r="I14" s="13">
        <v>39483</v>
      </c>
      <c r="J14" s="12">
        <v>67.8</v>
      </c>
      <c r="L14" s="12">
        <v>7</v>
      </c>
      <c r="M14" s="12">
        <v>1.3999999999999915</v>
      </c>
      <c r="O14" s="17">
        <v>13.86</v>
      </c>
      <c r="P14" s="17"/>
      <c r="Q14" s="17">
        <v>199.99999999999878</v>
      </c>
      <c r="R14" s="14">
        <v>23.205938999999937</v>
      </c>
      <c r="S14" s="12">
        <v>7</v>
      </c>
      <c r="T14" s="12">
        <v>1.3999999999999915</v>
      </c>
      <c r="U14" s="14">
        <v>13.86</v>
      </c>
      <c r="V14" s="17">
        <v>199.99999999999878</v>
      </c>
      <c r="W14" s="14">
        <v>23.205938999999937</v>
      </c>
      <c r="X14">
        <f t="shared" si="0"/>
        <v>18.02675</v>
      </c>
      <c r="Y14">
        <f t="shared" si="1"/>
        <v>24.463605898728002</v>
      </c>
    </row>
    <row r="15" spans="1:25">
      <c r="A15" s="12" t="s">
        <v>299</v>
      </c>
      <c r="B15" s="12" t="s">
        <v>300</v>
      </c>
      <c r="C15" s="12">
        <v>14</v>
      </c>
      <c r="D15" s="12">
        <v>1.98</v>
      </c>
      <c r="E15" s="12" t="s">
        <v>314</v>
      </c>
      <c r="F15" s="13">
        <v>39476</v>
      </c>
      <c r="G15" s="12">
        <v>48.4</v>
      </c>
      <c r="H15" s="12">
        <v>2</v>
      </c>
      <c r="I15" s="13">
        <v>39483</v>
      </c>
      <c r="J15" s="12">
        <v>49.4</v>
      </c>
      <c r="L15" s="12">
        <v>7</v>
      </c>
      <c r="M15" s="12">
        <v>1</v>
      </c>
      <c r="O15" s="17">
        <v>13.86</v>
      </c>
      <c r="P15" s="17"/>
      <c r="Q15" s="17">
        <v>142.85714285714286</v>
      </c>
      <c r="R15" s="14">
        <v>17.311358142857141</v>
      </c>
      <c r="S15" s="12">
        <v>7</v>
      </c>
      <c r="T15" s="12">
        <v>1</v>
      </c>
      <c r="U15" s="14">
        <v>13.86</v>
      </c>
      <c r="V15" s="17">
        <v>142.85714285714286</v>
      </c>
      <c r="W15" s="14">
        <v>17.311358142857141</v>
      </c>
      <c r="X15">
        <f t="shared" si="0"/>
        <v>20.100999999999999</v>
      </c>
      <c r="Y15">
        <f t="shared" si="1"/>
        <v>20.349450878922301</v>
      </c>
    </row>
    <row r="16" spans="1:25">
      <c r="A16" s="12" t="s">
        <v>299</v>
      </c>
      <c r="B16" s="12" t="s">
        <v>300</v>
      </c>
      <c r="C16" s="12">
        <v>14</v>
      </c>
      <c r="D16" s="12">
        <v>1.98</v>
      </c>
      <c r="E16" s="12" t="s">
        <v>315</v>
      </c>
      <c r="F16" s="13">
        <v>39476</v>
      </c>
      <c r="G16" s="12">
        <v>53</v>
      </c>
      <c r="H16" s="12">
        <v>2</v>
      </c>
      <c r="I16" s="13">
        <v>39483</v>
      </c>
      <c r="J16" s="12">
        <v>59</v>
      </c>
      <c r="L16" s="12">
        <v>7</v>
      </c>
      <c r="M16" s="12">
        <v>6</v>
      </c>
      <c r="O16" s="17">
        <v>13.86</v>
      </c>
      <c r="P16" s="17"/>
      <c r="Q16" s="17">
        <v>857.14285714285711</v>
      </c>
      <c r="R16" s="14">
        <v>53.726182857142852</v>
      </c>
      <c r="S16" s="12">
        <v>7</v>
      </c>
      <c r="T16" s="12">
        <v>6</v>
      </c>
      <c r="U16" s="14">
        <v>13.86</v>
      </c>
      <c r="V16" s="17">
        <v>857.14285714285711</v>
      </c>
      <c r="W16" s="14">
        <v>53.726182857142852</v>
      </c>
      <c r="X16">
        <f t="shared" si="0"/>
        <v>20.100999999999999</v>
      </c>
      <c r="Y16">
        <f t="shared" si="1"/>
        <v>63.154970854469497</v>
      </c>
    </row>
    <row r="17" spans="1:25">
      <c r="A17" s="12" t="s">
        <v>299</v>
      </c>
      <c r="B17" s="12" t="s">
        <v>300</v>
      </c>
      <c r="C17" s="12">
        <v>14</v>
      </c>
      <c r="D17" s="12">
        <v>1.98</v>
      </c>
      <c r="E17" s="12" t="s">
        <v>316</v>
      </c>
      <c r="F17" s="13">
        <v>39476</v>
      </c>
      <c r="G17" s="12">
        <v>60</v>
      </c>
      <c r="H17" s="12">
        <v>2</v>
      </c>
      <c r="I17" s="13">
        <v>39483</v>
      </c>
      <c r="J17" s="12">
        <v>65</v>
      </c>
      <c r="L17" s="12">
        <v>7</v>
      </c>
      <c r="M17" s="12">
        <v>5</v>
      </c>
      <c r="O17" s="17">
        <v>13.86</v>
      </c>
      <c r="P17" s="17"/>
      <c r="Q17" s="17">
        <v>714.28571428571433</v>
      </c>
      <c r="R17" s="14">
        <v>47.782410714285717</v>
      </c>
      <c r="S17" s="12">
        <v>7</v>
      </c>
      <c r="T17" s="12">
        <v>5</v>
      </c>
      <c r="U17" s="14">
        <v>13.86</v>
      </c>
      <c r="V17" s="17">
        <v>714.28571428571433</v>
      </c>
      <c r="W17" s="14">
        <v>47.782410714285717</v>
      </c>
      <c r="X17">
        <f t="shared" si="0"/>
        <v>20.100999999999999</v>
      </c>
      <c r="Y17">
        <f t="shared" si="1"/>
        <v>56.168084079991644</v>
      </c>
    </row>
    <row r="18" spans="1:25">
      <c r="A18" s="12" t="s">
        <v>299</v>
      </c>
      <c r="B18" s="12" t="s">
        <v>300</v>
      </c>
      <c r="C18" s="12">
        <v>14</v>
      </c>
      <c r="D18" s="12">
        <v>1.98</v>
      </c>
      <c r="E18" s="12" t="s">
        <v>317</v>
      </c>
      <c r="F18" s="13">
        <v>39476</v>
      </c>
      <c r="G18" s="12">
        <v>64.2</v>
      </c>
      <c r="H18" s="12">
        <v>3</v>
      </c>
      <c r="I18" s="13">
        <v>39483</v>
      </c>
      <c r="J18" s="12">
        <v>69.8</v>
      </c>
      <c r="L18" s="12">
        <v>7</v>
      </c>
      <c r="M18" s="12">
        <v>5.5999999999999943</v>
      </c>
      <c r="O18" s="17">
        <v>13.86</v>
      </c>
      <c r="P18" s="17"/>
      <c r="Q18" s="17">
        <v>799.9999999999992</v>
      </c>
      <c r="R18" s="14">
        <v>52.769029999999958</v>
      </c>
      <c r="S18" s="12">
        <v>7</v>
      </c>
      <c r="T18" s="12">
        <v>5.5999999999999943</v>
      </c>
      <c r="U18" s="14">
        <v>13.86</v>
      </c>
      <c r="V18" s="17">
        <v>799.9999999999992</v>
      </c>
      <c r="W18" s="14">
        <v>52.769029999999958</v>
      </c>
      <c r="X18">
        <f t="shared" si="0"/>
        <v>15.952499999999999</v>
      </c>
      <c r="Y18">
        <f t="shared" si="1"/>
        <v>49.227950355263111</v>
      </c>
    </row>
    <row r="19" spans="1:25">
      <c r="A19" s="12" t="s">
        <v>299</v>
      </c>
      <c r="B19" s="12" t="s">
        <v>300</v>
      </c>
      <c r="C19" s="12">
        <v>14</v>
      </c>
      <c r="D19" s="12">
        <v>1.98</v>
      </c>
      <c r="E19" s="12" t="s">
        <v>318</v>
      </c>
      <c r="F19" s="13">
        <v>39476</v>
      </c>
      <c r="G19" s="12">
        <v>56.4</v>
      </c>
      <c r="H19" s="12">
        <v>2.5</v>
      </c>
      <c r="I19" s="13">
        <v>39483</v>
      </c>
      <c r="J19" s="12">
        <v>63.8</v>
      </c>
      <c r="L19" s="12">
        <v>7</v>
      </c>
      <c r="M19" s="12">
        <v>7.3999999999999986</v>
      </c>
      <c r="O19" s="17">
        <v>13.86</v>
      </c>
      <c r="P19" s="17"/>
      <c r="Q19" s="17">
        <v>1057.1428571428569</v>
      </c>
      <c r="R19" s="14">
        <v>64.279451857142845</v>
      </c>
      <c r="S19" s="12">
        <v>7</v>
      </c>
      <c r="T19" s="12">
        <v>7.3999999999999986</v>
      </c>
      <c r="U19" s="14">
        <v>13.86</v>
      </c>
      <c r="V19" s="17">
        <v>1057.1428571428569</v>
      </c>
      <c r="W19" s="14">
        <v>64.279451857142845</v>
      </c>
      <c r="X19">
        <f t="shared" si="0"/>
        <v>18.02675</v>
      </c>
      <c r="Y19">
        <f t="shared" si="1"/>
        <v>67.763135015540925</v>
      </c>
    </row>
    <row r="20" spans="1:25">
      <c r="A20" s="12" t="s">
        <v>299</v>
      </c>
      <c r="B20" s="12" t="s">
        <v>300</v>
      </c>
      <c r="C20" s="12">
        <v>14</v>
      </c>
      <c r="D20" s="12">
        <v>1.98</v>
      </c>
      <c r="E20" s="12" t="s">
        <v>319</v>
      </c>
      <c r="F20" s="13">
        <v>39476</v>
      </c>
      <c r="G20" s="12">
        <v>64</v>
      </c>
      <c r="H20" s="12">
        <v>3</v>
      </c>
      <c r="I20" s="13">
        <v>39483</v>
      </c>
      <c r="J20" s="12">
        <v>67.599999999999994</v>
      </c>
      <c r="L20" s="12">
        <v>7</v>
      </c>
      <c r="M20" s="12">
        <v>3.5999999999999943</v>
      </c>
      <c r="O20" s="17">
        <v>13.86</v>
      </c>
      <c r="P20" s="17"/>
      <c r="Q20" s="17">
        <v>514.28571428571342</v>
      </c>
      <c r="R20" s="14">
        <v>38.480407714285676</v>
      </c>
      <c r="S20" s="12">
        <v>7</v>
      </c>
      <c r="T20" s="12">
        <v>3.5999999999999943</v>
      </c>
      <c r="U20" s="14">
        <v>13.86</v>
      </c>
      <c r="V20" s="17">
        <v>514.28571428571342</v>
      </c>
      <c r="W20" s="14">
        <v>38.480407714285676</v>
      </c>
      <c r="X20">
        <f t="shared" si="0"/>
        <v>15.952499999999999</v>
      </c>
      <c r="Y20">
        <f t="shared" si="1"/>
        <v>35.898169828195449</v>
      </c>
    </row>
    <row r="21" spans="1:25">
      <c r="A21" s="12" t="s">
        <v>299</v>
      </c>
      <c r="B21" s="12" t="s">
        <v>300</v>
      </c>
      <c r="C21" s="12">
        <v>14</v>
      </c>
      <c r="D21" s="12">
        <v>1.98</v>
      </c>
      <c r="E21" s="12" t="s">
        <v>320</v>
      </c>
      <c r="F21" s="13">
        <v>39476</v>
      </c>
      <c r="G21" s="12">
        <v>54</v>
      </c>
      <c r="H21" s="12">
        <v>2.5</v>
      </c>
      <c r="I21" s="13">
        <v>39483</v>
      </c>
      <c r="J21" s="12">
        <v>57.8</v>
      </c>
      <c r="L21" s="12">
        <v>7</v>
      </c>
      <c r="M21" s="12">
        <v>3.7999999999999972</v>
      </c>
      <c r="O21" s="17">
        <v>13.86</v>
      </c>
      <c r="P21" s="17"/>
      <c r="Q21" s="17">
        <v>542.85714285714243</v>
      </c>
      <c r="R21" s="14">
        <v>38.214988142857123</v>
      </c>
      <c r="S21" s="12">
        <v>7</v>
      </c>
      <c r="T21" s="12">
        <v>3.7999999999999972</v>
      </c>
      <c r="U21" s="14">
        <v>13.86</v>
      </c>
      <c r="V21" s="17">
        <v>542.85714285714243</v>
      </c>
      <c r="W21" s="14">
        <v>38.214988142857123</v>
      </c>
      <c r="X21">
        <f t="shared" si="0"/>
        <v>18.02675</v>
      </c>
      <c r="Y21">
        <f t="shared" si="1"/>
        <v>40.286084064575995</v>
      </c>
    </row>
    <row r="22" spans="1:25">
      <c r="A22" s="12" t="s">
        <v>299</v>
      </c>
      <c r="B22" s="12" t="s">
        <v>300</v>
      </c>
      <c r="C22" s="12">
        <v>14</v>
      </c>
      <c r="D22" s="12">
        <v>1.98</v>
      </c>
      <c r="E22" s="12" t="s">
        <v>321</v>
      </c>
      <c r="F22" s="13">
        <v>39476</v>
      </c>
      <c r="G22" s="12">
        <v>59.2</v>
      </c>
      <c r="H22" s="12">
        <v>1.75</v>
      </c>
      <c r="I22" s="13">
        <v>39483</v>
      </c>
      <c r="J22" s="12">
        <v>64</v>
      </c>
      <c r="L22" s="12">
        <v>7</v>
      </c>
      <c r="M22" s="12">
        <v>4.7999999999999972</v>
      </c>
      <c r="O22" s="17">
        <v>13.86</v>
      </c>
      <c r="P22" s="17"/>
      <c r="Q22" s="17">
        <v>685.71428571428532</v>
      </c>
      <c r="R22" s="14">
        <v>46.221658285714255</v>
      </c>
      <c r="S22" s="12">
        <v>7</v>
      </c>
      <c r="T22" s="12">
        <v>4.7999999999999972</v>
      </c>
      <c r="U22" s="14">
        <v>13.86</v>
      </c>
      <c r="V22" s="17">
        <v>685.71428571428532</v>
      </c>
      <c r="W22" s="14">
        <v>46.221658285714255</v>
      </c>
      <c r="X22">
        <f t="shared" si="0"/>
        <v>21.138124999999999</v>
      </c>
      <c r="Y22">
        <f t="shared" si="1"/>
        <v>57.136794769047569</v>
      </c>
    </row>
    <row r="23" spans="1:25">
      <c r="A23" s="12" t="s">
        <v>299</v>
      </c>
      <c r="B23" s="12" t="s">
        <v>300</v>
      </c>
      <c r="C23" s="12">
        <v>14</v>
      </c>
      <c r="D23" s="12">
        <v>1.98</v>
      </c>
      <c r="E23" s="12" t="s">
        <v>322</v>
      </c>
      <c r="F23" s="13">
        <v>39476</v>
      </c>
      <c r="G23" s="12">
        <v>57.8</v>
      </c>
      <c r="H23" s="12">
        <v>1.75</v>
      </c>
      <c r="I23" s="13">
        <v>39483</v>
      </c>
      <c r="J23" s="12">
        <v>61.4</v>
      </c>
      <c r="L23" s="12">
        <v>7</v>
      </c>
      <c r="M23" s="12">
        <v>3.6000000000000014</v>
      </c>
      <c r="O23" s="17">
        <v>13.86</v>
      </c>
      <c r="P23" s="17"/>
      <c r="Q23" s="17">
        <v>514.28571428571445</v>
      </c>
      <c r="R23" s="14">
        <v>37.432049714285725</v>
      </c>
      <c r="S23" s="12">
        <v>7</v>
      </c>
      <c r="T23" s="12">
        <v>3.6000000000000014</v>
      </c>
      <c r="U23" s="14">
        <v>13.86</v>
      </c>
      <c r="V23" s="17">
        <v>514.28571428571445</v>
      </c>
      <c r="W23" s="14">
        <v>37.432049714285725</v>
      </c>
      <c r="X23">
        <f t="shared" si="0"/>
        <v>21.138124999999999</v>
      </c>
      <c r="Y23">
        <f t="shared" si="1"/>
        <v>46.271540693964084</v>
      </c>
    </row>
    <row r="24" spans="1:25">
      <c r="A24" s="12" t="s">
        <v>299</v>
      </c>
      <c r="B24" s="12" t="s">
        <v>300</v>
      </c>
      <c r="C24" s="12">
        <v>14</v>
      </c>
      <c r="D24" s="12">
        <v>1.98</v>
      </c>
      <c r="E24" s="12" t="s">
        <v>323</v>
      </c>
      <c r="F24" s="13">
        <v>39476</v>
      </c>
      <c r="G24" s="12">
        <v>56.2</v>
      </c>
      <c r="H24" s="12">
        <v>2.75</v>
      </c>
      <c r="I24" s="13">
        <v>39483</v>
      </c>
      <c r="J24" s="12">
        <v>64.8</v>
      </c>
      <c r="L24" s="12">
        <v>7</v>
      </c>
      <c r="M24" s="12">
        <v>8.5999999999999943</v>
      </c>
      <c r="O24" s="17">
        <v>13.86</v>
      </c>
      <c r="P24" s="17"/>
      <c r="Q24" s="17">
        <v>1228.5714285714278</v>
      </c>
      <c r="R24" s="14">
        <v>72.798516428571389</v>
      </c>
      <c r="S24" s="12">
        <v>7</v>
      </c>
      <c r="T24" s="12">
        <v>8.5999999999999943</v>
      </c>
      <c r="U24" s="14">
        <v>13.86</v>
      </c>
      <c r="V24" s="17">
        <v>1228.5714285714278</v>
      </c>
      <c r="W24" s="14">
        <v>72.798516428571389</v>
      </c>
      <c r="X24">
        <f t="shared" si="0"/>
        <v>16.989624999999997</v>
      </c>
      <c r="Y24">
        <f t="shared" si="1"/>
        <v>72.328625419752441</v>
      </c>
    </row>
    <row r="25" spans="1:25">
      <c r="A25" s="12" t="s">
        <v>299</v>
      </c>
      <c r="B25" s="12" t="s">
        <v>300</v>
      </c>
      <c r="C25" s="12">
        <v>14</v>
      </c>
      <c r="D25" s="12">
        <v>1.98</v>
      </c>
      <c r="E25" s="12" t="s">
        <v>324</v>
      </c>
      <c r="F25" s="13">
        <v>39476</v>
      </c>
      <c r="G25" s="12">
        <v>58</v>
      </c>
      <c r="H25" s="12">
        <v>2.25</v>
      </c>
      <c r="I25" s="13">
        <v>39483</v>
      </c>
      <c r="J25" s="12">
        <v>64.2</v>
      </c>
      <c r="L25" s="12">
        <v>7</v>
      </c>
      <c r="M25" s="12">
        <v>6.2000000000000028</v>
      </c>
      <c r="O25" s="17">
        <v>13.86</v>
      </c>
      <c r="P25" s="17"/>
      <c r="Q25" s="17">
        <v>885.71428571428612</v>
      </c>
      <c r="R25" s="14">
        <v>55.997113285714299</v>
      </c>
      <c r="S25" s="12">
        <v>7</v>
      </c>
      <c r="T25" s="12">
        <v>6.2000000000000028</v>
      </c>
      <c r="U25" s="14">
        <v>13.86</v>
      </c>
      <c r="V25" s="17">
        <v>885.71428571428612</v>
      </c>
      <c r="W25" s="14">
        <v>55.997113285714299</v>
      </c>
      <c r="X25">
        <f t="shared" si="0"/>
        <v>19.063874999999999</v>
      </c>
      <c r="Y25">
        <f t="shared" si="1"/>
        <v>62.428185265479335</v>
      </c>
    </row>
    <row r="26" spans="1:25">
      <c r="A26" s="12" t="s">
        <v>299</v>
      </c>
      <c r="B26" s="12" t="s">
        <v>300</v>
      </c>
      <c r="C26" s="12">
        <v>14</v>
      </c>
      <c r="D26" s="12">
        <v>1.98</v>
      </c>
      <c r="E26" s="12" t="s">
        <v>325</v>
      </c>
      <c r="F26" s="13">
        <v>39476</v>
      </c>
      <c r="G26" s="12">
        <v>67</v>
      </c>
      <c r="H26" s="12">
        <v>2.25</v>
      </c>
      <c r="I26" s="13">
        <v>39483</v>
      </c>
      <c r="J26" s="12">
        <v>67.8</v>
      </c>
      <c r="L26" s="12">
        <v>7</v>
      </c>
      <c r="M26" s="12">
        <v>0.79999999999999716</v>
      </c>
      <c r="O26" s="17">
        <v>13.86</v>
      </c>
      <c r="P26" s="17"/>
      <c r="Q26" s="17">
        <v>114.28571428571388</v>
      </c>
      <c r="R26" s="14">
        <v>19.030951714285692</v>
      </c>
      <c r="S26" s="12">
        <v>7</v>
      </c>
      <c r="T26" s="12">
        <v>0.79999999999999716</v>
      </c>
      <c r="U26" s="14">
        <v>13.86</v>
      </c>
      <c r="V26" s="17">
        <v>114.28571428571388</v>
      </c>
      <c r="W26" s="14">
        <v>19.030951714285692</v>
      </c>
      <c r="X26">
        <f t="shared" si="0"/>
        <v>19.063874999999999</v>
      </c>
      <c r="Y26">
        <f t="shared" si="1"/>
        <v>21.216589743402228</v>
      </c>
    </row>
    <row r="27" spans="1:25">
      <c r="A27" s="12" t="s">
        <v>299</v>
      </c>
      <c r="B27" s="12" t="s">
        <v>300</v>
      </c>
      <c r="C27" s="12">
        <v>14</v>
      </c>
      <c r="D27" s="12">
        <v>1.98</v>
      </c>
      <c r="E27" s="12" t="s">
        <v>326</v>
      </c>
      <c r="F27" s="13">
        <v>39476</v>
      </c>
      <c r="G27" s="12">
        <v>70.599999999999994</v>
      </c>
      <c r="H27" s="12">
        <v>3</v>
      </c>
      <c r="I27" s="13">
        <v>39483</v>
      </c>
      <c r="J27" s="12">
        <v>68.2</v>
      </c>
      <c r="L27" s="12">
        <v>7</v>
      </c>
      <c r="M27" s="12">
        <v>-2.3999999999999915</v>
      </c>
      <c r="O27" s="17">
        <v>13.86</v>
      </c>
      <c r="P27" s="17"/>
      <c r="Q27" s="17">
        <v>-342.85714285714164</v>
      </c>
      <c r="R27" s="14">
        <v>-3.1680111428570825</v>
      </c>
      <c r="S27" s="12">
        <v>7</v>
      </c>
      <c r="T27" s="12">
        <v>-2.3999999999999915</v>
      </c>
      <c r="U27" s="14">
        <v>13.86</v>
      </c>
      <c r="V27" s="17">
        <v>-342.85714285714164</v>
      </c>
      <c r="W27" s="14">
        <v>-3.1680111428570825</v>
      </c>
      <c r="X27">
        <f t="shared" si="0"/>
        <v>15.952499999999999</v>
      </c>
      <c r="Y27">
        <f t="shared" si="1"/>
        <v>-2.9554209214285145</v>
      </c>
    </row>
    <row r="28" spans="1:25">
      <c r="A28" s="12" t="s">
        <v>299</v>
      </c>
      <c r="B28" s="12" t="s">
        <v>300</v>
      </c>
      <c r="C28" s="12">
        <v>14</v>
      </c>
      <c r="D28" s="12">
        <v>1.98</v>
      </c>
      <c r="E28" s="12" t="s">
        <v>327</v>
      </c>
      <c r="F28" s="13">
        <v>39476</v>
      </c>
      <c r="G28" s="12">
        <v>61.6</v>
      </c>
      <c r="H28" s="12">
        <v>2.5</v>
      </c>
      <c r="I28" s="13">
        <v>39483</v>
      </c>
      <c r="J28" s="12">
        <v>67</v>
      </c>
      <c r="L28" s="12">
        <v>7</v>
      </c>
      <c r="M28" s="12">
        <v>5.3999999999999986</v>
      </c>
      <c r="O28" s="17">
        <v>13.86</v>
      </c>
      <c r="P28" s="17"/>
      <c r="Q28" s="17">
        <v>771.42857142857122</v>
      </c>
      <c r="R28" s="14">
        <v>50.903915571428563</v>
      </c>
      <c r="S28" s="12">
        <v>7</v>
      </c>
      <c r="T28" s="12">
        <v>5.3999999999999986</v>
      </c>
      <c r="U28" s="14">
        <v>13.86</v>
      </c>
      <c r="V28" s="17">
        <v>771.42857142857122</v>
      </c>
      <c r="W28" s="14">
        <v>50.903915571428563</v>
      </c>
      <c r="X28">
        <f t="shared" si="0"/>
        <v>18.02675</v>
      </c>
      <c r="Y28">
        <f t="shared" si="1"/>
        <v>53.662699416798233</v>
      </c>
    </row>
    <row r="29" spans="1:25">
      <c r="A29" s="12" t="s">
        <v>299</v>
      </c>
      <c r="B29" s="12" t="s">
        <v>300</v>
      </c>
      <c r="C29" s="12">
        <v>14</v>
      </c>
      <c r="D29" s="12">
        <v>1.98</v>
      </c>
      <c r="E29" s="12" t="s">
        <v>328</v>
      </c>
      <c r="F29" s="13">
        <v>39476</v>
      </c>
      <c r="G29" s="12">
        <v>60</v>
      </c>
      <c r="H29" s="12">
        <v>2.5</v>
      </c>
      <c r="I29" s="13">
        <v>39483</v>
      </c>
      <c r="J29" s="12">
        <v>63</v>
      </c>
      <c r="L29" s="12">
        <v>7</v>
      </c>
      <c r="M29" s="12">
        <v>3</v>
      </c>
      <c r="O29" s="17">
        <v>13.86</v>
      </c>
      <c r="P29" s="17"/>
      <c r="Q29" s="17">
        <v>428.57142857142856</v>
      </c>
      <c r="R29" s="14">
        <v>33.527606428571424</v>
      </c>
      <c r="S29" s="12">
        <v>7</v>
      </c>
      <c r="T29" s="12">
        <v>3</v>
      </c>
      <c r="U29" s="14">
        <v>13.86</v>
      </c>
      <c r="V29" s="17">
        <v>428.57142857142856</v>
      </c>
      <c r="W29" s="14">
        <v>33.527606428571424</v>
      </c>
      <c r="X29">
        <f t="shared" si="0"/>
        <v>18.02675</v>
      </c>
      <c r="Y29">
        <f t="shared" si="1"/>
        <v>35.344665449488296</v>
      </c>
    </row>
    <row r="30" spans="1:25">
      <c r="A30" s="12" t="s">
        <v>299</v>
      </c>
      <c r="B30" s="12" t="s">
        <v>300</v>
      </c>
      <c r="C30" s="12">
        <v>14</v>
      </c>
      <c r="D30" s="12">
        <v>1.98</v>
      </c>
      <c r="E30" s="12" t="s">
        <v>329</v>
      </c>
      <c r="F30" s="13">
        <v>39476</v>
      </c>
      <c r="G30" s="12">
        <v>58</v>
      </c>
      <c r="H30" s="12">
        <v>3</v>
      </c>
      <c r="I30" s="13">
        <v>39483</v>
      </c>
      <c r="J30" s="12">
        <v>62</v>
      </c>
      <c r="L30" s="12">
        <v>7</v>
      </c>
      <c r="M30" s="12">
        <v>4</v>
      </c>
      <c r="O30" s="17">
        <v>13.86</v>
      </c>
      <c r="P30" s="17"/>
      <c r="Q30" s="17">
        <v>571.42857142857144</v>
      </c>
      <c r="R30" s="14">
        <v>40.316828571428566</v>
      </c>
      <c r="S30" s="12">
        <v>7</v>
      </c>
      <c r="T30" s="12">
        <v>4</v>
      </c>
      <c r="U30" s="14">
        <v>13.86</v>
      </c>
      <c r="V30" s="17">
        <v>571.42857142857144</v>
      </c>
      <c r="W30" s="14">
        <v>40.316828571428566</v>
      </c>
      <c r="X30">
        <f t="shared" si="0"/>
        <v>15.952499999999999</v>
      </c>
      <c r="Y30">
        <f t="shared" si="1"/>
        <v>37.611357180451115</v>
      </c>
    </row>
    <row r="31" spans="1:25">
      <c r="A31" s="12" t="s">
        <v>299</v>
      </c>
      <c r="B31" s="12" t="s">
        <v>300</v>
      </c>
      <c r="C31" s="12">
        <v>14</v>
      </c>
      <c r="D31" s="12">
        <v>1.98</v>
      </c>
      <c r="E31" s="12" t="s">
        <v>330</v>
      </c>
      <c r="F31" s="13">
        <v>39476</v>
      </c>
      <c r="G31" s="12">
        <v>55.2</v>
      </c>
      <c r="H31" s="12">
        <v>2.5</v>
      </c>
      <c r="I31" s="13">
        <v>39483</v>
      </c>
      <c r="J31" s="12">
        <v>62</v>
      </c>
      <c r="L31" s="12">
        <v>7</v>
      </c>
      <c r="M31" s="12">
        <v>6.7999999999999972</v>
      </c>
      <c r="O31" s="17">
        <v>13.86</v>
      </c>
      <c r="P31" s="17"/>
      <c r="Q31" s="17">
        <v>971.42857142857099</v>
      </c>
      <c r="R31" s="14">
        <v>59.800102571428546</v>
      </c>
      <c r="S31" s="12">
        <v>7</v>
      </c>
      <c r="T31" s="12">
        <v>6.7999999999999972</v>
      </c>
      <c r="U31" s="14">
        <v>13.86</v>
      </c>
      <c r="V31" s="17">
        <v>971.42857142857099</v>
      </c>
      <c r="W31" s="14">
        <v>59.800102571428546</v>
      </c>
      <c r="X31">
        <f t="shared" si="0"/>
        <v>18.02675</v>
      </c>
      <c r="Y31">
        <f t="shared" si="1"/>
        <v>63.041023335058441</v>
      </c>
    </row>
    <row r="32" spans="1:25">
      <c r="A32" s="12" t="s">
        <v>299</v>
      </c>
      <c r="B32" s="12" t="s">
        <v>300</v>
      </c>
      <c r="C32" s="12">
        <v>14</v>
      </c>
      <c r="D32" s="12">
        <v>1.98</v>
      </c>
      <c r="E32" s="12" t="s">
        <v>331</v>
      </c>
      <c r="F32" s="13">
        <v>39476</v>
      </c>
      <c r="G32" s="12">
        <v>60.6</v>
      </c>
      <c r="H32" s="12">
        <v>2</v>
      </c>
      <c r="I32" s="13">
        <v>39483</v>
      </c>
      <c r="J32" s="12">
        <v>60.4</v>
      </c>
      <c r="L32" s="12">
        <v>7</v>
      </c>
      <c r="M32" s="12">
        <v>-0.20000000000000284</v>
      </c>
      <c r="O32" s="17">
        <v>13.86</v>
      </c>
      <c r="P32" s="17"/>
      <c r="Q32" s="17">
        <v>-28.571428571428978</v>
      </c>
      <c r="R32" s="14">
        <v>10.82137357142855</v>
      </c>
      <c r="S32" s="12">
        <v>7</v>
      </c>
      <c r="T32" s="12">
        <v>-0.20000000000000284</v>
      </c>
      <c r="U32" s="14">
        <v>13.86</v>
      </c>
      <c r="V32" s="17">
        <v>-28.571428571428978</v>
      </c>
      <c r="W32" s="14">
        <v>10.82137357142855</v>
      </c>
      <c r="X32">
        <f t="shared" si="0"/>
        <v>20.100999999999999</v>
      </c>
      <c r="Y32">
        <f t="shared" si="1"/>
        <v>12.720492991771067</v>
      </c>
    </row>
    <row r="33" spans="1:25">
      <c r="A33" s="12" t="s">
        <v>299</v>
      </c>
      <c r="B33" s="12" t="s">
        <v>300</v>
      </c>
      <c r="C33" s="12">
        <v>14</v>
      </c>
      <c r="D33" s="12">
        <v>1.98</v>
      </c>
      <c r="E33" s="12" t="s">
        <v>332</v>
      </c>
      <c r="F33" s="13">
        <v>39476</v>
      </c>
      <c r="G33" s="12">
        <v>64.400000000000006</v>
      </c>
      <c r="H33" s="12">
        <v>1.75</v>
      </c>
      <c r="I33" s="13">
        <v>39483</v>
      </c>
      <c r="J33" s="12">
        <v>64.400000000000006</v>
      </c>
      <c r="L33" s="12">
        <v>7</v>
      </c>
      <c r="M33" s="12">
        <v>0</v>
      </c>
      <c r="O33" s="17">
        <v>13.86</v>
      </c>
      <c r="P33" s="17"/>
      <c r="Q33" s="17">
        <v>0</v>
      </c>
      <c r="R33" s="14">
        <v>12.889396</v>
      </c>
      <c r="S33" s="12">
        <v>7</v>
      </c>
      <c r="T33" s="12">
        <v>0</v>
      </c>
      <c r="U33" s="14">
        <v>13.86</v>
      </c>
      <c r="V33" s="17">
        <v>0</v>
      </c>
      <c r="W33" s="14">
        <v>12.889396</v>
      </c>
      <c r="X33">
        <f t="shared" si="0"/>
        <v>21.138124999999999</v>
      </c>
      <c r="Y33">
        <f t="shared" si="1"/>
        <v>15.933196714766078</v>
      </c>
    </row>
    <row r="34" spans="1:25">
      <c r="A34" s="12" t="s">
        <v>299</v>
      </c>
      <c r="B34" s="12" t="s">
        <v>300</v>
      </c>
      <c r="C34" s="12">
        <v>14</v>
      </c>
      <c r="D34" s="12">
        <v>1.98</v>
      </c>
      <c r="E34" s="12" t="s">
        <v>333</v>
      </c>
      <c r="F34" s="13">
        <v>39476</v>
      </c>
      <c r="G34" s="12">
        <v>54</v>
      </c>
      <c r="H34" s="12">
        <v>1.75</v>
      </c>
      <c r="I34" s="13">
        <v>39483</v>
      </c>
      <c r="J34" s="12">
        <v>61</v>
      </c>
      <c r="L34" s="12">
        <v>7</v>
      </c>
      <c r="M34" s="12">
        <v>7</v>
      </c>
      <c r="O34" s="17">
        <v>13.86</v>
      </c>
      <c r="P34" s="17"/>
      <c r="Q34" s="17">
        <v>1000</v>
      </c>
      <c r="R34" s="14">
        <v>61.022674999999992</v>
      </c>
      <c r="S34" s="12">
        <v>7</v>
      </c>
      <c r="T34" s="12">
        <v>7</v>
      </c>
      <c r="U34" s="14">
        <v>13.86</v>
      </c>
      <c r="V34" s="17">
        <v>1000</v>
      </c>
      <c r="W34" s="14">
        <v>61.022674999999992</v>
      </c>
      <c r="X34">
        <f t="shared" si="0"/>
        <v>21.138124999999999</v>
      </c>
      <c r="Y34">
        <f t="shared" si="1"/>
        <v>75.433036958150566</v>
      </c>
    </row>
    <row r="35" spans="1:25">
      <c r="A35" s="12" t="s">
        <v>299</v>
      </c>
      <c r="B35" s="12" t="s">
        <v>300</v>
      </c>
      <c r="C35" s="12">
        <v>14</v>
      </c>
      <c r="D35" s="12">
        <v>1.98</v>
      </c>
      <c r="E35" s="12" t="s">
        <v>334</v>
      </c>
      <c r="F35" s="13">
        <v>39476</v>
      </c>
      <c r="G35" s="12">
        <v>71</v>
      </c>
      <c r="H35" s="12">
        <v>2</v>
      </c>
      <c r="I35" s="13">
        <v>39483</v>
      </c>
      <c r="J35" s="12">
        <v>69.400000000000006</v>
      </c>
      <c r="L35" s="12">
        <v>7</v>
      </c>
      <c r="M35" s="12">
        <v>-1.5999999999999943</v>
      </c>
      <c r="O35" s="17">
        <v>13.86</v>
      </c>
      <c r="P35" s="17"/>
      <c r="Q35" s="17">
        <v>-228.57142857142776</v>
      </c>
      <c r="R35" s="14">
        <v>2.6015465714286119</v>
      </c>
      <c r="S35" s="12">
        <v>7</v>
      </c>
      <c r="T35" s="12">
        <v>-1.5999999999999943</v>
      </c>
      <c r="U35" s="14">
        <v>13.86</v>
      </c>
      <c r="V35" s="17">
        <v>-228.57142857142776</v>
      </c>
      <c r="W35" s="14">
        <v>2.6015465714286119</v>
      </c>
      <c r="X35">
        <f t="shared" si="0"/>
        <v>20.100999999999999</v>
      </c>
      <c r="Y35">
        <f t="shared" si="1"/>
        <v>3.0581103878530129</v>
      </c>
    </row>
    <row r="36" spans="1:25">
      <c r="A36" s="12" t="s">
        <v>335</v>
      </c>
      <c r="B36" s="12" t="s">
        <v>336</v>
      </c>
      <c r="C36" s="12">
        <v>29</v>
      </c>
      <c r="D36" s="12">
        <v>3.96</v>
      </c>
      <c r="E36" s="12" t="s">
        <v>337</v>
      </c>
      <c r="F36" s="13">
        <v>39476</v>
      </c>
      <c r="G36" s="12">
        <v>50.8</v>
      </c>
      <c r="H36" s="12">
        <v>1.75</v>
      </c>
      <c r="I36" s="13">
        <v>39483</v>
      </c>
      <c r="J36" s="12">
        <v>56.4</v>
      </c>
      <c r="L36" s="12">
        <v>7</v>
      </c>
      <c r="M36" s="12">
        <v>5.6000000000000014</v>
      </c>
      <c r="O36" s="17">
        <v>27.72</v>
      </c>
      <c r="P36" s="17"/>
      <c r="Q36" s="17">
        <v>800.00000000000011</v>
      </c>
      <c r="R36" s="14">
        <v>50.503224000000003</v>
      </c>
      <c r="S36" s="12">
        <v>7</v>
      </c>
      <c r="T36" s="12">
        <v>5.6000000000000014</v>
      </c>
      <c r="U36" s="14">
        <v>27.72</v>
      </c>
      <c r="V36" s="17">
        <v>800.00000000000011</v>
      </c>
      <c r="W36" s="14">
        <v>50.503224000000003</v>
      </c>
      <c r="X36">
        <f t="shared" si="0"/>
        <v>21.138124999999999</v>
      </c>
      <c r="Y36">
        <f t="shared" si="1"/>
        <v>62.429442211403504</v>
      </c>
    </row>
    <row r="37" spans="1:25">
      <c r="A37" s="12" t="s">
        <v>335</v>
      </c>
      <c r="B37" s="12" t="s">
        <v>336</v>
      </c>
      <c r="C37" s="12">
        <v>29</v>
      </c>
      <c r="D37" s="12">
        <v>3.96</v>
      </c>
      <c r="E37" s="12" t="s">
        <v>338</v>
      </c>
      <c r="F37" s="13">
        <v>39476</v>
      </c>
      <c r="G37" s="12">
        <v>59.6</v>
      </c>
      <c r="H37" s="12">
        <v>1.75</v>
      </c>
      <c r="I37" s="13">
        <v>39483</v>
      </c>
      <c r="J37" s="12">
        <v>64.599999999999994</v>
      </c>
      <c r="L37" s="12">
        <v>7</v>
      </c>
      <c r="M37" s="12">
        <v>4.9999999999999929</v>
      </c>
      <c r="O37" s="17">
        <v>27.72</v>
      </c>
      <c r="P37" s="17"/>
      <c r="Q37" s="17">
        <v>714.28571428571331</v>
      </c>
      <c r="R37" s="14">
        <v>47.714774714285667</v>
      </c>
      <c r="S37" s="12">
        <v>7</v>
      </c>
      <c r="T37" s="12">
        <v>4.9999999999999929</v>
      </c>
      <c r="U37" s="14">
        <v>27.72</v>
      </c>
      <c r="V37" s="17">
        <v>714.28571428571331</v>
      </c>
      <c r="W37" s="14">
        <v>47.714774714285667</v>
      </c>
      <c r="X37">
        <f t="shared" si="0"/>
        <v>21.138124999999999</v>
      </c>
      <c r="Y37">
        <f t="shared" si="1"/>
        <v>58.982507149556113</v>
      </c>
    </row>
    <row r="38" spans="1:25">
      <c r="A38" s="12" t="s">
        <v>335</v>
      </c>
      <c r="B38" s="12" t="s">
        <v>336</v>
      </c>
      <c r="C38" s="12">
        <v>29</v>
      </c>
      <c r="D38" s="12">
        <v>3.96</v>
      </c>
      <c r="E38" s="12" t="s">
        <v>339</v>
      </c>
      <c r="F38" s="13">
        <v>39476</v>
      </c>
      <c r="G38" s="12">
        <v>53.8</v>
      </c>
      <c r="H38" s="12">
        <v>2</v>
      </c>
      <c r="I38" s="13">
        <v>39483</v>
      </c>
      <c r="J38" s="12">
        <v>58.6</v>
      </c>
      <c r="L38" s="12">
        <v>7</v>
      </c>
      <c r="M38" s="12">
        <v>4.8000000000000043</v>
      </c>
      <c r="O38" s="17">
        <v>27.72</v>
      </c>
      <c r="P38" s="17"/>
      <c r="Q38" s="17">
        <v>685.71428571428623</v>
      </c>
      <c r="R38" s="14">
        <v>45.308572285714305</v>
      </c>
      <c r="S38" s="12">
        <v>7</v>
      </c>
      <c r="T38" s="12">
        <v>4.8000000000000043</v>
      </c>
      <c r="U38" s="14">
        <v>27.72</v>
      </c>
      <c r="V38" s="17">
        <v>685.71428571428623</v>
      </c>
      <c r="W38" s="14">
        <v>45.308572285714305</v>
      </c>
      <c r="X38">
        <f t="shared" si="0"/>
        <v>20.100999999999999</v>
      </c>
      <c r="Y38">
        <f t="shared" si="1"/>
        <v>53.260094240651647</v>
      </c>
    </row>
    <row r="39" spans="1:25">
      <c r="A39" s="12" t="s">
        <v>335</v>
      </c>
      <c r="B39" s="12" t="s">
        <v>336</v>
      </c>
      <c r="C39" s="12">
        <v>29</v>
      </c>
      <c r="D39" s="12">
        <v>3.96</v>
      </c>
      <c r="E39" s="12" t="s">
        <v>340</v>
      </c>
      <c r="F39" s="13">
        <v>39476</v>
      </c>
      <c r="G39" s="12">
        <v>61.4</v>
      </c>
      <c r="H39" s="12">
        <v>2.5</v>
      </c>
      <c r="I39" s="13">
        <v>39483</v>
      </c>
      <c r="J39" s="12">
        <v>66</v>
      </c>
      <c r="L39" s="12">
        <v>7</v>
      </c>
      <c r="M39" s="12">
        <v>4.6000000000000014</v>
      </c>
      <c r="O39" s="17">
        <v>27.72</v>
      </c>
      <c r="P39" s="17"/>
      <c r="Q39" s="17">
        <v>657.14285714285734</v>
      </c>
      <c r="R39" s="14">
        <v>45.16817585714287</v>
      </c>
      <c r="S39" s="12">
        <v>7</v>
      </c>
      <c r="T39" s="12">
        <v>4.6000000000000014</v>
      </c>
      <c r="U39" s="14">
        <v>27.72</v>
      </c>
      <c r="V39" s="17">
        <v>657.14285714285734</v>
      </c>
      <c r="W39" s="14">
        <v>45.16817585714287</v>
      </c>
      <c r="X39">
        <f t="shared" si="0"/>
        <v>18.02675</v>
      </c>
      <c r="Y39">
        <f t="shared" si="1"/>
        <v>47.616106089634506</v>
      </c>
    </row>
    <row r="40" spans="1:25">
      <c r="A40" s="12" t="s">
        <v>335</v>
      </c>
      <c r="B40" s="12" t="s">
        <v>336</v>
      </c>
      <c r="C40" s="12">
        <v>29</v>
      </c>
      <c r="D40" s="12">
        <v>3.96</v>
      </c>
      <c r="E40" s="12" t="s">
        <v>341</v>
      </c>
      <c r="F40" s="13">
        <v>39476</v>
      </c>
      <c r="G40" s="12">
        <v>55</v>
      </c>
      <c r="H40" s="12">
        <v>1.5</v>
      </c>
      <c r="I40" s="13">
        <v>39483</v>
      </c>
      <c r="J40" s="12">
        <v>60.2</v>
      </c>
      <c r="L40" s="12">
        <v>7</v>
      </c>
      <c r="M40" s="12">
        <v>5.2000000000000028</v>
      </c>
      <c r="O40" s="17">
        <v>27.72</v>
      </c>
      <c r="P40" s="17"/>
      <c r="Q40" s="17">
        <v>742.85714285714323</v>
      </c>
      <c r="R40" s="14">
        <v>48.362441142857158</v>
      </c>
      <c r="S40" s="12">
        <v>7</v>
      </c>
      <c r="T40" s="12">
        <v>5.2000000000000028</v>
      </c>
      <c r="U40" s="14">
        <v>27.72</v>
      </c>
      <c r="V40" s="17">
        <v>742.85714285714323</v>
      </c>
      <c r="W40" s="14">
        <v>48.362441142857158</v>
      </c>
      <c r="X40">
        <f t="shared" si="0"/>
        <v>22.175249999999998</v>
      </c>
      <c r="Y40">
        <f t="shared" si="1"/>
        <v>62.716328827669187</v>
      </c>
    </row>
    <row r="41" spans="1:25">
      <c r="A41" s="12" t="s">
        <v>335</v>
      </c>
      <c r="B41" s="12" t="s">
        <v>336</v>
      </c>
      <c r="C41" s="12">
        <v>29</v>
      </c>
      <c r="D41" s="12">
        <v>3.96</v>
      </c>
      <c r="E41" s="12" t="s">
        <v>342</v>
      </c>
      <c r="F41" s="13">
        <v>39476</v>
      </c>
      <c r="G41" s="12">
        <v>61</v>
      </c>
      <c r="H41" s="12">
        <v>2.5</v>
      </c>
      <c r="I41" s="13">
        <v>39483</v>
      </c>
      <c r="J41" s="12">
        <v>62.2</v>
      </c>
      <c r="L41" s="12">
        <v>7</v>
      </c>
      <c r="M41" s="12">
        <v>1.2000000000000028</v>
      </c>
      <c r="O41" s="17">
        <v>27.72</v>
      </c>
      <c r="P41" s="17"/>
      <c r="Q41" s="17">
        <v>171.42857142857184</v>
      </c>
      <c r="R41" s="14">
        <v>20.867372571428589</v>
      </c>
      <c r="S41" s="12">
        <v>7</v>
      </c>
      <c r="T41" s="12">
        <v>1.2000000000000028</v>
      </c>
      <c r="U41" s="14">
        <v>27.72</v>
      </c>
      <c r="V41" s="17">
        <v>171.42857142857184</v>
      </c>
      <c r="W41" s="14">
        <v>20.867372571428589</v>
      </c>
      <c r="X41">
        <f t="shared" si="0"/>
        <v>18.02675</v>
      </c>
      <c r="Y41">
        <f t="shared" si="1"/>
        <v>21.998298742807034</v>
      </c>
    </row>
    <row r="42" spans="1:25">
      <c r="A42" s="12" t="s">
        <v>335</v>
      </c>
      <c r="B42" s="12" t="s">
        <v>336</v>
      </c>
      <c r="C42" s="12">
        <v>29</v>
      </c>
      <c r="D42" s="12">
        <v>3.96</v>
      </c>
      <c r="E42" s="12" t="s">
        <v>343</v>
      </c>
      <c r="F42" s="13">
        <v>39476</v>
      </c>
      <c r="G42" s="12">
        <v>51.6</v>
      </c>
      <c r="H42" s="12">
        <v>2.25</v>
      </c>
      <c r="I42" s="13">
        <v>39483</v>
      </c>
      <c r="J42" s="12">
        <v>55.4</v>
      </c>
      <c r="L42" s="12">
        <v>7</v>
      </c>
      <c r="M42" s="12">
        <v>3.7999999999999972</v>
      </c>
      <c r="O42" s="17">
        <v>27.72</v>
      </c>
      <c r="P42" s="17"/>
      <c r="Q42" s="17">
        <v>542.85714285714243</v>
      </c>
      <c r="R42" s="14">
        <v>37.809172142857122</v>
      </c>
      <c r="S42" s="12">
        <v>7</v>
      </c>
      <c r="T42" s="12">
        <v>3.7999999999999972</v>
      </c>
      <c r="U42" s="14">
        <v>27.72</v>
      </c>
      <c r="V42" s="17">
        <v>542.85714285714243</v>
      </c>
      <c r="W42" s="14">
        <v>37.809172142857122</v>
      </c>
      <c r="X42">
        <f t="shared" si="0"/>
        <v>19.063874999999999</v>
      </c>
      <c r="Y42">
        <f t="shared" si="1"/>
        <v>42.151422899702354</v>
      </c>
    </row>
    <row r="43" spans="1:25">
      <c r="A43" s="12" t="s">
        <v>335</v>
      </c>
      <c r="B43" s="12" t="s">
        <v>336</v>
      </c>
      <c r="C43" s="12">
        <v>29</v>
      </c>
      <c r="D43" s="12">
        <v>3.96</v>
      </c>
      <c r="E43" s="12" t="s">
        <v>344</v>
      </c>
      <c r="F43" s="13">
        <v>39476</v>
      </c>
      <c r="G43" s="12">
        <v>60.2</v>
      </c>
      <c r="H43" s="12">
        <v>1.75</v>
      </c>
      <c r="I43" s="13">
        <v>39483</v>
      </c>
      <c r="J43" s="12">
        <v>66.8</v>
      </c>
      <c r="L43" s="12">
        <v>7</v>
      </c>
      <c r="M43" s="12">
        <v>6.5999999999999943</v>
      </c>
      <c r="O43" s="17">
        <v>27.72</v>
      </c>
      <c r="P43" s="17"/>
      <c r="Q43" s="17">
        <v>942.85714285714209</v>
      </c>
      <c r="R43" s="14">
        <v>59.220072142857099</v>
      </c>
      <c r="S43" s="12">
        <v>7</v>
      </c>
      <c r="T43" s="12">
        <v>6.5999999999999943</v>
      </c>
      <c r="U43" s="14">
        <v>27.72</v>
      </c>
      <c r="V43" s="17">
        <v>942.85714285714209</v>
      </c>
      <c r="W43" s="14">
        <v>59.220072142857099</v>
      </c>
      <c r="X43">
        <f t="shared" si="0"/>
        <v>21.138124999999999</v>
      </c>
      <c r="Y43">
        <f t="shared" si="1"/>
        <v>73.204753652908252</v>
      </c>
    </row>
    <row r="44" spans="1:25">
      <c r="A44" s="12" t="s">
        <v>335</v>
      </c>
      <c r="B44" s="12" t="s">
        <v>336</v>
      </c>
      <c r="C44" s="12">
        <v>29</v>
      </c>
      <c r="D44" s="12">
        <v>3.96</v>
      </c>
      <c r="E44" s="12" t="s">
        <v>345</v>
      </c>
      <c r="F44" s="13">
        <v>39476</v>
      </c>
      <c r="G44" s="12">
        <v>51.6</v>
      </c>
      <c r="H44" s="12">
        <v>1.75</v>
      </c>
      <c r="I44" s="13">
        <v>39483</v>
      </c>
      <c r="J44" s="12">
        <v>56.8</v>
      </c>
      <c r="L44" s="12">
        <v>7</v>
      </c>
      <c r="M44" s="12">
        <v>5.1999999999999957</v>
      </c>
      <c r="O44" s="17">
        <v>27.72</v>
      </c>
      <c r="P44" s="17"/>
      <c r="Q44" s="17">
        <v>742.85714285714221</v>
      </c>
      <c r="R44" s="14">
        <v>47.787535142857109</v>
      </c>
      <c r="S44" s="12">
        <v>7</v>
      </c>
      <c r="T44" s="12">
        <v>5.1999999999999957</v>
      </c>
      <c r="U44" s="14">
        <v>27.72</v>
      </c>
      <c r="V44" s="17">
        <v>742.85714285714221</v>
      </c>
      <c r="W44" s="14">
        <v>47.787535142857109</v>
      </c>
      <c r="X44">
        <f t="shared" si="0"/>
        <v>21.138124999999999</v>
      </c>
      <c r="Y44">
        <f t="shared" si="1"/>
        <v>59.072449783134871</v>
      </c>
    </row>
    <row r="45" spans="1:25">
      <c r="A45" s="12" t="s">
        <v>335</v>
      </c>
      <c r="B45" s="12" t="s">
        <v>336</v>
      </c>
      <c r="C45" s="12">
        <v>29</v>
      </c>
      <c r="D45" s="12">
        <v>3.96</v>
      </c>
      <c r="E45" s="12" t="s">
        <v>346</v>
      </c>
      <c r="F45" s="13">
        <v>39476</v>
      </c>
      <c r="G45" s="12">
        <v>60.2</v>
      </c>
      <c r="H45" s="12">
        <v>1.75</v>
      </c>
      <c r="I45" s="13">
        <v>39483</v>
      </c>
      <c r="J45" s="12">
        <v>65.599999999999994</v>
      </c>
      <c r="L45" s="12">
        <v>7</v>
      </c>
      <c r="M45" s="12">
        <v>5.3999999999999915</v>
      </c>
      <c r="O45" s="17">
        <v>27.72</v>
      </c>
      <c r="P45" s="17"/>
      <c r="Q45" s="17">
        <v>771.42857142857019</v>
      </c>
      <c r="R45" s="14">
        <v>50.667189571428509</v>
      </c>
      <c r="S45" s="12">
        <v>7</v>
      </c>
      <c r="T45" s="12">
        <v>5.3999999999999915</v>
      </c>
      <c r="U45" s="14">
        <v>27.72</v>
      </c>
      <c r="V45" s="17">
        <v>771.42857142857019</v>
      </c>
      <c r="W45" s="14">
        <v>50.667189571428509</v>
      </c>
      <c r="X45">
        <f t="shared" si="0"/>
        <v>21.138124999999999</v>
      </c>
      <c r="Y45">
        <f t="shared" si="1"/>
        <v>62.632127868979659</v>
      </c>
    </row>
    <row r="46" spans="1:25">
      <c r="A46" s="12" t="s">
        <v>335</v>
      </c>
      <c r="B46" s="12" t="s">
        <v>336</v>
      </c>
      <c r="C46" s="12">
        <v>29</v>
      </c>
      <c r="D46" s="12">
        <v>3.96</v>
      </c>
      <c r="E46" s="12" t="s">
        <v>347</v>
      </c>
      <c r="F46" s="13">
        <v>39476</v>
      </c>
      <c r="G46" s="12">
        <v>54.6</v>
      </c>
      <c r="H46" s="12">
        <v>2.25</v>
      </c>
      <c r="I46" s="13">
        <v>39483</v>
      </c>
      <c r="J46" s="12">
        <v>62</v>
      </c>
      <c r="L46" s="12">
        <v>7</v>
      </c>
      <c r="M46" s="12">
        <v>7.3999999999999986</v>
      </c>
      <c r="O46" s="17">
        <v>27.72</v>
      </c>
      <c r="P46" s="17"/>
      <c r="Q46" s="17">
        <v>1057.1428571428569</v>
      </c>
      <c r="R46" s="14">
        <v>63.975089857142848</v>
      </c>
      <c r="S46" s="12">
        <v>7</v>
      </c>
      <c r="T46" s="12">
        <v>7.3999999999999986</v>
      </c>
      <c r="U46" s="14">
        <v>27.72</v>
      </c>
      <c r="V46" s="17">
        <v>1057.1428571428569</v>
      </c>
      <c r="W46" s="14">
        <v>63.975089857142848</v>
      </c>
      <c r="X46">
        <f t="shared" si="0"/>
        <v>19.063874999999999</v>
      </c>
      <c r="Y46">
        <f t="shared" si="1"/>
        <v>71.322404453236189</v>
      </c>
    </row>
    <row r="47" spans="1:25">
      <c r="A47" s="12" t="s">
        <v>335</v>
      </c>
      <c r="B47" s="12" t="s">
        <v>336</v>
      </c>
      <c r="C47" s="12">
        <v>29</v>
      </c>
      <c r="D47" s="12">
        <v>3.96</v>
      </c>
      <c r="E47" s="12" t="s">
        <v>348</v>
      </c>
      <c r="F47" s="13">
        <v>39476</v>
      </c>
      <c r="G47" s="12">
        <v>64.599999999999994</v>
      </c>
      <c r="H47" s="12">
        <v>2.5</v>
      </c>
      <c r="I47" s="13">
        <v>39483</v>
      </c>
      <c r="J47" s="12">
        <v>70.599999999999994</v>
      </c>
      <c r="L47" s="12">
        <v>7</v>
      </c>
      <c r="M47" s="12">
        <v>6</v>
      </c>
      <c r="O47" s="17">
        <v>27.72</v>
      </c>
      <c r="P47" s="17"/>
      <c r="Q47" s="17">
        <v>857.14285714285711</v>
      </c>
      <c r="R47" s="14">
        <v>55.687626857142853</v>
      </c>
      <c r="S47" s="12">
        <v>7</v>
      </c>
      <c r="T47" s="12">
        <v>6</v>
      </c>
      <c r="U47" s="14">
        <v>27.72</v>
      </c>
      <c r="V47" s="17">
        <v>857.14285714285711</v>
      </c>
      <c r="W47" s="14">
        <v>55.687626857142853</v>
      </c>
      <c r="X47">
        <f t="shared" si="0"/>
        <v>18.02675</v>
      </c>
      <c r="Y47">
        <f t="shared" si="1"/>
        <v>58.705668271754369</v>
      </c>
    </row>
    <row r="48" spans="1:25">
      <c r="A48" s="12" t="s">
        <v>335</v>
      </c>
      <c r="B48" s="12" t="s">
        <v>336</v>
      </c>
      <c r="C48" s="12">
        <v>29</v>
      </c>
      <c r="D48" s="12">
        <v>3.96</v>
      </c>
      <c r="E48" s="12" t="s">
        <v>349</v>
      </c>
      <c r="F48" s="13">
        <v>39476</v>
      </c>
      <c r="G48" s="12">
        <v>62.8</v>
      </c>
      <c r="H48" s="12">
        <v>2.5</v>
      </c>
      <c r="I48" s="13">
        <v>39483</v>
      </c>
      <c r="J48" s="12">
        <v>69.400000000000006</v>
      </c>
      <c r="L48" s="12">
        <v>7</v>
      </c>
      <c r="M48" s="12">
        <v>6.6000000000000085</v>
      </c>
      <c r="O48" s="17">
        <v>27.72</v>
      </c>
      <c r="P48" s="17"/>
      <c r="Q48" s="17">
        <v>942.85714285714403</v>
      </c>
      <c r="R48" s="14">
        <v>59.659706142857196</v>
      </c>
      <c r="S48" s="12">
        <v>7</v>
      </c>
      <c r="T48" s="12">
        <v>6.6000000000000085</v>
      </c>
      <c r="U48" s="14">
        <v>27.72</v>
      </c>
      <c r="V48" s="17">
        <v>942.85714285714403</v>
      </c>
      <c r="W48" s="14">
        <v>59.659706142857196</v>
      </c>
      <c r="X48">
        <f t="shared" si="0"/>
        <v>18.02675</v>
      </c>
      <c r="Y48">
        <f t="shared" si="1"/>
        <v>62.893017994780756</v>
      </c>
    </row>
    <row r="49" spans="1:25">
      <c r="A49" s="12" t="s">
        <v>335</v>
      </c>
      <c r="B49" s="12" t="s">
        <v>336</v>
      </c>
      <c r="C49" s="12">
        <v>29</v>
      </c>
      <c r="D49" s="12">
        <v>3.96</v>
      </c>
      <c r="E49" s="12" t="s">
        <v>350</v>
      </c>
      <c r="F49" s="13">
        <v>39476</v>
      </c>
      <c r="G49" s="12">
        <v>50.2</v>
      </c>
      <c r="H49" s="12">
        <v>1.5</v>
      </c>
      <c r="I49" s="13">
        <v>39483</v>
      </c>
      <c r="J49" s="12">
        <v>52.8</v>
      </c>
      <c r="L49" s="12">
        <v>7</v>
      </c>
      <c r="M49" s="12">
        <v>2.5999999999999943</v>
      </c>
      <c r="O49" s="17">
        <v>27.72</v>
      </c>
      <c r="P49" s="17"/>
      <c r="Q49" s="17">
        <v>371.42857142857059</v>
      </c>
      <c r="R49" s="14">
        <v>29.019563571428527</v>
      </c>
      <c r="S49" s="12">
        <v>7</v>
      </c>
      <c r="T49" s="12">
        <v>2.5999999999999943</v>
      </c>
      <c r="U49" s="14">
        <v>27.72</v>
      </c>
      <c r="V49" s="17">
        <v>371.42857142857059</v>
      </c>
      <c r="W49" s="14">
        <v>29.019563571428527</v>
      </c>
      <c r="X49">
        <f t="shared" si="0"/>
        <v>22.175249999999998</v>
      </c>
      <c r="Y49">
        <f t="shared" si="1"/>
        <v>37.632519127913469</v>
      </c>
    </row>
    <row r="50" spans="1:25">
      <c r="A50" s="12" t="s">
        <v>335</v>
      </c>
      <c r="B50" s="12" t="s">
        <v>336</v>
      </c>
      <c r="C50" s="12">
        <v>29</v>
      </c>
      <c r="D50" s="12">
        <v>3.96</v>
      </c>
      <c r="E50" s="12" t="s">
        <v>351</v>
      </c>
      <c r="F50" s="13">
        <v>39476</v>
      </c>
      <c r="G50" s="12">
        <v>60.8</v>
      </c>
      <c r="H50" s="12">
        <v>2.25</v>
      </c>
      <c r="I50" s="13">
        <v>39483</v>
      </c>
      <c r="J50" s="12">
        <v>68.2</v>
      </c>
      <c r="L50" s="12">
        <v>7</v>
      </c>
      <c r="M50" s="12">
        <v>7.4000000000000057</v>
      </c>
      <c r="O50" s="17">
        <v>27.72</v>
      </c>
      <c r="P50" s="17"/>
      <c r="Q50" s="17">
        <v>1057.142857142858</v>
      </c>
      <c r="R50" s="14">
        <v>65.023447857142898</v>
      </c>
      <c r="S50" s="12">
        <v>7</v>
      </c>
      <c r="T50" s="12">
        <v>7.4000000000000057</v>
      </c>
      <c r="U50" s="14">
        <v>27.72</v>
      </c>
      <c r="V50" s="17">
        <v>1057.142857142858</v>
      </c>
      <c r="W50" s="14">
        <v>65.023447857142898</v>
      </c>
      <c r="X50">
        <f t="shared" si="0"/>
        <v>19.063874999999999</v>
      </c>
      <c r="Y50">
        <f t="shared" si="1"/>
        <v>72.491162691087141</v>
      </c>
    </row>
    <row r="51" spans="1:25">
      <c r="A51" s="12" t="s">
        <v>335</v>
      </c>
      <c r="B51" s="12" t="s">
        <v>336</v>
      </c>
      <c r="C51" s="12">
        <v>29</v>
      </c>
      <c r="D51" s="12">
        <v>3.96</v>
      </c>
      <c r="E51" s="12" t="s">
        <v>352</v>
      </c>
      <c r="F51" s="13">
        <v>39476</v>
      </c>
      <c r="G51" s="12">
        <v>57.6</v>
      </c>
      <c r="H51" s="12">
        <v>3</v>
      </c>
      <c r="I51" s="13">
        <v>39483</v>
      </c>
      <c r="J51" s="12">
        <v>63.4</v>
      </c>
      <c r="L51" s="12">
        <v>7</v>
      </c>
      <c r="M51" s="12">
        <v>5.7999999999999972</v>
      </c>
      <c r="O51" s="17">
        <v>27.72</v>
      </c>
      <c r="P51" s="17"/>
      <c r="Q51" s="17">
        <v>828.57142857142821</v>
      </c>
      <c r="R51" s="14">
        <v>53.078516428571405</v>
      </c>
      <c r="S51" s="12">
        <v>7</v>
      </c>
      <c r="T51" s="12">
        <v>5.7999999999999972</v>
      </c>
      <c r="U51" s="14">
        <v>27.72</v>
      </c>
      <c r="V51" s="17">
        <v>828.57142857142821</v>
      </c>
      <c r="W51" s="14">
        <v>53.078516428571405</v>
      </c>
      <c r="X51">
        <f t="shared" si="0"/>
        <v>15.952499999999999</v>
      </c>
      <c r="Y51">
        <f t="shared" si="1"/>
        <v>49.516668615601475</v>
      </c>
    </row>
    <row r="52" spans="1:25">
      <c r="A52" s="12" t="s">
        <v>335</v>
      </c>
      <c r="B52" s="12" t="s">
        <v>336</v>
      </c>
      <c r="C52" s="12">
        <v>29</v>
      </c>
      <c r="D52" s="12">
        <v>3.96</v>
      </c>
      <c r="E52" s="12" t="s">
        <v>353</v>
      </c>
      <c r="F52" s="13">
        <v>39476</v>
      </c>
      <c r="G52" s="12">
        <v>68.8</v>
      </c>
      <c r="H52" s="12">
        <v>3.5</v>
      </c>
      <c r="I52" s="13">
        <v>39483</v>
      </c>
      <c r="J52" s="12">
        <v>69.8</v>
      </c>
      <c r="L52" s="12">
        <v>7</v>
      </c>
      <c r="M52" s="12">
        <v>1</v>
      </c>
      <c r="O52" s="17">
        <v>27.72</v>
      </c>
      <c r="P52" s="17"/>
      <c r="Q52" s="17">
        <v>142.85714285714286</v>
      </c>
      <c r="R52" s="14">
        <v>20.76079414285714</v>
      </c>
      <c r="S52" s="12">
        <v>7</v>
      </c>
      <c r="T52" s="12">
        <v>1</v>
      </c>
      <c r="U52" s="14">
        <v>27.72</v>
      </c>
      <c r="V52" s="17">
        <v>142.85714285714286</v>
      </c>
      <c r="W52" s="14">
        <v>20.76079414285714</v>
      </c>
      <c r="X52">
        <f t="shared" si="0"/>
        <v>13.878249999999998</v>
      </c>
      <c r="Y52">
        <f t="shared" si="1"/>
        <v>16.84932697737468</v>
      </c>
    </row>
    <row r="53" spans="1:25">
      <c r="A53" s="12" t="s">
        <v>335</v>
      </c>
      <c r="B53" s="12" t="s">
        <v>336</v>
      </c>
      <c r="C53" s="12">
        <v>29</v>
      </c>
      <c r="D53" s="12">
        <v>3.96</v>
      </c>
      <c r="E53" s="12" t="s">
        <v>354</v>
      </c>
      <c r="F53" s="13">
        <v>39476</v>
      </c>
      <c r="G53" s="12">
        <v>57.6</v>
      </c>
      <c r="H53" s="12">
        <v>2.25</v>
      </c>
      <c r="I53" s="13">
        <v>39483</v>
      </c>
      <c r="J53" s="12">
        <v>66</v>
      </c>
      <c r="L53" s="12">
        <v>7</v>
      </c>
      <c r="M53" s="12">
        <v>8.3999999999999986</v>
      </c>
      <c r="O53" s="17">
        <v>27.72</v>
      </c>
      <c r="P53" s="17"/>
      <c r="Q53" s="17">
        <v>1199.9999999999998</v>
      </c>
      <c r="R53" s="14">
        <v>71.609761999999989</v>
      </c>
      <c r="S53" s="12">
        <v>7</v>
      </c>
      <c r="T53" s="12">
        <v>8.3999999999999986</v>
      </c>
      <c r="U53" s="14">
        <v>27.72</v>
      </c>
      <c r="V53" s="17">
        <v>1199.9999999999998</v>
      </c>
      <c r="W53" s="14">
        <v>71.609761999999989</v>
      </c>
      <c r="X53">
        <f t="shared" si="0"/>
        <v>19.063874999999999</v>
      </c>
      <c r="Y53">
        <f t="shared" si="1"/>
        <v>79.833891903377165</v>
      </c>
    </row>
    <row r="54" spans="1:25">
      <c r="A54" s="12" t="s">
        <v>335</v>
      </c>
      <c r="B54" s="12" t="s">
        <v>336</v>
      </c>
      <c r="C54" s="12">
        <v>29</v>
      </c>
      <c r="D54" s="12">
        <v>3.96</v>
      </c>
      <c r="E54" s="12" t="s">
        <v>355</v>
      </c>
      <c r="F54" s="13">
        <v>39476</v>
      </c>
      <c r="G54" s="12">
        <v>55.4</v>
      </c>
      <c r="H54" s="12">
        <v>1.75</v>
      </c>
      <c r="I54" s="13">
        <v>39483</v>
      </c>
      <c r="J54" s="12">
        <v>62.8</v>
      </c>
      <c r="L54" s="12">
        <v>7</v>
      </c>
      <c r="M54" s="12">
        <v>7.3999999999999986</v>
      </c>
      <c r="O54" s="17">
        <v>27.72</v>
      </c>
      <c r="P54" s="17"/>
      <c r="Q54" s="17">
        <v>1057.1428571428569</v>
      </c>
      <c r="R54" s="14">
        <v>64.110361857142834</v>
      </c>
      <c r="S54" s="12">
        <v>7</v>
      </c>
      <c r="T54" s="12">
        <v>7.3999999999999986</v>
      </c>
      <c r="U54" s="14">
        <v>27.72</v>
      </c>
      <c r="V54" s="17">
        <v>1057.1428571428569</v>
      </c>
      <c r="W54" s="14">
        <v>64.110361857142834</v>
      </c>
      <c r="X54">
        <f t="shared" si="0"/>
        <v>21.138124999999999</v>
      </c>
      <c r="Y54">
        <f t="shared" si="1"/>
        <v>79.249873843948365</v>
      </c>
    </row>
    <row r="55" spans="1:25">
      <c r="A55" s="12" t="s">
        <v>335</v>
      </c>
      <c r="B55" s="12" t="s">
        <v>336</v>
      </c>
      <c r="C55" s="12">
        <v>29</v>
      </c>
      <c r="D55" s="12">
        <v>3.96</v>
      </c>
      <c r="E55" s="12" t="s">
        <v>356</v>
      </c>
      <c r="F55" s="13">
        <v>39476</v>
      </c>
      <c r="G55" s="12">
        <v>53.8</v>
      </c>
      <c r="H55" s="12">
        <v>2.25</v>
      </c>
      <c r="I55" s="13">
        <v>39483</v>
      </c>
      <c r="J55" s="12">
        <v>58</v>
      </c>
      <c r="L55" s="12">
        <v>7</v>
      </c>
      <c r="M55" s="12">
        <v>4.2000000000000028</v>
      </c>
      <c r="O55" s="17">
        <v>27.72</v>
      </c>
      <c r="P55" s="17"/>
      <c r="Q55" s="17">
        <v>600.00000000000045</v>
      </c>
      <c r="R55" s="14">
        <v>41.032131000000021</v>
      </c>
      <c r="S55" s="12">
        <v>7</v>
      </c>
      <c r="T55" s="12">
        <v>4.2000000000000028</v>
      </c>
      <c r="U55" s="14">
        <v>27.72</v>
      </c>
      <c r="V55" s="17">
        <v>600.00000000000045</v>
      </c>
      <c r="W55" s="14">
        <v>41.032131000000021</v>
      </c>
      <c r="X55">
        <f t="shared" si="0"/>
        <v>19.063874999999999</v>
      </c>
      <c r="Y55">
        <f t="shared" si="1"/>
        <v>45.744527272960539</v>
      </c>
    </row>
    <row r="56" spans="1:25">
      <c r="A56" s="12" t="s">
        <v>335</v>
      </c>
      <c r="B56" s="12" t="s">
        <v>336</v>
      </c>
      <c r="C56" s="12">
        <v>29</v>
      </c>
      <c r="D56" s="12">
        <v>3.96</v>
      </c>
      <c r="E56" s="12" t="s">
        <v>357</v>
      </c>
      <c r="F56" s="13">
        <v>39476</v>
      </c>
      <c r="G56" s="12">
        <v>59.2</v>
      </c>
      <c r="H56" s="12">
        <v>2.25</v>
      </c>
      <c r="I56" s="13">
        <v>39483</v>
      </c>
      <c r="J56" s="12">
        <v>61.6</v>
      </c>
      <c r="L56" s="12">
        <v>7</v>
      </c>
      <c r="M56" s="12">
        <v>2.3999999999999986</v>
      </c>
      <c r="O56" s="17">
        <v>27.72</v>
      </c>
      <c r="P56" s="17"/>
      <c r="Q56" s="17">
        <v>342.85714285714266</v>
      </c>
      <c r="R56" s="14">
        <v>29.115893142857132</v>
      </c>
      <c r="S56" s="12">
        <v>7</v>
      </c>
      <c r="T56" s="12">
        <v>2.3999999999999986</v>
      </c>
      <c r="U56" s="14">
        <v>27.72</v>
      </c>
      <c r="V56" s="17">
        <v>342.85714285714266</v>
      </c>
      <c r="W56" s="14">
        <v>29.115893142857132</v>
      </c>
      <c r="X56">
        <f t="shared" si="0"/>
        <v>19.063874999999999</v>
      </c>
      <c r="Y56">
        <f t="shared" si="1"/>
        <v>32.4597513092857</v>
      </c>
    </row>
    <row r="57" spans="1:25">
      <c r="A57" s="12" t="s">
        <v>335</v>
      </c>
      <c r="B57" s="12" t="s">
        <v>336</v>
      </c>
      <c r="C57" s="12">
        <v>29</v>
      </c>
      <c r="D57" s="12">
        <v>3.96</v>
      </c>
      <c r="E57" s="12" t="s">
        <v>358</v>
      </c>
      <c r="F57" s="13">
        <v>39476</v>
      </c>
      <c r="G57" s="12">
        <v>58</v>
      </c>
      <c r="H57" s="12">
        <v>1.75</v>
      </c>
      <c r="I57" s="13">
        <v>39483</v>
      </c>
      <c r="J57" s="12">
        <v>70.599999999999994</v>
      </c>
      <c r="L57" s="12">
        <v>7</v>
      </c>
      <c r="M57" s="12">
        <v>12.599999999999994</v>
      </c>
      <c r="O57" s="17">
        <v>27.72</v>
      </c>
      <c r="P57" s="17"/>
      <c r="Q57" s="17">
        <v>1799.9999999999991</v>
      </c>
      <c r="R57" s="14">
        <v>101.61248699999996</v>
      </c>
      <c r="S57" s="12">
        <v>7</v>
      </c>
      <c r="T57" s="12">
        <v>12.599999999999994</v>
      </c>
      <c r="U57" s="14">
        <v>27.72</v>
      </c>
      <c r="V57" s="17">
        <v>1799.9999999999991</v>
      </c>
      <c r="W57" s="14">
        <v>101.61248699999996</v>
      </c>
      <c r="X57">
        <f t="shared" si="0"/>
        <v>21.138124999999999</v>
      </c>
      <c r="Y57">
        <f t="shared" si="1"/>
        <v>125.60803811502186</v>
      </c>
    </row>
    <row r="58" spans="1:25">
      <c r="A58" s="12" t="s">
        <v>335</v>
      </c>
      <c r="B58" s="12" t="s">
        <v>336</v>
      </c>
      <c r="C58" s="12">
        <v>29</v>
      </c>
      <c r="D58" s="12">
        <v>3.96</v>
      </c>
      <c r="E58" s="12" t="s">
        <v>359</v>
      </c>
      <c r="F58" s="13">
        <v>39476</v>
      </c>
      <c r="G58" s="12">
        <v>68</v>
      </c>
      <c r="H58" s="12">
        <v>3</v>
      </c>
      <c r="I58" s="13">
        <v>39483</v>
      </c>
      <c r="J58" s="12">
        <v>71.8</v>
      </c>
      <c r="L58" s="12">
        <v>7</v>
      </c>
      <c r="M58" s="12">
        <v>3.7999999999999972</v>
      </c>
      <c r="O58" s="17">
        <v>27.72</v>
      </c>
      <c r="P58" s="17"/>
      <c r="Q58" s="17">
        <v>542.85714285714243</v>
      </c>
      <c r="R58" s="14">
        <v>40.582248142857125</v>
      </c>
      <c r="S58" s="12">
        <v>7</v>
      </c>
      <c r="T58" s="12">
        <v>3.7999999999999972</v>
      </c>
      <c r="U58" s="14">
        <v>27.72</v>
      </c>
      <c r="V58" s="17">
        <v>542.85714285714243</v>
      </c>
      <c r="W58" s="14">
        <v>40.582248142857125</v>
      </c>
      <c r="X58">
        <f t="shared" si="0"/>
        <v>15.952499999999999</v>
      </c>
      <c r="Y58">
        <f t="shared" si="1"/>
        <v>37.858965701691709</v>
      </c>
    </row>
    <row r="59" spans="1:25">
      <c r="A59" s="12" t="s">
        <v>335</v>
      </c>
      <c r="B59" s="12" t="s">
        <v>336</v>
      </c>
      <c r="C59" s="12">
        <v>29</v>
      </c>
      <c r="D59" s="12">
        <v>3.96</v>
      </c>
      <c r="E59" s="12" t="s">
        <v>360</v>
      </c>
      <c r="F59" s="13">
        <v>39476</v>
      </c>
      <c r="G59" s="12">
        <v>64.599999999999994</v>
      </c>
      <c r="H59" s="12">
        <v>3</v>
      </c>
      <c r="I59" s="13">
        <v>39483</v>
      </c>
      <c r="J59" s="12">
        <v>62.8</v>
      </c>
      <c r="L59" s="12">
        <v>7</v>
      </c>
      <c r="M59" s="12">
        <v>-1.7999999999999972</v>
      </c>
      <c r="O59" s="17">
        <v>27.72</v>
      </c>
      <c r="P59" s="17"/>
      <c r="Q59" s="17">
        <v>-257.14285714285671</v>
      </c>
      <c r="R59" s="14">
        <v>9.3890142857162573E-2</v>
      </c>
      <c r="S59" s="12">
        <v>7</v>
      </c>
      <c r="T59" s="12">
        <v>-1.7999999999999972</v>
      </c>
      <c r="U59" s="14">
        <v>27.72</v>
      </c>
      <c r="V59" s="17">
        <v>-257.14285714285671</v>
      </c>
      <c r="W59" s="14">
        <v>9.3890142857162573E-2</v>
      </c>
      <c r="X59">
        <f t="shared" si="0"/>
        <v>15.952499999999999</v>
      </c>
      <c r="Y59">
        <f t="shared" si="1"/>
        <v>8.7589620112800332E-2</v>
      </c>
    </row>
    <row r="60" spans="1:25">
      <c r="A60" s="12" t="s">
        <v>335</v>
      </c>
      <c r="B60" s="12" t="s">
        <v>336</v>
      </c>
      <c r="C60" s="12">
        <v>29</v>
      </c>
      <c r="D60" s="12">
        <v>3.96</v>
      </c>
      <c r="E60" s="12" t="s">
        <v>361</v>
      </c>
      <c r="F60" s="13">
        <v>39476</v>
      </c>
      <c r="G60" s="12">
        <v>56</v>
      </c>
      <c r="H60" s="12">
        <v>2</v>
      </c>
      <c r="I60" s="13">
        <v>39483</v>
      </c>
      <c r="J60" s="12">
        <v>55.8</v>
      </c>
      <c r="L60" s="12">
        <v>7</v>
      </c>
      <c r="M60" s="12">
        <v>-0.20000000000000284</v>
      </c>
      <c r="O60" s="17">
        <v>27.72</v>
      </c>
      <c r="P60" s="17"/>
      <c r="Q60" s="17">
        <v>-28.571428571428978</v>
      </c>
      <c r="R60" s="14">
        <v>10.043559571428551</v>
      </c>
      <c r="S60" s="12">
        <v>7</v>
      </c>
      <c r="T60" s="12">
        <v>-0.20000000000000284</v>
      </c>
      <c r="U60" s="14">
        <v>27.72</v>
      </c>
      <c r="V60" s="17">
        <v>-28.571428571428978</v>
      </c>
      <c r="W60" s="14">
        <v>10.043559571428551</v>
      </c>
      <c r="X60">
        <f t="shared" si="0"/>
        <v>20.100999999999999</v>
      </c>
      <c r="Y60">
        <f t="shared" si="1"/>
        <v>11.80617490908101</v>
      </c>
    </row>
    <row r="61" spans="1:25">
      <c r="A61" s="12" t="s">
        <v>335</v>
      </c>
      <c r="B61" s="12" t="s">
        <v>336</v>
      </c>
      <c r="C61" s="12">
        <v>29</v>
      </c>
      <c r="D61" s="12">
        <v>3.96</v>
      </c>
      <c r="E61" s="12" t="s">
        <v>362</v>
      </c>
      <c r="F61" s="13">
        <v>39476</v>
      </c>
      <c r="G61" s="12">
        <v>62.8</v>
      </c>
      <c r="H61" s="12">
        <v>2</v>
      </c>
      <c r="I61" s="13">
        <v>39483</v>
      </c>
      <c r="J61" s="12">
        <v>66</v>
      </c>
      <c r="L61" s="12">
        <v>7</v>
      </c>
      <c r="M61" s="12">
        <v>3.2000000000000028</v>
      </c>
      <c r="O61" s="17">
        <v>27.72</v>
      </c>
      <c r="P61" s="17"/>
      <c r="Q61" s="17">
        <v>457.14285714285757</v>
      </c>
      <c r="R61" s="14">
        <v>35.42653885714288</v>
      </c>
      <c r="S61" s="12">
        <v>7</v>
      </c>
      <c r="T61" s="12">
        <v>3.2000000000000028</v>
      </c>
      <c r="U61" s="14">
        <v>27.72</v>
      </c>
      <c r="V61" s="17">
        <v>457.14285714285757</v>
      </c>
      <c r="W61" s="14">
        <v>35.42653885714288</v>
      </c>
      <c r="X61">
        <f t="shared" si="0"/>
        <v>20.100999999999999</v>
      </c>
      <c r="Y61">
        <f t="shared" si="1"/>
        <v>41.643792840200526</v>
      </c>
    </row>
    <row r="62" spans="1:25">
      <c r="A62" s="12" t="s">
        <v>335</v>
      </c>
      <c r="B62" s="12" t="s">
        <v>336</v>
      </c>
      <c r="C62" s="12">
        <v>29</v>
      </c>
      <c r="D62" s="12">
        <v>3.96</v>
      </c>
      <c r="E62" s="12" t="s">
        <v>363</v>
      </c>
      <c r="F62" s="13">
        <v>39476</v>
      </c>
      <c r="G62" s="12">
        <v>59</v>
      </c>
      <c r="H62" s="12">
        <v>2.25</v>
      </c>
      <c r="I62" s="13">
        <v>39483</v>
      </c>
      <c r="J62" s="12">
        <v>63.6</v>
      </c>
      <c r="L62" s="12">
        <v>7</v>
      </c>
      <c r="M62" s="12">
        <v>4.6000000000000014</v>
      </c>
      <c r="O62" s="17">
        <v>27.72</v>
      </c>
      <c r="P62" s="17"/>
      <c r="Q62" s="17">
        <v>657.14285714285734</v>
      </c>
      <c r="R62" s="14">
        <v>44.762359857142869</v>
      </c>
      <c r="S62" s="12">
        <v>7</v>
      </c>
      <c r="T62" s="12">
        <v>4.6000000000000014</v>
      </c>
      <c r="U62" s="14">
        <v>27.72</v>
      </c>
      <c r="V62" s="17">
        <v>657.14285714285734</v>
      </c>
      <c r="W62" s="14">
        <v>44.762359857142869</v>
      </c>
      <c r="X62">
        <f t="shared" si="0"/>
        <v>19.063874999999999</v>
      </c>
      <c r="Y62">
        <f t="shared" si="1"/>
        <v>49.903159825823941</v>
      </c>
    </row>
    <row r="63" spans="1:25">
      <c r="A63" s="12" t="s">
        <v>335</v>
      </c>
      <c r="B63" s="12" t="s">
        <v>336</v>
      </c>
      <c r="C63" s="12">
        <v>29</v>
      </c>
      <c r="D63" s="12">
        <v>3.96</v>
      </c>
      <c r="E63" s="12" t="s">
        <v>364</v>
      </c>
      <c r="F63" s="13">
        <v>39476</v>
      </c>
      <c r="G63" s="12">
        <v>56.4</v>
      </c>
      <c r="H63" s="12">
        <v>2</v>
      </c>
      <c r="I63" s="13">
        <v>39483</v>
      </c>
      <c r="J63" s="12">
        <v>61</v>
      </c>
      <c r="L63" s="12">
        <v>7</v>
      </c>
      <c r="M63" s="12">
        <v>4.6000000000000014</v>
      </c>
      <c r="O63" s="17">
        <v>27.72</v>
      </c>
      <c r="P63" s="17"/>
      <c r="Q63" s="17">
        <v>657.14285714285734</v>
      </c>
      <c r="R63" s="14">
        <v>44.322725857142871</v>
      </c>
      <c r="S63" s="12">
        <v>7</v>
      </c>
      <c r="T63" s="12">
        <v>4.6000000000000014</v>
      </c>
      <c r="U63" s="14">
        <v>27.72</v>
      </c>
      <c r="V63" s="17">
        <v>657.14285714285734</v>
      </c>
      <c r="W63" s="14">
        <v>44.322725857142871</v>
      </c>
      <c r="X63">
        <f t="shared" si="0"/>
        <v>20.100999999999999</v>
      </c>
      <c r="Y63">
        <f t="shared" si="1"/>
        <v>52.101234646457819</v>
      </c>
    </row>
    <row r="64" spans="1:25">
      <c r="A64" s="12" t="s">
        <v>335</v>
      </c>
      <c r="B64" s="12" t="s">
        <v>336</v>
      </c>
      <c r="C64" s="12">
        <v>29</v>
      </c>
      <c r="D64" s="12">
        <v>3.96</v>
      </c>
      <c r="E64" s="12" t="s">
        <v>365</v>
      </c>
      <c r="F64" s="13">
        <v>39476</v>
      </c>
      <c r="G64" s="12">
        <v>58</v>
      </c>
      <c r="H64" s="12">
        <v>2.25</v>
      </c>
      <c r="I64" s="13">
        <v>39483</v>
      </c>
      <c r="J64" s="12">
        <v>62.4</v>
      </c>
      <c r="L64" s="12">
        <v>7</v>
      </c>
      <c r="M64" s="12">
        <v>4.3999999999999986</v>
      </c>
      <c r="O64" s="17">
        <v>27.72</v>
      </c>
      <c r="P64" s="17"/>
      <c r="Q64" s="17">
        <v>628.57142857142833</v>
      </c>
      <c r="R64" s="14">
        <v>43.167789428571417</v>
      </c>
      <c r="S64" s="12">
        <v>7</v>
      </c>
      <c r="T64" s="12">
        <v>4.3999999999999986</v>
      </c>
      <c r="U64" s="14">
        <v>27.72</v>
      </c>
      <c r="V64" s="17">
        <v>628.57142857142833</v>
      </c>
      <c r="W64" s="14">
        <v>43.167789428571417</v>
      </c>
      <c r="X64">
        <f t="shared" si="0"/>
        <v>19.063874999999999</v>
      </c>
      <c r="Y64">
        <f t="shared" si="1"/>
        <v>48.125458578515023</v>
      </c>
    </row>
    <row r="65" spans="1:25">
      <c r="A65" s="12" t="s">
        <v>335</v>
      </c>
      <c r="B65" s="12" t="s">
        <v>336</v>
      </c>
      <c r="C65" s="12">
        <v>29</v>
      </c>
      <c r="D65" s="12">
        <v>3.96</v>
      </c>
      <c r="E65" s="12" t="s">
        <v>366</v>
      </c>
      <c r="F65" s="13">
        <v>39476</v>
      </c>
      <c r="G65" s="12">
        <v>56</v>
      </c>
      <c r="H65" s="12">
        <v>3</v>
      </c>
      <c r="I65" s="13">
        <v>39483</v>
      </c>
      <c r="J65" s="12">
        <v>63</v>
      </c>
      <c r="L65" s="12">
        <v>7</v>
      </c>
      <c r="M65" s="12">
        <v>7</v>
      </c>
      <c r="O65" s="17">
        <v>27.72</v>
      </c>
      <c r="P65" s="17"/>
      <c r="Q65" s="17">
        <v>1000</v>
      </c>
      <c r="R65" s="14">
        <v>61.360855000000001</v>
      </c>
      <c r="S65" s="12">
        <v>7</v>
      </c>
      <c r="T65" s="12">
        <v>7</v>
      </c>
      <c r="U65" s="14">
        <v>27.72</v>
      </c>
      <c r="V65" s="17">
        <v>1000</v>
      </c>
      <c r="W65" s="14">
        <v>61.360855000000001</v>
      </c>
      <c r="X65">
        <f t="shared" si="0"/>
        <v>15.952499999999999</v>
      </c>
      <c r="Y65">
        <f t="shared" si="1"/>
        <v>57.243218677631567</v>
      </c>
    </row>
    <row r="66" spans="1:25">
      <c r="A66" s="12" t="s">
        <v>335</v>
      </c>
      <c r="B66" s="12" t="s">
        <v>336</v>
      </c>
      <c r="C66" s="12">
        <v>29</v>
      </c>
      <c r="D66" s="12">
        <v>3.96</v>
      </c>
      <c r="E66" s="12" t="s">
        <v>367</v>
      </c>
      <c r="F66" s="13">
        <v>39476</v>
      </c>
      <c r="G66" s="12">
        <v>63.8</v>
      </c>
      <c r="H66" s="12">
        <v>1.75</v>
      </c>
      <c r="I66" s="13">
        <v>39483</v>
      </c>
      <c r="J66" s="12">
        <v>66</v>
      </c>
      <c r="L66" s="12">
        <v>7</v>
      </c>
      <c r="M66" s="12">
        <v>2.2000000000000028</v>
      </c>
      <c r="O66" s="17">
        <v>27.72</v>
      </c>
      <c r="P66" s="17"/>
      <c r="Q66" s="17">
        <v>314.28571428571468</v>
      </c>
      <c r="R66" s="14">
        <v>28.468226714285734</v>
      </c>
      <c r="S66" s="12">
        <v>7</v>
      </c>
      <c r="T66" s="12">
        <v>2.2000000000000028</v>
      </c>
      <c r="U66" s="14">
        <v>27.72</v>
      </c>
      <c r="V66" s="17">
        <v>314.28571428571468</v>
      </c>
      <c r="W66" s="14">
        <v>28.468226714285734</v>
      </c>
      <c r="X66">
        <f t="shared" si="0"/>
        <v>21.138124999999999</v>
      </c>
      <c r="Y66">
        <f t="shared" si="1"/>
        <v>35.190931860521111</v>
      </c>
    </row>
    <row r="67" spans="1:25">
      <c r="A67" s="12" t="s">
        <v>335</v>
      </c>
      <c r="B67" s="12" t="s">
        <v>336</v>
      </c>
      <c r="C67" s="12">
        <v>29</v>
      </c>
      <c r="D67" s="12">
        <v>3.96</v>
      </c>
      <c r="E67" s="12" t="s">
        <v>368</v>
      </c>
      <c r="F67" s="13">
        <v>39476</v>
      </c>
      <c r="G67" s="12">
        <v>58.2</v>
      </c>
      <c r="H67" s="12">
        <v>1.75</v>
      </c>
      <c r="I67" s="13">
        <v>39483</v>
      </c>
      <c r="J67" s="12">
        <v>63.2</v>
      </c>
      <c r="L67" s="12">
        <v>7</v>
      </c>
      <c r="M67" s="12">
        <v>5</v>
      </c>
      <c r="O67" s="17">
        <v>27.72</v>
      </c>
      <c r="P67" s="17"/>
      <c r="Q67" s="17">
        <v>714.28571428571433</v>
      </c>
      <c r="R67" s="14">
        <v>47.478048714285713</v>
      </c>
      <c r="S67" s="12">
        <v>7</v>
      </c>
      <c r="T67" s="12">
        <v>5</v>
      </c>
      <c r="U67" s="14">
        <v>27.72</v>
      </c>
      <c r="V67" s="17">
        <v>714.28571428571433</v>
      </c>
      <c r="W67" s="14">
        <v>47.478048714285713</v>
      </c>
      <c r="X67">
        <f t="shared" ref="X67:X130" si="2">IF(H67&gt;0,-4.1485*H67 + 28.398,17.1)</f>
        <v>21.138124999999999</v>
      </c>
      <c r="Y67">
        <f t="shared" ref="Y67:Y130" si="3">W67*X67/17.1</f>
        <v>58.689878858401201</v>
      </c>
    </row>
    <row r="68" spans="1:25">
      <c r="A68" s="12" t="s">
        <v>335</v>
      </c>
      <c r="B68" s="12" t="s">
        <v>336</v>
      </c>
      <c r="C68" s="12">
        <v>29</v>
      </c>
      <c r="D68" s="12">
        <v>3.96</v>
      </c>
      <c r="E68" s="12" t="s">
        <v>369</v>
      </c>
      <c r="F68" s="13">
        <v>39476</v>
      </c>
      <c r="G68" s="12">
        <v>51</v>
      </c>
      <c r="H68" s="12">
        <v>2</v>
      </c>
      <c r="I68" s="13">
        <v>39483</v>
      </c>
      <c r="J68" s="12">
        <v>56</v>
      </c>
      <c r="L68" s="12">
        <v>7</v>
      </c>
      <c r="M68" s="12">
        <v>5</v>
      </c>
      <c r="O68" s="17">
        <v>27.72</v>
      </c>
      <c r="P68" s="17"/>
      <c r="Q68" s="17">
        <v>714.28571428571433</v>
      </c>
      <c r="R68" s="14">
        <v>46.260600714285715</v>
      </c>
      <c r="S68" s="12">
        <v>7</v>
      </c>
      <c r="T68" s="12">
        <v>5</v>
      </c>
      <c r="U68" s="14">
        <v>27.72</v>
      </c>
      <c r="V68" s="17">
        <v>714.28571428571433</v>
      </c>
      <c r="W68" s="14">
        <v>46.260600714285715</v>
      </c>
      <c r="X68">
        <f t="shared" si="2"/>
        <v>20.100999999999999</v>
      </c>
      <c r="Y68">
        <f t="shared" si="3"/>
        <v>54.379200874728483</v>
      </c>
    </row>
    <row r="69" spans="1:25">
      <c r="A69" s="12" t="s">
        <v>335</v>
      </c>
      <c r="B69" s="12" t="s">
        <v>336</v>
      </c>
      <c r="C69" s="12">
        <v>29</v>
      </c>
      <c r="D69" s="12">
        <v>3.96</v>
      </c>
      <c r="E69" s="12" t="s">
        <v>370</v>
      </c>
      <c r="F69" s="13">
        <v>39476</v>
      </c>
      <c r="G69" s="12">
        <v>57.8</v>
      </c>
      <c r="H69" s="12">
        <v>2.25</v>
      </c>
      <c r="I69" s="13">
        <v>39483</v>
      </c>
      <c r="J69" s="12">
        <v>61.6</v>
      </c>
      <c r="L69" s="12">
        <v>7</v>
      </c>
      <c r="M69" s="12">
        <v>3.8000000000000043</v>
      </c>
      <c r="O69" s="17">
        <v>27.72</v>
      </c>
      <c r="P69" s="17"/>
      <c r="Q69" s="17">
        <v>542.85714285714346</v>
      </c>
      <c r="R69" s="14">
        <v>38.857530142857172</v>
      </c>
      <c r="S69" s="12">
        <v>7</v>
      </c>
      <c r="T69" s="12">
        <v>3.8000000000000043</v>
      </c>
      <c r="U69" s="14">
        <v>27.72</v>
      </c>
      <c r="V69" s="17">
        <v>542.85714285714346</v>
      </c>
      <c r="W69" s="14">
        <v>38.857530142857172</v>
      </c>
      <c r="X69">
        <f t="shared" si="2"/>
        <v>19.063874999999999</v>
      </c>
      <c r="Y69">
        <f t="shared" si="3"/>
        <v>43.320181137553284</v>
      </c>
    </row>
    <row r="70" spans="1:25">
      <c r="A70" s="12" t="s">
        <v>520</v>
      </c>
      <c r="B70" s="12" t="s">
        <v>521</v>
      </c>
      <c r="C70" s="12">
        <v>110</v>
      </c>
      <c r="D70" s="12">
        <v>2.2000000000000002</v>
      </c>
      <c r="E70" s="12" t="s">
        <v>522</v>
      </c>
      <c r="F70" s="13">
        <v>42346</v>
      </c>
      <c r="G70" s="12">
        <v>60</v>
      </c>
      <c r="H70" s="12">
        <v>3.5</v>
      </c>
      <c r="I70" s="13">
        <v>42359</v>
      </c>
      <c r="J70" s="12">
        <v>64</v>
      </c>
      <c r="K70" s="12">
        <v>3.5</v>
      </c>
      <c r="L70" s="12">
        <v>13</v>
      </c>
      <c r="M70" s="12">
        <v>4</v>
      </c>
      <c r="N70" s="12">
        <v>0</v>
      </c>
      <c r="O70" s="17">
        <v>28.6</v>
      </c>
      <c r="P70" s="17"/>
      <c r="Q70" s="17">
        <v>307.69230769230774</v>
      </c>
      <c r="R70" s="14">
        <v>27.652810769230769</v>
      </c>
      <c r="S70" s="12">
        <v>13</v>
      </c>
      <c r="T70" s="12">
        <v>4</v>
      </c>
      <c r="U70" s="14">
        <v>28.6</v>
      </c>
      <c r="V70" s="17">
        <v>307.69230769230774</v>
      </c>
      <c r="W70" s="14">
        <v>27.652810769230769</v>
      </c>
      <c r="X70">
        <f t="shared" si="2"/>
        <v>13.878249999999998</v>
      </c>
      <c r="Y70">
        <f t="shared" si="3"/>
        <v>22.442843336729641</v>
      </c>
    </row>
    <row r="71" spans="1:25">
      <c r="A71" s="12" t="s">
        <v>520</v>
      </c>
      <c r="B71" s="12" t="s">
        <v>521</v>
      </c>
      <c r="C71" s="12">
        <v>110</v>
      </c>
      <c r="D71" s="12">
        <v>2.2000000000000002</v>
      </c>
      <c r="E71" s="12" t="s">
        <v>523</v>
      </c>
      <c r="F71" s="13">
        <v>42346</v>
      </c>
      <c r="G71" s="12">
        <v>60</v>
      </c>
      <c r="H71" s="12">
        <v>3</v>
      </c>
      <c r="I71" s="13">
        <v>42359</v>
      </c>
      <c r="J71" s="12">
        <v>64</v>
      </c>
      <c r="K71" s="12">
        <v>3.5</v>
      </c>
      <c r="L71" s="12">
        <v>13</v>
      </c>
      <c r="M71" s="12">
        <v>4</v>
      </c>
      <c r="N71" s="12">
        <v>0.5</v>
      </c>
      <c r="O71" s="17">
        <v>28.6</v>
      </c>
      <c r="P71" s="17"/>
      <c r="Q71" s="17">
        <v>307.69230769230774</v>
      </c>
      <c r="R71" s="14">
        <v>27.652810769230769</v>
      </c>
      <c r="S71" s="12">
        <v>13</v>
      </c>
      <c r="T71" s="12">
        <v>4</v>
      </c>
      <c r="U71" s="14">
        <v>28.6</v>
      </c>
      <c r="V71" s="17">
        <v>307.69230769230774</v>
      </c>
      <c r="W71" s="14">
        <v>27.652810769230769</v>
      </c>
      <c r="X71">
        <f t="shared" si="2"/>
        <v>15.952499999999999</v>
      </c>
      <c r="Y71">
        <f t="shared" si="3"/>
        <v>25.797161625506067</v>
      </c>
    </row>
    <row r="72" spans="1:25">
      <c r="A72" s="12" t="s">
        <v>520</v>
      </c>
      <c r="B72" s="12" t="s">
        <v>521</v>
      </c>
      <c r="C72" s="12">
        <v>110</v>
      </c>
      <c r="D72" s="12">
        <v>2.2000000000000002</v>
      </c>
      <c r="E72" s="12" t="s">
        <v>524</v>
      </c>
      <c r="F72" s="13">
        <v>42346</v>
      </c>
      <c r="G72" s="12">
        <v>62.5</v>
      </c>
      <c r="H72" s="12">
        <v>3.5</v>
      </c>
      <c r="I72" s="13">
        <v>42359</v>
      </c>
      <c r="J72" s="12">
        <v>67</v>
      </c>
      <c r="K72" s="12">
        <v>4</v>
      </c>
      <c r="L72" s="12">
        <v>13</v>
      </c>
      <c r="M72" s="12">
        <v>4.5</v>
      </c>
      <c r="N72" s="12">
        <v>0.5</v>
      </c>
      <c r="O72" s="17">
        <v>28.6</v>
      </c>
      <c r="P72" s="17"/>
      <c r="Q72" s="17">
        <v>346.15384615384613</v>
      </c>
      <c r="R72" s="14">
        <v>30.013962115384611</v>
      </c>
      <c r="S72" s="12">
        <v>13</v>
      </c>
      <c r="T72" s="12">
        <v>4.5</v>
      </c>
      <c r="U72" s="14">
        <v>28.6</v>
      </c>
      <c r="V72" s="17">
        <v>346.15384615384613</v>
      </c>
      <c r="W72" s="14">
        <v>30.013962115384611</v>
      </c>
      <c r="X72">
        <f t="shared" si="2"/>
        <v>13.878249999999998</v>
      </c>
      <c r="Y72">
        <f t="shared" si="3"/>
        <v>24.359138580575227</v>
      </c>
    </row>
    <row r="73" spans="1:25">
      <c r="A73" s="12" t="s">
        <v>520</v>
      </c>
      <c r="B73" s="12" t="s">
        <v>521</v>
      </c>
      <c r="C73" s="12">
        <v>110</v>
      </c>
      <c r="D73" s="12">
        <v>2.2000000000000002</v>
      </c>
      <c r="E73" s="12" t="s">
        <v>525</v>
      </c>
      <c r="F73" s="13">
        <v>42346</v>
      </c>
      <c r="G73" s="12">
        <v>58</v>
      </c>
      <c r="H73" s="12">
        <v>3.5</v>
      </c>
      <c r="I73" s="13">
        <v>42359</v>
      </c>
      <c r="J73" s="12">
        <v>62.5</v>
      </c>
      <c r="K73" s="12">
        <v>3.5</v>
      </c>
      <c r="L73" s="12">
        <v>13</v>
      </c>
      <c r="M73" s="12">
        <v>4.5</v>
      </c>
      <c r="N73" s="12">
        <v>0</v>
      </c>
      <c r="O73" s="17">
        <v>28.6</v>
      </c>
      <c r="P73" s="17"/>
      <c r="Q73" s="17">
        <v>346.15384615384613</v>
      </c>
      <c r="R73" s="14">
        <v>29.253057115384614</v>
      </c>
      <c r="S73" s="12">
        <v>13</v>
      </c>
      <c r="T73" s="12">
        <v>4.5</v>
      </c>
      <c r="U73" s="14">
        <v>28.6</v>
      </c>
      <c r="V73" s="17">
        <v>346.15384615384613</v>
      </c>
      <c r="W73" s="14">
        <v>29.253057115384614</v>
      </c>
      <c r="X73">
        <f t="shared" si="2"/>
        <v>13.878249999999998</v>
      </c>
      <c r="Y73">
        <f t="shared" si="3"/>
        <v>23.741592977285755</v>
      </c>
    </row>
    <row r="74" spans="1:25">
      <c r="A74" s="12" t="s">
        <v>520</v>
      </c>
      <c r="B74" s="12" t="s">
        <v>521</v>
      </c>
      <c r="C74" s="12">
        <v>110</v>
      </c>
      <c r="D74" s="12">
        <v>2.2000000000000002</v>
      </c>
      <c r="E74" s="12" t="s">
        <v>526</v>
      </c>
      <c r="F74" s="13">
        <v>42346</v>
      </c>
      <c r="G74" s="12">
        <v>57.5</v>
      </c>
      <c r="H74" s="12">
        <v>3</v>
      </c>
      <c r="I74" s="13">
        <v>42359</v>
      </c>
      <c r="J74" s="12">
        <v>62.5</v>
      </c>
      <c r="K74" s="12">
        <v>3</v>
      </c>
      <c r="L74" s="12">
        <v>13</v>
      </c>
      <c r="M74" s="12">
        <v>5</v>
      </c>
      <c r="N74" s="12">
        <v>0</v>
      </c>
      <c r="O74" s="17">
        <v>28.6</v>
      </c>
      <c r="P74" s="17"/>
      <c r="Q74" s="17">
        <v>384.61538461538464</v>
      </c>
      <c r="R74" s="14">
        <v>31.106938461538459</v>
      </c>
      <c r="S74" s="12">
        <v>13</v>
      </c>
      <c r="T74" s="12">
        <v>5</v>
      </c>
      <c r="U74" s="14">
        <v>28.6</v>
      </c>
      <c r="V74" s="17">
        <v>384.61538461538464</v>
      </c>
      <c r="W74" s="14">
        <v>31.106938461538459</v>
      </c>
      <c r="X74">
        <f t="shared" si="2"/>
        <v>15.952499999999999</v>
      </c>
      <c r="Y74">
        <f t="shared" si="3"/>
        <v>29.019499170040479</v>
      </c>
    </row>
    <row r="75" spans="1:25">
      <c r="A75" s="12" t="s">
        <v>520</v>
      </c>
      <c r="B75" s="12" t="s">
        <v>521</v>
      </c>
      <c r="C75" s="12">
        <v>110</v>
      </c>
      <c r="D75" s="12">
        <v>2.2000000000000002</v>
      </c>
      <c r="E75" s="12" t="s">
        <v>527</v>
      </c>
      <c r="F75" s="13">
        <v>42346</v>
      </c>
      <c r="G75" s="12">
        <v>59.5</v>
      </c>
      <c r="H75" s="12">
        <v>3</v>
      </c>
      <c r="I75" s="13">
        <v>42359</v>
      </c>
      <c r="J75" s="12">
        <v>58</v>
      </c>
      <c r="K75" s="12">
        <v>3</v>
      </c>
      <c r="L75" s="12">
        <v>13</v>
      </c>
      <c r="M75" s="12">
        <v>-1.5</v>
      </c>
      <c r="N75" s="12">
        <v>0</v>
      </c>
      <c r="O75" s="17">
        <v>28.6</v>
      </c>
      <c r="P75" s="17"/>
      <c r="Q75" s="17">
        <v>-115.38461538461539</v>
      </c>
      <c r="R75" s="14">
        <v>6.2455759615384601</v>
      </c>
      <c r="S75" s="12">
        <v>13</v>
      </c>
      <c r="T75" s="12">
        <v>-1.5</v>
      </c>
      <c r="U75" s="14">
        <v>28.6</v>
      </c>
      <c r="V75" s="17">
        <v>-115.38461538461539</v>
      </c>
      <c r="W75" s="14">
        <v>6.2455759615384601</v>
      </c>
      <c r="X75">
        <f t="shared" si="2"/>
        <v>15.952499999999999</v>
      </c>
      <c r="Y75">
        <f t="shared" si="3"/>
        <v>5.8264649430667994</v>
      </c>
    </row>
    <row r="76" spans="1:25">
      <c r="A76" s="12" t="s">
        <v>520</v>
      </c>
      <c r="B76" s="12" t="s">
        <v>521</v>
      </c>
      <c r="C76" s="12">
        <v>110</v>
      </c>
      <c r="D76" s="12">
        <v>2.2000000000000002</v>
      </c>
      <c r="E76" s="12" t="s">
        <v>528</v>
      </c>
      <c r="F76" s="13">
        <v>42346</v>
      </c>
      <c r="G76" s="12">
        <v>62</v>
      </c>
      <c r="H76" s="12">
        <v>3</v>
      </c>
      <c r="I76" s="13">
        <v>42359</v>
      </c>
      <c r="J76" s="12">
        <v>68</v>
      </c>
      <c r="K76" s="12">
        <v>3.5</v>
      </c>
      <c r="L76" s="12">
        <v>13</v>
      </c>
      <c r="M76" s="12">
        <v>6</v>
      </c>
      <c r="N76" s="12">
        <v>0.5</v>
      </c>
      <c r="O76" s="17">
        <v>28.6</v>
      </c>
      <c r="P76" s="17"/>
      <c r="Q76" s="17">
        <v>461.53846153846155</v>
      </c>
      <c r="R76" s="14">
        <v>35.744696153846157</v>
      </c>
      <c r="S76" s="12">
        <v>13</v>
      </c>
      <c r="T76" s="12">
        <v>6</v>
      </c>
      <c r="U76" s="14">
        <v>28.6</v>
      </c>
      <c r="V76" s="17">
        <v>461.53846153846155</v>
      </c>
      <c r="W76" s="14">
        <v>35.744696153846157</v>
      </c>
      <c r="X76">
        <f t="shared" si="2"/>
        <v>15.952499999999999</v>
      </c>
      <c r="Y76">
        <f t="shared" si="3"/>
        <v>33.346038911943317</v>
      </c>
    </row>
    <row r="77" spans="1:25">
      <c r="A77" s="12" t="s">
        <v>520</v>
      </c>
      <c r="B77" s="12" t="s">
        <v>521</v>
      </c>
      <c r="C77" s="12">
        <v>110</v>
      </c>
      <c r="D77" s="12">
        <v>2.2000000000000002</v>
      </c>
      <c r="E77" s="12" t="s">
        <v>529</v>
      </c>
      <c r="F77" s="13">
        <v>42346</v>
      </c>
      <c r="G77" s="12">
        <v>58.5</v>
      </c>
      <c r="H77" s="12">
        <v>3</v>
      </c>
      <c r="I77" s="13">
        <v>42359</v>
      </c>
      <c r="J77" s="12">
        <v>62.5</v>
      </c>
      <c r="K77" s="12">
        <v>3</v>
      </c>
      <c r="L77" s="12">
        <v>13</v>
      </c>
      <c r="M77" s="12">
        <v>4</v>
      </c>
      <c r="N77" s="12">
        <v>0</v>
      </c>
      <c r="O77" s="17">
        <v>28.6</v>
      </c>
      <c r="P77" s="17"/>
      <c r="Q77" s="17">
        <v>307.69230769230774</v>
      </c>
      <c r="R77" s="14">
        <v>27.399175769230766</v>
      </c>
      <c r="S77" s="12">
        <v>13</v>
      </c>
      <c r="T77" s="12">
        <v>4</v>
      </c>
      <c r="U77" s="14">
        <v>28.6</v>
      </c>
      <c r="V77" s="17">
        <v>307.69230769230774</v>
      </c>
      <c r="W77" s="14">
        <v>27.399175769230766</v>
      </c>
      <c r="X77">
        <f t="shared" si="2"/>
        <v>15.952499999999999</v>
      </c>
      <c r="Y77">
        <f t="shared" si="3"/>
        <v>25.560546868927119</v>
      </c>
    </row>
    <row r="78" spans="1:25">
      <c r="A78" s="12" t="s">
        <v>520</v>
      </c>
      <c r="B78" s="12" t="s">
        <v>521</v>
      </c>
      <c r="C78" s="12">
        <v>110</v>
      </c>
      <c r="D78" s="12">
        <v>2.2000000000000002</v>
      </c>
      <c r="E78" s="12" t="s">
        <v>530</v>
      </c>
      <c r="F78" s="13">
        <v>42346</v>
      </c>
      <c r="G78" s="12">
        <v>59</v>
      </c>
      <c r="H78" s="12">
        <v>3</v>
      </c>
      <c r="I78" s="13">
        <v>42359</v>
      </c>
      <c r="J78" s="12">
        <v>62.5</v>
      </c>
      <c r="K78" s="12">
        <v>3.5</v>
      </c>
      <c r="L78" s="12">
        <v>13</v>
      </c>
      <c r="M78" s="12">
        <v>3.5</v>
      </c>
      <c r="N78" s="12">
        <v>0.5</v>
      </c>
      <c r="O78" s="17">
        <v>28.6</v>
      </c>
      <c r="P78" s="17"/>
      <c r="Q78" s="17">
        <v>269.23076923076923</v>
      </c>
      <c r="R78" s="14">
        <v>25.545294423076921</v>
      </c>
      <c r="S78" s="12">
        <v>13</v>
      </c>
      <c r="T78" s="12">
        <v>3.5</v>
      </c>
      <c r="U78" s="14">
        <v>28.6</v>
      </c>
      <c r="V78" s="17">
        <v>269.23076923076923</v>
      </c>
      <c r="W78" s="14">
        <v>25.545294423076921</v>
      </c>
      <c r="X78">
        <f t="shared" si="2"/>
        <v>15.952499999999999</v>
      </c>
      <c r="Y78">
        <f t="shared" si="3"/>
        <v>23.831070718370437</v>
      </c>
    </row>
    <row r="79" spans="1:25">
      <c r="A79" s="12" t="s">
        <v>520</v>
      </c>
      <c r="B79" s="12" t="s">
        <v>521</v>
      </c>
      <c r="C79" s="12">
        <v>110</v>
      </c>
      <c r="D79" s="12">
        <v>2.2000000000000002</v>
      </c>
      <c r="E79" s="12" t="s">
        <v>531</v>
      </c>
      <c r="F79" s="13">
        <v>42346</v>
      </c>
      <c r="G79" s="12">
        <v>57</v>
      </c>
      <c r="H79" s="12">
        <v>3</v>
      </c>
      <c r="I79" s="13">
        <v>42359</v>
      </c>
      <c r="J79" s="12">
        <v>62.5</v>
      </c>
      <c r="K79" s="12">
        <v>3</v>
      </c>
      <c r="L79" s="12">
        <v>13</v>
      </c>
      <c r="M79" s="12">
        <v>5.5</v>
      </c>
      <c r="N79" s="12">
        <v>0</v>
      </c>
      <c r="O79" s="17">
        <v>28.6</v>
      </c>
      <c r="P79" s="17"/>
      <c r="Q79" s="17">
        <v>423.07692307692309</v>
      </c>
      <c r="R79" s="14">
        <v>32.960819807692303</v>
      </c>
      <c r="S79" s="12">
        <v>13</v>
      </c>
      <c r="T79" s="12">
        <v>5.5</v>
      </c>
      <c r="U79" s="14">
        <v>28.6</v>
      </c>
      <c r="V79" s="17">
        <v>423.07692307692309</v>
      </c>
      <c r="W79" s="14">
        <v>32.960819807692303</v>
      </c>
      <c r="X79">
        <f t="shared" si="2"/>
        <v>15.952499999999999</v>
      </c>
      <c r="Y79">
        <f t="shared" si="3"/>
        <v>30.748975320597161</v>
      </c>
    </row>
    <row r="80" spans="1:25">
      <c r="A80" s="12" t="s">
        <v>520</v>
      </c>
      <c r="B80" s="12" t="s">
        <v>521</v>
      </c>
      <c r="C80" s="12">
        <v>110</v>
      </c>
      <c r="D80" s="12">
        <v>2.2000000000000002</v>
      </c>
      <c r="E80" s="12" t="s">
        <v>532</v>
      </c>
      <c r="F80" s="13">
        <v>42346</v>
      </c>
      <c r="G80" s="12">
        <v>60.5</v>
      </c>
      <c r="H80" s="12">
        <v>3</v>
      </c>
      <c r="I80" s="13">
        <v>42359</v>
      </c>
      <c r="J80" s="12">
        <v>63.5</v>
      </c>
      <c r="K80" s="12">
        <v>3</v>
      </c>
      <c r="L80" s="12">
        <v>13</v>
      </c>
      <c r="M80" s="12">
        <v>3</v>
      </c>
      <c r="N80" s="12">
        <v>0</v>
      </c>
      <c r="O80" s="17">
        <v>28.6</v>
      </c>
      <c r="P80" s="17"/>
      <c r="Q80" s="17">
        <v>230.76923076923077</v>
      </c>
      <c r="R80" s="14">
        <v>23.860503076923077</v>
      </c>
      <c r="S80" s="12">
        <v>13</v>
      </c>
      <c r="T80" s="12">
        <v>3</v>
      </c>
      <c r="U80" s="14">
        <v>28.6</v>
      </c>
      <c r="V80" s="17">
        <v>230.76923076923077</v>
      </c>
      <c r="W80" s="14">
        <v>23.860503076923077</v>
      </c>
      <c r="X80">
        <f t="shared" si="2"/>
        <v>15.952499999999999</v>
      </c>
      <c r="Y80">
        <f t="shared" si="3"/>
        <v>22.259337738866392</v>
      </c>
    </row>
    <row r="81" spans="1:25">
      <c r="A81" s="12" t="s">
        <v>520</v>
      </c>
      <c r="B81" s="12" t="s">
        <v>521</v>
      </c>
      <c r="C81" s="12">
        <v>110</v>
      </c>
      <c r="D81" s="12">
        <v>2.2000000000000002</v>
      </c>
      <c r="E81" s="12" t="s">
        <v>533</v>
      </c>
      <c r="F81" s="13">
        <v>42346</v>
      </c>
      <c r="G81" s="12">
        <v>60.5</v>
      </c>
      <c r="H81" s="12">
        <v>3</v>
      </c>
      <c r="I81" s="13">
        <v>42359</v>
      </c>
      <c r="J81" s="12">
        <v>67</v>
      </c>
      <c r="K81" s="12">
        <v>3.5</v>
      </c>
      <c r="L81" s="12">
        <v>13</v>
      </c>
      <c r="M81" s="12">
        <v>6.5</v>
      </c>
      <c r="N81" s="12">
        <v>0.5</v>
      </c>
      <c r="O81" s="17">
        <v>28.6</v>
      </c>
      <c r="P81" s="17"/>
      <c r="Q81" s="17">
        <v>500</v>
      </c>
      <c r="R81" s="14">
        <v>37.4294875</v>
      </c>
      <c r="S81" s="12">
        <v>13</v>
      </c>
      <c r="T81" s="12">
        <v>6.5</v>
      </c>
      <c r="U81" s="14">
        <v>28.6</v>
      </c>
      <c r="V81" s="17">
        <v>500</v>
      </c>
      <c r="W81" s="14">
        <v>37.4294875</v>
      </c>
      <c r="X81">
        <f t="shared" si="2"/>
        <v>15.952499999999999</v>
      </c>
      <c r="Y81">
        <f t="shared" si="3"/>
        <v>34.917771891447366</v>
      </c>
    </row>
    <row r="82" spans="1:25">
      <c r="A82" s="12" t="s">
        <v>520</v>
      </c>
      <c r="B82" s="12" t="s">
        <v>521</v>
      </c>
      <c r="C82" s="12">
        <v>110</v>
      </c>
      <c r="D82" s="12">
        <v>2.2000000000000002</v>
      </c>
      <c r="E82" s="12" t="s">
        <v>534</v>
      </c>
      <c r="F82" s="13">
        <v>42346</v>
      </c>
      <c r="G82" s="12">
        <v>59.5</v>
      </c>
      <c r="H82" s="12">
        <v>2.5</v>
      </c>
      <c r="I82" s="13">
        <v>42359</v>
      </c>
      <c r="J82" s="12">
        <v>59</v>
      </c>
      <c r="K82" s="12">
        <v>3</v>
      </c>
      <c r="L82" s="12">
        <v>13</v>
      </c>
      <c r="M82" s="12">
        <v>-0.5</v>
      </c>
      <c r="N82" s="12">
        <v>0.5</v>
      </c>
      <c r="O82" s="17">
        <v>28.6</v>
      </c>
      <c r="P82" s="17"/>
      <c r="Q82" s="17">
        <v>-38.461538461538467</v>
      </c>
      <c r="R82" s="14">
        <v>10.122428653846153</v>
      </c>
      <c r="S82" s="12">
        <v>13</v>
      </c>
      <c r="T82" s="12">
        <v>-0.5</v>
      </c>
      <c r="U82" s="14">
        <v>28.6</v>
      </c>
      <c r="V82" s="17">
        <v>-38.461538461538467</v>
      </c>
      <c r="W82" s="14">
        <v>10.122428653846153</v>
      </c>
      <c r="X82">
        <f t="shared" si="2"/>
        <v>18.02675</v>
      </c>
      <c r="Y82">
        <f t="shared" si="3"/>
        <v>10.671022850042171</v>
      </c>
    </row>
    <row r="83" spans="1:25">
      <c r="A83" s="12" t="s">
        <v>520</v>
      </c>
      <c r="B83" s="12" t="s">
        <v>521</v>
      </c>
      <c r="C83" s="12">
        <v>110</v>
      </c>
      <c r="D83" s="12">
        <v>2.2000000000000002</v>
      </c>
      <c r="E83" s="12" t="s">
        <v>535</v>
      </c>
      <c r="F83" s="13">
        <v>42346</v>
      </c>
      <c r="G83" s="12">
        <v>58</v>
      </c>
      <c r="H83" s="12">
        <v>3</v>
      </c>
      <c r="I83" s="13">
        <v>42359</v>
      </c>
      <c r="J83" s="12">
        <v>60.5</v>
      </c>
      <c r="K83" s="12">
        <v>3</v>
      </c>
      <c r="L83" s="12">
        <v>13</v>
      </c>
      <c r="M83" s="12">
        <v>2.5</v>
      </c>
      <c r="N83" s="12">
        <v>0</v>
      </c>
      <c r="O83" s="17">
        <v>28.6</v>
      </c>
      <c r="P83" s="17"/>
      <c r="Q83" s="17">
        <v>192.30769230769232</v>
      </c>
      <c r="R83" s="14">
        <v>21.499351730769227</v>
      </c>
      <c r="S83" s="12">
        <v>13</v>
      </c>
      <c r="T83" s="12">
        <v>2.5</v>
      </c>
      <c r="U83" s="14">
        <v>28.6</v>
      </c>
      <c r="V83" s="17">
        <v>192.30769230769232</v>
      </c>
      <c r="W83" s="14">
        <v>21.499351730769227</v>
      </c>
      <c r="X83">
        <f t="shared" si="2"/>
        <v>15.952499999999999</v>
      </c>
      <c r="Y83">
        <f t="shared" si="3"/>
        <v>20.056632075151814</v>
      </c>
    </row>
    <row r="84" spans="1:25">
      <c r="A84" s="12" t="s">
        <v>520</v>
      </c>
      <c r="B84" s="12" t="s">
        <v>521</v>
      </c>
      <c r="C84" s="12">
        <v>110</v>
      </c>
      <c r="D84" s="12">
        <v>2.2000000000000002</v>
      </c>
      <c r="E84" s="12" t="s">
        <v>536</v>
      </c>
      <c r="F84" s="13">
        <v>42346</v>
      </c>
      <c r="G84" s="12">
        <v>63.5</v>
      </c>
      <c r="H84" s="12">
        <v>3</v>
      </c>
      <c r="I84" s="13">
        <v>42359</v>
      </c>
      <c r="J84" s="12">
        <v>69</v>
      </c>
      <c r="K84" s="12">
        <v>3.5</v>
      </c>
      <c r="L84" s="12">
        <v>13</v>
      </c>
      <c r="M84" s="12">
        <v>5.5</v>
      </c>
      <c r="N84" s="12">
        <v>0.5</v>
      </c>
      <c r="O84" s="17">
        <v>28.6</v>
      </c>
      <c r="P84" s="17"/>
      <c r="Q84" s="17">
        <v>423.07692307692309</v>
      </c>
      <c r="R84" s="14">
        <v>34.059904807692305</v>
      </c>
      <c r="S84" s="12">
        <v>13</v>
      </c>
      <c r="T84" s="12">
        <v>5.5</v>
      </c>
      <c r="U84" s="14">
        <v>28.6</v>
      </c>
      <c r="V84" s="17">
        <v>423.07692307692309</v>
      </c>
      <c r="W84" s="14">
        <v>34.059904807692305</v>
      </c>
      <c r="X84">
        <f t="shared" si="2"/>
        <v>15.952499999999999</v>
      </c>
      <c r="Y84">
        <f t="shared" si="3"/>
        <v>31.774305932439262</v>
      </c>
    </row>
    <row r="85" spans="1:25">
      <c r="A85" s="12" t="s">
        <v>520</v>
      </c>
      <c r="B85" s="12" t="s">
        <v>521</v>
      </c>
      <c r="C85" s="12">
        <v>110</v>
      </c>
      <c r="D85" s="12">
        <v>2.2000000000000002</v>
      </c>
      <c r="E85" s="12" t="s">
        <v>537</v>
      </c>
      <c r="F85" s="13">
        <v>42346</v>
      </c>
      <c r="G85" s="12">
        <v>60.5</v>
      </c>
      <c r="H85" s="12">
        <v>3</v>
      </c>
      <c r="I85" s="13">
        <v>42359</v>
      </c>
      <c r="J85" s="12">
        <v>66</v>
      </c>
      <c r="K85" s="12">
        <v>3.5</v>
      </c>
      <c r="L85" s="12">
        <v>13</v>
      </c>
      <c r="M85" s="12">
        <v>5.5</v>
      </c>
      <c r="N85" s="12">
        <v>0.5</v>
      </c>
      <c r="O85" s="17">
        <v>28.6</v>
      </c>
      <c r="P85" s="17"/>
      <c r="Q85" s="17">
        <v>423.07692307692309</v>
      </c>
      <c r="R85" s="14">
        <v>33.552634807692307</v>
      </c>
      <c r="S85" s="12">
        <v>13</v>
      </c>
      <c r="T85" s="12">
        <v>5.5</v>
      </c>
      <c r="U85" s="14">
        <v>28.6</v>
      </c>
      <c r="V85" s="17">
        <v>423.07692307692309</v>
      </c>
      <c r="W85" s="14">
        <v>33.552634807692307</v>
      </c>
      <c r="X85">
        <f t="shared" si="2"/>
        <v>15.952499999999999</v>
      </c>
      <c r="Y85">
        <f t="shared" si="3"/>
        <v>31.301076419281369</v>
      </c>
    </row>
    <row r="86" spans="1:25">
      <c r="A86" s="12" t="s">
        <v>520</v>
      </c>
      <c r="B86" s="12" t="s">
        <v>521</v>
      </c>
      <c r="C86" s="12">
        <v>110</v>
      </c>
      <c r="D86" s="12">
        <v>2.2000000000000002</v>
      </c>
      <c r="E86" s="12" t="s">
        <v>538</v>
      </c>
      <c r="F86" s="13">
        <v>42346</v>
      </c>
      <c r="G86" s="12">
        <v>58.5</v>
      </c>
      <c r="H86" s="12">
        <v>3</v>
      </c>
      <c r="I86" s="13">
        <v>42359</v>
      </c>
      <c r="J86" s="12">
        <v>64.5</v>
      </c>
      <c r="K86" s="12">
        <v>3.5</v>
      </c>
      <c r="L86" s="12">
        <v>13</v>
      </c>
      <c r="M86" s="12">
        <v>6</v>
      </c>
      <c r="N86" s="12">
        <v>0.5</v>
      </c>
      <c r="O86" s="17">
        <v>28.6</v>
      </c>
      <c r="P86" s="17"/>
      <c r="Q86" s="17">
        <v>461.53846153846155</v>
      </c>
      <c r="R86" s="14">
        <v>35.152881153846153</v>
      </c>
      <c r="S86" s="12">
        <v>13</v>
      </c>
      <c r="T86" s="12">
        <v>6</v>
      </c>
      <c r="U86" s="14">
        <v>28.6</v>
      </c>
      <c r="V86" s="17">
        <v>461.53846153846155</v>
      </c>
      <c r="W86" s="14">
        <v>35.152881153846153</v>
      </c>
      <c r="X86">
        <f t="shared" si="2"/>
        <v>15.952499999999999</v>
      </c>
      <c r="Y86">
        <f t="shared" si="3"/>
        <v>32.793937813259106</v>
      </c>
    </row>
    <row r="87" spans="1:25">
      <c r="A87" s="12" t="s">
        <v>520</v>
      </c>
      <c r="B87" s="12" t="s">
        <v>521</v>
      </c>
      <c r="C87" s="12">
        <v>110</v>
      </c>
      <c r="D87" s="12">
        <v>2.2000000000000002</v>
      </c>
      <c r="E87" s="12" t="s">
        <v>539</v>
      </c>
      <c r="F87" s="13">
        <v>42346</v>
      </c>
      <c r="G87" s="12">
        <v>60</v>
      </c>
      <c r="H87" s="12">
        <v>3</v>
      </c>
      <c r="I87" s="13">
        <v>42359</v>
      </c>
      <c r="J87" s="12">
        <v>65</v>
      </c>
      <c r="K87" s="12">
        <v>3.5</v>
      </c>
      <c r="L87" s="12">
        <v>13</v>
      </c>
      <c r="M87" s="12">
        <v>5</v>
      </c>
      <c r="N87" s="12">
        <v>0.5</v>
      </c>
      <c r="O87" s="17">
        <v>28.6</v>
      </c>
      <c r="P87" s="17"/>
      <c r="Q87" s="17">
        <v>384.61538461538464</v>
      </c>
      <c r="R87" s="14">
        <v>31.529663461538462</v>
      </c>
      <c r="S87" s="12">
        <v>13</v>
      </c>
      <c r="T87" s="12">
        <v>5</v>
      </c>
      <c r="U87" s="14">
        <v>28.6</v>
      </c>
      <c r="V87" s="17">
        <v>384.61538461538464</v>
      </c>
      <c r="W87" s="14">
        <v>31.529663461538462</v>
      </c>
      <c r="X87">
        <f t="shared" si="2"/>
        <v>15.952499999999999</v>
      </c>
      <c r="Y87">
        <f t="shared" si="3"/>
        <v>29.413857097672061</v>
      </c>
    </row>
    <row r="88" spans="1:25">
      <c r="A88" s="12" t="s">
        <v>520</v>
      </c>
      <c r="B88" s="12" t="s">
        <v>521</v>
      </c>
      <c r="C88" s="12">
        <v>110</v>
      </c>
      <c r="D88" s="12">
        <v>2.2000000000000002</v>
      </c>
      <c r="E88" s="12" t="s">
        <v>540</v>
      </c>
      <c r="F88" s="13">
        <v>42346</v>
      </c>
      <c r="G88" s="12">
        <v>59.5</v>
      </c>
      <c r="H88" s="12">
        <v>3</v>
      </c>
      <c r="I88" s="13">
        <v>42359</v>
      </c>
      <c r="J88" s="12">
        <v>65.5</v>
      </c>
      <c r="K88" s="12">
        <v>3</v>
      </c>
      <c r="L88" s="12">
        <v>13</v>
      </c>
      <c r="M88" s="12">
        <v>6</v>
      </c>
      <c r="N88" s="12">
        <v>0</v>
      </c>
      <c r="O88" s="17">
        <v>28.6</v>
      </c>
      <c r="P88" s="17"/>
      <c r="Q88" s="17">
        <v>461.53846153846155</v>
      </c>
      <c r="R88" s="14">
        <v>35.321971153846157</v>
      </c>
      <c r="S88" s="12">
        <v>13</v>
      </c>
      <c r="T88" s="12">
        <v>6</v>
      </c>
      <c r="U88" s="14">
        <v>28.6</v>
      </c>
      <c r="V88" s="17">
        <v>461.53846153846155</v>
      </c>
      <c r="W88" s="14">
        <v>35.321971153846157</v>
      </c>
      <c r="X88">
        <f t="shared" si="2"/>
        <v>15.952499999999999</v>
      </c>
      <c r="Y88">
        <f t="shared" si="3"/>
        <v>32.951680984311736</v>
      </c>
    </row>
    <row r="89" spans="1:25">
      <c r="A89" s="12" t="s">
        <v>520</v>
      </c>
      <c r="B89" s="12" t="s">
        <v>521</v>
      </c>
      <c r="C89" s="12">
        <v>110</v>
      </c>
      <c r="D89" s="12">
        <v>2.2000000000000002</v>
      </c>
      <c r="E89" s="12" t="s">
        <v>541</v>
      </c>
      <c r="F89" s="13">
        <v>42346</v>
      </c>
      <c r="G89" s="12">
        <v>62</v>
      </c>
      <c r="H89" s="12">
        <v>3</v>
      </c>
      <c r="I89" s="13">
        <v>42359</v>
      </c>
      <c r="J89" s="12">
        <v>68</v>
      </c>
      <c r="K89" s="12">
        <v>3.5</v>
      </c>
      <c r="L89" s="12">
        <v>13</v>
      </c>
      <c r="M89" s="12">
        <v>6</v>
      </c>
      <c r="N89" s="12">
        <v>0.5</v>
      </c>
      <c r="O89" s="17">
        <v>28.6</v>
      </c>
      <c r="P89" s="17"/>
      <c r="Q89" s="17">
        <v>461.53846153846155</v>
      </c>
      <c r="R89" s="14">
        <v>35.744696153846157</v>
      </c>
      <c r="S89" s="12">
        <v>13</v>
      </c>
      <c r="T89" s="12">
        <v>6</v>
      </c>
      <c r="U89" s="14">
        <v>28.6</v>
      </c>
      <c r="V89" s="17">
        <v>461.53846153846155</v>
      </c>
      <c r="W89" s="14">
        <v>35.744696153846157</v>
      </c>
      <c r="X89">
        <f t="shared" si="2"/>
        <v>15.952499999999999</v>
      </c>
      <c r="Y89">
        <f t="shared" si="3"/>
        <v>33.346038911943317</v>
      </c>
    </row>
    <row r="90" spans="1:25">
      <c r="A90" s="12" t="s">
        <v>520</v>
      </c>
      <c r="B90" s="12" t="s">
        <v>521</v>
      </c>
      <c r="C90" s="12">
        <v>110</v>
      </c>
      <c r="D90" s="12">
        <v>2.2000000000000002</v>
      </c>
      <c r="E90" s="12" t="s">
        <v>542</v>
      </c>
      <c r="F90" s="13">
        <v>42346</v>
      </c>
      <c r="G90" s="12">
        <v>60.5</v>
      </c>
      <c r="H90" s="12">
        <v>3</v>
      </c>
      <c r="I90" s="13">
        <v>42359</v>
      </c>
      <c r="J90" s="12">
        <v>66</v>
      </c>
      <c r="K90" s="12">
        <v>3.5</v>
      </c>
      <c r="L90" s="12">
        <v>13</v>
      </c>
      <c r="M90" s="12">
        <v>5.5</v>
      </c>
      <c r="N90" s="12">
        <v>0.5</v>
      </c>
      <c r="O90" s="17">
        <v>28.6</v>
      </c>
      <c r="P90" s="17"/>
      <c r="Q90" s="17">
        <v>423.07692307692309</v>
      </c>
      <c r="R90" s="14">
        <v>33.552634807692307</v>
      </c>
      <c r="S90" s="12">
        <v>13</v>
      </c>
      <c r="T90" s="12">
        <v>5.5</v>
      </c>
      <c r="U90" s="14">
        <v>28.6</v>
      </c>
      <c r="V90" s="17">
        <v>423.07692307692309</v>
      </c>
      <c r="W90" s="14">
        <v>33.552634807692307</v>
      </c>
      <c r="X90">
        <f t="shared" si="2"/>
        <v>15.952499999999999</v>
      </c>
      <c r="Y90">
        <f t="shared" si="3"/>
        <v>31.301076419281369</v>
      </c>
    </row>
    <row r="91" spans="1:25">
      <c r="A91" s="12" t="s">
        <v>520</v>
      </c>
      <c r="B91" s="12" t="s">
        <v>521</v>
      </c>
      <c r="C91" s="12">
        <v>110</v>
      </c>
      <c r="D91" s="12">
        <v>2.2000000000000002</v>
      </c>
      <c r="E91" s="12" t="s">
        <v>543</v>
      </c>
      <c r="F91" s="13">
        <v>42346</v>
      </c>
      <c r="G91" s="12">
        <v>62.5</v>
      </c>
      <c r="H91" s="12">
        <v>3</v>
      </c>
      <c r="I91" s="13">
        <v>42359</v>
      </c>
      <c r="J91" s="12">
        <v>67</v>
      </c>
      <c r="K91" s="12">
        <v>3.5</v>
      </c>
      <c r="L91" s="12">
        <v>13</v>
      </c>
      <c r="M91" s="12">
        <v>4.5</v>
      </c>
      <c r="N91" s="12">
        <v>0.5</v>
      </c>
      <c r="O91" s="17">
        <v>28.6</v>
      </c>
      <c r="P91" s="17"/>
      <c r="Q91" s="17">
        <v>346.15384615384613</v>
      </c>
      <c r="R91" s="14">
        <v>30.013962115384611</v>
      </c>
      <c r="S91" s="12">
        <v>13</v>
      </c>
      <c r="T91" s="12">
        <v>4.5</v>
      </c>
      <c r="U91" s="14">
        <v>28.6</v>
      </c>
      <c r="V91" s="17">
        <v>346.15384615384613</v>
      </c>
      <c r="W91" s="14">
        <v>30.013962115384611</v>
      </c>
      <c r="X91">
        <f t="shared" si="2"/>
        <v>15.952499999999999</v>
      </c>
      <c r="Y91">
        <f t="shared" si="3"/>
        <v>27.999867289220639</v>
      </c>
    </row>
    <row r="92" spans="1:25">
      <c r="A92" s="12" t="s">
        <v>520</v>
      </c>
      <c r="B92" s="12" t="s">
        <v>521</v>
      </c>
      <c r="C92" s="12">
        <v>110</v>
      </c>
      <c r="D92" s="12">
        <v>2.2000000000000002</v>
      </c>
      <c r="E92" s="12" t="s">
        <v>544</v>
      </c>
      <c r="F92" s="13">
        <v>42346</v>
      </c>
      <c r="G92" s="12">
        <v>60.5</v>
      </c>
      <c r="H92" s="12">
        <v>3</v>
      </c>
      <c r="I92" s="13">
        <v>42359</v>
      </c>
      <c r="J92" s="12">
        <v>66.5</v>
      </c>
      <c r="K92" s="12">
        <v>3.5</v>
      </c>
      <c r="L92" s="12">
        <v>13</v>
      </c>
      <c r="M92" s="12">
        <v>6</v>
      </c>
      <c r="N92" s="12">
        <v>0.5</v>
      </c>
      <c r="O92" s="17">
        <v>28.6</v>
      </c>
      <c r="P92" s="17"/>
      <c r="Q92" s="17">
        <v>461.53846153846155</v>
      </c>
      <c r="R92" s="14">
        <v>35.491061153846154</v>
      </c>
      <c r="S92" s="12">
        <v>13</v>
      </c>
      <c r="T92" s="12">
        <v>6</v>
      </c>
      <c r="U92" s="14">
        <v>28.6</v>
      </c>
      <c r="V92" s="17">
        <v>461.53846153846155</v>
      </c>
      <c r="W92" s="14">
        <v>35.491061153846154</v>
      </c>
      <c r="X92">
        <f t="shared" si="2"/>
        <v>15.952499999999999</v>
      </c>
      <c r="Y92">
        <f t="shared" si="3"/>
        <v>33.109424155364373</v>
      </c>
    </row>
    <row r="93" spans="1:25">
      <c r="A93" s="12" t="s">
        <v>520</v>
      </c>
      <c r="B93" s="12" t="s">
        <v>521</v>
      </c>
      <c r="C93" s="12">
        <v>110</v>
      </c>
      <c r="D93" s="12">
        <v>2.2000000000000002</v>
      </c>
      <c r="E93" s="12" t="s">
        <v>545</v>
      </c>
      <c r="F93" s="13">
        <v>42346</v>
      </c>
      <c r="G93" s="12">
        <v>60</v>
      </c>
      <c r="H93" s="12">
        <v>3</v>
      </c>
      <c r="I93" s="13">
        <v>42359</v>
      </c>
      <c r="J93" s="12">
        <v>61</v>
      </c>
      <c r="K93" s="12">
        <v>3</v>
      </c>
      <c r="L93" s="12">
        <v>13</v>
      </c>
      <c r="M93" s="12">
        <v>1</v>
      </c>
      <c r="N93" s="12">
        <v>0</v>
      </c>
      <c r="O93" s="17">
        <v>28.6</v>
      </c>
      <c r="P93" s="17"/>
      <c r="Q93" s="17">
        <v>76.923076923076934</v>
      </c>
      <c r="R93" s="14">
        <v>16.022252692307692</v>
      </c>
      <c r="S93" s="12">
        <v>13</v>
      </c>
      <c r="T93" s="12">
        <v>1</v>
      </c>
      <c r="U93" s="14">
        <v>28.6</v>
      </c>
      <c r="V93" s="17">
        <v>76.923076923076934</v>
      </c>
      <c r="W93" s="14">
        <v>16.022252692307692</v>
      </c>
      <c r="X93">
        <f t="shared" si="2"/>
        <v>15.952499999999999</v>
      </c>
      <c r="Y93">
        <f t="shared" si="3"/>
        <v>14.947075209008094</v>
      </c>
    </row>
    <row r="94" spans="1:25">
      <c r="A94" s="12" t="s">
        <v>520</v>
      </c>
      <c r="B94" s="12" t="s">
        <v>521</v>
      </c>
      <c r="C94" s="12">
        <v>110</v>
      </c>
      <c r="D94" s="12">
        <v>2.2000000000000002</v>
      </c>
      <c r="E94" s="12" t="s">
        <v>546</v>
      </c>
      <c r="F94" s="13">
        <v>42346</v>
      </c>
      <c r="G94" s="12">
        <v>59</v>
      </c>
      <c r="H94" s="12">
        <v>3</v>
      </c>
      <c r="I94" s="13">
        <v>42359</v>
      </c>
      <c r="J94" s="12">
        <v>62.5</v>
      </c>
      <c r="K94" s="12">
        <v>3.5</v>
      </c>
      <c r="L94" s="12">
        <v>13</v>
      </c>
      <c r="M94" s="12">
        <v>3.5</v>
      </c>
      <c r="N94" s="12">
        <v>0.5</v>
      </c>
      <c r="O94" s="17">
        <v>28.6</v>
      </c>
      <c r="P94" s="17"/>
      <c r="Q94" s="17">
        <v>269.23076923076923</v>
      </c>
      <c r="R94" s="14">
        <v>25.545294423076921</v>
      </c>
      <c r="S94" s="12">
        <v>13</v>
      </c>
      <c r="T94" s="12">
        <v>3.5</v>
      </c>
      <c r="U94" s="14">
        <v>28.6</v>
      </c>
      <c r="V94" s="17">
        <v>269.23076923076923</v>
      </c>
      <c r="W94" s="14">
        <v>25.545294423076921</v>
      </c>
      <c r="X94">
        <f t="shared" si="2"/>
        <v>15.952499999999999</v>
      </c>
      <c r="Y94">
        <f t="shared" si="3"/>
        <v>23.831070718370437</v>
      </c>
    </row>
    <row r="95" spans="1:25">
      <c r="A95" s="12" t="s">
        <v>520</v>
      </c>
      <c r="B95" s="12" t="s">
        <v>521</v>
      </c>
      <c r="C95" s="12">
        <v>110</v>
      </c>
      <c r="D95" s="12">
        <v>2.2000000000000002</v>
      </c>
      <c r="E95" s="12" t="s">
        <v>547</v>
      </c>
      <c r="F95" s="13">
        <v>42346</v>
      </c>
      <c r="G95" s="12">
        <v>63.5</v>
      </c>
      <c r="H95" s="12">
        <v>3.5</v>
      </c>
      <c r="I95" s="13">
        <v>42359</v>
      </c>
      <c r="J95" s="12">
        <v>71</v>
      </c>
      <c r="K95" s="12">
        <v>4</v>
      </c>
      <c r="L95" s="12">
        <v>13</v>
      </c>
      <c r="M95" s="12">
        <v>7.5</v>
      </c>
      <c r="N95" s="12">
        <v>0.5</v>
      </c>
      <c r="O95" s="17">
        <v>28.6</v>
      </c>
      <c r="P95" s="17"/>
      <c r="Q95" s="17">
        <v>576.92307692307691</v>
      </c>
      <c r="R95" s="14">
        <v>41.813610192307692</v>
      </c>
      <c r="S95" s="12">
        <v>13</v>
      </c>
      <c r="T95" s="12">
        <v>7.5</v>
      </c>
      <c r="U95" s="14">
        <v>28.6</v>
      </c>
      <c r="V95" s="17">
        <v>576.92307692307691</v>
      </c>
      <c r="W95" s="14">
        <v>41.813610192307692</v>
      </c>
      <c r="X95">
        <f t="shared" si="2"/>
        <v>13.878249999999998</v>
      </c>
      <c r="Y95">
        <f t="shared" si="3"/>
        <v>33.93565705563708</v>
      </c>
    </row>
    <row r="96" spans="1:25">
      <c r="A96" s="12" t="s">
        <v>520</v>
      </c>
      <c r="B96" s="12" t="s">
        <v>521</v>
      </c>
      <c r="C96" s="12">
        <v>110</v>
      </c>
      <c r="D96" s="12">
        <v>2.2000000000000002</v>
      </c>
      <c r="E96" s="12" t="s">
        <v>548</v>
      </c>
      <c r="F96" s="13">
        <v>42346</v>
      </c>
      <c r="G96" s="12">
        <v>59.5</v>
      </c>
      <c r="H96" s="12">
        <v>3</v>
      </c>
      <c r="I96" s="13">
        <v>42359</v>
      </c>
      <c r="J96" s="12">
        <v>65.5</v>
      </c>
      <c r="K96" s="12">
        <v>3.5</v>
      </c>
      <c r="L96" s="12">
        <v>13</v>
      </c>
      <c r="M96" s="12">
        <v>6</v>
      </c>
      <c r="N96" s="12">
        <v>0.5</v>
      </c>
      <c r="O96" s="17">
        <v>28.6</v>
      </c>
      <c r="P96" s="17"/>
      <c r="Q96" s="17">
        <v>461.53846153846155</v>
      </c>
      <c r="R96" s="14">
        <v>35.321971153846157</v>
      </c>
      <c r="S96" s="12">
        <v>13</v>
      </c>
      <c r="T96" s="12">
        <v>6</v>
      </c>
      <c r="U96" s="14">
        <v>28.6</v>
      </c>
      <c r="V96" s="17">
        <v>461.53846153846155</v>
      </c>
      <c r="W96" s="14">
        <v>35.321971153846157</v>
      </c>
      <c r="X96">
        <f t="shared" si="2"/>
        <v>15.952499999999999</v>
      </c>
      <c r="Y96">
        <f t="shared" si="3"/>
        <v>32.951680984311736</v>
      </c>
    </row>
    <row r="97" spans="1:25">
      <c r="A97" s="12" t="s">
        <v>520</v>
      </c>
      <c r="B97" s="12" t="s">
        <v>521</v>
      </c>
      <c r="C97" s="12">
        <v>110</v>
      </c>
      <c r="D97" s="12">
        <v>2.2000000000000002</v>
      </c>
      <c r="E97" s="12" t="s">
        <v>549</v>
      </c>
      <c r="F97" s="13">
        <v>42346</v>
      </c>
      <c r="G97" s="12">
        <v>58.5</v>
      </c>
      <c r="H97" s="12">
        <v>3.5</v>
      </c>
      <c r="I97" s="13">
        <v>42359</v>
      </c>
      <c r="J97" s="12">
        <v>59.5</v>
      </c>
      <c r="K97" s="12">
        <v>3.5</v>
      </c>
      <c r="L97" s="12">
        <v>13</v>
      </c>
      <c r="M97" s="12">
        <v>1</v>
      </c>
      <c r="N97" s="12">
        <v>0</v>
      </c>
      <c r="O97" s="17">
        <v>28.6</v>
      </c>
      <c r="P97" s="17"/>
      <c r="Q97" s="17">
        <v>76.923076923076934</v>
      </c>
      <c r="R97" s="14">
        <v>15.768617692307693</v>
      </c>
      <c r="S97" s="12">
        <v>13</v>
      </c>
      <c r="T97" s="12">
        <v>1</v>
      </c>
      <c r="U97" s="14">
        <v>28.6</v>
      </c>
      <c r="V97" s="17">
        <v>76.923076923076934</v>
      </c>
      <c r="W97" s="14">
        <v>15.768617692307693</v>
      </c>
      <c r="X97">
        <f t="shared" si="2"/>
        <v>13.878249999999998</v>
      </c>
      <c r="Y97">
        <f t="shared" si="3"/>
        <v>12.797708683524514</v>
      </c>
    </row>
    <row r="98" spans="1:25">
      <c r="A98" s="12" t="s">
        <v>520</v>
      </c>
      <c r="B98" s="12" t="s">
        <v>521</v>
      </c>
      <c r="C98" s="12">
        <v>110</v>
      </c>
      <c r="D98" s="12">
        <v>2.2000000000000002</v>
      </c>
      <c r="E98" s="12" t="s">
        <v>550</v>
      </c>
      <c r="F98" s="13">
        <v>42346</v>
      </c>
      <c r="G98" s="12">
        <v>64.5</v>
      </c>
      <c r="H98" s="12">
        <v>3.5</v>
      </c>
      <c r="I98" s="13">
        <v>42359</v>
      </c>
      <c r="J98" s="12">
        <v>70</v>
      </c>
      <c r="K98" s="12">
        <v>4</v>
      </c>
      <c r="L98" s="12">
        <v>13</v>
      </c>
      <c r="M98" s="12">
        <v>5.5</v>
      </c>
      <c r="N98" s="12">
        <v>0.5</v>
      </c>
      <c r="O98" s="17">
        <v>28.6</v>
      </c>
      <c r="P98" s="17"/>
      <c r="Q98" s="17">
        <v>423.07692307692309</v>
      </c>
      <c r="R98" s="14">
        <v>34.228994807692303</v>
      </c>
      <c r="S98" s="12">
        <v>13</v>
      </c>
      <c r="T98" s="12">
        <v>5.5</v>
      </c>
      <c r="U98" s="14">
        <v>28.6</v>
      </c>
      <c r="V98" s="17">
        <v>423.07692307692309</v>
      </c>
      <c r="W98" s="14">
        <v>34.228994807692303</v>
      </c>
      <c r="X98">
        <f t="shared" si="2"/>
        <v>13.878249999999998</v>
      </c>
      <c r="Y98">
        <f t="shared" si="3"/>
        <v>27.780031999406759</v>
      </c>
    </row>
    <row r="99" spans="1:25">
      <c r="A99" s="12" t="s">
        <v>520</v>
      </c>
      <c r="B99" s="12" t="s">
        <v>521</v>
      </c>
      <c r="C99" s="12">
        <v>110</v>
      </c>
      <c r="D99" s="12">
        <v>2.2000000000000002</v>
      </c>
      <c r="E99" s="12" t="s">
        <v>551</v>
      </c>
      <c r="F99" s="13">
        <v>42346</v>
      </c>
      <c r="G99" s="12">
        <v>57</v>
      </c>
      <c r="H99" s="12">
        <v>3.5</v>
      </c>
      <c r="I99" s="13">
        <v>42359</v>
      </c>
      <c r="J99" s="12">
        <v>60.5</v>
      </c>
      <c r="K99" s="12">
        <v>3.5</v>
      </c>
      <c r="L99" s="12">
        <v>13</v>
      </c>
      <c r="M99" s="12">
        <v>3.5</v>
      </c>
      <c r="N99" s="12">
        <v>0</v>
      </c>
      <c r="O99" s="17">
        <v>28.6</v>
      </c>
      <c r="P99" s="17"/>
      <c r="Q99" s="17">
        <v>269.23076923076923</v>
      </c>
      <c r="R99" s="14">
        <v>25.20711442307692</v>
      </c>
      <c r="S99" s="12">
        <v>13</v>
      </c>
      <c r="T99" s="12">
        <v>3.5</v>
      </c>
      <c r="U99" s="14">
        <v>28.6</v>
      </c>
      <c r="V99" s="17">
        <v>269.23076923076923</v>
      </c>
      <c r="W99" s="14">
        <v>25.20711442307692</v>
      </c>
      <c r="X99">
        <f t="shared" si="2"/>
        <v>13.878249999999998</v>
      </c>
      <c r="Y99">
        <f t="shared" si="3"/>
        <v>20.457931914740772</v>
      </c>
    </row>
    <row r="100" spans="1:25">
      <c r="A100" s="12" t="s">
        <v>267</v>
      </c>
      <c r="B100" s="12" t="s">
        <v>268</v>
      </c>
      <c r="C100" s="12">
        <v>46</v>
      </c>
      <c r="D100" s="12">
        <v>3.16</v>
      </c>
      <c r="E100" s="12" t="s">
        <v>269</v>
      </c>
      <c r="F100" s="13">
        <v>42374</v>
      </c>
      <c r="G100" s="12">
        <v>74</v>
      </c>
      <c r="H100" s="12">
        <v>4</v>
      </c>
      <c r="I100" s="13">
        <v>42388</v>
      </c>
      <c r="J100" s="12">
        <v>78</v>
      </c>
      <c r="K100" s="12">
        <v>5</v>
      </c>
      <c r="L100" s="12">
        <v>14</v>
      </c>
      <c r="M100" s="12">
        <v>4</v>
      </c>
      <c r="N100" s="12">
        <v>1</v>
      </c>
      <c r="O100" s="17">
        <v>44.24</v>
      </c>
      <c r="P100" s="17"/>
      <c r="Q100" s="17">
        <v>285.71428571428572</v>
      </c>
      <c r="R100" s="14">
        <v>28.936554285714283</v>
      </c>
      <c r="S100" s="12">
        <v>14</v>
      </c>
      <c r="T100" s="12">
        <v>4</v>
      </c>
      <c r="U100" s="14">
        <v>44.24</v>
      </c>
      <c r="V100" s="17">
        <v>285.71428571428572</v>
      </c>
      <c r="W100" s="14">
        <v>28.936554285714283</v>
      </c>
      <c r="X100">
        <f t="shared" si="2"/>
        <v>11.803999999999998</v>
      </c>
      <c r="Y100">
        <f t="shared" si="3"/>
        <v>19.974683437928149</v>
      </c>
    </row>
    <row r="101" spans="1:25">
      <c r="A101" s="12" t="s">
        <v>267</v>
      </c>
      <c r="B101" s="12" t="s">
        <v>268</v>
      </c>
      <c r="C101" s="12">
        <v>46</v>
      </c>
      <c r="D101" s="12">
        <v>3.16</v>
      </c>
      <c r="E101" s="12" t="s">
        <v>270</v>
      </c>
      <c r="F101" s="13">
        <v>42374</v>
      </c>
      <c r="G101" s="12">
        <v>78</v>
      </c>
      <c r="H101" s="12">
        <v>5</v>
      </c>
      <c r="I101" s="13">
        <v>42388</v>
      </c>
      <c r="J101" s="12">
        <v>77</v>
      </c>
      <c r="K101" s="12">
        <v>5</v>
      </c>
      <c r="L101" s="12">
        <v>14</v>
      </c>
      <c r="M101" s="12">
        <v>-1</v>
      </c>
      <c r="N101" s="12">
        <v>0</v>
      </c>
      <c r="O101" s="17">
        <v>44.24</v>
      </c>
      <c r="P101" s="17"/>
      <c r="Q101" s="17">
        <v>-71.428571428571431</v>
      </c>
      <c r="R101" s="14">
        <v>11.583046428571429</v>
      </c>
      <c r="S101" s="12">
        <v>14</v>
      </c>
      <c r="T101" s="12">
        <v>-1</v>
      </c>
      <c r="U101" s="14">
        <v>44.24</v>
      </c>
      <c r="V101" s="17">
        <v>-71.428571428571431</v>
      </c>
      <c r="W101" s="14">
        <v>11.583046428571429</v>
      </c>
      <c r="X101">
        <f t="shared" si="2"/>
        <v>7.6555</v>
      </c>
      <c r="Y101">
        <f t="shared" si="3"/>
        <v>5.1856147329782782</v>
      </c>
    </row>
    <row r="102" spans="1:25">
      <c r="A102" s="12" t="s">
        <v>267</v>
      </c>
      <c r="B102" s="12" t="s">
        <v>268</v>
      </c>
      <c r="C102" s="12">
        <v>46</v>
      </c>
      <c r="D102" s="12">
        <v>3.16</v>
      </c>
      <c r="E102" s="12" t="s">
        <v>271</v>
      </c>
      <c r="F102" s="13">
        <v>42374</v>
      </c>
      <c r="G102" s="12">
        <v>74.5</v>
      </c>
      <c r="H102" s="12">
        <v>5</v>
      </c>
      <c r="I102" s="13">
        <v>42388</v>
      </c>
      <c r="J102" s="12">
        <v>74</v>
      </c>
      <c r="K102" s="12">
        <v>4</v>
      </c>
      <c r="L102" s="12">
        <v>14</v>
      </c>
      <c r="M102" s="12">
        <v>-0.5</v>
      </c>
      <c r="N102" s="12">
        <v>-1</v>
      </c>
      <c r="O102" s="17">
        <v>44.24</v>
      </c>
      <c r="P102" s="17"/>
      <c r="Q102" s="17">
        <v>-35.714285714285715</v>
      </c>
      <c r="R102" s="14">
        <v>12.794218214285713</v>
      </c>
      <c r="S102" s="12">
        <v>14</v>
      </c>
      <c r="T102" s="12">
        <v>-0.5</v>
      </c>
      <c r="U102" s="14">
        <v>44.24</v>
      </c>
      <c r="V102" s="17">
        <v>-35.714285714285715</v>
      </c>
      <c r="W102" s="14">
        <v>12.794218214285713</v>
      </c>
      <c r="X102">
        <f t="shared" si="2"/>
        <v>7.6555</v>
      </c>
      <c r="Y102">
        <f t="shared" si="3"/>
        <v>5.7278443005534658</v>
      </c>
    </row>
    <row r="103" spans="1:25">
      <c r="A103" s="12" t="s">
        <v>267</v>
      </c>
      <c r="B103" s="12" t="s">
        <v>268</v>
      </c>
      <c r="C103" s="12">
        <v>46</v>
      </c>
      <c r="D103" s="12">
        <v>3.16</v>
      </c>
      <c r="E103" s="12" t="s">
        <v>272</v>
      </c>
      <c r="F103" s="13">
        <v>42374</v>
      </c>
      <c r="G103" s="12">
        <v>76.5</v>
      </c>
      <c r="H103" s="12">
        <v>4</v>
      </c>
      <c r="I103" s="13">
        <v>42388</v>
      </c>
      <c r="J103" s="12">
        <v>78</v>
      </c>
      <c r="K103" s="12">
        <v>4</v>
      </c>
      <c r="L103" s="12">
        <v>14</v>
      </c>
      <c r="M103" s="12">
        <v>1.5</v>
      </c>
      <c r="N103" s="12">
        <v>0</v>
      </c>
      <c r="O103" s="17">
        <v>44.24</v>
      </c>
      <c r="P103" s="17"/>
      <c r="Q103" s="17">
        <v>107.14285714285714</v>
      </c>
      <c r="R103" s="14">
        <v>20.344345357142856</v>
      </c>
      <c r="S103" s="12">
        <v>14</v>
      </c>
      <c r="T103" s="12">
        <v>1.5</v>
      </c>
      <c r="U103" s="14">
        <v>44.24</v>
      </c>
      <c r="V103" s="17">
        <v>107.14285714285714</v>
      </c>
      <c r="W103" s="14">
        <v>20.344345357142856</v>
      </c>
      <c r="X103">
        <f t="shared" si="2"/>
        <v>11.803999999999998</v>
      </c>
      <c r="Y103">
        <f t="shared" si="3"/>
        <v>14.043546935421883</v>
      </c>
    </row>
    <row r="104" spans="1:25">
      <c r="A104" s="12" t="s">
        <v>267</v>
      </c>
      <c r="B104" s="12" t="s">
        <v>268</v>
      </c>
      <c r="C104" s="12">
        <v>46</v>
      </c>
      <c r="D104" s="12">
        <v>3.16</v>
      </c>
      <c r="E104" s="12" t="s">
        <v>273</v>
      </c>
      <c r="F104" s="13">
        <v>42374</v>
      </c>
      <c r="G104" s="12">
        <v>75.5</v>
      </c>
      <c r="H104" s="12">
        <v>3</v>
      </c>
      <c r="I104" s="13">
        <v>42388</v>
      </c>
      <c r="J104" s="12">
        <v>75</v>
      </c>
      <c r="K104" s="12">
        <v>3</v>
      </c>
      <c r="L104" s="12">
        <v>14</v>
      </c>
      <c r="M104" s="12">
        <v>-0.5</v>
      </c>
      <c r="N104" s="12">
        <v>0</v>
      </c>
      <c r="O104" s="17">
        <v>44.24</v>
      </c>
      <c r="P104" s="17"/>
      <c r="Q104" s="17">
        <v>-35.714285714285715</v>
      </c>
      <c r="R104" s="14">
        <v>12.963308214285712</v>
      </c>
      <c r="S104" s="12">
        <v>14</v>
      </c>
      <c r="T104" s="12">
        <v>-0.5</v>
      </c>
      <c r="U104" s="14">
        <v>44.24</v>
      </c>
      <c r="V104" s="17">
        <v>-35.714285714285715</v>
      </c>
      <c r="W104" s="14">
        <v>12.963308214285712</v>
      </c>
      <c r="X104">
        <f t="shared" si="2"/>
        <v>15.952499999999999</v>
      </c>
      <c r="Y104">
        <f t="shared" si="3"/>
        <v>12.093402005169169</v>
      </c>
    </row>
    <row r="105" spans="1:25">
      <c r="A105" s="12" t="s">
        <v>267</v>
      </c>
      <c r="B105" s="12" t="s">
        <v>268</v>
      </c>
      <c r="C105" s="12">
        <v>46</v>
      </c>
      <c r="D105" s="12">
        <v>3.16</v>
      </c>
      <c r="E105" s="12" t="s">
        <v>274</v>
      </c>
      <c r="F105" s="13">
        <v>42374</v>
      </c>
      <c r="G105" s="12">
        <v>78</v>
      </c>
      <c r="H105" s="12">
        <v>3</v>
      </c>
      <c r="I105" s="13">
        <v>42388</v>
      </c>
      <c r="J105" s="12">
        <v>81</v>
      </c>
      <c r="K105" s="12">
        <v>3</v>
      </c>
      <c r="L105" s="12">
        <v>14</v>
      </c>
      <c r="M105" s="12">
        <v>3</v>
      </c>
      <c r="N105" s="12">
        <v>0</v>
      </c>
      <c r="O105" s="17">
        <v>44.24</v>
      </c>
      <c r="P105" s="17"/>
      <c r="Q105" s="17">
        <v>214.28571428571428</v>
      </c>
      <c r="R105" s="14">
        <v>26.006940714285712</v>
      </c>
      <c r="S105" s="12">
        <v>14</v>
      </c>
      <c r="T105" s="12">
        <v>3</v>
      </c>
      <c r="U105" s="14">
        <v>44.24</v>
      </c>
      <c r="V105" s="17">
        <v>214.28571428571428</v>
      </c>
      <c r="W105" s="14">
        <v>26.006940714285712</v>
      </c>
      <c r="X105">
        <f t="shared" si="2"/>
        <v>15.952499999999999</v>
      </c>
      <c r="Y105">
        <f t="shared" si="3"/>
        <v>24.261738113721798</v>
      </c>
    </row>
    <row r="106" spans="1:25">
      <c r="A106" s="12" t="s">
        <v>267</v>
      </c>
      <c r="B106" s="12" t="s">
        <v>268</v>
      </c>
      <c r="C106" s="12">
        <v>46</v>
      </c>
      <c r="D106" s="12">
        <v>3.16</v>
      </c>
      <c r="E106" s="12" t="s">
        <v>275</v>
      </c>
      <c r="F106" s="13">
        <v>42374</v>
      </c>
      <c r="G106" s="12">
        <v>77.5</v>
      </c>
      <c r="H106" s="12">
        <v>3</v>
      </c>
      <c r="I106" s="13">
        <v>42388</v>
      </c>
      <c r="J106" s="12">
        <v>77.5</v>
      </c>
      <c r="K106" s="12">
        <v>4</v>
      </c>
      <c r="L106" s="12">
        <v>14</v>
      </c>
      <c r="M106" s="12">
        <v>0</v>
      </c>
      <c r="N106" s="12">
        <v>1</v>
      </c>
      <c r="O106" s="17">
        <v>44.24</v>
      </c>
      <c r="P106" s="17"/>
      <c r="Q106" s="17">
        <v>0</v>
      </c>
      <c r="R106" s="14">
        <v>15.104474999999999</v>
      </c>
      <c r="S106" s="12">
        <v>14</v>
      </c>
      <c r="T106" s="12">
        <v>0</v>
      </c>
      <c r="U106" s="14">
        <v>44.24</v>
      </c>
      <c r="V106" s="17">
        <v>0</v>
      </c>
      <c r="W106" s="14">
        <v>15.104474999999999</v>
      </c>
      <c r="X106">
        <f t="shared" si="2"/>
        <v>15.952499999999999</v>
      </c>
      <c r="Y106">
        <f t="shared" si="3"/>
        <v>14.090885230263154</v>
      </c>
    </row>
    <row r="107" spans="1:25">
      <c r="A107" s="12" t="s">
        <v>267</v>
      </c>
      <c r="B107" s="12" t="s">
        <v>268</v>
      </c>
      <c r="C107" s="12">
        <v>46</v>
      </c>
      <c r="D107" s="12">
        <v>3.16</v>
      </c>
      <c r="E107" s="12" t="s">
        <v>276</v>
      </c>
      <c r="F107" s="13">
        <v>42374</v>
      </c>
      <c r="G107" s="12">
        <v>72.5</v>
      </c>
      <c r="H107" s="12">
        <v>4</v>
      </c>
      <c r="I107" s="13">
        <v>42388</v>
      </c>
      <c r="J107" s="12">
        <v>73</v>
      </c>
      <c r="K107" s="12">
        <v>3.5</v>
      </c>
      <c r="L107" s="12">
        <v>14</v>
      </c>
      <c r="M107" s="12">
        <v>0.5</v>
      </c>
      <c r="N107" s="12">
        <v>-0.5</v>
      </c>
      <c r="O107" s="17">
        <v>44.24</v>
      </c>
      <c r="P107" s="17"/>
      <c r="Q107" s="17">
        <v>35.714285714285715</v>
      </c>
      <c r="R107" s="14">
        <v>16.062011785714283</v>
      </c>
      <c r="S107" s="12">
        <v>14</v>
      </c>
      <c r="T107" s="12">
        <v>0.5</v>
      </c>
      <c r="U107" s="14">
        <v>44.24</v>
      </c>
      <c r="V107" s="17">
        <v>35.714285714285715</v>
      </c>
      <c r="W107" s="14">
        <v>16.062011785714283</v>
      </c>
      <c r="X107">
        <f t="shared" si="2"/>
        <v>11.803999999999998</v>
      </c>
      <c r="Y107">
        <f t="shared" si="3"/>
        <v>11.087484626817039</v>
      </c>
    </row>
    <row r="108" spans="1:25">
      <c r="A108" s="12" t="s">
        <v>267</v>
      </c>
      <c r="B108" s="12" t="s">
        <v>268</v>
      </c>
      <c r="C108" s="12">
        <v>46</v>
      </c>
      <c r="D108" s="12">
        <v>3.16</v>
      </c>
      <c r="E108" s="12" t="s">
        <v>277</v>
      </c>
      <c r="F108" s="13">
        <v>42374</v>
      </c>
      <c r="G108" s="12">
        <v>77.5</v>
      </c>
      <c r="H108" s="12">
        <v>4</v>
      </c>
      <c r="I108" s="13">
        <v>42388</v>
      </c>
      <c r="J108" s="12">
        <v>77</v>
      </c>
      <c r="K108" s="12">
        <v>4</v>
      </c>
      <c r="L108" s="12">
        <v>14</v>
      </c>
      <c r="M108" s="12">
        <v>-0.5</v>
      </c>
      <c r="N108" s="12">
        <v>0</v>
      </c>
      <c r="O108" s="17">
        <v>44.24</v>
      </c>
      <c r="P108" s="17"/>
      <c r="Q108" s="17">
        <v>-35.714285714285715</v>
      </c>
      <c r="R108" s="14">
        <v>13.301488214285714</v>
      </c>
      <c r="S108" s="12">
        <v>14</v>
      </c>
      <c r="T108" s="12">
        <v>-0.5</v>
      </c>
      <c r="U108" s="14">
        <v>44.24</v>
      </c>
      <c r="V108" s="17">
        <v>-35.714285714285715</v>
      </c>
      <c r="W108" s="14">
        <v>13.301488214285714</v>
      </c>
      <c r="X108">
        <f t="shared" si="2"/>
        <v>11.803999999999998</v>
      </c>
      <c r="Y108">
        <f t="shared" si="3"/>
        <v>9.1819161918964056</v>
      </c>
    </row>
    <row r="109" spans="1:25">
      <c r="A109" s="12" t="s">
        <v>267</v>
      </c>
      <c r="B109" s="12" t="s">
        <v>268</v>
      </c>
      <c r="C109" s="12">
        <v>46</v>
      </c>
      <c r="D109" s="12">
        <v>3.16</v>
      </c>
      <c r="E109" s="12" t="s">
        <v>278</v>
      </c>
      <c r="F109" s="13">
        <v>42374</v>
      </c>
      <c r="G109" s="12">
        <v>76</v>
      </c>
      <c r="H109" s="12">
        <v>3</v>
      </c>
      <c r="I109" s="13">
        <v>42388</v>
      </c>
      <c r="J109" s="12">
        <v>73</v>
      </c>
      <c r="K109" s="12">
        <v>3</v>
      </c>
      <c r="L109" s="12">
        <v>14</v>
      </c>
      <c r="M109" s="12">
        <v>-3</v>
      </c>
      <c r="N109" s="12">
        <v>0</v>
      </c>
      <c r="O109" s="17">
        <v>44.24</v>
      </c>
      <c r="P109" s="17"/>
      <c r="Q109" s="17">
        <v>-214.28571428571428</v>
      </c>
      <c r="R109" s="14">
        <v>4.0329192857142857</v>
      </c>
      <c r="S109" s="12">
        <v>14</v>
      </c>
      <c r="T109" s="12">
        <v>-3</v>
      </c>
      <c r="U109" s="14">
        <v>44.24</v>
      </c>
      <c r="V109" s="17">
        <v>-214.28571428571428</v>
      </c>
      <c r="W109" s="14">
        <v>4.0329192857142857</v>
      </c>
      <c r="X109">
        <f t="shared" si="2"/>
        <v>15.952499999999999</v>
      </c>
      <c r="Y109">
        <f t="shared" si="3"/>
        <v>3.7622891757518793</v>
      </c>
    </row>
    <row r="110" spans="1:25">
      <c r="A110" s="12" t="s">
        <v>267</v>
      </c>
      <c r="B110" s="12" t="s">
        <v>268</v>
      </c>
      <c r="C110" s="12">
        <v>46</v>
      </c>
      <c r="D110" s="12">
        <v>3.16</v>
      </c>
      <c r="E110" s="12" t="s">
        <v>279</v>
      </c>
      <c r="F110" s="13">
        <v>42374</v>
      </c>
      <c r="G110" s="12">
        <v>73</v>
      </c>
      <c r="H110" s="12">
        <v>3</v>
      </c>
      <c r="I110" s="13">
        <v>42388</v>
      </c>
      <c r="J110" s="12">
        <v>72.5</v>
      </c>
      <c r="K110" s="12">
        <v>3</v>
      </c>
      <c r="L110" s="12">
        <v>14</v>
      </c>
      <c r="M110" s="12">
        <v>-0.5</v>
      </c>
      <c r="N110" s="12">
        <v>0</v>
      </c>
      <c r="O110" s="17">
        <v>44.24</v>
      </c>
      <c r="P110" s="17"/>
      <c r="Q110" s="17">
        <v>-35.714285714285715</v>
      </c>
      <c r="R110" s="14">
        <v>12.540583214285713</v>
      </c>
      <c r="S110" s="12">
        <v>14</v>
      </c>
      <c r="T110" s="12">
        <v>-0.5</v>
      </c>
      <c r="U110" s="14">
        <v>44.24</v>
      </c>
      <c r="V110" s="17">
        <v>-35.714285714285715</v>
      </c>
      <c r="W110" s="14">
        <v>12.540583214285713</v>
      </c>
      <c r="X110">
        <f t="shared" si="2"/>
        <v>15.952499999999999</v>
      </c>
      <c r="Y110">
        <f t="shared" si="3"/>
        <v>11.699044077537591</v>
      </c>
    </row>
    <row r="111" spans="1:25">
      <c r="A111" s="12" t="s">
        <v>267</v>
      </c>
      <c r="B111" s="12" t="s">
        <v>268</v>
      </c>
      <c r="C111" s="12">
        <v>46</v>
      </c>
      <c r="D111" s="12">
        <v>3.16</v>
      </c>
      <c r="E111" s="12" t="s">
        <v>280</v>
      </c>
      <c r="F111" s="13">
        <v>42374</v>
      </c>
      <c r="G111" s="12">
        <v>77</v>
      </c>
      <c r="H111" s="12">
        <v>4</v>
      </c>
      <c r="I111" s="13">
        <v>42388</v>
      </c>
      <c r="J111" s="12">
        <v>75</v>
      </c>
      <c r="K111" s="12">
        <v>4</v>
      </c>
      <c r="L111" s="12">
        <v>14</v>
      </c>
      <c r="M111" s="12">
        <v>-2</v>
      </c>
      <c r="N111" s="12">
        <v>0</v>
      </c>
      <c r="O111" s="17">
        <v>44.24</v>
      </c>
      <c r="P111" s="17"/>
      <c r="Q111" s="17">
        <v>-142.85714285714286</v>
      </c>
      <c r="R111" s="14">
        <v>7.807982857142858</v>
      </c>
      <c r="S111" s="12">
        <v>14</v>
      </c>
      <c r="T111" s="12">
        <v>-2</v>
      </c>
      <c r="U111" s="14">
        <v>44.24</v>
      </c>
      <c r="V111" s="17">
        <v>-142.85714285714286</v>
      </c>
      <c r="W111" s="14">
        <v>7.807982857142858</v>
      </c>
      <c r="X111">
        <f t="shared" si="2"/>
        <v>11.803999999999998</v>
      </c>
      <c r="Y111">
        <f t="shared" si="3"/>
        <v>5.3897912073517125</v>
      </c>
    </row>
    <row r="112" spans="1:25">
      <c r="A112" s="12" t="s">
        <v>267</v>
      </c>
      <c r="B112" s="12" t="s">
        <v>268</v>
      </c>
      <c r="C112" s="12">
        <v>46</v>
      </c>
      <c r="D112" s="12">
        <v>3.16</v>
      </c>
      <c r="E112" s="12" t="s">
        <v>281</v>
      </c>
      <c r="F112" s="13">
        <v>42374</v>
      </c>
      <c r="G112" s="12">
        <v>72.5</v>
      </c>
      <c r="H112" s="12">
        <v>3</v>
      </c>
      <c r="I112" s="13">
        <v>42388</v>
      </c>
      <c r="J112" s="12">
        <v>71.5</v>
      </c>
      <c r="K112" s="12">
        <v>3</v>
      </c>
      <c r="L112" s="12">
        <v>14</v>
      </c>
      <c r="M112" s="12">
        <v>-1</v>
      </c>
      <c r="N112" s="12">
        <v>0</v>
      </c>
      <c r="O112" s="17">
        <v>44.24</v>
      </c>
      <c r="P112" s="17"/>
      <c r="Q112" s="17">
        <v>-71.428571428571431</v>
      </c>
      <c r="R112" s="14">
        <v>10.653051428571429</v>
      </c>
      <c r="S112" s="12">
        <v>14</v>
      </c>
      <c r="T112" s="12">
        <v>-1</v>
      </c>
      <c r="U112" s="14">
        <v>44.24</v>
      </c>
      <c r="V112" s="17">
        <v>-71.428571428571431</v>
      </c>
      <c r="W112" s="14">
        <v>10.653051428571429</v>
      </c>
      <c r="X112">
        <f t="shared" si="2"/>
        <v>15.952499999999999</v>
      </c>
      <c r="Y112">
        <f t="shared" si="3"/>
        <v>9.9381756090225544</v>
      </c>
    </row>
    <row r="113" spans="1:25">
      <c r="A113" s="12" t="s">
        <v>267</v>
      </c>
      <c r="B113" s="12" t="s">
        <v>268</v>
      </c>
      <c r="C113" s="12">
        <v>46</v>
      </c>
      <c r="D113" s="12">
        <v>3.16</v>
      </c>
      <c r="E113" s="12" t="s">
        <v>282</v>
      </c>
      <c r="F113" s="13">
        <v>42374</v>
      </c>
      <c r="G113" s="12">
        <v>73.5</v>
      </c>
      <c r="H113" s="12">
        <v>5</v>
      </c>
      <c r="I113" s="13">
        <v>42388</v>
      </c>
      <c r="J113" s="12">
        <v>71.5</v>
      </c>
      <c r="K113" s="12">
        <v>4</v>
      </c>
      <c r="L113" s="12">
        <v>14</v>
      </c>
      <c r="M113" s="12">
        <v>-2</v>
      </c>
      <c r="N113" s="12">
        <v>-1</v>
      </c>
      <c r="O113" s="17">
        <v>44.24</v>
      </c>
      <c r="P113" s="17"/>
      <c r="Q113" s="17">
        <v>-142.85714285714286</v>
      </c>
      <c r="R113" s="14">
        <v>7.2161678571428576</v>
      </c>
      <c r="S113" s="12">
        <v>14</v>
      </c>
      <c r="T113" s="12">
        <v>-2</v>
      </c>
      <c r="U113" s="14">
        <v>44.24</v>
      </c>
      <c r="V113" s="17">
        <v>-142.85714285714286</v>
      </c>
      <c r="W113" s="14">
        <v>7.2161678571428576</v>
      </c>
      <c r="X113">
        <f t="shared" si="2"/>
        <v>7.6555</v>
      </c>
      <c r="Y113">
        <f t="shared" si="3"/>
        <v>3.2306066099624062</v>
      </c>
    </row>
    <row r="114" spans="1:25">
      <c r="A114" s="12" t="s">
        <v>267</v>
      </c>
      <c r="B114" s="12" t="s">
        <v>268</v>
      </c>
      <c r="C114" s="12">
        <v>46</v>
      </c>
      <c r="D114" s="12">
        <v>3.16</v>
      </c>
      <c r="E114" s="12" t="s">
        <v>283</v>
      </c>
      <c r="F114" s="13">
        <v>42374</v>
      </c>
      <c r="G114" s="12">
        <v>74</v>
      </c>
      <c r="H114" s="12">
        <v>5</v>
      </c>
      <c r="I114" s="13">
        <v>42388</v>
      </c>
      <c r="J114" s="12">
        <v>72</v>
      </c>
      <c r="K114" s="12">
        <v>5</v>
      </c>
      <c r="L114" s="12">
        <v>14</v>
      </c>
      <c r="M114" s="12">
        <v>-2</v>
      </c>
      <c r="N114" s="12">
        <v>0</v>
      </c>
      <c r="O114" s="17">
        <v>44.24</v>
      </c>
      <c r="P114" s="17"/>
      <c r="Q114" s="17">
        <v>-142.85714285714286</v>
      </c>
      <c r="R114" s="14">
        <v>7.3007128571428579</v>
      </c>
      <c r="S114" s="12">
        <v>14</v>
      </c>
      <c r="T114" s="12">
        <v>-2</v>
      </c>
      <c r="U114" s="14">
        <v>44.24</v>
      </c>
      <c r="V114" s="17">
        <v>-142.85714285714286</v>
      </c>
      <c r="W114" s="14">
        <v>7.3007128571428579</v>
      </c>
      <c r="X114">
        <f t="shared" si="2"/>
        <v>7.6555</v>
      </c>
      <c r="Y114">
        <f t="shared" si="3"/>
        <v>3.2684565659565581</v>
      </c>
    </row>
    <row r="115" spans="1:25">
      <c r="A115" s="12" t="s">
        <v>267</v>
      </c>
      <c r="B115" s="12" t="s">
        <v>268</v>
      </c>
      <c r="C115" s="12">
        <v>46</v>
      </c>
      <c r="D115" s="12">
        <v>3.16</v>
      </c>
      <c r="E115" s="12" t="s">
        <v>284</v>
      </c>
      <c r="F115" s="13">
        <v>42374</v>
      </c>
      <c r="G115" s="12">
        <v>75</v>
      </c>
      <c r="H115" s="12">
        <v>4</v>
      </c>
      <c r="I115" s="13">
        <v>42388</v>
      </c>
      <c r="J115" s="12">
        <v>72</v>
      </c>
      <c r="K115" s="12">
        <v>4</v>
      </c>
      <c r="L115" s="12">
        <v>14</v>
      </c>
      <c r="M115" s="12">
        <v>-3</v>
      </c>
      <c r="N115" s="12">
        <v>0</v>
      </c>
      <c r="O115" s="17">
        <v>44.24</v>
      </c>
      <c r="P115" s="17"/>
      <c r="Q115" s="17">
        <v>-214.28571428571428</v>
      </c>
      <c r="R115" s="14">
        <v>3.8638292857142869</v>
      </c>
      <c r="S115" s="12">
        <v>14</v>
      </c>
      <c r="T115" s="12">
        <v>-3</v>
      </c>
      <c r="U115" s="14">
        <v>44.24</v>
      </c>
      <c r="V115" s="17">
        <v>-214.28571428571428</v>
      </c>
      <c r="W115" s="14">
        <v>3.8638292857142869</v>
      </c>
      <c r="X115">
        <f t="shared" si="2"/>
        <v>11.803999999999998</v>
      </c>
      <c r="Y115">
        <f t="shared" si="3"/>
        <v>2.6671719817878032</v>
      </c>
    </row>
    <row r="116" spans="1:25">
      <c r="A116" s="12" t="s">
        <v>267</v>
      </c>
      <c r="B116" s="12" t="s">
        <v>268</v>
      </c>
      <c r="C116" s="12">
        <v>46</v>
      </c>
      <c r="D116" s="12">
        <v>3.16</v>
      </c>
      <c r="E116" s="12" t="s">
        <v>285</v>
      </c>
      <c r="F116" s="13">
        <v>42374</v>
      </c>
      <c r="G116" s="12">
        <v>75</v>
      </c>
      <c r="H116" s="12">
        <v>3</v>
      </c>
      <c r="I116" s="13">
        <v>42388</v>
      </c>
      <c r="J116" s="12">
        <v>73</v>
      </c>
      <c r="K116" s="12">
        <v>3</v>
      </c>
      <c r="L116" s="12">
        <v>14</v>
      </c>
      <c r="M116" s="12">
        <v>-2</v>
      </c>
      <c r="N116" s="12">
        <v>0</v>
      </c>
      <c r="O116" s="17">
        <v>44.24</v>
      </c>
      <c r="P116" s="17"/>
      <c r="Q116" s="17">
        <v>-142.85714285714286</v>
      </c>
      <c r="R116" s="14">
        <v>7.4698028571428567</v>
      </c>
      <c r="S116" s="12">
        <v>14</v>
      </c>
      <c r="T116" s="12">
        <v>-2</v>
      </c>
      <c r="U116" s="14">
        <v>44.24</v>
      </c>
      <c r="V116" s="17">
        <v>-142.85714285714286</v>
      </c>
      <c r="W116" s="14">
        <v>7.4698028571428567</v>
      </c>
      <c r="X116">
        <f t="shared" si="2"/>
        <v>15.952499999999999</v>
      </c>
      <c r="Y116">
        <f t="shared" si="3"/>
        <v>6.9685397706766903</v>
      </c>
    </row>
    <row r="117" spans="1:25">
      <c r="A117" s="12" t="s">
        <v>267</v>
      </c>
      <c r="B117" s="12" t="s">
        <v>268</v>
      </c>
      <c r="C117" s="12">
        <v>46</v>
      </c>
      <c r="D117" s="12">
        <v>3.16</v>
      </c>
      <c r="E117" s="12" t="s">
        <v>286</v>
      </c>
      <c r="F117" s="13">
        <v>42374</v>
      </c>
      <c r="G117" s="12">
        <v>74.5</v>
      </c>
      <c r="H117" s="12">
        <v>4</v>
      </c>
      <c r="I117" s="13">
        <v>42388</v>
      </c>
      <c r="J117" s="12">
        <v>74</v>
      </c>
      <c r="K117" s="12">
        <v>4</v>
      </c>
      <c r="L117" s="12">
        <v>14</v>
      </c>
      <c r="M117" s="12">
        <v>-0.5</v>
      </c>
      <c r="N117" s="12">
        <v>0</v>
      </c>
      <c r="O117" s="17">
        <v>44.24</v>
      </c>
      <c r="P117" s="17"/>
      <c r="Q117" s="17">
        <v>-35.714285714285715</v>
      </c>
      <c r="R117" s="14">
        <v>12.794218214285713</v>
      </c>
      <c r="S117" s="12">
        <v>14</v>
      </c>
      <c r="T117" s="12">
        <v>-0.5</v>
      </c>
      <c r="U117" s="14">
        <v>44.24</v>
      </c>
      <c r="V117" s="17">
        <v>-35.714285714285715</v>
      </c>
      <c r="W117" s="14">
        <v>12.794218214285713</v>
      </c>
      <c r="X117">
        <f t="shared" si="2"/>
        <v>11.803999999999998</v>
      </c>
      <c r="Y117">
        <f t="shared" si="3"/>
        <v>8.8317515673350027</v>
      </c>
    </row>
    <row r="118" spans="1:25">
      <c r="A118" s="12" t="s">
        <v>267</v>
      </c>
      <c r="B118" s="12" t="s">
        <v>268</v>
      </c>
      <c r="C118" s="12">
        <v>46</v>
      </c>
      <c r="D118" s="12">
        <v>3.16</v>
      </c>
      <c r="E118" s="12" t="s">
        <v>287</v>
      </c>
      <c r="F118" s="13">
        <v>42374</v>
      </c>
      <c r="G118" s="12">
        <v>78</v>
      </c>
      <c r="H118" s="12">
        <v>4</v>
      </c>
      <c r="I118" s="13">
        <v>42388</v>
      </c>
      <c r="J118" s="12">
        <v>76</v>
      </c>
      <c r="K118" s="12">
        <v>5</v>
      </c>
      <c r="L118" s="12">
        <v>14</v>
      </c>
      <c r="M118" s="12">
        <v>-2</v>
      </c>
      <c r="N118" s="12">
        <v>1</v>
      </c>
      <c r="O118" s="17">
        <v>44.24</v>
      </c>
      <c r="P118" s="17"/>
      <c r="Q118" s="17">
        <v>-142.85714285714286</v>
      </c>
      <c r="R118" s="14">
        <v>7.9770728571428569</v>
      </c>
      <c r="S118" s="12">
        <v>14</v>
      </c>
      <c r="T118" s="12">
        <v>-2</v>
      </c>
      <c r="U118" s="14">
        <v>44.24</v>
      </c>
      <c r="V118" s="17">
        <v>-142.85714285714286</v>
      </c>
      <c r="W118" s="14">
        <v>7.9770728571428569</v>
      </c>
      <c r="X118">
        <f t="shared" si="2"/>
        <v>11.803999999999998</v>
      </c>
      <c r="Y118">
        <f t="shared" si="3"/>
        <v>5.5065127488721792</v>
      </c>
    </row>
    <row r="119" spans="1:25">
      <c r="A119" s="12" t="s">
        <v>267</v>
      </c>
      <c r="B119" s="12" t="s">
        <v>268</v>
      </c>
      <c r="C119" s="12">
        <v>46</v>
      </c>
      <c r="D119" s="12">
        <v>3.16</v>
      </c>
      <c r="E119" s="12" t="s">
        <v>288</v>
      </c>
      <c r="F119" s="13">
        <v>42374</v>
      </c>
      <c r="G119" s="12">
        <v>74</v>
      </c>
      <c r="H119" s="12">
        <v>3</v>
      </c>
      <c r="I119" s="13">
        <v>42388</v>
      </c>
      <c r="J119" s="12">
        <v>74.5</v>
      </c>
      <c r="K119" s="12">
        <v>3</v>
      </c>
      <c r="L119" s="12">
        <v>14</v>
      </c>
      <c r="M119" s="12">
        <v>0.5</v>
      </c>
      <c r="N119" s="12">
        <v>0</v>
      </c>
      <c r="O119" s="17">
        <v>44.24</v>
      </c>
      <c r="P119" s="17"/>
      <c r="Q119" s="17">
        <v>35.714285714285715</v>
      </c>
      <c r="R119" s="14">
        <v>16.315646785714286</v>
      </c>
      <c r="S119" s="12">
        <v>14</v>
      </c>
      <c r="T119" s="12">
        <v>0.5</v>
      </c>
      <c r="U119" s="14">
        <v>44.24</v>
      </c>
      <c r="V119" s="17">
        <v>35.714285714285715</v>
      </c>
      <c r="W119" s="14">
        <v>16.315646785714286</v>
      </c>
      <c r="X119">
        <f t="shared" si="2"/>
        <v>15.952499999999999</v>
      </c>
      <c r="Y119">
        <f t="shared" si="3"/>
        <v>15.220781014567669</v>
      </c>
    </row>
    <row r="120" spans="1:25">
      <c r="A120" s="12" t="s">
        <v>267</v>
      </c>
      <c r="B120" s="12" t="s">
        <v>268</v>
      </c>
      <c r="C120" s="12">
        <v>46</v>
      </c>
      <c r="D120" s="12">
        <v>3.16</v>
      </c>
      <c r="E120" s="12" t="s">
        <v>289</v>
      </c>
      <c r="F120" s="13">
        <v>42374</v>
      </c>
      <c r="G120" s="12">
        <v>73.5</v>
      </c>
      <c r="H120" s="12">
        <v>5</v>
      </c>
      <c r="I120" s="13">
        <v>42388</v>
      </c>
      <c r="J120" s="12">
        <v>70.5</v>
      </c>
      <c r="K120" s="12">
        <v>3</v>
      </c>
      <c r="L120" s="12">
        <v>14</v>
      </c>
      <c r="M120" s="12">
        <v>-3</v>
      </c>
      <c r="N120" s="12">
        <v>-2</v>
      </c>
      <c r="O120" s="17">
        <v>44.24</v>
      </c>
      <c r="P120" s="17"/>
      <c r="Q120" s="17">
        <v>-214.28571428571428</v>
      </c>
      <c r="R120" s="14">
        <v>3.6101942857142859</v>
      </c>
      <c r="S120" s="12">
        <v>14</v>
      </c>
      <c r="T120" s="12">
        <v>-3</v>
      </c>
      <c r="U120" s="14">
        <v>44.24</v>
      </c>
      <c r="V120" s="17">
        <v>-214.28571428571428</v>
      </c>
      <c r="W120" s="14">
        <v>3.6101942857142859</v>
      </c>
      <c r="X120">
        <f t="shared" si="2"/>
        <v>7.6555</v>
      </c>
      <c r="Y120">
        <f t="shared" si="3"/>
        <v>1.6162480908939014</v>
      </c>
    </row>
    <row r="121" spans="1:25">
      <c r="A121" s="12" t="s">
        <v>267</v>
      </c>
      <c r="B121" s="12" t="s">
        <v>268</v>
      </c>
      <c r="C121" s="12">
        <v>46</v>
      </c>
      <c r="D121" s="12">
        <v>3.16</v>
      </c>
      <c r="E121" s="12" t="s">
        <v>290</v>
      </c>
      <c r="F121" s="13">
        <v>42374</v>
      </c>
      <c r="G121" s="12">
        <v>77.5</v>
      </c>
      <c r="H121" s="12">
        <v>5</v>
      </c>
      <c r="I121" s="13">
        <v>42388</v>
      </c>
      <c r="J121" s="12">
        <v>78.5</v>
      </c>
      <c r="K121" s="12">
        <v>4</v>
      </c>
      <c r="L121" s="12">
        <v>14</v>
      </c>
      <c r="M121" s="12">
        <v>1</v>
      </c>
      <c r="N121" s="12">
        <v>-1</v>
      </c>
      <c r="O121" s="17">
        <v>44.24</v>
      </c>
      <c r="P121" s="17"/>
      <c r="Q121" s="17">
        <v>71.428571428571431</v>
      </c>
      <c r="R121" s="14">
        <v>18.710448571428572</v>
      </c>
      <c r="S121" s="12">
        <v>14</v>
      </c>
      <c r="T121" s="12">
        <v>1</v>
      </c>
      <c r="U121" s="14">
        <v>44.24</v>
      </c>
      <c r="V121" s="17">
        <v>71.428571428571431</v>
      </c>
      <c r="W121" s="14">
        <v>18.710448571428572</v>
      </c>
      <c r="X121">
        <f t="shared" si="2"/>
        <v>7.6555</v>
      </c>
      <c r="Y121">
        <f t="shared" si="3"/>
        <v>8.3764818151211351</v>
      </c>
    </row>
    <row r="122" spans="1:25">
      <c r="A122" s="12" t="s">
        <v>267</v>
      </c>
      <c r="B122" s="12" t="s">
        <v>268</v>
      </c>
      <c r="C122" s="12">
        <v>46</v>
      </c>
      <c r="D122" s="12">
        <v>3.16</v>
      </c>
      <c r="E122" s="12" t="s">
        <v>291</v>
      </c>
      <c r="F122" s="13">
        <v>42374</v>
      </c>
      <c r="G122" s="12">
        <v>75</v>
      </c>
      <c r="H122" s="12">
        <v>3</v>
      </c>
      <c r="I122" s="13">
        <v>42388</v>
      </c>
      <c r="J122" s="12">
        <v>74</v>
      </c>
      <c r="K122" s="12">
        <v>3</v>
      </c>
      <c r="L122" s="12">
        <v>14</v>
      </c>
      <c r="M122" s="12">
        <v>-1</v>
      </c>
      <c r="N122" s="12">
        <v>0</v>
      </c>
      <c r="O122" s="17">
        <v>44.24</v>
      </c>
      <c r="P122" s="17"/>
      <c r="Q122" s="17">
        <v>-71.428571428571431</v>
      </c>
      <c r="R122" s="14">
        <v>11.075776428571428</v>
      </c>
      <c r="S122" s="12">
        <v>14</v>
      </c>
      <c r="T122" s="12">
        <v>-1</v>
      </c>
      <c r="U122" s="14">
        <v>44.24</v>
      </c>
      <c r="V122" s="17">
        <v>-71.428571428571431</v>
      </c>
      <c r="W122" s="14">
        <v>11.075776428571428</v>
      </c>
      <c r="X122">
        <f t="shared" si="2"/>
        <v>15.952499999999999</v>
      </c>
      <c r="Y122">
        <f t="shared" si="3"/>
        <v>10.332533536654134</v>
      </c>
    </row>
    <row r="123" spans="1:25">
      <c r="A123" s="12" t="s">
        <v>267</v>
      </c>
      <c r="B123" s="12" t="s">
        <v>268</v>
      </c>
      <c r="C123" s="12">
        <v>46</v>
      </c>
      <c r="D123" s="12">
        <v>3.16</v>
      </c>
      <c r="E123" s="12" t="s">
        <v>292</v>
      </c>
      <c r="F123" s="13">
        <v>42374</v>
      </c>
      <c r="G123" s="12">
        <v>78</v>
      </c>
      <c r="H123" s="12">
        <v>5</v>
      </c>
      <c r="I123" s="13">
        <v>42388</v>
      </c>
      <c r="J123" s="12">
        <v>76.5</v>
      </c>
      <c r="K123" s="12">
        <v>4</v>
      </c>
      <c r="L123" s="12">
        <v>14</v>
      </c>
      <c r="M123" s="12">
        <v>-1.5</v>
      </c>
      <c r="N123" s="12">
        <v>-1</v>
      </c>
      <c r="O123" s="17">
        <v>44.24</v>
      </c>
      <c r="P123" s="17"/>
      <c r="Q123" s="17">
        <v>-107.14285714285714</v>
      </c>
      <c r="R123" s="14">
        <v>9.7800596428571431</v>
      </c>
      <c r="S123" s="12">
        <v>14</v>
      </c>
      <c r="T123" s="12">
        <v>-1.5</v>
      </c>
      <c r="U123" s="14">
        <v>44.24</v>
      </c>
      <c r="V123" s="17">
        <v>-107.14285714285714</v>
      </c>
      <c r="W123" s="14">
        <v>9.7800596428571431</v>
      </c>
      <c r="X123">
        <f t="shared" si="2"/>
        <v>7.6555</v>
      </c>
      <c r="Y123">
        <f t="shared" si="3"/>
        <v>4.3784354734440267</v>
      </c>
    </row>
    <row r="124" spans="1:25">
      <c r="A124" s="12" t="s">
        <v>267</v>
      </c>
      <c r="B124" s="12" t="s">
        <v>268</v>
      </c>
      <c r="C124" s="12">
        <v>46</v>
      </c>
      <c r="D124" s="12">
        <v>3.16</v>
      </c>
      <c r="E124" s="12" t="s">
        <v>293</v>
      </c>
      <c r="F124" s="13">
        <v>42374</v>
      </c>
      <c r="G124" s="12">
        <v>72</v>
      </c>
      <c r="H124" s="12">
        <v>5</v>
      </c>
      <c r="I124" s="13">
        <v>42388</v>
      </c>
      <c r="J124" s="12">
        <v>71.5</v>
      </c>
      <c r="K124" s="12">
        <v>5</v>
      </c>
      <c r="L124" s="12">
        <v>14</v>
      </c>
      <c r="M124" s="12">
        <v>-0.5</v>
      </c>
      <c r="N124" s="12">
        <v>0</v>
      </c>
      <c r="O124" s="17">
        <v>44.24</v>
      </c>
      <c r="P124" s="17"/>
      <c r="Q124" s="17">
        <v>-35.714285714285715</v>
      </c>
      <c r="R124" s="14">
        <v>12.371493214285714</v>
      </c>
      <c r="S124" s="12">
        <v>14</v>
      </c>
      <c r="T124" s="12">
        <v>-0.5</v>
      </c>
      <c r="U124" s="14">
        <v>44.24</v>
      </c>
      <c r="V124" s="17">
        <v>-35.714285714285715</v>
      </c>
      <c r="W124" s="14">
        <v>12.371493214285714</v>
      </c>
      <c r="X124">
        <f t="shared" si="2"/>
        <v>7.6555</v>
      </c>
      <c r="Y124">
        <f t="shared" si="3"/>
        <v>5.5385945205827065</v>
      </c>
    </row>
    <row r="125" spans="1:25">
      <c r="A125" s="12" t="s">
        <v>267</v>
      </c>
      <c r="B125" s="12" t="s">
        <v>268</v>
      </c>
      <c r="C125" s="12">
        <v>46</v>
      </c>
      <c r="D125" s="12">
        <v>3.16</v>
      </c>
      <c r="E125" s="12" t="s">
        <v>294</v>
      </c>
      <c r="F125" s="13">
        <v>42374</v>
      </c>
      <c r="G125" s="12">
        <v>78</v>
      </c>
      <c r="H125" s="12">
        <v>3</v>
      </c>
      <c r="I125" s="13">
        <v>42388</v>
      </c>
      <c r="J125" s="12">
        <v>77</v>
      </c>
      <c r="K125" s="12">
        <v>4</v>
      </c>
      <c r="L125" s="12">
        <v>14</v>
      </c>
      <c r="M125" s="12">
        <v>-1</v>
      </c>
      <c r="N125" s="12">
        <v>1</v>
      </c>
      <c r="O125" s="17">
        <v>44.24</v>
      </c>
      <c r="P125" s="17"/>
      <c r="Q125" s="17">
        <v>-71.428571428571431</v>
      </c>
      <c r="R125" s="14">
        <v>11.583046428571429</v>
      </c>
      <c r="S125" s="12">
        <v>14</v>
      </c>
      <c r="T125" s="12">
        <v>-1</v>
      </c>
      <c r="U125" s="14">
        <v>44.24</v>
      </c>
      <c r="V125" s="17">
        <v>-71.428571428571431</v>
      </c>
      <c r="W125" s="14">
        <v>11.583046428571429</v>
      </c>
      <c r="X125">
        <f t="shared" si="2"/>
        <v>15.952499999999999</v>
      </c>
      <c r="Y125">
        <f t="shared" si="3"/>
        <v>10.805763049812029</v>
      </c>
    </row>
    <row r="126" spans="1:25">
      <c r="A126" s="12" t="s">
        <v>267</v>
      </c>
      <c r="B126" s="12" t="s">
        <v>268</v>
      </c>
      <c r="C126" s="12">
        <v>46</v>
      </c>
      <c r="D126" s="12">
        <v>3.16</v>
      </c>
      <c r="E126" s="12" t="s">
        <v>295</v>
      </c>
      <c r="F126" s="13">
        <v>42374</v>
      </c>
      <c r="G126" s="12">
        <v>75</v>
      </c>
      <c r="H126" s="12">
        <v>5</v>
      </c>
      <c r="I126" s="13">
        <v>42388</v>
      </c>
      <c r="J126" s="12">
        <v>76</v>
      </c>
      <c r="K126" s="12">
        <v>4</v>
      </c>
      <c r="L126" s="12">
        <v>14</v>
      </c>
      <c r="M126" s="12">
        <v>1</v>
      </c>
      <c r="N126" s="12">
        <v>-1</v>
      </c>
      <c r="O126" s="17">
        <v>44.24</v>
      </c>
      <c r="P126" s="17"/>
      <c r="Q126" s="17">
        <v>71.428571428571431</v>
      </c>
      <c r="R126" s="14">
        <v>18.287723571428572</v>
      </c>
      <c r="S126" s="12">
        <v>14</v>
      </c>
      <c r="T126" s="12">
        <v>1</v>
      </c>
      <c r="U126" s="14">
        <v>44.24</v>
      </c>
      <c r="V126" s="17">
        <v>71.428571428571431</v>
      </c>
      <c r="W126" s="14">
        <v>18.287723571428572</v>
      </c>
      <c r="X126">
        <f t="shared" si="2"/>
        <v>7.6555</v>
      </c>
      <c r="Y126">
        <f t="shared" si="3"/>
        <v>8.1872320351503749</v>
      </c>
    </row>
    <row r="127" spans="1:25">
      <c r="A127" s="12" t="s">
        <v>267</v>
      </c>
      <c r="B127" s="12" t="s">
        <v>268</v>
      </c>
      <c r="C127" s="12">
        <v>46</v>
      </c>
      <c r="D127" s="12">
        <v>3.16</v>
      </c>
      <c r="E127" s="12" t="s">
        <v>296</v>
      </c>
      <c r="F127" s="13">
        <v>42374</v>
      </c>
      <c r="G127" s="12">
        <v>73</v>
      </c>
      <c r="H127" s="12">
        <v>3</v>
      </c>
      <c r="I127" s="13">
        <v>42388</v>
      </c>
      <c r="J127" s="12">
        <v>75</v>
      </c>
      <c r="K127" s="12">
        <v>3</v>
      </c>
      <c r="L127" s="12">
        <v>14</v>
      </c>
      <c r="M127" s="12">
        <v>2</v>
      </c>
      <c r="N127" s="12">
        <v>0</v>
      </c>
      <c r="O127" s="17">
        <v>44.24</v>
      </c>
      <c r="P127" s="17"/>
      <c r="Q127" s="17">
        <v>142.85714285714286</v>
      </c>
      <c r="R127" s="14">
        <v>21.555517142857141</v>
      </c>
      <c r="S127" s="12">
        <v>14</v>
      </c>
      <c r="T127" s="12">
        <v>2</v>
      </c>
      <c r="U127" s="14">
        <v>44.24</v>
      </c>
      <c r="V127" s="17">
        <v>142.85714285714286</v>
      </c>
      <c r="W127" s="14">
        <v>21.555517142857141</v>
      </c>
      <c r="X127">
        <f t="shared" si="2"/>
        <v>15.952499999999999</v>
      </c>
      <c r="Y127">
        <f t="shared" si="3"/>
        <v>20.109028492481198</v>
      </c>
    </row>
    <row r="128" spans="1:25">
      <c r="A128" s="12" t="s">
        <v>267</v>
      </c>
      <c r="B128" s="12" t="s">
        <v>268</v>
      </c>
      <c r="C128" s="12">
        <v>46</v>
      </c>
      <c r="D128" s="12">
        <v>3.16</v>
      </c>
      <c r="E128" s="12" t="s">
        <v>297</v>
      </c>
      <c r="F128" s="13">
        <v>42374</v>
      </c>
      <c r="G128" s="12">
        <v>77.5</v>
      </c>
      <c r="H128" s="12">
        <v>5</v>
      </c>
      <c r="I128" s="13">
        <v>42388</v>
      </c>
      <c r="J128" s="12">
        <v>76</v>
      </c>
      <c r="K128" s="12">
        <v>3</v>
      </c>
      <c r="L128" s="12">
        <v>14</v>
      </c>
      <c r="M128" s="12">
        <v>-1.5</v>
      </c>
      <c r="N128" s="12">
        <v>-2</v>
      </c>
      <c r="O128" s="17">
        <v>44.24</v>
      </c>
      <c r="P128" s="17"/>
      <c r="Q128" s="17">
        <v>-107.14285714285714</v>
      </c>
      <c r="R128" s="14">
        <v>9.6955146428571428</v>
      </c>
      <c r="S128" s="12">
        <v>14</v>
      </c>
      <c r="T128" s="12">
        <v>-1.5</v>
      </c>
      <c r="U128" s="14">
        <v>44.24</v>
      </c>
      <c r="V128" s="17">
        <v>-107.14285714285714</v>
      </c>
      <c r="W128" s="14">
        <v>9.6955146428571428</v>
      </c>
      <c r="X128">
        <f t="shared" si="2"/>
        <v>7.6555</v>
      </c>
      <c r="Y128">
        <f t="shared" si="3"/>
        <v>4.3405855174498749</v>
      </c>
    </row>
    <row r="129" spans="1:25">
      <c r="A129" s="12" t="s">
        <v>267</v>
      </c>
      <c r="B129" s="12" t="s">
        <v>268</v>
      </c>
      <c r="C129" s="12">
        <v>46</v>
      </c>
      <c r="D129" s="12">
        <v>3.16</v>
      </c>
      <c r="E129" s="12" t="s">
        <v>298</v>
      </c>
      <c r="F129" s="13">
        <v>42374</v>
      </c>
      <c r="G129" s="12">
        <v>75.5</v>
      </c>
      <c r="H129" s="12">
        <v>5</v>
      </c>
      <c r="I129" s="13">
        <v>42388</v>
      </c>
      <c r="J129" s="12">
        <v>78.5</v>
      </c>
      <c r="K129" s="12">
        <v>5</v>
      </c>
      <c r="L129" s="12">
        <v>14</v>
      </c>
      <c r="M129" s="12">
        <v>3</v>
      </c>
      <c r="N129" s="12">
        <v>0</v>
      </c>
      <c r="O129" s="17">
        <v>44.24</v>
      </c>
      <c r="P129" s="17"/>
      <c r="Q129" s="17">
        <v>214.28571428571428</v>
      </c>
      <c r="R129" s="14">
        <v>25.584215714285712</v>
      </c>
      <c r="S129" s="12">
        <v>14</v>
      </c>
      <c r="T129" s="12">
        <v>3</v>
      </c>
      <c r="U129" s="14">
        <v>44.24</v>
      </c>
      <c r="V129" s="17">
        <v>214.28571428571428</v>
      </c>
      <c r="W129" s="14">
        <v>25.584215714285712</v>
      </c>
      <c r="X129">
        <f t="shared" si="2"/>
        <v>7.6555</v>
      </c>
      <c r="Y129">
        <f t="shared" si="3"/>
        <v>11.453799029281535</v>
      </c>
    </row>
    <row r="130" spans="1:25">
      <c r="A130" s="12" t="s">
        <v>299</v>
      </c>
      <c r="B130" s="12" t="s">
        <v>300</v>
      </c>
      <c r="C130" s="12">
        <v>14</v>
      </c>
      <c r="D130" s="12">
        <v>1.98</v>
      </c>
      <c r="E130" s="12" t="s">
        <v>301</v>
      </c>
      <c r="F130" s="13">
        <v>39476</v>
      </c>
      <c r="G130" s="12">
        <v>54</v>
      </c>
      <c r="H130" s="12">
        <v>2.5</v>
      </c>
      <c r="I130" s="13">
        <v>39490</v>
      </c>
      <c r="J130" s="12">
        <v>56.2</v>
      </c>
      <c r="K130" s="12">
        <v>2.5</v>
      </c>
      <c r="L130" s="12">
        <v>14</v>
      </c>
      <c r="M130" s="12">
        <v>2.2000000000000028</v>
      </c>
      <c r="N130" s="12">
        <v>0</v>
      </c>
      <c r="O130" s="17">
        <v>27.72</v>
      </c>
      <c r="P130" s="17"/>
      <c r="Q130" s="17">
        <v>157.14285714285734</v>
      </c>
      <c r="R130" s="14">
        <v>19.064001857142866</v>
      </c>
      <c r="S130" s="12">
        <v>7</v>
      </c>
      <c r="T130" s="12">
        <v>-2</v>
      </c>
      <c r="U130" s="14">
        <v>13.86</v>
      </c>
      <c r="V130" s="17">
        <v>-285.71428571428572</v>
      </c>
      <c r="W130" s="14">
        <v>-2.7688552857142845</v>
      </c>
      <c r="X130">
        <f t="shared" si="2"/>
        <v>18.02675</v>
      </c>
      <c r="Y130">
        <f t="shared" si="3"/>
        <v>-2.9189159077046769</v>
      </c>
    </row>
    <row r="131" spans="1:25">
      <c r="A131" s="12" t="s">
        <v>299</v>
      </c>
      <c r="B131" s="12" t="s">
        <v>300</v>
      </c>
      <c r="C131" s="12">
        <v>14</v>
      </c>
      <c r="D131" s="12">
        <v>1.98</v>
      </c>
      <c r="E131" s="12" t="s">
        <v>302</v>
      </c>
      <c r="F131" s="13">
        <v>39476</v>
      </c>
      <c r="G131" s="12">
        <v>56.6</v>
      </c>
      <c r="H131" s="12">
        <v>2.5</v>
      </c>
      <c r="I131" s="13">
        <v>39490</v>
      </c>
      <c r="J131" s="12">
        <v>62.4</v>
      </c>
      <c r="K131" s="12">
        <v>2.5</v>
      </c>
      <c r="L131" s="12">
        <v>14</v>
      </c>
      <c r="M131" s="12">
        <v>5.7999999999999972</v>
      </c>
      <c r="N131" s="12">
        <v>0</v>
      </c>
      <c r="O131" s="17">
        <v>27.72</v>
      </c>
      <c r="P131" s="17"/>
      <c r="Q131" s="17">
        <v>414.28571428571411</v>
      </c>
      <c r="R131" s="14">
        <v>32.485140714285706</v>
      </c>
      <c r="S131" s="12">
        <v>7</v>
      </c>
      <c r="T131" s="12">
        <v>0</v>
      </c>
      <c r="U131" s="14">
        <v>13.86</v>
      </c>
      <c r="V131" s="17">
        <v>0</v>
      </c>
      <c r="W131" s="14">
        <v>12.060855</v>
      </c>
      <c r="X131">
        <f t="shared" ref="X131:X194" si="4">IF(H131&gt;0,-4.1485*H131 + 28.398,17.1)</f>
        <v>18.02675</v>
      </c>
      <c r="Y131">
        <f t="shared" ref="Y131:Y194" si="5">W131*X131/17.1</f>
        <v>12.714503969078946</v>
      </c>
    </row>
    <row r="132" spans="1:25">
      <c r="A132" s="12" t="s">
        <v>299</v>
      </c>
      <c r="B132" s="12" t="s">
        <v>300</v>
      </c>
      <c r="C132" s="12">
        <v>14</v>
      </c>
      <c r="D132" s="12">
        <v>1.98</v>
      </c>
      <c r="E132" s="12" t="s">
        <v>303</v>
      </c>
      <c r="F132" s="13">
        <v>39476</v>
      </c>
      <c r="G132" s="12">
        <v>56.6</v>
      </c>
      <c r="H132" s="12">
        <v>3.25</v>
      </c>
      <c r="I132" s="13">
        <v>39490</v>
      </c>
      <c r="J132" s="12">
        <v>65.8</v>
      </c>
      <c r="K132" s="12">
        <v>3.25</v>
      </c>
      <c r="L132" s="12">
        <v>14</v>
      </c>
      <c r="M132" s="12">
        <v>9.1999999999999957</v>
      </c>
      <c r="N132" s="12">
        <v>0</v>
      </c>
      <c r="O132" s="17">
        <v>27.72</v>
      </c>
      <c r="P132" s="17"/>
      <c r="Q132" s="17">
        <v>657.14285714285677</v>
      </c>
      <c r="R132" s="14">
        <v>44.745450857142842</v>
      </c>
      <c r="S132" s="12">
        <v>7</v>
      </c>
      <c r="T132" s="12">
        <v>5</v>
      </c>
      <c r="U132" s="14">
        <v>13.86</v>
      </c>
      <c r="V132" s="17">
        <v>714.28571428571433</v>
      </c>
      <c r="W132" s="14">
        <v>47.562593714285711</v>
      </c>
      <c r="X132">
        <f t="shared" si="4"/>
        <v>14.915374999999999</v>
      </c>
      <c r="Y132">
        <f t="shared" si="5"/>
        <v>41.486194223462817</v>
      </c>
    </row>
    <row r="133" spans="1:25">
      <c r="A133" s="12" t="s">
        <v>299</v>
      </c>
      <c r="B133" s="12" t="s">
        <v>300</v>
      </c>
      <c r="C133" s="12">
        <v>14</v>
      </c>
      <c r="D133" s="12">
        <v>1.98</v>
      </c>
      <c r="E133" s="12" t="s">
        <v>304</v>
      </c>
      <c r="F133" s="13">
        <v>39476</v>
      </c>
      <c r="G133" s="12">
        <v>63.6</v>
      </c>
      <c r="H133" s="12">
        <v>3.25</v>
      </c>
      <c r="I133" s="13">
        <v>39490</v>
      </c>
      <c r="J133" s="12">
        <v>67.400000000000006</v>
      </c>
      <c r="K133" s="12">
        <v>3.25</v>
      </c>
      <c r="L133" s="12">
        <v>14</v>
      </c>
      <c r="M133" s="12">
        <v>3.8000000000000043</v>
      </c>
      <c r="N133" s="12">
        <v>0</v>
      </c>
      <c r="O133" s="17">
        <v>27.72</v>
      </c>
      <c r="P133" s="17"/>
      <c r="Q133" s="17">
        <v>271.42857142857173</v>
      </c>
      <c r="R133" s="14">
        <v>26.456823571428586</v>
      </c>
      <c r="S133" s="12">
        <v>7</v>
      </c>
      <c r="T133" s="12">
        <v>-0.59999999999999432</v>
      </c>
      <c r="U133" s="14">
        <v>13.86</v>
      </c>
      <c r="V133" s="17">
        <v>-85.714285714284898</v>
      </c>
      <c r="W133" s="14">
        <v>8.8496807142857534</v>
      </c>
      <c r="X133">
        <f t="shared" si="4"/>
        <v>14.915374999999999</v>
      </c>
      <c r="Y133">
        <f t="shared" si="5"/>
        <v>7.7190822505169514</v>
      </c>
    </row>
    <row r="134" spans="1:25">
      <c r="A134" s="12" t="s">
        <v>299</v>
      </c>
      <c r="B134" s="12" t="s">
        <v>300</v>
      </c>
      <c r="C134" s="12">
        <v>14</v>
      </c>
      <c r="D134" s="12">
        <v>1.98</v>
      </c>
      <c r="E134" s="12" t="s">
        <v>305</v>
      </c>
      <c r="F134" s="13">
        <v>39476</v>
      </c>
      <c r="G134" s="12">
        <v>52.4</v>
      </c>
      <c r="H134" s="12">
        <v>2</v>
      </c>
      <c r="I134" s="13">
        <v>39490</v>
      </c>
      <c r="J134" s="12">
        <v>59.2</v>
      </c>
      <c r="K134" s="12">
        <v>2</v>
      </c>
      <c r="L134" s="12">
        <v>14</v>
      </c>
      <c r="M134" s="12">
        <v>6.8000000000000043</v>
      </c>
      <c r="N134" s="12">
        <v>0</v>
      </c>
      <c r="O134" s="17">
        <v>27.72</v>
      </c>
      <c r="P134" s="17"/>
      <c r="Q134" s="17">
        <v>485.71428571428606</v>
      </c>
      <c r="R134" s="14">
        <v>35.380936285714299</v>
      </c>
      <c r="S134" s="12">
        <v>7</v>
      </c>
      <c r="T134" s="12">
        <v>1.2000000000000028</v>
      </c>
      <c r="U134" s="14">
        <v>13.86</v>
      </c>
      <c r="V134" s="17">
        <v>171.42857142857184</v>
      </c>
      <c r="W134" s="14">
        <v>19.886650571428589</v>
      </c>
      <c r="X134">
        <f t="shared" si="4"/>
        <v>20.100999999999999</v>
      </c>
      <c r="Y134">
        <f t="shared" si="5"/>
        <v>23.376699598613218</v>
      </c>
    </row>
    <row r="135" spans="1:25">
      <c r="A135" s="12" t="s">
        <v>299</v>
      </c>
      <c r="B135" s="12" t="s">
        <v>300</v>
      </c>
      <c r="C135" s="12">
        <v>14</v>
      </c>
      <c r="D135" s="12">
        <v>1.98</v>
      </c>
      <c r="E135" s="12" t="s">
        <v>306</v>
      </c>
      <c r="F135" s="13">
        <v>39476</v>
      </c>
      <c r="G135" s="12">
        <v>53.2</v>
      </c>
      <c r="H135" s="12">
        <v>2.5</v>
      </c>
      <c r="I135" s="13">
        <v>39490</v>
      </c>
      <c r="J135" s="12">
        <v>58</v>
      </c>
      <c r="K135" s="12">
        <v>2.5</v>
      </c>
      <c r="L135" s="12">
        <v>14</v>
      </c>
      <c r="M135" s="12">
        <v>4.7999999999999972</v>
      </c>
      <c r="N135" s="12">
        <v>0</v>
      </c>
      <c r="O135" s="17">
        <v>27.72</v>
      </c>
      <c r="P135" s="17"/>
      <c r="Q135" s="17">
        <v>342.85714285714266</v>
      </c>
      <c r="R135" s="14">
        <v>28.304261142857129</v>
      </c>
      <c r="S135" s="12">
        <v>7</v>
      </c>
      <c r="T135" s="12">
        <v>0.79999999999999716</v>
      </c>
      <c r="U135" s="14">
        <v>13.86</v>
      </c>
      <c r="V135" s="17">
        <v>114.28571428571388</v>
      </c>
      <c r="W135" s="14">
        <v>17.035689714285695</v>
      </c>
      <c r="X135">
        <f t="shared" si="4"/>
        <v>18.02675</v>
      </c>
      <c r="Y135">
        <f t="shared" si="5"/>
        <v>17.95895436005846</v>
      </c>
    </row>
    <row r="136" spans="1:25">
      <c r="A136" s="12" t="s">
        <v>299</v>
      </c>
      <c r="B136" s="12" t="s">
        <v>300</v>
      </c>
      <c r="C136" s="12">
        <v>14</v>
      </c>
      <c r="D136" s="12">
        <v>1.98</v>
      </c>
      <c r="E136" s="12" t="s">
        <v>307</v>
      </c>
      <c r="F136" s="13">
        <v>39476</v>
      </c>
      <c r="G136" s="12">
        <v>60.2</v>
      </c>
      <c r="H136" s="12">
        <v>2.25</v>
      </c>
      <c r="I136" s="13">
        <v>39490</v>
      </c>
      <c r="J136" s="12">
        <v>67</v>
      </c>
      <c r="K136" s="12">
        <v>2.25</v>
      </c>
      <c r="L136" s="12">
        <v>14</v>
      </c>
      <c r="M136" s="12">
        <v>6.7999999999999972</v>
      </c>
      <c r="N136" s="12">
        <v>0</v>
      </c>
      <c r="O136" s="17">
        <v>27.72</v>
      </c>
      <c r="P136" s="17"/>
      <c r="Q136" s="17">
        <v>485.7142857142855</v>
      </c>
      <c r="R136" s="14">
        <v>36.699838285714272</v>
      </c>
      <c r="S136" s="12">
        <v>7</v>
      </c>
      <c r="T136" s="12">
        <v>1</v>
      </c>
      <c r="U136" s="14">
        <v>13.86</v>
      </c>
      <c r="V136" s="17">
        <v>142.85714285714286</v>
      </c>
      <c r="W136" s="14">
        <v>19.796981142857142</v>
      </c>
      <c r="X136">
        <f t="shared" si="4"/>
        <v>19.063874999999999</v>
      </c>
      <c r="Y136">
        <f t="shared" si="5"/>
        <v>22.07059496402255</v>
      </c>
    </row>
    <row r="137" spans="1:25">
      <c r="A137" s="12" t="s">
        <v>299</v>
      </c>
      <c r="B137" s="12" t="s">
        <v>300</v>
      </c>
      <c r="C137" s="12">
        <v>14</v>
      </c>
      <c r="D137" s="12">
        <v>1.98</v>
      </c>
      <c r="E137" s="12" t="s">
        <v>308</v>
      </c>
      <c r="F137" s="13">
        <v>39476</v>
      </c>
      <c r="G137" s="12">
        <v>60.2</v>
      </c>
      <c r="H137" s="12">
        <v>3</v>
      </c>
      <c r="I137" s="13">
        <v>39490</v>
      </c>
      <c r="J137" s="12">
        <v>65.2</v>
      </c>
      <c r="K137" s="12">
        <v>3</v>
      </c>
      <c r="L137" s="12">
        <v>14</v>
      </c>
      <c r="M137" s="12">
        <v>5</v>
      </c>
      <c r="N137" s="12">
        <v>0</v>
      </c>
      <c r="O137" s="17">
        <v>27.72</v>
      </c>
      <c r="P137" s="17"/>
      <c r="Q137" s="17">
        <v>357.14285714285717</v>
      </c>
      <c r="R137" s="14">
        <v>30.20908585714286</v>
      </c>
      <c r="S137" s="12">
        <v>7</v>
      </c>
      <c r="T137" s="12">
        <v>1</v>
      </c>
      <c r="U137" s="14">
        <v>13.86</v>
      </c>
      <c r="V137" s="17">
        <v>142.85714285714286</v>
      </c>
      <c r="W137" s="14">
        <v>19.644800142857143</v>
      </c>
      <c r="X137">
        <f t="shared" si="4"/>
        <v>15.952499999999999</v>
      </c>
      <c r="Y137">
        <f t="shared" si="5"/>
        <v>18.326530659586464</v>
      </c>
    </row>
    <row r="138" spans="1:25">
      <c r="A138" s="12" t="s">
        <v>299</v>
      </c>
      <c r="B138" s="12" t="s">
        <v>300</v>
      </c>
      <c r="C138" s="12">
        <v>14</v>
      </c>
      <c r="D138" s="12">
        <v>1.98</v>
      </c>
      <c r="E138" s="12" t="s">
        <v>309</v>
      </c>
      <c r="F138" s="13">
        <v>39476</v>
      </c>
      <c r="G138" s="12">
        <v>50.6</v>
      </c>
      <c r="H138" s="12">
        <v>1.75</v>
      </c>
      <c r="I138" s="13">
        <v>39490</v>
      </c>
      <c r="J138" s="12">
        <v>59</v>
      </c>
      <c r="K138" s="12">
        <v>2</v>
      </c>
      <c r="L138" s="12">
        <v>14</v>
      </c>
      <c r="M138" s="12">
        <v>8.3999999999999986</v>
      </c>
      <c r="N138" s="12">
        <v>0.25</v>
      </c>
      <c r="O138" s="17">
        <v>27.72</v>
      </c>
      <c r="P138" s="17"/>
      <c r="Q138" s="17">
        <v>599.99999999999989</v>
      </c>
      <c r="R138" s="14">
        <v>40.84613199999999</v>
      </c>
      <c r="S138" s="12">
        <v>7</v>
      </c>
      <c r="T138" s="12">
        <v>-1</v>
      </c>
      <c r="U138" s="14">
        <v>13.86</v>
      </c>
      <c r="V138" s="17">
        <v>-142.85714285714286</v>
      </c>
      <c r="W138" s="14">
        <v>4.2232748571428571</v>
      </c>
      <c r="X138">
        <f t="shared" si="4"/>
        <v>21.138124999999999</v>
      </c>
      <c r="Y138">
        <f t="shared" si="5"/>
        <v>5.220591335651628</v>
      </c>
    </row>
    <row r="139" spans="1:25">
      <c r="A139" s="12" t="s">
        <v>299</v>
      </c>
      <c r="B139" s="12" t="s">
        <v>300</v>
      </c>
      <c r="C139" s="12">
        <v>14</v>
      </c>
      <c r="D139" s="12">
        <v>1.98</v>
      </c>
      <c r="E139" s="12" t="s">
        <v>310</v>
      </c>
      <c r="F139" s="13">
        <v>39476</v>
      </c>
      <c r="G139" s="12">
        <v>63.2</v>
      </c>
      <c r="H139" s="12">
        <v>2.5</v>
      </c>
      <c r="I139" s="13">
        <v>39490</v>
      </c>
      <c r="J139" s="12">
        <v>70.2</v>
      </c>
      <c r="K139" s="12">
        <v>2.5</v>
      </c>
      <c r="L139" s="12">
        <v>14</v>
      </c>
      <c r="M139" s="12">
        <v>7</v>
      </c>
      <c r="N139" s="12">
        <v>0</v>
      </c>
      <c r="O139" s="17">
        <v>27.72</v>
      </c>
      <c r="P139" s="17"/>
      <c r="Q139" s="17">
        <v>500</v>
      </c>
      <c r="R139" s="14">
        <v>37.928303</v>
      </c>
      <c r="S139" s="12">
        <v>7</v>
      </c>
      <c r="T139" s="12">
        <v>1.6000000000000085</v>
      </c>
      <c r="U139" s="14">
        <v>13.86</v>
      </c>
      <c r="V139" s="17">
        <v>228.57142857142978</v>
      </c>
      <c r="W139" s="14">
        <v>24.546874428571485</v>
      </c>
      <c r="X139">
        <f t="shared" si="4"/>
        <v>18.02675</v>
      </c>
      <c r="Y139">
        <f t="shared" si="5"/>
        <v>25.877214538318771</v>
      </c>
    </row>
    <row r="140" spans="1:25">
      <c r="A140" s="12" t="s">
        <v>299</v>
      </c>
      <c r="B140" s="12" t="s">
        <v>300</v>
      </c>
      <c r="C140" s="12">
        <v>14</v>
      </c>
      <c r="D140" s="12">
        <v>1.98</v>
      </c>
      <c r="E140" s="12" t="s">
        <v>311</v>
      </c>
      <c r="F140" s="13">
        <v>39476</v>
      </c>
      <c r="G140" s="12">
        <v>57.2</v>
      </c>
      <c r="H140" s="12">
        <v>3.5</v>
      </c>
      <c r="I140" s="13">
        <v>39490</v>
      </c>
      <c r="J140" s="12">
        <v>62.6</v>
      </c>
      <c r="K140" s="12">
        <v>3.5</v>
      </c>
      <c r="L140" s="12">
        <v>14</v>
      </c>
      <c r="M140" s="12">
        <v>5.3999999999999986</v>
      </c>
      <c r="N140" s="12">
        <v>0</v>
      </c>
      <c r="O140" s="17">
        <v>27.72</v>
      </c>
      <c r="P140" s="17"/>
      <c r="Q140" s="17">
        <v>385.71428571428561</v>
      </c>
      <c r="R140" s="14">
        <v>31.144205285714282</v>
      </c>
      <c r="S140" s="12">
        <v>7</v>
      </c>
      <c r="T140" s="12">
        <v>-2.6000000000000014</v>
      </c>
      <c r="U140" s="14">
        <v>13.86</v>
      </c>
      <c r="V140" s="17">
        <v>-371.42857142857162</v>
      </c>
      <c r="W140" s="14">
        <v>-6.1829375714285781</v>
      </c>
      <c r="X140">
        <f t="shared" si="4"/>
        <v>13.878249999999998</v>
      </c>
      <c r="Y140">
        <f t="shared" si="5"/>
        <v>-5.0180323596888092</v>
      </c>
    </row>
    <row r="141" spans="1:25">
      <c r="A141" s="12" t="s">
        <v>299</v>
      </c>
      <c r="B141" s="12" t="s">
        <v>300</v>
      </c>
      <c r="C141" s="12">
        <v>14</v>
      </c>
      <c r="D141" s="12">
        <v>1.98</v>
      </c>
      <c r="E141" s="12" t="s">
        <v>312</v>
      </c>
      <c r="F141" s="13">
        <v>39476</v>
      </c>
      <c r="G141" s="12">
        <v>48.2</v>
      </c>
      <c r="H141" s="12">
        <v>2.25</v>
      </c>
      <c r="I141" s="13">
        <v>39490</v>
      </c>
      <c r="J141" s="12">
        <v>55.6</v>
      </c>
      <c r="K141" s="12">
        <v>2.25</v>
      </c>
      <c r="L141" s="12">
        <v>14</v>
      </c>
      <c r="M141" s="12">
        <v>7.3999999999999986</v>
      </c>
      <c r="N141" s="12">
        <v>0</v>
      </c>
      <c r="O141" s="17">
        <v>27.72</v>
      </c>
      <c r="P141" s="17"/>
      <c r="Q141" s="17">
        <v>528.57142857142844</v>
      </c>
      <c r="R141" s="14">
        <v>36.834342428571425</v>
      </c>
      <c r="S141" s="12">
        <v>7</v>
      </c>
      <c r="T141" s="12">
        <v>-0.19999999999999574</v>
      </c>
      <c r="U141" s="14">
        <v>13.86</v>
      </c>
      <c r="V141" s="17">
        <v>-28.571428571427962</v>
      </c>
      <c r="W141" s="14">
        <v>9.3671995714286016</v>
      </c>
      <c r="X141">
        <f t="shared" si="4"/>
        <v>19.063874999999999</v>
      </c>
      <c r="Y141">
        <f t="shared" si="5"/>
        <v>10.442989574840258</v>
      </c>
    </row>
    <row r="142" spans="1:25">
      <c r="A142" s="12" t="s">
        <v>299</v>
      </c>
      <c r="B142" s="12" t="s">
        <v>300</v>
      </c>
      <c r="C142" s="12">
        <v>14</v>
      </c>
      <c r="D142" s="12">
        <v>1.98</v>
      </c>
      <c r="E142" s="12" t="s">
        <v>313</v>
      </c>
      <c r="F142" s="13">
        <v>39476</v>
      </c>
      <c r="G142" s="12">
        <v>66.400000000000006</v>
      </c>
      <c r="H142" s="12">
        <v>2.5</v>
      </c>
      <c r="I142" s="13">
        <v>39490</v>
      </c>
      <c r="J142" s="12">
        <v>69.8</v>
      </c>
      <c r="K142" s="12">
        <v>2.5</v>
      </c>
      <c r="L142" s="12">
        <v>14</v>
      </c>
      <c r="M142" s="12">
        <v>3.3999999999999915</v>
      </c>
      <c r="N142" s="12">
        <v>0</v>
      </c>
      <c r="O142" s="17">
        <v>27.72</v>
      </c>
      <c r="P142" s="17"/>
      <c r="Q142" s="17">
        <v>242.85714285714224</v>
      </c>
      <c r="R142" s="14">
        <v>25.487886142857111</v>
      </c>
      <c r="S142" s="12">
        <v>7</v>
      </c>
      <c r="T142" s="12">
        <v>2</v>
      </c>
      <c r="U142" s="14">
        <v>13.86</v>
      </c>
      <c r="V142" s="17">
        <v>285.71428571428572</v>
      </c>
      <c r="W142" s="14">
        <v>27.60074328571428</v>
      </c>
      <c r="X142">
        <f t="shared" si="4"/>
        <v>18.02675</v>
      </c>
      <c r="Y142">
        <f t="shared" si="5"/>
        <v>29.096590586301161</v>
      </c>
    </row>
    <row r="143" spans="1:25">
      <c r="A143" s="12" t="s">
        <v>299</v>
      </c>
      <c r="B143" s="12" t="s">
        <v>300</v>
      </c>
      <c r="C143" s="12">
        <v>14</v>
      </c>
      <c r="D143" s="12">
        <v>1.98</v>
      </c>
      <c r="E143" s="12" t="s">
        <v>314</v>
      </c>
      <c r="F143" s="13">
        <v>39476</v>
      </c>
      <c r="G143" s="12">
        <v>48.4</v>
      </c>
      <c r="H143" s="12">
        <v>2</v>
      </c>
      <c r="I143" s="13">
        <v>39490</v>
      </c>
      <c r="J143" s="12">
        <v>51.8</v>
      </c>
      <c r="K143" s="12">
        <v>2</v>
      </c>
      <c r="L143" s="12">
        <v>14</v>
      </c>
      <c r="M143" s="12">
        <v>3.3999999999999986</v>
      </c>
      <c r="N143" s="12">
        <v>0</v>
      </c>
      <c r="O143" s="17">
        <v>27.72</v>
      </c>
      <c r="P143" s="17"/>
      <c r="Q143" s="17">
        <v>242.85714285714275</v>
      </c>
      <c r="R143" s="14">
        <v>22.444266142857135</v>
      </c>
      <c r="S143" s="12">
        <v>7</v>
      </c>
      <c r="T143" s="12">
        <v>2.3999999999999986</v>
      </c>
      <c r="U143" s="14">
        <v>13.86</v>
      </c>
      <c r="V143" s="17">
        <v>342.85714285714266</v>
      </c>
      <c r="W143" s="14">
        <v>27.374266142857127</v>
      </c>
      <c r="X143">
        <f t="shared" si="4"/>
        <v>20.100999999999999</v>
      </c>
      <c r="Y143">
        <f t="shared" si="5"/>
        <v>32.178369809214686</v>
      </c>
    </row>
    <row r="144" spans="1:25">
      <c r="A144" s="12" t="s">
        <v>299</v>
      </c>
      <c r="B144" s="12" t="s">
        <v>300</v>
      </c>
      <c r="C144" s="12">
        <v>14</v>
      </c>
      <c r="D144" s="12">
        <v>1.98</v>
      </c>
      <c r="E144" s="12" t="s">
        <v>315</v>
      </c>
      <c r="F144" s="13">
        <v>39476</v>
      </c>
      <c r="G144" s="12">
        <v>53</v>
      </c>
      <c r="H144" s="12">
        <v>2</v>
      </c>
      <c r="I144" s="13">
        <v>39490</v>
      </c>
      <c r="J144" s="12">
        <v>59.4</v>
      </c>
      <c r="K144" s="12">
        <v>2.25</v>
      </c>
      <c r="L144" s="12">
        <v>14</v>
      </c>
      <c r="M144" s="12">
        <v>6.3999999999999986</v>
      </c>
      <c r="N144" s="12">
        <v>0.25</v>
      </c>
      <c r="O144" s="17">
        <v>27.72</v>
      </c>
      <c r="P144" s="17"/>
      <c r="Q144" s="17">
        <v>457.142857142857</v>
      </c>
      <c r="R144" s="14">
        <v>34.04000085714285</v>
      </c>
      <c r="S144" s="12">
        <v>7</v>
      </c>
      <c r="T144" s="12">
        <v>0.39999999999999858</v>
      </c>
      <c r="U144" s="14">
        <v>13.86</v>
      </c>
      <c r="V144" s="17">
        <v>57.14285714285694</v>
      </c>
      <c r="W144" s="14">
        <v>14.320000857142848</v>
      </c>
      <c r="X144">
        <f t="shared" si="4"/>
        <v>20.100999999999999</v>
      </c>
      <c r="Y144">
        <f t="shared" si="5"/>
        <v>16.833119136223878</v>
      </c>
    </row>
    <row r="145" spans="1:25">
      <c r="A145" s="12" t="s">
        <v>299</v>
      </c>
      <c r="B145" s="12" t="s">
        <v>300</v>
      </c>
      <c r="C145" s="12">
        <v>14</v>
      </c>
      <c r="D145" s="12">
        <v>1.98</v>
      </c>
      <c r="E145" s="12" t="s">
        <v>316</v>
      </c>
      <c r="F145" s="13">
        <v>39476</v>
      </c>
      <c r="G145" s="12">
        <v>60</v>
      </c>
      <c r="H145" s="12">
        <v>2</v>
      </c>
      <c r="I145" s="13">
        <v>39490</v>
      </c>
      <c r="J145" s="12">
        <v>66.2</v>
      </c>
      <c r="K145" s="12">
        <v>2</v>
      </c>
      <c r="L145" s="12">
        <v>14</v>
      </c>
      <c r="M145" s="12">
        <v>6.2000000000000028</v>
      </c>
      <c r="N145" s="12">
        <v>0</v>
      </c>
      <c r="O145" s="17">
        <v>27.72</v>
      </c>
      <c r="P145" s="17"/>
      <c r="Q145" s="17">
        <v>442.85714285714306</v>
      </c>
      <c r="R145" s="14">
        <v>34.50243614285715</v>
      </c>
      <c r="S145" s="12">
        <v>7</v>
      </c>
      <c r="T145" s="12">
        <v>1.2000000000000028</v>
      </c>
      <c r="U145" s="14">
        <v>13.86</v>
      </c>
      <c r="V145" s="17">
        <v>171.42857142857184</v>
      </c>
      <c r="W145" s="14">
        <v>21.121007571428592</v>
      </c>
      <c r="X145">
        <f t="shared" si="4"/>
        <v>20.100999999999999</v>
      </c>
      <c r="Y145">
        <f t="shared" si="5"/>
        <v>24.827682642882227</v>
      </c>
    </row>
    <row r="146" spans="1:25">
      <c r="A146" s="12" t="s">
        <v>299</v>
      </c>
      <c r="B146" s="12" t="s">
        <v>300</v>
      </c>
      <c r="C146" s="12">
        <v>14</v>
      </c>
      <c r="D146" s="12">
        <v>1.98</v>
      </c>
      <c r="E146" s="12" t="s">
        <v>317</v>
      </c>
      <c r="F146" s="13">
        <v>39476</v>
      </c>
      <c r="G146" s="12">
        <v>64.2</v>
      </c>
      <c r="H146" s="12">
        <v>3</v>
      </c>
      <c r="I146" s="13">
        <v>39490</v>
      </c>
      <c r="J146" s="12">
        <v>70.400000000000006</v>
      </c>
      <c r="K146" s="12">
        <v>3</v>
      </c>
      <c r="L146" s="12">
        <v>14</v>
      </c>
      <c r="M146" s="12">
        <v>6.2000000000000028</v>
      </c>
      <c r="N146" s="12">
        <v>0</v>
      </c>
      <c r="O146" s="17">
        <v>27.72</v>
      </c>
      <c r="P146" s="17"/>
      <c r="Q146" s="17">
        <v>442.85714285714306</v>
      </c>
      <c r="R146" s="14">
        <v>35.212614142857149</v>
      </c>
      <c r="S146" s="12">
        <v>7</v>
      </c>
      <c r="T146" s="12">
        <v>0.60000000000000853</v>
      </c>
      <c r="U146" s="14">
        <v>13.86</v>
      </c>
      <c r="V146" s="17">
        <v>85.71428571428693</v>
      </c>
      <c r="W146" s="14">
        <v>17.605471285714348</v>
      </c>
      <c r="X146">
        <f t="shared" si="4"/>
        <v>15.952499999999999</v>
      </c>
      <c r="Y146">
        <f t="shared" si="5"/>
        <v>16.424051502067726</v>
      </c>
    </row>
    <row r="147" spans="1:25">
      <c r="A147" s="12" t="s">
        <v>299</v>
      </c>
      <c r="B147" s="12" t="s">
        <v>300</v>
      </c>
      <c r="C147" s="12">
        <v>14</v>
      </c>
      <c r="D147" s="12">
        <v>1.98</v>
      </c>
      <c r="E147" s="12" t="s">
        <v>318</v>
      </c>
      <c r="F147" s="13">
        <v>39476</v>
      </c>
      <c r="G147" s="12">
        <v>56.4</v>
      </c>
      <c r="H147" s="12">
        <v>2.5</v>
      </c>
      <c r="I147" s="13">
        <v>39490</v>
      </c>
      <c r="J147" s="12">
        <v>62.6</v>
      </c>
      <c r="K147" s="12">
        <v>2.5</v>
      </c>
      <c r="L147" s="12">
        <v>14</v>
      </c>
      <c r="M147" s="12">
        <v>6.2000000000000028</v>
      </c>
      <c r="N147" s="12">
        <v>0</v>
      </c>
      <c r="O147" s="17">
        <v>27.72</v>
      </c>
      <c r="P147" s="17"/>
      <c r="Q147" s="17">
        <v>442.85714285714306</v>
      </c>
      <c r="R147" s="14">
        <v>33.893712142857154</v>
      </c>
      <c r="S147" s="12">
        <v>7</v>
      </c>
      <c r="T147" s="12">
        <v>-1.1999999999999957</v>
      </c>
      <c r="U147" s="14">
        <v>13.86</v>
      </c>
      <c r="V147" s="17">
        <v>-171.42857142857082</v>
      </c>
      <c r="W147" s="14">
        <v>3.6094264285714583</v>
      </c>
      <c r="X147">
        <f t="shared" si="4"/>
        <v>18.02675</v>
      </c>
      <c r="Y147">
        <f t="shared" si="5"/>
        <v>3.8050425655702065</v>
      </c>
    </row>
    <row r="148" spans="1:25">
      <c r="A148" s="12" t="s">
        <v>299</v>
      </c>
      <c r="B148" s="12" t="s">
        <v>300</v>
      </c>
      <c r="C148" s="12">
        <v>14</v>
      </c>
      <c r="D148" s="12">
        <v>1.98</v>
      </c>
      <c r="E148" s="12" t="s">
        <v>319</v>
      </c>
      <c r="F148" s="13">
        <v>39476</v>
      </c>
      <c r="G148" s="12">
        <v>64</v>
      </c>
      <c r="H148" s="12">
        <v>3</v>
      </c>
      <c r="I148" s="13">
        <v>39490</v>
      </c>
      <c r="J148" s="12">
        <v>69.8</v>
      </c>
      <c r="K148" s="12">
        <v>3</v>
      </c>
      <c r="L148" s="12">
        <v>14</v>
      </c>
      <c r="M148" s="12">
        <v>5.7999999999999972</v>
      </c>
      <c r="N148" s="12">
        <v>0</v>
      </c>
      <c r="O148" s="17">
        <v>27.72</v>
      </c>
      <c r="P148" s="17"/>
      <c r="Q148" s="17">
        <v>414.28571428571411</v>
      </c>
      <c r="R148" s="14">
        <v>33.7364067142857</v>
      </c>
      <c r="S148" s="12">
        <v>7</v>
      </c>
      <c r="T148" s="12">
        <v>2.2000000000000028</v>
      </c>
      <c r="U148" s="14">
        <v>13.86</v>
      </c>
      <c r="V148" s="17">
        <v>314.28571428571468</v>
      </c>
      <c r="W148" s="14">
        <v>28.806406714285732</v>
      </c>
      <c r="X148">
        <f t="shared" si="4"/>
        <v>15.952499999999999</v>
      </c>
      <c r="Y148">
        <f t="shared" si="5"/>
        <v>26.873345211090239</v>
      </c>
    </row>
    <row r="149" spans="1:25">
      <c r="A149" s="12" t="s">
        <v>299</v>
      </c>
      <c r="B149" s="12" t="s">
        <v>300</v>
      </c>
      <c r="C149" s="12">
        <v>14</v>
      </c>
      <c r="D149" s="12">
        <v>1.98</v>
      </c>
      <c r="E149" s="12" t="s">
        <v>320</v>
      </c>
      <c r="F149" s="13">
        <v>39476</v>
      </c>
      <c r="G149" s="12">
        <v>54</v>
      </c>
      <c r="H149" s="12">
        <v>2.5</v>
      </c>
      <c r="I149" s="13">
        <v>39490</v>
      </c>
      <c r="J149" s="12">
        <v>57</v>
      </c>
      <c r="K149" s="12">
        <v>2.5</v>
      </c>
      <c r="L149" s="12">
        <v>14</v>
      </c>
      <c r="M149" s="12">
        <v>3</v>
      </c>
      <c r="N149" s="12">
        <v>0</v>
      </c>
      <c r="O149" s="17">
        <v>27.72</v>
      </c>
      <c r="P149" s="17"/>
      <c r="Q149" s="17">
        <v>214.28571428571428</v>
      </c>
      <c r="R149" s="14">
        <v>21.948780714285711</v>
      </c>
      <c r="S149" s="12">
        <v>7</v>
      </c>
      <c r="T149" s="12">
        <v>-0.79999999999999716</v>
      </c>
      <c r="U149" s="14">
        <v>13.86</v>
      </c>
      <c r="V149" s="17">
        <v>-114.28571428571388</v>
      </c>
      <c r="W149" s="14">
        <v>5.7502092857143055</v>
      </c>
      <c r="X149">
        <f t="shared" si="4"/>
        <v>18.02675</v>
      </c>
      <c r="Y149">
        <f t="shared" si="5"/>
        <v>6.0618470901315993</v>
      </c>
    </row>
    <row r="150" spans="1:25">
      <c r="A150" s="12" t="s">
        <v>299</v>
      </c>
      <c r="B150" s="12" t="s">
        <v>300</v>
      </c>
      <c r="C150" s="12">
        <v>14</v>
      </c>
      <c r="D150" s="12">
        <v>1.98</v>
      </c>
      <c r="E150" s="12" t="s">
        <v>321</v>
      </c>
      <c r="F150" s="13">
        <v>39476</v>
      </c>
      <c r="G150" s="12">
        <v>59.2</v>
      </c>
      <c r="H150" s="12">
        <v>1.75</v>
      </c>
      <c r="I150" s="13">
        <v>39490</v>
      </c>
      <c r="J150" s="12">
        <v>64.400000000000006</v>
      </c>
      <c r="K150" s="12">
        <v>1.75</v>
      </c>
      <c r="L150" s="12">
        <v>14</v>
      </c>
      <c r="M150" s="12">
        <v>5.2000000000000028</v>
      </c>
      <c r="N150" s="12">
        <v>0</v>
      </c>
      <c r="O150" s="17">
        <v>27.72</v>
      </c>
      <c r="P150" s="17"/>
      <c r="Q150" s="17">
        <v>371.42857142857162</v>
      </c>
      <c r="R150" s="14">
        <v>30.761190571428578</v>
      </c>
      <c r="S150" s="12">
        <v>7</v>
      </c>
      <c r="T150" s="12">
        <v>0.40000000000000568</v>
      </c>
      <c r="U150" s="14">
        <v>13.86</v>
      </c>
      <c r="V150" s="17">
        <v>57.142857142857956</v>
      </c>
      <c r="W150" s="14">
        <v>15.266904857142897</v>
      </c>
      <c r="X150">
        <f t="shared" si="4"/>
        <v>21.138124999999999</v>
      </c>
      <c r="Y150">
        <f t="shared" si="5"/>
        <v>18.872148727099045</v>
      </c>
    </row>
    <row r="151" spans="1:25">
      <c r="A151" s="12" t="s">
        <v>299</v>
      </c>
      <c r="B151" s="12" t="s">
        <v>300</v>
      </c>
      <c r="C151" s="12">
        <v>14</v>
      </c>
      <c r="D151" s="12">
        <v>1.98</v>
      </c>
      <c r="E151" s="12" t="s">
        <v>322</v>
      </c>
      <c r="F151" s="13">
        <v>39476</v>
      </c>
      <c r="G151" s="12">
        <v>57.8</v>
      </c>
      <c r="H151" s="12">
        <v>1.75</v>
      </c>
      <c r="I151" s="13">
        <v>39490</v>
      </c>
      <c r="J151" s="12">
        <v>63.4</v>
      </c>
      <c r="K151" s="12">
        <v>1.75</v>
      </c>
      <c r="L151" s="12">
        <v>14</v>
      </c>
      <c r="M151" s="12">
        <v>5.6000000000000014</v>
      </c>
      <c r="N151" s="12">
        <v>0</v>
      </c>
      <c r="O151" s="17">
        <v>27.72</v>
      </c>
      <c r="P151" s="17"/>
      <c r="Q151" s="17">
        <v>400.00000000000006</v>
      </c>
      <c r="R151" s="14">
        <v>31.966854000000001</v>
      </c>
      <c r="S151" s="12">
        <v>7</v>
      </c>
      <c r="T151" s="12">
        <v>2</v>
      </c>
      <c r="U151" s="14">
        <v>13.86</v>
      </c>
      <c r="V151" s="17">
        <v>285.71428571428572</v>
      </c>
      <c r="W151" s="14">
        <v>26.332568285714281</v>
      </c>
      <c r="X151">
        <f t="shared" si="4"/>
        <v>21.138124999999999</v>
      </c>
      <c r="Y151">
        <f t="shared" si="5"/>
        <v>32.55094268973474</v>
      </c>
    </row>
    <row r="152" spans="1:25">
      <c r="A152" s="12" t="s">
        <v>299</v>
      </c>
      <c r="B152" s="12" t="s">
        <v>300</v>
      </c>
      <c r="C152" s="12">
        <v>14</v>
      </c>
      <c r="D152" s="12">
        <v>1.98</v>
      </c>
      <c r="E152" s="12" t="s">
        <v>323</v>
      </c>
      <c r="F152" s="13">
        <v>39476</v>
      </c>
      <c r="G152" s="12">
        <v>56.2</v>
      </c>
      <c r="H152" s="12">
        <v>2.75</v>
      </c>
      <c r="I152" s="13">
        <v>39490</v>
      </c>
      <c r="J152" s="12">
        <v>63.6</v>
      </c>
      <c r="K152" s="12">
        <v>2.75</v>
      </c>
      <c r="L152" s="12">
        <v>14</v>
      </c>
      <c r="M152" s="12">
        <v>7.3999999999999986</v>
      </c>
      <c r="N152" s="12">
        <v>0</v>
      </c>
      <c r="O152" s="17">
        <v>27.72</v>
      </c>
      <c r="P152" s="17"/>
      <c r="Q152" s="17">
        <v>528.57142857142844</v>
      </c>
      <c r="R152" s="14">
        <v>38.187062428571423</v>
      </c>
      <c r="S152" s="12">
        <v>7</v>
      </c>
      <c r="T152" s="12">
        <v>-1.1999999999999957</v>
      </c>
      <c r="U152" s="14">
        <v>13.86</v>
      </c>
      <c r="V152" s="17">
        <v>-171.42857142857082</v>
      </c>
      <c r="W152" s="14">
        <v>3.6770624285714586</v>
      </c>
      <c r="X152">
        <f t="shared" si="4"/>
        <v>16.989624999999997</v>
      </c>
      <c r="Y152">
        <f t="shared" si="5"/>
        <v>3.6533281732759271</v>
      </c>
    </row>
    <row r="153" spans="1:25">
      <c r="A153" s="12" t="s">
        <v>299</v>
      </c>
      <c r="B153" s="12" t="s">
        <v>300</v>
      </c>
      <c r="C153" s="12">
        <v>14</v>
      </c>
      <c r="D153" s="12">
        <v>1.98</v>
      </c>
      <c r="E153" s="12" t="s">
        <v>324</v>
      </c>
      <c r="F153" s="13">
        <v>39476</v>
      </c>
      <c r="G153" s="12">
        <v>58</v>
      </c>
      <c r="H153" s="12">
        <v>2.25</v>
      </c>
      <c r="I153" s="13">
        <v>39490</v>
      </c>
      <c r="J153" s="12">
        <v>65.2</v>
      </c>
      <c r="K153" s="12">
        <v>2.25</v>
      </c>
      <c r="L153" s="12">
        <v>14</v>
      </c>
      <c r="M153" s="12">
        <v>7.2000000000000028</v>
      </c>
      <c r="N153" s="12">
        <v>0</v>
      </c>
      <c r="O153" s="17">
        <v>27.72</v>
      </c>
      <c r="P153" s="17"/>
      <c r="Q153" s="17">
        <v>514.28571428571445</v>
      </c>
      <c r="R153" s="14">
        <v>37.770229714285719</v>
      </c>
      <c r="S153" s="12">
        <v>7</v>
      </c>
      <c r="T153" s="12">
        <v>1</v>
      </c>
      <c r="U153" s="14">
        <v>13.86</v>
      </c>
      <c r="V153" s="17">
        <v>142.85714285714286</v>
      </c>
      <c r="W153" s="14">
        <v>19.458801142857141</v>
      </c>
      <c r="X153">
        <f t="shared" si="4"/>
        <v>19.063874999999999</v>
      </c>
      <c r="Y153">
        <f t="shared" si="5"/>
        <v>21.693576177619043</v>
      </c>
    </row>
    <row r="154" spans="1:25">
      <c r="A154" s="12" t="s">
        <v>299</v>
      </c>
      <c r="B154" s="12" t="s">
        <v>300</v>
      </c>
      <c r="C154" s="12">
        <v>14</v>
      </c>
      <c r="D154" s="12">
        <v>1.98</v>
      </c>
      <c r="E154" s="12" t="s">
        <v>325</v>
      </c>
      <c r="F154" s="13">
        <v>39476</v>
      </c>
      <c r="G154" s="12">
        <v>67</v>
      </c>
      <c r="H154" s="12">
        <v>2.25</v>
      </c>
      <c r="I154" s="13">
        <v>39490</v>
      </c>
      <c r="J154" s="12">
        <v>68.599999999999994</v>
      </c>
      <c r="K154" s="12">
        <v>2.25</v>
      </c>
      <c r="L154" s="12">
        <v>14</v>
      </c>
      <c r="M154" s="12">
        <v>1.5999999999999943</v>
      </c>
      <c r="N154" s="12">
        <v>0</v>
      </c>
      <c r="O154" s="17">
        <v>27.72</v>
      </c>
      <c r="P154" s="17"/>
      <c r="Q154" s="17">
        <v>114.28571428571388</v>
      </c>
      <c r="R154" s="14">
        <v>19.098587714285692</v>
      </c>
      <c r="S154" s="12">
        <v>7</v>
      </c>
      <c r="T154" s="12">
        <v>0.79999999999999716</v>
      </c>
      <c r="U154" s="14">
        <v>13.86</v>
      </c>
      <c r="V154" s="17">
        <v>114.28571428571388</v>
      </c>
      <c r="W154" s="14">
        <v>19.098587714285692</v>
      </c>
      <c r="X154">
        <f t="shared" si="4"/>
        <v>19.063874999999999</v>
      </c>
      <c r="Y154">
        <f t="shared" si="5"/>
        <v>21.291993500682931</v>
      </c>
    </row>
    <row r="155" spans="1:25">
      <c r="A155" s="12" t="s">
        <v>299</v>
      </c>
      <c r="B155" s="12" t="s">
        <v>300</v>
      </c>
      <c r="C155" s="12">
        <v>14</v>
      </c>
      <c r="D155" s="12">
        <v>1.98</v>
      </c>
      <c r="E155" s="12" t="s">
        <v>326</v>
      </c>
      <c r="F155" s="13">
        <v>39476</v>
      </c>
      <c r="G155" s="12">
        <v>70.599999999999994</v>
      </c>
      <c r="H155" s="12">
        <v>3</v>
      </c>
      <c r="I155" s="13">
        <v>39490</v>
      </c>
      <c r="J155" s="12">
        <v>74.2</v>
      </c>
      <c r="K155" s="12">
        <v>3</v>
      </c>
      <c r="L155" s="12">
        <v>14</v>
      </c>
      <c r="M155" s="12">
        <v>3.6000000000000085</v>
      </c>
      <c r="N155" s="12">
        <v>0</v>
      </c>
      <c r="O155" s="17">
        <v>27.72</v>
      </c>
      <c r="P155" s="17"/>
      <c r="Q155" s="17">
        <v>257.14285714285774</v>
      </c>
      <c r="R155" s="14">
        <v>26.919258857142886</v>
      </c>
      <c r="S155" s="12">
        <v>7</v>
      </c>
      <c r="T155" s="12">
        <v>6</v>
      </c>
      <c r="U155" s="14">
        <v>13.86</v>
      </c>
      <c r="V155" s="17">
        <v>857.14285714285711</v>
      </c>
      <c r="W155" s="14">
        <v>56.499258857142856</v>
      </c>
      <c r="X155">
        <f t="shared" si="4"/>
        <v>15.952499999999999</v>
      </c>
      <c r="Y155">
        <f t="shared" si="5"/>
        <v>52.707861223308264</v>
      </c>
    </row>
    <row r="156" spans="1:25">
      <c r="A156" s="12" t="s">
        <v>299</v>
      </c>
      <c r="B156" s="12" t="s">
        <v>300</v>
      </c>
      <c r="C156" s="12">
        <v>14</v>
      </c>
      <c r="D156" s="12">
        <v>1.98</v>
      </c>
      <c r="E156" s="12" t="s">
        <v>327</v>
      </c>
      <c r="F156" s="13">
        <v>39476</v>
      </c>
      <c r="G156" s="12">
        <v>61.6</v>
      </c>
      <c r="H156" s="12">
        <v>2.5</v>
      </c>
      <c r="I156" s="13">
        <v>39490</v>
      </c>
      <c r="J156" s="12">
        <v>64</v>
      </c>
      <c r="K156" s="12">
        <v>2.5</v>
      </c>
      <c r="L156" s="12">
        <v>14</v>
      </c>
      <c r="M156" s="12">
        <v>2.3999999999999986</v>
      </c>
      <c r="N156" s="12">
        <v>0</v>
      </c>
      <c r="O156" s="17">
        <v>27.72</v>
      </c>
      <c r="P156" s="17"/>
      <c r="Q156" s="17">
        <v>171.42857142857133</v>
      </c>
      <c r="R156" s="14">
        <v>21.070280571428562</v>
      </c>
      <c r="S156" s="12">
        <v>7</v>
      </c>
      <c r="T156" s="12">
        <v>-3</v>
      </c>
      <c r="U156" s="14">
        <v>13.86</v>
      </c>
      <c r="V156" s="17">
        <v>-428.57142857142856</v>
      </c>
      <c r="W156" s="14">
        <v>-8.5097194285714277</v>
      </c>
      <c r="X156">
        <f t="shared" si="4"/>
        <v>18.02675</v>
      </c>
      <c r="Y156">
        <f t="shared" si="5"/>
        <v>-8.9709113864912275</v>
      </c>
    </row>
    <row r="157" spans="1:25">
      <c r="A157" s="12" t="s">
        <v>299</v>
      </c>
      <c r="B157" s="12" t="s">
        <v>300</v>
      </c>
      <c r="C157" s="12">
        <v>14</v>
      </c>
      <c r="D157" s="12">
        <v>1.98</v>
      </c>
      <c r="E157" s="12" t="s">
        <v>328</v>
      </c>
      <c r="F157" s="13">
        <v>39476</v>
      </c>
      <c r="G157" s="12">
        <v>60</v>
      </c>
      <c r="H157" s="12">
        <v>2.5</v>
      </c>
      <c r="I157" s="13">
        <v>39490</v>
      </c>
      <c r="J157" s="12">
        <v>63.8</v>
      </c>
      <c r="K157" s="12">
        <v>2.25</v>
      </c>
      <c r="L157" s="12">
        <v>14</v>
      </c>
      <c r="M157" s="12">
        <v>3.7999999999999972</v>
      </c>
      <c r="N157" s="12">
        <v>-0.25</v>
      </c>
      <c r="O157" s="17">
        <v>27.72</v>
      </c>
      <c r="P157" s="17"/>
      <c r="Q157" s="17">
        <v>271.42857142857122</v>
      </c>
      <c r="R157" s="14">
        <v>25.848099571428563</v>
      </c>
      <c r="S157" s="12">
        <v>7</v>
      </c>
      <c r="T157" s="12">
        <v>0.79999999999999716</v>
      </c>
      <c r="U157" s="14">
        <v>13.86</v>
      </c>
      <c r="V157" s="17">
        <v>114.28571428571388</v>
      </c>
      <c r="W157" s="14">
        <v>18.100956714285694</v>
      </c>
      <c r="X157">
        <f t="shared" si="4"/>
        <v>18.02675</v>
      </c>
      <c r="Y157">
        <f t="shared" si="5"/>
        <v>19.081954470716351</v>
      </c>
    </row>
    <row r="158" spans="1:25">
      <c r="A158" s="12" t="s">
        <v>299</v>
      </c>
      <c r="B158" s="12" t="s">
        <v>300</v>
      </c>
      <c r="C158" s="12">
        <v>14</v>
      </c>
      <c r="D158" s="12">
        <v>1.98</v>
      </c>
      <c r="E158" s="12" t="s">
        <v>329</v>
      </c>
      <c r="F158" s="13">
        <v>39476</v>
      </c>
      <c r="G158" s="12">
        <v>58</v>
      </c>
      <c r="H158" s="12">
        <v>3</v>
      </c>
      <c r="I158" s="13">
        <v>39490</v>
      </c>
      <c r="J158" s="12">
        <v>62.8</v>
      </c>
      <c r="K158" s="12">
        <v>3</v>
      </c>
      <c r="L158" s="12">
        <v>14</v>
      </c>
      <c r="M158" s="12">
        <v>4.7999999999999972</v>
      </c>
      <c r="N158" s="12">
        <v>0</v>
      </c>
      <c r="O158" s="17">
        <v>27.72</v>
      </c>
      <c r="P158" s="17"/>
      <c r="Q158" s="17">
        <v>342.85714285714266</v>
      </c>
      <c r="R158" s="14">
        <v>29.115893142857129</v>
      </c>
      <c r="S158" s="12">
        <v>7</v>
      </c>
      <c r="T158" s="12">
        <v>0.79999999999999716</v>
      </c>
      <c r="U158" s="14">
        <v>13.86</v>
      </c>
      <c r="V158" s="17">
        <v>114.28571428571388</v>
      </c>
      <c r="W158" s="14">
        <v>17.847321714285691</v>
      </c>
      <c r="X158">
        <f t="shared" si="4"/>
        <v>15.952499999999999</v>
      </c>
      <c r="Y158">
        <f t="shared" si="5"/>
        <v>16.649672493984937</v>
      </c>
    </row>
    <row r="159" spans="1:25">
      <c r="A159" s="12" t="s">
        <v>299</v>
      </c>
      <c r="B159" s="12" t="s">
        <v>300</v>
      </c>
      <c r="C159" s="12">
        <v>14</v>
      </c>
      <c r="D159" s="12">
        <v>1.98</v>
      </c>
      <c r="E159" s="12" t="s">
        <v>330</v>
      </c>
      <c r="F159" s="13">
        <v>39476</v>
      </c>
      <c r="G159" s="12">
        <v>55.2</v>
      </c>
      <c r="H159" s="12">
        <v>2.5</v>
      </c>
      <c r="I159" s="13">
        <v>39490</v>
      </c>
      <c r="J159" s="12">
        <v>61.4</v>
      </c>
      <c r="K159" s="12">
        <v>2.5</v>
      </c>
      <c r="L159" s="12">
        <v>14</v>
      </c>
      <c r="M159" s="12">
        <v>6.1999999999999957</v>
      </c>
      <c r="N159" s="12">
        <v>0</v>
      </c>
      <c r="O159" s="17">
        <v>27.72</v>
      </c>
      <c r="P159" s="17"/>
      <c r="Q159" s="17">
        <v>442.85714285714255</v>
      </c>
      <c r="R159" s="14">
        <v>33.690804142857125</v>
      </c>
      <c r="S159" s="12">
        <v>7</v>
      </c>
      <c r="T159" s="12">
        <v>-0.60000000000000142</v>
      </c>
      <c r="U159" s="14">
        <v>13.86</v>
      </c>
      <c r="V159" s="17">
        <v>-85.714285714285921</v>
      </c>
      <c r="W159" s="14">
        <v>7.6322327142857036</v>
      </c>
      <c r="X159">
        <f t="shared" si="4"/>
        <v>18.02675</v>
      </c>
      <c r="Y159">
        <f t="shared" si="5"/>
        <v>8.045868484342094</v>
      </c>
    </row>
    <row r="160" spans="1:25">
      <c r="A160" s="12" t="s">
        <v>299</v>
      </c>
      <c r="B160" s="12" t="s">
        <v>300</v>
      </c>
      <c r="C160" s="12">
        <v>14</v>
      </c>
      <c r="D160" s="12">
        <v>1.98</v>
      </c>
      <c r="E160" s="12" t="s">
        <v>331</v>
      </c>
      <c r="F160" s="13">
        <v>39476</v>
      </c>
      <c r="G160" s="12">
        <v>60.6</v>
      </c>
      <c r="H160" s="12">
        <v>2</v>
      </c>
      <c r="I160" s="13">
        <v>39490</v>
      </c>
      <c r="J160" s="12">
        <v>63.8</v>
      </c>
      <c r="K160" s="12">
        <v>2</v>
      </c>
      <c r="L160" s="12">
        <v>14</v>
      </c>
      <c r="M160" s="12">
        <v>3.1999999999999957</v>
      </c>
      <c r="N160" s="12">
        <v>0</v>
      </c>
      <c r="O160" s="17">
        <v>27.72</v>
      </c>
      <c r="P160" s="17"/>
      <c r="Q160" s="17">
        <v>228.57142857142827</v>
      </c>
      <c r="R160" s="14">
        <v>23.785969428571413</v>
      </c>
      <c r="S160" s="12">
        <v>7</v>
      </c>
      <c r="T160" s="12">
        <v>3.3999999999999986</v>
      </c>
      <c r="U160" s="14">
        <v>13.86</v>
      </c>
      <c r="V160" s="17">
        <v>485.7142857142855</v>
      </c>
      <c r="W160" s="14">
        <v>36.463112285714274</v>
      </c>
      <c r="X160">
        <f t="shared" si="4"/>
        <v>20.100999999999999</v>
      </c>
      <c r="Y160">
        <f t="shared" si="5"/>
        <v>42.862281874569739</v>
      </c>
    </row>
    <row r="161" spans="1:25">
      <c r="A161" s="12" t="s">
        <v>299</v>
      </c>
      <c r="B161" s="12" t="s">
        <v>300</v>
      </c>
      <c r="C161" s="12">
        <v>14</v>
      </c>
      <c r="D161" s="12">
        <v>1.98</v>
      </c>
      <c r="E161" s="12" t="s">
        <v>332</v>
      </c>
      <c r="F161" s="13">
        <v>39476</v>
      </c>
      <c r="G161" s="12">
        <v>64.400000000000006</v>
      </c>
      <c r="H161" s="12">
        <v>1.75</v>
      </c>
      <c r="I161" s="13">
        <v>39490</v>
      </c>
      <c r="J161" s="12">
        <v>64.8</v>
      </c>
      <c r="K161" s="12">
        <v>1.75</v>
      </c>
      <c r="L161" s="12">
        <v>14</v>
      </c>
      <c r="M161" s="12">
        <v>0.39999999999999147</v>
      </c>
      <c r="N161" s="12">
        <v>0</v>
      </c>
      <c r="O161" s="17">
        <v>27.72</v>
      </c>
      <c r="P161" s="17"/>
      <c r="Q161" s="17">
        <v>28.571428571427962</v>
      </c>
      <c r="R161" s="14">
        <v>14.331785428571397</v>
      </c>
      <c r="S161" s="12">
        <v>7</v>
      </c>
      <c r="T161" s="12">
        <v>0.39999999999999147</v>
      </c>
      <c r="U161" s="14">
        <v>13.86</v>
      </c>
      <c r="V161" s="17">
        <v>57.142857142855924</v>
      </c>
      <c r="W161" s="14">
        <v>15.740356857142796</v>
      </c>
      <c r="X161">
        <f t="shared" si="4"/>
        <v>21.138124999999999</v>
      </c>
      <c r="Y161">
        <f t="shared" si="5"/>
        <v>19.457405309408859</v>
      </c>
    </row>
    <row r="162" spans="1:25">
      <c r="A162" s="12" t="s">
        <v>299</v>
      </c>
      <c r="B162" s="12" t="s">
        <v>300</v>
      </c>
      <c r="C162" s="12">
        <v>14</v>
      </c>
      <c r="D162" s="12">
        <v>1.98</v>
      </c>
      <c r="E162" s="12" t="s">
        <v>333</v>
      </c>
      <c r="F162" s="13">
        <v>39476</v>
      </c>
      <c r="G162" s="12">
        <v>54</v>
      </c>
      <c r="H162" s="12">
        <v>1.75</v>
      </c>
      <c r="I162" s="13">
        <v>39490</v>
      </c>
      <c r="J162" s="12">
        <v>59.2</v>
      </c>
      <c r="K162" s="12">
        <v>1.75</v>
      </c>
      <c r="L162" s="12">
        <v>14</v>
      </c>
      <c r="M162" s="12">
        <v>5.2000000000000028</v>
      </c>
      <c r="N162" s="12">
        <v>0</v>
      </c>
      <c r="O162" s="17">
        <v>27.72</v>
      </c>
      <c r="P162" s="17"/>
      <c r="Q162" s="17">
        <v>371.42857142857162</v>
      </c>
      <c r="R162" s="14">
        <v>29.881922571428579</v>
      </c>
      <c r="S162" s="12">
        <v>7</v>
      </c>
      <c r="T162" s="12">
        <v>-1.7999999999999972</v>
      </c>
      <c r="U162" s="14">
        <v>13.86</v>
      </c>
      <c r="V162" s="17">
        <v>-257.14285714285671</v>
      </c>
      <c r="W162" s="14">
        <v>-1.1066488571428366</v>
      </c>
      <c r="X162">
        <f t="shared" si="4"/>
        <v>21.138124999999999</v>
      </c>
      <c r="Y162">
        <f t="shared" si="5"/>
        <v>-1.3679813961048197</v>
      </c>
    </row>
    <row r="163" spans="1:25">
      <c r="A163" s="12" t="s">
        <v>299</v>
      </c>
      <c r="B163" s="12" t="s">
        <v>300</v>
      </c>
      <c r="C163" s="12">
        <v>14</v>
      </c>
      <c r="D163" s="12">
        <v>1.98</v>
      </c>
      <c r="E163" s="12" t="s">
        <v>334</v>
      </c>
      <c r="F163" s="13">
        <v>39476</v>
      </c>
      <c r="G163" s="12">
        <v>71</v>
      </c>
      <c r="H163" s="12">
        <v>2</v>
      </c>
      <c r="I163" s="13">
        <v>39490</v>
      </c>
      <c r="J163" s="12">
        <v>70</v>
      </c>
      <c r="K163" s="12">
        <v>2.25</v>
      </c>
      <c r="L163" s="12">
        <v>14</v>
      </c>
      <c r="M163" s="12">
        <v>-1</v>
      </c>
      <c r="N163" s="12">
        <v>0.25</v>
      </c>
      <c r="O163" s="17">
        <v>27.72</v>
      </c>
      <c r="P163" s="17"/>
      <c r="Q163" s="17">
        <v>-71.428571428571431</v>
      </c>
      <c r="R163" s="14">
        <v>10.399416428571429</v>
      </c>
      <c r="S163" s="12">
        <v>7</v>
      </c>
      <c r="T163" s="12">
        <v>0.59999999999999432</v>
      </c>
      <c r="U163" s="14">
        <v>13.86</v>
      </c>
      <c r="V163" s="17">
        <v>85.714285714284898</v>
      </c>
      <c r="W163" s="14">
        <v>18.146559285714247</v>
      </c>
      <c r="X163">
        <f t="shared" si="4"/>
        <v>20.100999999999999</v>
      </c>
      <c r="Y163">
        <f t="shared" si="5"/>
        <v>21.331227380242225</v>
      </c>
    </row>
    <row r="164" spans="1:25">
      <c r="A164" s="12" t="s">
        <v>335</v>
      </c>
      <c r="B164" s="12" t="s">
        <v>336</v>
      </c>
      <c r="C164" s="12">
        <v>29</v>
      </c>
      <c r="D164" s="12">
        <v>3.96</v>
      </c>
      <c r="E164" s="12" t="s">
        <v>337</v>
      </c>
      <c r="F164" s="13">
        <v>39476</v>
      </c>
      <c r="G164" s="12">
        <v>50.8</v>
      </c>
      <c r="H164" s="12">
        <v>1.75</v>
      </c>
      <c r="I164" s="13">
        <v>39490</v>
      </c>
      <c r="J164" s="12">
        <v>57.2</v>
      </c>
      <c r="K164" s="12">
        <v>1.75</v>
      </c>
      <c r="L164" s="12">
        <v>14</v>
      </c>
      <c r="M164" s="12">
        <v>6.4000000000000057</v>
      </c>
      <c r="N164" s="12">
        <v>0</v>
      </c>
      <c r="O164" s="17">
        <v>55.44</v>
      </c>
      <c r="P164" s="17"/>
      <c r="Q164" s="17">
        <v>457.14285714285757</v>
      </c>
      <c r="R164" s="14">
        <v>33.668002857142881</v>
      </c>
      <c r="S164" s="12">
        <v>7</v>
      </c>
      <c r="T164" s="12">
        <v>0.80000000000000426</v>
      </c>
      <c r="U164" s="14">
        <v>27.72</v>
      </c>
      <c r="V164" s="17">
        <v>114.28571428571489</v>
      </c>
      <c r="W164" s="14">
        <v>16.765145714285744</v>
      </c>
      <c r="X164">
        <f t="shared" si="4"/>
        <v>21.138124999999999</v>
      </c>
      <c r="Y164">
        <f t="shared" si="5"/>
        <v>20.724195657999196</v>
      </c>
    </row>
    <row r="165" spans="1:25">
      <c r="A165" s="12" t="s">
        <v>335</v>
      </c>
      <c r="B165" s="12" t="s">
        <v>336</v>
      </c>
      <c r="C165" s="12">
        <v>29</v>
      </c>
      <c r="D165" s="12">
        <v>3.96</v>
      </c>
      <c r="E165" s="12" t="s">
        <v>338</v>
      </c>
      <c r="F165" s="13">
        <v>39476</v>
      </c>
      <c r="G165" s="12">
        <v>59.6</v>
      </c>
      <c r="H165" s="12">
        <v>1.75</v>
      </c>
      <c r="I165" s="13">
        <v>39490</v>
      </c>
      <c r="J165" s="12">
        <v>66.8</v>
      </c>
      <c r="K165" s="12">
        <v>1.75</v>
      </c>
      <c r="L165" s="12">
        <v>14</v>
      </c>
      <c r="M165" s="12">
        <v>7.1999999999999957</v>
      </c>
      <c r="N165" s="12">
        <v>0</v>
      </c>
      <c r="O165" s="17">
        <v>55.44</v>
      </c>
      <c r="P165" s="17"/>
      <c r="Q165" s="17">
        <v>514.28571428571399</v>
      </c>
      <c r="R165" s="14">
        <v>38.040773714285699</v>
      </c>
      <c r="S165" s="12">
        <v>7</v>
      </c>
      <c r="T165" s="12">
        <v>2.2000000000000028</v>
      </c>
      <c r="U165" s="14">
        <v>27.72</v>
      </c>
      <c r="V165" s="17">
        <v>314.28571428571468</v>
      </c>
      <c r="W165" s="14">
        <v>28.180773714285735</v>
      </c>
      <c r="X165">
        <f t="shared" si="4"/>
        <v>21.138124999999999</v>
      </c>
      <c r="Y165">
        <f t="shared" si="5"/>
        <v>34.835597506975795</v>
      </c>
    </row>
    <row r="166" spans="1:25">
      <c r="A166" s="12" t="s">
        <v>335</v>
      </c>
      <c r="B166" s="12" t="s">
        <v>336</v>
      </c>
      <c r="C166" s="12">
        <v>29</v>
      </c>
      <c r="D166" s="12">
        <v>3.96</v>
      </c>
      <c r="E166" s="12" t="s">
        <v>339</v>
      </c>
      <c r="F166" s="13">
        <v>39476</v>
      </c>
      <c r="G166" s="12">
        <v>53.8</v>
      </c>
      <c r="H166" s="12">
        <v>2</v>
      </c>
      <c r="I166" s="13">
        <v>39490</v>
      </c>
      <c r="J166" s="12">
        <v>57.4</v>
      </c>
      <c r="K166" s="12">
        <v>2.25</v>
      </c>
      <c r="L166" s="12">
        <v>14</v>
      </c>
      <c r="M166" s="12">
        <v>3.6000000000000014</v>
      </c>
      <c r="N166" s="12">
        <v>0.25</v>
      </c>
      <c r="O166" s="17">
        <v>55.44</v>
      </c>
      <c r="P166" s="17"/>
      <c r="Q166" s="17">
        <v>257.14285714285722</v>
      </c>
      <c r="R166" s="14">
        <v>24.078546857142861</v>
      </c>
      <c r="S166" s="12">
        <v>7</v>
      </c>
      <c r="T166" s="12">
        <v>-1.2000000000000028</v>
      </c>
      <c r="U166" s="14">
        <v>27.72</v>
      </c>
      <c r="V166" s="17">
        <v>-171.42857142857184</v>
      </c>
      <c r="W166" s="14">
        <v>2.9499754285714062</v>
      </c>
      <c r="X166">
        <f t="shared" si="4"/>
        <v>20.100999999999999</v>
      </c>
      <c r="Y166">
        <f t="shared" si="5"/>
        <v>3.4676874906265396</v>
      </c>
    </row>
    <row r="167" spans="1:25">
      <c r="A167" s="12" t="s">
        <v>335</v>
      </c>
      <c r="B167" s="12" t="s">
        <v>336</v>
      </c>
      <c r="C167" s="12">
        <v>29</v>
      </c>
      <c r="D167" s="12">
        <v>3.96</v>
      </c>
      <c r="E167" s="12" t="s">
        <v>340</v>
      </c>
      <c r="F167" s="13">
        <v>39476</v>
      </c>
      <c r="G167" s="12">
        <v>61.4</v>
      </c>
      <c r="H167" s="12">
        <v>2.5</v>
      </c>
      <c r="I167" s="13">
        <v>39490</v>
      </c>
      <c r="J167" s="12">
        <v>65.400000000000006</v>
      </c>
      <c r="K167" s="12">
        <v>2.5</v>
      </c>
      <c r="L167" s="12">
        <v>14</v>
      </c>
      <c r="M167" s="12">
        <v>4.0000000000000071</v>
      </c>
      <c r="N167" s="12">
        <v>0</v>
      </c>
      <c r="O167" s="17">
        <v>55.44</v>
      </c>
      <c r="P167" s="17"/>
      <c r="Q167" s="17">
        <v>285.71428571428618</v>
      </c>
      <c r="R167" s="14">
        <v>26.806020285714311</v>
      </c>
      <c r="S167" s="12">
        <v>7</v>
      </c>
      <c r="T167" s="12">
        <v>-0.59999999999999432</v>
      </c>
      <c r="U167" s="14">
        <v>27.72</v>
      </c>
      <c r="V167" s="17">
        <v>-85.714285714284898</v>
      </c>
      <c r="W167" s="14">
        <v>8.4945917142857557</v>
      </c>
      <c r="X167">
        <f t="shared" si="4"/>
        <v>18.02675</v>
      </c>
      <c r="Y167">
        <f t="shared" si="5"/>
        <v>8.9549638120175867</v>
      </c>
    </row>
    <row r="168" spans="1:25">
      <c r="A168" s="12" t="s">
        <v>335</v>
      </c>
      <c r="B168" s="12" t="s">
        <v>336</v>
      </c>
      <c r="C168" s="12">
        <v>29</v>
      </c>
      <c r="D168" s="12">
        <v>3.96</v>
      </c>
      <c r="E168" s="12" t="s">
        <v>341</v>
      </c>
      <c r="F168" s="13">
        <v>39476</v>
      </c>
      <c r="G168" s="12">
        <v>55</v>
      </c>
      <c r="H168" s="12">
        <v>1.5</v>
      </c>
      <c r="I168" s="13">
        <v>39490</v>
      </c>
      <c r="J168" s="12">
        <v>63.6</v>
      </c>
      <c r="K168" s="12">
        <v>1.5</v>
      </c>
      <c r="L168" s="12">
        <v>14</v>
      </c>
      <c r="M168" s="12">
        <v>8.6000000000000014</v>
      </c>
      <c r="N168" s="12">
        <v>0</v>
      </c>
      <c r="O168" s="17">
        <v>55.44</v>
      </c>
      <c r="P168" s="17"/>
      <c r="Q168" s="17">
        <v>614.28571428571445</v>
      </c>
      <c r="R168" s="14">
        <v>42.311322714285716</v>
      </c>
      <c r="S168" s="12">
        <v>7</v>
      </c>
      <c r="T168" s="12">
        <v>3.3999999999999986</v>
      </c>
      <c r="U168" s="14">
        <v>27.72</v>
      </c>
      <c r="V168" s="17">
        <v>485.7142857142855</v>
      </c>
      <c r="W168" s="14">
        <v>35.972751285714274</v>
      </c>
      <c r="X168">
        <f t="shared" si="4"/>
        <v>22.175249999999998</v>
      </c>
      <c r="Y168">
        <f t="shared" si="5"/>
        <v>46.649400757224292</v>
      </c>
    </row>
    <row r="169" spans="1:25">
      <c r="A169" s="12" t="s">
        <v>335</v>
      </c>
      <c r="B169" s="12" t="s">
        <v>336</v>
      </c>
      <c r="C169" s="12">
        <v>29</v>
      </c>
      <c r="D169" s="12">
        <v>3.96</v>
      </c>
      <c r="E169" s="12" t="s">
        <v>342</v>
      </c>
      <c r="F169" s="13">
        <v>39476</v>
      </c>
      <c r="G169" s="12">
        <v>61</v>
      </c>
      <c r="H169" s="12">
        <v>2.5</v>
      </c>
      <c r="I169" s="13">
        <v>39490</v>
      </c>
      <c r="J169" s="12">
        <v>66.2</v>
      </c>
      <c r="K169" s="12">
        <v>2.5</v>
      </c>
      <c r="L169" s="12">
        <v>14</v>
      </c>
      <c r="M169" s="12">
        <v>5.2000000000000028</v>
      </c>
      <c r="N169" s="12">
        <v>0</v>
      </c>
      <c r="O169" s="17">
        <v>55.44</v>
      </c>
      <c r="P169" s="17"/>
      <c r="Q169" s="17">
        <v>371.42857142857162</v>
      </c>
      <c r="R169" s="14">
        <v>31.065552571428576</v>
      </c>
      <c r="S169" s="12">
        <v>7</v>
      </c>
      <c r="T169" s="12">
        <v>4</v>
      </c>
      <c r="U169" s="14">
        <v>27.72</v>
      </c>
      <c r="V169" s="17">
        <v>571.42857142857144</v>
      </c>
      <c r="W169" s="14">
        <v>40.925552571428568</v>
      </c>
      <c r="X169">
        <f t="shared" si="4"/>
        <v>18.02675</v>
      </c>
      <c r="Y169">
        <f t="shared" si="5"/>
        <v>43.143549989298236</v>
      </c>
    </row>
    <row r="170" spans="1:25">
      <c r="A170" s="12" t="s">
        <v>335</v>
      </c>
      <c r="B170" s="12" t="s">
        <v>336</v>
      </c>
      <c r="C170" s="12">
        <v>29</v>
      </c>
      <c r="D170" s="12">
        <v>3.96</v>
      </c>
      <c r="E170" s="12" t="s">
        <v>343</v>
      </c>
      <c r="F170" s="13">
        <v>39476</v>
      </c>
      <c r="G170" s="12">
        <v>51.6</v>
      </c>
      <c r="H170" s="12">
        <v>2.25</v>
      </c>
      <c r="I170" s="13">
        <v>39490</v>
      </c>
      <c r="J170" s="12">
        <v>58.6</v>
      </c>
      <c r="K170" s="12">
        <v>2.25</v>
      </c>
      <c r="L170" s="12">
        <v>14</v>
      </c>
      <c r="M170" s="12">
        <v>7</v>
      </c>
      <c r="N170" s="12">
        <v>0</v>
      </c>
      <c r="O170" s="17">
        <v>55.44</v>
      </c>
      <c r="P170" s="17"/>
      <c r="Q170" s="17">
        <v>500</v>
      </c>
      <c r="R170" s="14">
        <v>35.966858999999999</v>
      </c>
      <c r="S170" s="12">
        <v>7</v>
      </c>
      <c r="T170" s="12">
        <v>3.2000000000000028</v>
      </c>
      <c r="U170" s="14">
        <v>27.72</v>
      </c>
      <c r="V170" s="17">
        <v>457.14285714285757</v>
      </c>
      <c r="W170" s="14">
        <v>33.854001857142876</v>
      </c>
      <c r="X170">
        <f t="shared" si="4"/>
        <v>19.063874999999999</v>
      </c>
      <c r="Y170">
        <f t="shared" si="5"/>
        <v>37.7420151844643</v>
      </c>
    </row>
    <row r="171" spans="1:25">
      <c r="A171" s="12" t="s">
        <v>335</v>
      </c>
      <c r="B171" s="12" t="s">
        <v>336</v>
      </c>
      <c r="C171" s="12">
        <v>29</v>
      </c>
      <c r="D171" s="12">
        <v>3.96</v>
      </c>
      <c r="E171" s="12" t="s">
        <v>344</v>
      </c>
      <c r="F171" s="13">
        <v>39476</v>
      </c>
      <c r="G171" s="12">
        <v>60.2</v>
      </c>
      <c r="H171" s="12">
        <v>1.75</v>
      </c>
      <c r="I171" s="13">
        <v>39490</v>
      </c>
      <c r="J171" s="12">
        <v>70.400000000000006</v>
      </c>
      <c r="K171" s="12">
        <v>1.75</v>
      </c>
      <c r="L171" s="12">
        <v>14</v>
      </c>
      <c r="M171" s="12">
        <v>10.200000000000003</v>
      </c>
      <c r="N171" s="12">
        <v>0</v>
      </c>
      <c r="O171" s="17">
        <v>55.44</v>
      </c>
      <c r="P171" s="17"/>
      <c r="Q171" s="17">
        <v>728.57142857142878</v>
      </c>
      <c r="R171" s="14">
        <v>48.960148428571436</v>
      </c>
      <c r="S171" s="12">
        <v>7</v>
      </c>
      <c r="T171" s="12">
        <v>3.6000000000000085</v>
      </c>
      <c r="U171" s="14">
        <v>27.72</v>
      </c>
      <c r="V171" s="17">
        <v>514.28571428571547</v>
      </c>
      <c r="W171" s="14">
        <v>38.395862714285769</v>
      </c>
      <c r="X171">
        <f t="shared" si="4"/>
        <v>21.138124999999999</v>
      </c>
      <c r="Y171">
        <f t="shared" si="5"/>
        <v>47.462955879380807</v>
      </c>
    </row>
    <row r="172" spans="1:25">
      <c r="A172" s="12" t="s">
        <v>335</v>
      </c>
      <c r="B172" s="12" t="s">
        <v>336</v>
      </c>
      <c r="C172" s="12">
        <v>29</v>
      </c>
      <c r="D172" s="12">
        <v>3.96</v>
      </c>
      <c r="E172" s="12" t="s">
        <v>345</v>
      </c>
      <c r="F172" s="13">
        <v>39476</v>
      </c>
      <c r="G172" s="12">
        <v>51.6</v>
      </c>
      <c r="H172" s="12">
        <v>1.75</v>
      </c>
      <c r="I172" s="13">
        <v>39490</v>
      </c>
      <c r="J172" s="12">
        <v>58.6</v>
      </c>
      <c r="K172" s="12">
        <v>2</v>
      </c>
      <c r="L172" s="12">
        <v>14</v>
      </c>
      <c r="M172" s="12">
        <v>7</v>
      </c>
      <c r="N172" s="12">
        <v>0.25</v>
      </c>
      <c r="O172" s="17">
        <v>55.44</v>
      </c>
      <c r="P172" s="17"/>
      <c r="Q172" s="17">
        <v>500</v>
      </c>
      <c r="R172" s="14">
        <v>35.966858999999999</v>
      </c>
      <c r="S172" s="12">
        <v>7</v>
      </c>
      <c r="T172" s="12">
        <v>1.8000000000000043</v>
      </c>
      <c r="U172" s="14">
        <v>27.72</v>
      </c>
      <c r="V172" s="17">
        <v>257.14285714285774</v>
      </c>
      <c r="W172" s="14">
        <v>23.994001857142884</v>
      </c>
      <c r="X172">
        <f t="shared" si="4"/>
        <v>21.138124999999999</v>
      </c>
      <c r="Y172">
        <f t="shared" si="5"/>
        <v>29.660129269387038</v>
      </c>
    </row>
    <row r="173" spans="1:25">
      <c r="A173" s="12" t="s">
        <v>335</v>
      </c>
      <c r="B173" s="12" t="s">
        <v>336</v>
      </c>
      <c r="C173" s="12">
        <v>29</v>
      </c>
      <c r="D173" s="12">
        <v>3.96</v>
      </c>
      <c r="E173" s="12" t="s">
        <v>346</v>
      </c>
      <c r="F173" s="13">
        <v>39476</v>
      </c>
      <c r="G173" s="12">
        <v>60.2</v>
      </c>
      <c r="H173" s="12">
        <v>1.75</v>
      </c>
      <c r="I173" s="13">
        <v>39490</v>
      </c>
      <c r="J173" s="12">
        <v>65.400000000000006</v>
      </c>
      <c r="K173" s="12">
        <v>1.75</v>
      </c>
      <c r="L173" s="12">
        <v>14</v>
      </c>
      <c r="M173" s="12">
        <v>5.2000000000000028</v>
      </c>
      <c r="N173" s="12">
        <v>0</v>
      </c>
      <c r="O173" s="17">
        <v>55.44</v>
      </c>
      <c r="P173" s="17"/>
      <c r="Q173" s="17">
        <v>371.42857142857162</v>
      </c>
      <c r="R173" s="14">
        <v>30.930280571428579</v>
      </c>
      <c r="S173" s="12">
        <v>7</v>
      </c>
      <c r="T173" s="12">
        <v>-0.19999999999998863</v>
      </c>
      <c r="U173" s="14">
        <v>27.72</v>
      </c>
      <c r="V173" s="17">
        <v>-28.571428571426946</v>
      </c>
      <c r="W173" s="14">
        <v>11.210280571428651</v>
      </c>
      <c r="X173">
        <f t="shared" si="4"/>
        <v>21.138124999999999</v>
      </c>
      <c r="Y173">
        <f t="shared" si="5"/>
        <v>13.857562105492995</v>
      </c>
    </row>
    <row r="174" spans="1:25">
      <c r="A174" s="12" t="s">
        <v>335</v>
      </c>
      <c r="B174" s="12" t="s">
        <v>336</v>
      </c>
      <c r="C174" s="12">
        <v>29</v>
      </c>
      <c r="D174" s="12">
        <v>3.96</v>
      </c>
      <c r="E174" s="12" t="s">
        <v>347</v>
      </c>
      <c r="F174" s="13">
        <v>39476</v>
      </c>
      <c r="G174" s="12">
        <v>54.6</v>
      </c>
      <c r="H174" s="12">
        <v>2.25</v>
      </c>
      <c r="I174" s="13">
        <v>39490</v>
      </c>
      <c r="J174" s="12">
        <v>58.6</v>
      </c>
      <c r="K174" s="12">
        <v>2.25</v>
      </c>
      <c r="L174" s="12">
        <v>14</v>
      </c>
      <c r="M174" s="12">
        <v>4</v>
      </c>
      <c r="N174" s="12">
        <v>0</v>
      </c>
      <c r="O174" s="17">
        <v>55.44</v>
      </c>
      <c r="P174" s="17"/>
      <c r="Q174" s="17">
        <v>285.71428571428572</v>
      </c>
      <c r="R174" s="14">
        <v>25.656208285714285</v>
      </c>
      <c r="S174" s="12">
        <v>7</v>
      </c>
      <c r="T174" s="12">
        <v>-3.3999999999999986</v>
      </c>
      <c r="U174" s="14">
        <v>27.72</v>
      </c>
      <c r="V174" s="17">
        <v>-485.7142857142855</v>
      </c>
      <c r="W174" s="14">
        <v>-12.375220285714274</v>
      </c>
      <c r="X174">
        <f t="shared" si="4"/>
        <v>19.063874999999999</v>
      </c>
      <c r="Y174">
        <f t="shared" si="5"/>
        <v>-13.796470913702993</v>
      </c>
    </row>
    <row r="175" spans="1:25">
      <c r="A175" s="12" t="s">
        <v>335</v>
      </c>
      <c r="B175" s="12" t="s">
        <v>336</v>
      </c>
      <c r="C175" s="12">
        <v>29</v>
      </c>
      <c r="D175" s="12">
        <v>3.96</v>
      </c>
      <c r="E175" s="12" t="s">
        <v>348</v>
      </c>
      <c r="F175" s="13">
        <v>39476</v>
      </c>
      <c r="G175" s="12">
        <v>64.599999999999994</v>
      </c>
      <c r="H175" s="12">
        <v>2.5</v>
      </c>
      <c r="I175" s="13">
        <v>39490</v>
      </c>
      <c r="J175" s="12">
        <v>71</v>
      </c>
      <c r="K175" s="12">
        <v>2.5</v>
      </c>
      <c r="L175" s="12">
        <v>14</v>
      </c>
      <c r="M175" s="12">
        <v>6.4000000000000057</v>
      </c>
      <c r="N175" s="12">
        <v>0</v>
      </c>
      <c r="O175" s="17">
        <v>55.44</v>
      </c>
      <c r="P175" s="17"/>
      <c r="Q175" s="17">
        <v>457.14285714285757</v>
      </c>
      <c r="R175" s="14">
        <v>36.001444857142879</v>
      </c>
      <c r="S175" s="12">
        <v>7</v>
      </c>
      <c r="T175" s="12">
        <v>0.40000000000000568</v>
      </c>
      <c r="U175" s="14">
        <v>27.72</v>
      </c>
      <c r="V175" s="17">
        <v>57.142857142857956</v>
      </c>
      <c r="W175" s="14">
        <v>16.281444857142894</v>
      </c>
      <c r="X175">
        <f t="shared" si="4"/>
        <v>18.02675</v>
      </c>
      <c r="Y175">
        <f t="shared" si="5"/>
        <v>17.163832519210562</v>
      </c>
    </row>
    <row r="176" spans="1:25">
      <c r="A176" s="12" t="s">
        <v>335</v>
      </c>
      <c r="B176" s="12" t="s">
        <v>336</v>
      </c>
      <c r="C176" s="12">
        <v>29</v>
      </c>
      <c r="D176" s="12">
        <v>3.96</v>
      </c>
      <c r="E176" s="12" t="s">
        <v>349</v>
      </c>
      <c r="F176" s="13">
        <v>39476</v>
      </c>
      <c r="G176" s="12">
        <v>62.8</v>
      </c>
      <c r="H176" s="12">
        <v>2.5</v>
      </c>
      <c r="I176" s="13">
        <v>39490</v>
      </c>
      <c r="J176" s="12">
        <v>71.8</v>
      </c>
      <c r="K176" s="12">
        <v>2.5</v>
      </c>
      <c r="L176" s="12">
        <v>14</v>
      </c>
      <c r="M176" s="12">
        <v>9</v>
      </c>
      <c r="N176" s="12">
        <v>0</v>
      </c>
      <c r="O176" s="17">
        <v>55.44</v>
      </c>
      <c r="P176" s="17"/>
      <c r="Q176" s="17">
        <v>642.85714285714289</v>
      </c>
      <c r="R176" s="14">
        <v>45.072614142857141</v>
      </c>
      <c r="S176" s="12">
        <v>7</v>
      </c>
      <c r="T176" s="12">
        <v>2.3999999999999915</v>
      </c>
      <c r="U176" s="14">
        <v>27.72</v>
      </c>
      <c r="V176" s="17">
        <v>342.85714285714164</v>
      </c>
      <c r="W176" s="14">
        <v>30.282614142857085</v>
      </c>
      <c r="X176">
        <f t="shared" si="4"/>
        <v>18.02675</v>
      </c>
      <c r="Y176">
        <f t="shared" si="5"/>
        <v>31.923807865482388</v>
      </c>
    </row>
    <row r="177" spans="1:25">
      <c r="A177" s="12" t="s">
        <v>335</v>
      </c>
      <c r="B177" s="12" t="s">
        <v>336</v>
      </c>
      <c r="C177" s="12">
        <v>29</v>
      </c>
      <c r="D177" s="12">
        <v>3.96</v>
      </c>
      <c r="E177" s="12" t="s">
        <v>350</v>
      </c>
      <c r="F177" s="13">
        <v>39476</v>
      </c>
      <c r="G177" s="12">
        <v>50.2</v>
      </c>
      <c r="H177" s="12">
        <v>1.5</v>
      </c>
      <c r="I177" s="13">
        <v>39490</v>
      </c>
      <c r="J177" s="12">
        <v>58</v>
      </c>
      <c r="K177" s="12">
        <v>1.5</v>
      </c>
      <c r="L177" s="12">
        <v>14</v>
      </c>
      <c r="M177" s="12">
        <v>7.7999999999999972</v>
      </c>
      <c r="N177" s="12">
        <v>0</v>
      </c>
      <c r="O177" s="17">
        <v>55.44</v>
      </c>
      <c r="P177" s="17"/>
      <c r="Q177" s="17">
        <v>557.14285714285688</v>
      </c>
      <c r="R177" s="14">
        <v>38.614911857142843</v>
      </c>
      <c r="S177" s="12">
        <v>7</v>
      </c>
      <c r="T177" s="12">
        <v>5.2000000000000028</v>
      </c>
      <c r="U177" s="14">
        <v>27.72</v>
      </c>
      <c r="V177" s="17">
        <v>742.85714285714323</v>
      </c>
      <c r="W177" s="14">
        <v>47.770626142857154</v>
      </c>
      <c r="X177">
        <f t="shared" si="4"/>
        <v>22.175249999999998</v>
      </c>
      <c r="Y177">
        <f t="shared" si="5"/>
        <v>61.948864173941111</v>
      </c>
    </row>
    <row r="178" spans="1:25">
      <c r="A178" s="12" t="s">
        <v>335</v>
      </c>
      <c r="B178" s="12" t="s">
        <v>336</v>
      </c>
      <c r="C178" s="12">
        <v>29</v>
      </c>
      <c r="D178" s="12">
        <v>3.96</v>
      </c>
      <c r="E178" s="12" t="s">
        <v>351</v>
      </c>
      <c r="F178" s="13">
        <v>39476</v>
      </c>
      <c r="G178" s="12">
        <v>60.8</v>
      </c>
      <c r="H178" s="12">
        <v>2.25</v>
      </c>
      <c r="I178" s="13">
        <v>39490</v>
      </c>
      <c r="J178" s="12">
        <v>73.599999999999994</v>
      </c>
      <c r="K178" s="12">
        <v>2.25</v>
      </c>
      <c r="L178" s="12">
        <v>14</v>
      </c>
      <c r="M178" s="12">
        <v>12.799999999999997</v>
      </c>
      <c r="N178" s="12">
        <v>0</v>
      </c>
      <c r="O178" s="17">
        <v>55.44</v>
      </c>
      <c r="P178" s="17"/>
      <c r="Q178" s="17">
        <v>914.28571428571399</v>
      </c>
      <c r="R178" s="14">
        <v>58.4371337142857</v>
      </c>
      <c r="S178" s="12">
        <v>7</v>
      </c>
      <c r="T178" s="12">
        <v>5.3999999999999915</v>
      </c>
      <c r="U178" s="14">
        <v>27.72</v>
      </c>
      <c r="V178" s="17">
        <v>771.42857142857019</v>
      </c>
      <c r="W178" s="14">
        <v>51.394276571428513</v>
      </c>
      <c r="X178">
        <f t="shared" si="4"/>
        <v>19.063874999999999</v>
      </c>
      <c r="Y178">
        <f t="shared" si="5"/>
        <v>57.296728904862078</v>
      </c>
    </row>
    <row r="179" spans="1:25">
      <c r="A179" s="12" t="s">
        <v>335</v>
      </c>
      <c r="B179" s="12" t="s">
        <v>336</v>
      </c>
      <c r="C179" s="12">
        <v>29</v>
      </c>
      <c r="D179" s="12">
        <v>3.96</v>
      </c>
      <c r="E179" s="12" t="s">
        <v>352</v>
      </c>
      <c r="F179" s="13">
        <v>39476</v>
      </c>
      <c r="G179" s="12">
        <v>57.6</v>
      </c>
      <c r="H179" s="12">
        <v>3</v>
      </c>
      <c r="I179" s="13">
        <v>39490</v>
      </c>
      <c r="J179" s="12">
        <v>67.400000000000006</v>
      </c>
      <c r="K179" s="12">
        <v>3</v>
      </c>
      <c r="L179" s="12">
        <v>14</v>
      </c>
      <c r="M179" s="12">
        <v>9.8000000000000043</v>
      </c>
      <c r="N179" s="12">
        <v>0</v>
      </c>
      <c r="O179" s="17">
        <v>55.44</v>
      </c>
      <c r="P179" s="17"/>
      <c r="Q179" s="17">
        <v>700.00000000000034</v>
      </c>
      <c r="R179" s="14">
        <v>47.078125000000014</v>
      </c>
      <c r="S179" s="12">
        <v>7</v>
      </c>
      <c r="T179" s="12">
        <v>4.0000000000000071</v>
      </c>
      <c r="U179" s="14">
        <v>27.72</v>
      </c>
      <c r="V179" s="17">
        <v>571.42857142857235</v>
      </c>
      <c r="W179" s="14">
        <v>40.739553571428615</v>
      </c>
      <c r="X179">
        <f t="shared" si="4"/>
        <v>15.952499999999999</v>
      </c>
      <c r="Y179">
        <f t="shared" si="5"/>
        <v>38.005715108082747</v>
      </c>
    </row>
    <row r="180" spans="1:25">
      <c r="A180" s="12" t="s">
        <v>335</v>
      </c>
      <c r="B180" s="12" t="s">
        <v>336</v>
      </c>
      <c r="C180" s="12">
        <v>29</v>
      </c>
      <c r="D180" s="12">
        <v>3.96</v>
      </c>
      <c r="E180" s="12" t="s">
        <v>353</v>
      </c>
      <c r="F180" s="13">
        <v>39476</v>
      </c>
      <c r="G180" s="12">
        <v>68.8</v>
      </c>
      <c r="H180" s="12">
        <v>3.5</v>
      </c>
      <c r="I180" s="13">
        <v>39490</v>
      </c>
      <c r="J180" s="12">
        <v>70.2</v>
      </c>
      <c r="K180" s="12">
        <v>3.5</v>
      </c>
      <c r="L180" s="12">
        <v>14</v>
      </c>
      <c r="M180" s="12">
        <v>1.4000000000000057</v>
      </c>
      <c r="N180" s="12">
        <v>0</v>
      </c>
      <c r="O180" s="17">
        <v>55.44</v>
      </c>
      <c r="P180" s="17"/>
      <c r="Q180" s="17">
        <v>100.00000000000041</v>
      </c>
      <c r="R180" s="14">
        <v>18.68175500000002</v>
      </c>
      <c r="S180" s="12">
        <v>7</v>
      </c>
      <c r="T180" s="12">
        <v>0.40000000000000568</v>
      </c>
      <c r="U180" s="14">
        <v>27.72</v>
      </c>
      <c r="V180" s="17">
        <v>57.142857142857956</v>
      </c>
      <c r="W180" s="14">
        <v>16.568897857142897</v>
      </c>
      <c r="X180">
        <f t="shared" si="4"/>
        <v>13.878249999999998</v>
      </c>
      <c r="Y180">
        <f t="shared" si="5"/>
        <v>13.447210917303705</v>
      </c>
    </row>
    <row r="181" spans="1:25">
      <c r="A181" s="12" t="s">
        <v>335</v>
      </c>
      <c r="B181" s="12" t="s">
        <v>336</v>
      </c>
      <c r="C181" s="12">
        <v>29</v>
      </c>
      <c r="D181" s="12">
        <v>3.96</v>
      </c>
      <c r="E181" s="12" t="s">
        <v>354</v>
      </c>
      <c r="F181" s="13">
        <v>39476</v>
      </c>
      <c r="G181" s="12">
        <v>57.6</v>
      </c>
      <c r="H181" s="12">
        <v>2.25</v>
      </c>
      <c r="I181" s="13">
        <v>39490</v>
      </c>
      <c r="J181" s="12">
        <v>69.400000000000006</v>
      </c>
      <c r="K181" s="12">
        <v>2.25</v>
      </c>
      <c r="L181" s="12">
        <v>14</v>
      </c>
      <c r="M181" s="12">
        <v>11.800000000000004</v>
      </c>
      <c r="N181" s="12">
        <v>0</v>
      </c>
      <c r="O181" s="17">
        <v>55.44</v>
      </c>
      <c r="P181" s="17"/>
      <c r="Q181" s="17">
        <v>842.85714285714323</v>
      </c>
      <c r="R181" s="14">
        <v>54.290072142857156</v>
      </c>
      <c r="S181" s="12">
        <v>7</v>
      </c>
      <c r="T181" s="12">
        <v>3.4000000000000057</v>
      </c>
      <c r="U181" s="14">
        <v>27.72</v>
      </c>
      <c r="V181" s="17">
        <v>485.71428571428652</v>
      </c>
      <c r="W181" s="14">
        <v>36.682929285714323</v>
      </c>
      <c r="X181">
        <f t="shared" si="4"/>
        <v>19.063874999999999</v>
      </c>
      <c r="Y181">
        <f t="shared" si="5"/>
        <v>40.895835002146029</v>
      </c>
    </row>
    <row r="182" spans="1:25">
      <c r="A182" s="12" t="s">
        <v>335</v>
      </c>
      <c r="B182" s="12" t="s">
        <v>336</v>
      </c>
      <c r="C182" s="12">
        <v>29</v>
      </c>
      <c r="D182" s="12">
        <v>3.96</v>
      </c>
      <c r="E182" s="12" t="s">
        <v>355</v>
      </c>
      <c r="F182" s="13">
        <v>39476</v>
      </c>
      <c r="G182" s="12">
        <v>55.4</v>
      </c>
      <c r="H182" s="12">
        <v>1.75</v>
      </c>
      <c r="I182" s="13">
        <v>39490</v>
      </c>
      <c r="J182" s="12">
        <v>64.8</v>
      </c>
      <c r="K182" s="12">
        <v>1.75</v>
      </c>
      <c r="L182" s="12">
        <v>14</v>
      </c>
      <c r="M182" s="12">
        <v>9.3999999999999986</v>
      </c>
      <c r="N182" s="12">
        <v>0</v>
      </c>
      <c r="O182" s="17">
        <v>55.44</v>
      </c>
      <c r="P182" s="17"/>
      <c r="Q182" s="17">
        <v>671.42857142857133</v>
      </c>
      <c r="R182" s="14">
        <v>45.263737571428564</v>
      </c>
      <c r="S182" s="12">
        <v>7</v>
      </c>
      <c r="T182" s="12">
        <v>2</v>
      </c>
      <c r="U182" s="14">
        <v>27.72</v>
      </c>
      <c r="V182" s="17">
        <v>285.71428571428572</v>
      </c>
      <c r="W182" s="14">
        <v>26.248023285714282</v>
      </c>
      <c r="X182">
        <f t="shared" si="4"/>
        <v>21.138124999999999</v>
      </c>
      <c r="Y182">
        <f t="shared" si="5"/>
        <v>32.446432585750827</v>
      </c>
    </row>
    <row r="183" spans="1:25">
      <c r="A183" s="12" t="s">
        <v>335</v>
      </c>
      <c r="B183" s="12" t="s">
        <v>336</v>
      </c>
      <c r="C183" s="12">
        <v>29</v>
      </c>
      <c r="D183" s="12">
        <v>3.96</v>
      </c>
      <c r="E183" s="12" t="s">
        <v>356</v>
      </c>
      <c r="F183" s="13">
        <v>39476</v>
      </c>
      <c r="G183" s="12">
        <v>53.8</v>
      </c>
      <c r="H183" s="12">
        <v>2.25</v>
      </c>
      <c r="I183" s="13">
        <v>39490</v>
      </c>
      <c r="J183" s="12">
        <v>63.4</v>
      </c>
      <c r="K183" s="12">
        <v>2.25</v>
      </c>
      <c r="L183" s="12">
        <v>14</v>
      </c>
      <c r="M183" s="12">
        <v>9.6000000000000014</v>
      </c>
      <c r="N183" s="12">
        <v>0</v>
      </c>
      <c r="O183" s="17">
        <v>55.44</v>
      </c>
      <c r="P183" s="17"/>
      <c r="Q183" s="17">
        <v>685.71428571428578</v>
      </c>
      <c r="R183" s="14">
        <v>45.714388285714286</v>
      </c>
      <c r="S183" s="12">
        <v>7</v>
      </c>
      <c r="T183" s="12">
        <v>5.3999999999999986</v>
      </c>
      <c r="U183" s="14">
        <v>27.72</v>
      </c>
      <c r="V183" s="17">
        <v>771.42857142857122</v>
      </c>
      <c r="W183" s="14">
        <v>49.940102571428561</v>
      </c>
      <c r="X183">
        <f t="shared" si="4"/>
        <v>19.063874999999999</v>
      </c>
      <c r="Y183">
        <f t="shared" si="5"/>
        <v>55.675548123327047</v>
      </c>
    </row>
    <row r="184" spans="1:25">
      <c r="A184" s="12" t="s">
        <v>335</v>
      </c>
      <c r="B184" s="12" t="s">
        <v>336</v>
      </c>
      <c r="C184" s="12">
        <v>29</v>
      </c>
      <c r="D184" s="12">
        <v>3.96</v>
      </c>
      <c r="E184" s="12" t="s">
        <v>357</v>
      </c>
      <c r="F184" s="13">
        <v>39476</v>
      </c>
      <c r="G184" s="12">
        <v>59.2</v>
      </c>
      <c r="H184" s="12">
        <v>2.25</v>
      </c>
      <c r="I184" s="13">
        <v>39490</v>
      </c>
      <c r="J184" s="12">
        <v>66.400000000000006</v>
      </c>
      <c r="K184" s="12">
        <v>2.5</v>
      </c>
      <c r="L184" s="12">
        <v>14</v>
      </c>
      <c r="M184" s="12">
        <v>7.2000000000000028</v>
      </c>
      <c r="N184" s="12">
        <v>0.25</v>
      </c>
      <c r="O184" s="17">
        <v>55.44</v>
      </c>
      <c r="P184" s="17"/>
      <c r="Q184" s="17">
        <v>514.28571428571445</v>
      </c>
      <c r="R184" s="14">
        <v>37.973137714285727</v>
      </c>
      <c r="S184" s="12">
        <v>7</v>
      </c>
      <c r="T184" s="12">
        <v>4.8000000000000043</v>
      </c>
      <c r="U184" s="14">
        <v>27.72</v>
      </c>
      <c r="V184" s="17">
        <v>685.71428571428623</v>
      </c>
      <c r="W184" s="14">
        <v>46.424566285714306</v>
      </c>
      <c r="X184">
        <f t="shared" si="4"/>
        <v>19.063874999999999</v>
      </c>
      <c r="Y184">
        <f t="shared" si="5"/>
        <v>51.756264830413549</v>
      </c>
    </row>
    <row r="185" spans="1:25">
      <c r="A185" s="12" t="s">
        <v>335</v>
      </c>
      <c r="B185" s="12" t="s">
        <v>336</v>
      </c>
      <c r="C185" s="12">
        <v>29</v>
      </c>
      <c r="D185" s="12">
        <v>3.96</v>
      </c>
      <c r="E185" s="12" t="s">
        <v>358</v>
      </c>
      <c r="F185" s="13">
        <v>39476</v>
      </c>
      <c r="G185" s="12">
        <v>58</v>
      </c>
      <c r="H185" s="12">
        <v>1.75</v>
      </c>
      <c r="I185" s="13">
        <v>39490</v>
      </c>
      <c r="J185" s="12">
        <v>65.599999999999994</v>
      </c>
      <c r="K185" s="12">
        <v>1.75</v>
      </c>
      <c r="L185" s="12">
        <v>14</v>
      </c>
      <c r="M185" s="12">
        <v>7.5999999999999943</v>
      </c>
      <c r="N185" s="12">
        <v>0</v>
      </c>
      <c r="O185" s="17">
        <v>55.44</v>
      </c>
      <c r="P185" s="17"/>
      <c r="Q185" s="17">
        <v>542.85714285714243</v>
      </c>
      <c r="R185" s="14">
        <v>39.212619142857122</v>
      </c>
      <c r="S185" s="12">
        <v>7</v>
      </c>
      <c r="T185" s="12">
        <v>-5</v>
      </c>
      <c r="U185" s="14">
        <v>27.72</v>
      </c>
      <c r="V185" s="17">
        <v>-714.28571428571433</v>
      </c>
      <c r="W185" s="14">
        <v>-22.764523714285716</v>
      </c>
      <c r="X185">
        <f t="shared" si="4"/>
        <v>21.138124999999999</v>
      </c>
      <c r="Y185">
        <f t="shared" si="5"/>
        <v>-28.140312739066413</v>
      </c>
    </row>
    <row r="186" spans="1:25">
      <c r="A186" s="12" t="s">
        <v>335</v>
      </c>
      <c r="B186" s="12" t="s">
        <v>336</v>
      </c>
      <c r="C186" s="12">
        <v>29</v>
      </c>
      <c r="D186" s="12">
        <v>3.96</v>
      </c>
      <c r="E186" s="12" t="s">
        <v>359</v>
      </c>
      <c r="F186" s="13">
        <v>39476</v>
      </c>
      <c r="G186" s="12">
        <v>68</v>
      </c>
      <c r="H186" s="12">
        <v>3</v>
      </c>
      <c r="I186" s="13">
        <v>39490</v>
      </c>
      <c r="J186" s="12">
        <v>75.2</v>
      </c>
      <c r="K186" s="12">
        <v>3</v>
      </c>
      <c r="L186" s="12">
        <v>14</v>
      </c>
      <c r="M186" s="12">
        <v>7.2000000000000028</v>
      </c>
      <c r="N186" s="12">
        <v>0</v>
      </c>
      <c r="O186" s="17">
        <v>55.44</v>
      </c>
      <c r="P186" s="17"/>
      <c r="Q186" s="17">
        <v>514.28571428571445</v>
      </c>
      <c r="R186" s="14">
        <v>39.461129714285718</v>
      </c>
      <c r="S186" s="12">
        <v>7</v>
      </c>
      <c r="T186" s="12">
        <v>3.4000000000000057</v>
      </c>
      <c r="U186" s="14">
        <v>27.72</v>
      </c>
      <c r="V186" s="17">
        <v>485.71428571428652</v>
      </c>
      <c r="W186" s="14">
        <v>38.052558285714326</v>
      </c>
      <c r="X186">
        <f t="shared" si="4"/>
        <v>15.952499999999999</v>
      </c>
      <c r="Y186">
        <f t="shared" si="5"/>
        <v>35.499031348120333</v>
      </c>
    </row>
    <row r="187" spans="1:25">
      <c r="A187" s="12" t="s">
        <v>335</v>
      </c>
      <c r="B187" s="12" t="s">
        <v>336</v>
      </c>
      <c r="C187" s="12">
        <v>29</v>
      </c>
      <c r="D187" s="12">
        <v>3.96</v>
      </c>
      <c r="E187" s="12" t="s">
        <v>360</v>
      </c>
      <c r="F187" s="13">
        <v>39476</v>
      </c>
      <c r="G187" s="12">
        <v>64.599999999999994</v>
      </c>
      <c r="H187" s="12">
        <v>3</v>
      </c>
      <c r="I187" s="13">
        <v>39490</v>
      </c>
      <c r="J187" s="12">
        <v>70.8</v>
      </c>
      <c r="K187" s="12">
        <v>3</v>
      </c>
      <c r="L187" s="12">
        <v>14</v>
      </c>
      <c r="M187" s="12">
        <v>6.2000000000000028</v>
      </c>
      <c r="N187" s="12">
        <v>0</v>
      </c>
      <c r="O187" s="17">
        <v>55.44</v>
      </c>
      <c r="P187" s="17"/>
      <c r="Q187" s="17">
        <v>442.85714285714306</v>
      </c>
      <c r="R187" s="14">
        <v>35.280250142857149</v>
      </c>
      <c r="S187" s="12">
        <v>7</v>
      </c>
      <c r="T187" s="12">
        <v>8</v>
      </c>
      <c r="U187" s="14">
        <v>27.72</v>
      </c>
      <c r="V187" s="17">
        <v>1142.8571428571429</v>
      </c>
      <c r="W187" s="14">
        <v>69.790250142857133</v>
      </c>
      <c r="X187">
        <f t="shared" si="4"/>
        <v>15.952499999999999</v>
      </c>
      <c r="Y187">
        <f t="shared" si="5"/>
        <v>65.106957041165401</v>
      </c>
    </row>
    <row r="188" spans="1:25">
      <c r="A188" s="12" t="s">
        <v>335</v>
      </c>
      <c r="B188" s="12" t="s">
        <v>336</v>
      </c>
      <c r="C188" s="12">
        <v>29</v>
      </c>
      <c r="D188" s="12">
        <v>3.96</v>
      </c>
      <c r="E188" s="12" t="s">
        <v>361</v>
      </c>
      <c r="F188" s="13">
        <v>39476</v>
      </c>
      <c r="G188" s="12">
        <v>56</v>
      </c>
      <c r="H188" s="12">
        <v>2</v>
      </c>
      <c r="I188" s="13">
        <v>39490</v>
      </c>
      <c r="J188" s="12">
        <v>59</v>
      </c>
      <c r="K188" s="12">
        <v>2.25</v>
      </c>
      <c r="L188" s="12">
        <v>14</v>
      </c>
      <c r="M188" s="12">
        <v>3</v>
      </c>
      <c r="N188" s="12">
        <v>0.25</v>
      </c>
      <c r="O188" s="17">
        <v>55.44</v>
      </c>
      <c r="P188" s="17"/>
      <c r="Q188" s="17">
        <v>214.28571428571428</v>
      </c>
      <c r="R188" s="14">
        <v>22.286960714285712</v>
      </c>
      <c r="S188" s="12">
        <v>7</v>
      </c>
      <c r="T188" s="12">
        <v>3.2000000000000028</v>
      </c>
      <c r="U188" s="14">
        <v>27.72</v>
      </c>
      <c r="V188" s="17">
        <v>457.14285714285757</v>
      </c>
      <c r="W188" s="14">
        <v>34.259817857142878</v>
      </c>
      <c r="X188">
        <f t="shared" si="4"/>
        <v>20.100999999999999</v>
      </c>
      <c r="Y188">
        <f t="shared" si="5"/>
        <v>40.27231571616543</v>
      </c>
    </row>
    <row r="189" spans="1:25">
      <c r="A189" s="12" t="s">
        <v>335</v>
      </c>
      <c r="B189" s="12" t="s">
        <v>336</v>
      </c>
      <c r="C189" s="12">
        <v>29</v>
      </c>
      <c r="D189" s="12">
        <v>3.96</v>
      </c>
      <c r="E189" s="12" t="s">
        <v>362</v>
      </c>
      <c r="F189" s="13">
        <v>39476</v>
      </c>
      <c r="G189" s="12">
        <v>62.8</v>
      </c>
      <c r="H189" s="12">
        <v>2</v>
      </c>
      <c r="I189" s="13">
        <v>39490</v>
      </c>
      <c r="J189" s="12">
        <v>68.599999999999994</v>
      </c>
      <c r="K189" s="12">
        <v>2</v>
      </c>
      <c r="L189" s="12">
        <v>14</v>
      </c>
      <c r="M189" s="12">
        <v>5.7999999999999972</v>
      </c>
      <c r="N189" s="12">
        <v>0</v>
      </c>
      <c r="O189" s="17">
        <v>55.44</v>
      </c>
      <c r="P189" s="17"/>
      <c r="Q189" s="17">
        <v>414.28571428571411</v>
      </c>
      <c r="R189" s="14">
        <v>33.533498714285699</v>
      </c>
      <c r="S189" s="12">
        <v>7</v>
      </c>
      <c r="T189" s="12">
        <v>2.5999999999999943</v>
      </c>
      <c r="U189" s="14">
        <v>27.72</v>
      </c>
      <c r="V189" s="17">
        <v>371.42857142857059</v>
      </c>
      <c r="W189" s="14">
        <v>31.420641571428526</v>
      </c>
      <c r="X189">
        <f t="shared" si="4"/>
        <v>20.100999999999999</v>
      </c>
      <c r="Y189">
        <f t="shared" si="5"/>
        <v>36.934872293993259</v>
      </c>
    </row>
    <row r="190" spans="1:25">
      <c r="A190" s="12" t="s">
        <v>335</v>
      </c>
      <c r="B190" s="12" t="s">
        <v>336</v>
      </c>
      <c r="C190" s="12">
        <v>29</v>
      </c>
      <c r="D190" s="12">
        <v>3.96</v>
      </c>
      <c r="E190" s="12" t="s">
        <v>363</v>
      </c>
      <c r="F190" s="13">
        <v>39476</v>
      </c>
      <c r="G190" s="12">
        <v>59</v>
      </c>
      <c r="H190" s="12">
        <v>2.25</v>
      </c>
      <c r="I190" s="13">
        <v>39490</v>
      </c>
      <c r="J190" s="12">
        <v>71.400000000000006</v>
      </c>
      <c r="K190" s="12">
        <v>2.25</v>
      </c>
      <c r="L190" s="12">
        <v>14</v>
      </c>
      <c r="M190" s="12">
        <v>12.400000000000006</v>
      </c>
      <c r="N190" s="12">
        <v>0</v>
      </c>
      <c r="O190" s="17">
        <v>55.44</v>
      </c>
      <c r="P190" s="17"/>
      <c r="Q190" s="17">
        <v>885.71428571428612</v>
      </c>
      <c r="R190" s="14">
        <v>56.6903822857143</v>
      </c>
      <c r="S190" s="12">
        <v>7</v>
      </c>
      <c r="T190" s="12">
        <v>7.8000000000000043</v>
      </c>
      <c r="U190" s="14">
        <v>27.72</v>
      </c>
      <c r="V190" s="17">
        <v>1114.2857142857149</v>
      </c>
      <c r="W190" s="14">
        <v>67.958953714285741</v>
      </c>
      <c r="X190">
        <f t="shared" si="4"/>
        <v>19.063874999999999</v>
      </c>
      <c r="Y190">
        <f t="shared" si="5"/>
        <v>75.763801095902281</v>
      </c>
    </row>
    <row r="191" spans="1:25">
      <c r="A191" s="12" t="s">
        <v>335</v>
      </c>
      <c r="B191" s="12" t="s">
        <v>336</v>
      </c>
      <c r="C191" s="12">
        <v>29</v>
      </c>
      <c r="D191" s="12">
        <v>3.96</v>
      </c>
      <c r="E191" s="12" t="s">
        <v>364</v>
      </c>
      <c r="F191" s="13">
        <v>39476</v>
      </c>
      <c r="G191" s="12">
        <v>56.4</v>
      </c>
      <c r="H191" s="12">
        <v>2</v>
      </c>
      <c r="I191" s="13">
        <v>39490</v>
      </c>
      <c r="J191" s="12">
        <v>63.6</v>
      </c>
      <c r="K191" s="12">
        <v>2</v>
      </c>
      <c r="L191" s="12">
        <v>14</v>
      </c>
      <c r="M191" s="12">
        <v>7.2000000000000028</v>
      </c>
      <c r="N191" s="12">
        <v>0</v>
      </c>
      <c r="O191" s="17">
        <v>55.44</v>
      </c>
      <c r="P191" s="17"/>
      <c r="Q191" s="17">
        <v>514.28571428571445</v>
      </c>
      <c r="R191" s="14">
        <v>37.499685714285718</v>
      </c>
      <c r="S191" s="12">
        <v>7</v>
      </c>
      <c r="T191" s="12">
        <v>2.6000000000000014</v>
      </c>
      <c r="U191" s="14">
        <v>27.72</v>
      </c>
      <c r="V191" s="17">
        <v>371.42857142857162</v>
      </c>
      <c r="W191" s="14">
        <v>30.456828571428577</v>
      </c>
      <c r="X191">
        <f t="shared" si="4"/>
        <v>20.100999999999999</v>
      </c>
      <c r="Y191">
        <f t="shared" si="5"/>
        <v>35.801912930659981</v>
      </c>
    </row>
    <row r="192" spans="1:25">
      <c r="A192" s="12" t="s">
        <v>335</v>
      </c>
      <c r="B192" s="12" t="s">
        <v>336</v>
      </c>
      <c r="C192" s="12">
        <v>29</v>
      </c>
      <c r="D192" s="12">
        <v>3.96</v>
      </c>
      <c r="E192" s="12" t="s">
        <v>365</v>
      </c>
      <c r="F192" s="13">
        <v>39476</v>
      </c>
      <c r="G192" s="12">
        <v>58</v>
      </c>
      <c r="H192" s="12">
        <v>2.25</v>
      </c>
      <c r="I192" s="13">
        <v>39490</v>
      </c>
      <c r="J192" s="12">
        <v>64.400000000000006</v>
      </c>
      <c r="K192" s="12">
        <v>2.5</v>
      </c>
      <c r="L192" s="12">
        <v>14</v>
      </c>
      <c r="M192" s="12">
        <v>6.4000000000000057</v>
      </c>
      <c r="N192" s="12">
        <v>0.25</v>
      </c>
      <c r="O192" s="17">
        <v>55.44</v>
      </c>
      <c r="P192" s="17"/>
      <c r="Q192" s="17">
        <v>457.14285714285757</v>
      </c>
      <c r="R192" s="14">
        <v>34.885450857142878</v>
      </c>
      <c r="S192" s="12">
        <v>7</v>
      </c>
      <c r="T192" s="12">
        <v>2.0000000000000071</v>
      </c>
      <c r="U192" s="14">
        <v>27.72</v>
      </c>
      <c r="V192" s="17">
        <v>285.71428571428675</v>
      </c>
      <c r="W192" s="14">
        <v>26.434022285714335</v>
      </c>
      <c r="X192">
        <f t="shared" si="4"/>
        <v>19.063874999999999</v>
      </c>
      <c r="Y192">
        <f t="shared" si="5"/>
        <v>29.469876994273235</v>
      </c>
    </row>
    <row r="193" spans="1:25">
      <c r="A193" s="12" t="s">
        <v>335</v>
      </c>
      <c r="B193" s="12" t="s">
        <v>336</v>
      </c>
      <c r="C193" s="12">
        <v>29</v>
      </c>
      <c r="D193" s="12">
        <v>3.96</v>
      </c>
      <c r="E193" s="12" t="s">
        <v>366</v>
      </c>
      <c r="F193" s="13">
        <v>39476</v>
      </c>
      <c r="G193" s="12">
        <v>56</v>
      </c>
      <c r="H193" s="12">
        <v>3</v>
      </c>
      <c r="I193" s="13">
        <v>39490</v>
      </c>
      <c r="J193" s="12">
        <v>64.2</v>
      </c>
      <c r="K193" s="12">
        <v>2.75</v>
      </c>
      <c r="L193" s="12">
        <v>14</v>
      </c>
      <c r="M193" s="12">
        <v>8.2000000000000028</v>
      </c>
      <c r="N193" s="12">
        <v>-0.25</v>
      </c>
      <c r="O193" s="17">
        <v>55.44</v>
      </c>
      <c r="P193" s="17"/>
      <c r="Q193" s="17">
        <v>585.71428571428601</v>
      </c>
      <c r="R193" s="14">
        <v>41.038023285714296</v>
      </c>
      <c r="S193" s="12">
        <v>7</v>
      </c>
      <c r="T193" s="12">
        <v>1.2000000000000028</v>
      </c>
      <c r="U193" s="14">
        <v>27.72</v>
      </c>
      <c r="V193" s="17">
        <v>171.42857142857184</v>
      </c>
      <c r="W193" s="14">
        <v>20.613737571428594</v>
      </c>
      <c r="X193">
        <f t="shared" si="4"/>
        <v>15.952499999999999</v>
      </c>
      <c r="Y193">
        <f t="shared" si="5"/>
        <v>19.230447287030092</v>
      </c>
    </row>
    <row r="194" spans="1:25">
      <c r="A194" s="12" t="s">
        <v>335</v>
      </c>
      <c r="B194" s="12" t="s">
        <v>336</v>
      </c>
      <c r="C194" s="12">
        <v>29</v>
      </c>
      <c r="D194" s="12">
        <v>3.96</v>
      </c>
      <c r="E194" s="12" t="s">
        <v>367</v>
      </c>
      <c r="F194" s="13">
        <v>39476</v>
      </c>
      <c r="G194" s="12">
        <v>63.8</v>
      </c>
      <c r="H194" s="12">
        <v>1.75</v>
      </c>
      <c r="I194" s="13">
        <v>39490</v>
      </c>
      <c r="J194" s="12">
        <v>68.2</v>
      </c>
      <c r="K194" s="12">
        <v>1.75</v>
      </c>
      <c r="L194" s="12">
        <v>14</v>
      </c>
      <c r="M194" s="12">
        <v>4.4000000000000057</v>
      </c>
      <c r="N194" s="12">
        <v>0</v>
      </c>
      <c r="O194" s="17">
        <v>55.44</v>
      </c>
      <c r="P194" s="17"/>
      <c r="Q194" s="17">
        <v>314.28571428571468</v>
      </c>
      <c r="R194" s="14">
        <v>28.65422571428573</v>
      </c>
      <c r="S194" s="12">
        <v>7</v>
      </c>
      <c r="T194" s="12">
        <v>2.2000000000000028</v>
      </c>
      <c r="U194" s="14">
        <v>27.72</v>
      </c>
      <c r="V194" s="17">
        <v>314.28571428571468</v>
      </c>
      <c r="W194" s="14">
        <v>28.65422571428573</v>
      </c>
      <c r="X194">
        <f t="shared" si="4"/>
        <v>21.138124999999999</v>
      </c>
      <c r="Y194">
        <f t="shared" si="5"/>
        <v>35.420854089285726</v>
      </c>
    </row>
    <row r="195" spans="1:25">
      <c r="A195" s="12" t="s">
        <v>335</v>
      </c>
      <c r="B195" s="12" t="s">
        <v>336</v>
      </c>
      <c r="C195" s="12">
        <v>29</v>
      </c>
      <c r="D195" s="12">
        <v>3.96</v>
      </c>
      <c r="E195" s="12" t="s">
        <v>368</v>
      </c>
      <c r="F195" s="13">
        <v>39476</v>
      </c>
      <c r="G195" s="12">
        <v>58.2</v>
      </c>
      <c r="H195" s="12">
        <v>1.75</v>
      </c>
      <c r="I195" s="13">
        <v>39490</v>
      </c>
      <c r="J195" s="12">
        <v>68.2</v>
      </c>
      <c r="K195" s="12">
        <v>2</v>
      </c>
      <c r="L195" s="12">
        <v>14</v>
      </c>
      <c r="M195" s="12">
        <v>10</v>
      </c>
      <c r="N195" s="12">
        <v>0.25</v>
      </c>
      <c r="O195" s="17">
        <v>55.44</v>
      </c>
      <c r="P195" s="17"/>
      <c r="Q195" s="17">
        <v>714.28571428571433</v>
      </c>
      <c r="R195" s="14">
        <v>47.90077371428572</v>
      </c>
      <c r="S195" s="12">
        <v>7</v>
      </c>
      <c r="T195" s="12">
        <v>5</v>
      </c>
      <c r="U195" s="14">
        <v>27.72</v>
      </c>
      <c r="V195" s="17">
        <v>714.28571428571433</v>
      </c>
      <c r="W195" s="14">
        <v>47.90077371428572</v>
      </c>
      <c r="X195">
        <f t="shared" ref="X195:X258" si="6">IF(H195&gt;0,-4.1485*H195 + 28.398,17.1)</f>
        <v>21.138124999999999</v>
      </c>
      <c r="Y195">
        <f t="shared" ref="Y195:Y258" si="7">W195*X195/17.1</f>
        <v>59.212429378320806</v>
      </c>
    </row>
    <row r="196" spans="1:25">
      <c r="A196" s="12" t="s">
        <v>335</v>
      </c>
      <c r="B196" s="12" t="s">
        <v>336</v>
      </c>
      <c r="C196" s="12">
        <v>29</v>
      </c>
      <c r="D196" s="12">
        <v>3.96</v>
      </c>
      <c r="E196" s="12" t="s">
        <v>369</v>
      </c>
      <c r="F196" s="13">
        <v>39476</v>
      </c>
      <c r="G196" s="12">
        <v>51</v>
      </c>
      <c r="H196" s="12">
        <v>2</v>
      </c>
      <c r="I196" s="13">
        <v>39490</v>
      </c>
      <c r="J196" s="12">
        <v>57</v>
      </c>
      <c r="K196" s="12">
        <v>2</v>
      </c>
      <c r="L196" s="12">
        <v>14</v>
      </c>
      <c r="M196" s="12">
        <v>6</v>
      </c>
      <c r="N196" s="12">
        <v>0</v>
      </c>
      <c r="O196" s="17">
        <v>55.44</v>
      </c>
      <c r="P196" s="17"/>
      <c r="Q196" s="17">
        <v>428.57142857142856</v>
      </c>
      <c r="R196" s="14">
        <v>32.259431428571425</v>
      </c>
      <c r="S196" s="12">
        <v>7</v>
      </c>
      <c r="T196" s="12">
        <v>1</v>
      </c>
      <c r="U196" s="14">
        <v>27.72</v>
      </c>
      <c r="V196" s="17">
        <v>142.85714285714286</v>
      </c>
      <c r="W196" s="14">
        <v>18.173717142857143</v>
      </c>
      <c r="X196">
        <f t="shared" si="6"/>
        <v>20.100999999999999</v>
      </c>
      <c r="Y196">
        <f t="shared" si="7"/>
        <v>21.363151361904759</v>
      </c>
    </row>
    <row r="197" spans="1:25">
      <c r="A197" s="12" t="s">
        <v>335</v>
      </c>
      <c r="B197" s="12" t="s">
        <v>336</v>
      </c>
      <c r="C197" s="12">
        <v>29</v>
      </c>
      <c r="D197" s="12">
        <v>3.96</v>
      </c>
      <c r="E197" s="12" t="s">
        <v>370</v>
      </c>
      <c r="F197" s="13">
        <v>39476</v>
      </c>
      <c r="G197" s="12">
        <v>57.8</v>
      </c>
      <c r="H197" s="12">
        <v>2.25</v>
      </c>
      <c r="I197" s="13">
        <v>39490</v>
      </c>
      <c r="J197" s="12">
        <v>65</v>
      </c>
      <c r="K197" s="12">
        <v>2.25</v>
      </c>
      <c r="L197" s="12">
        <v>14</v>
      </c>
      <c r="M197" s="12">
        <v>7.2000000000000028</v>
      </c>
      <c r="N197" s="12">
        <v>0</v>
      </c>
      <c r="O197" s="17">
        <v>55.44</v>
      </c>
      <c r="P197" s="17"/>
      <c r="Q197" s="17">
        <v>514.28571428571445</v>
      </c>
      <c r="R197" s="14">
        <v>37.736411714285722</v>
      </c>
      <c r="S197" s="12">
        <v>7</v>
      </c>
      <c r="T197" s="12">
        <v>3.3999999999999986</v>
      </c>
      <c r="U197" s="14">
        <v>27.72</v>
      </c>
      <c r="V197" s="17">
        <v>485.7142857142855</v>
      </c>
      <c r="W197" s="14">
        <v>36.327840285714274</v>
      </c>
      <c r="X197">
        <f t="shared" si="6"/>
        <v>19.063874999999999</v>
      </c>
      <c r="Y197">
        <f t="shared" si="7"/>
        <v>40.499965276422287</v>
      </c>
    </row>
    <row r="198" spans="1:25">
      <c r="A198" s="12" t="s">
        <v>335</v>
      </c>
      <c r="B198" s="12" t="s">
        <v>478</v>
      </c>
      <c r="C198" s="12">
        <v>186</v>
      </c>
      <c r="D198" s="12">
        <v>2.4300000000000002</v>
      </c>
      <c r="E198" s="12" t="s">
        <v>479</v>
      </c>
      <c r="F198" s="13">
        <v>42045</v>
      </c>
      <c r="G198" s="12">
        <v>54.6</v>
      </c>
      <c r="H198" s="12">
        <v>3</v>
      </c>
      <c r="I198" s="13">
        <v>42059</v>
      </c>
      <c r="J198" s="12">
        <v>59</v>
      </c>
      <c r="K198" s="12">
        <v>3.5</v>
      </c>
      <c r="L198" s="12">
        <v>14</v>
      </c>
      <c r="M198" s="12">
        <v>4.3999999999999986</v>
      </c>
      <c r="N198" s="12">
        <v>0.5</v>
      </c>
      <c r="O198" s="17">
        <v>34.020000000000003</v>
      </c>
      <c r="P198" s="17"/>
      <c r="Q198" s="17">
        <v>314.28571428571416</v>
      </c>
      <c r="R198" s="14">
        <v>27.098597714285706</v>
      </c>
      <c r="S198" s="12">
        <v>14</v>
      </c>
      <c r="T198" s="12">
        <v>4.3999999999999986</v>
      </c>
      <c r="U198" s="14">
        <v>34.020000000000003</v>
      </c>
      <c r="V198" s="17">
        <v>314.28571428571416</v>
      </c>
      <c r="W198" s="14">
        <v>27.098597714285706</v>
      </c>
      <c r="X198">
        <f t="shared" si="6"/>
        <v>15.952499999999999</v>
      </c>
      <c r="Y198">
        <f t="shared" si="7"/>
        <v>25.280139183458637</v>
      </c>
    </row>
    <row r="199" spans="1:25">
      <c r="A199" s="12" t="s">
        <v>335</v>
      </c>
      <c r="B199" s="12" t="s">
        <v>478</v>
      </c>
      <c r="C199" s="12">
        <v>186</v>
      </c>
      <c r="D199" s="12">
        <v>2.4300000000000002</v>
      </c>
      <c r="E199" s="12" t="s">
        <v>480</v>
      </c>
      <c r="F199" s="13">
        <v>42045</v>
      </c>
      <c r="G199" s="12">
        <v>56.8</v>
      </c>
      <c r="H199" s="12">
        <v>3.5</v>
      </c>
      <c r="I199" s="13">
        <v>42059</v>
      </c>
      <c r="J199" s="12">
        <v>55</v>
      </c>
      <c r="K199" s="12">
        <v>3.5</v>
      </c>
      <c r="L199" s="12">
        <v>14</v>
      </c>
      <c r="M199" s="12">
        <v>-1.7999999999999972</v>
      </c>
      <c r="N199" s="12">
        <v>0</v>
      </c>
      <c r="O199" s="17">
        <v>34.020000000000003</v>
      </c>
      <c r="P199" s="17"/>
      <c r="Q199" s="17">
        <v>-128.57142857142836</v>
      </c>
      <c r="R199" s="14">
        <v>5.1135595714285813</v>
      </c>
      <c r="S199" s="12">
        <v>14</v>
      </c>
      <c r="T199" s="12">
        <v>-1.7999999999999972</v>
      </c>
      <c r="U199" s="14">
        <v>34.020000000000003</v>
      </c>
      <c r="V199" s="17">
        <v>-128.57142857142836</v>
      </c>
      <c r="W199" s="14">
        <v>5.1135595714285813</v>
      </c>
      <c r="X199">
        <f t="shared" si="6"/>
        <v>13.878249999999998</v>
      </c>
      <c r="Y199">
        <f t="shared" si="7"/>
        <v>4.1501320539285782</v>
      </c>
    </row>
    <row r="200" spans="1:25">
      <c r="A200" s="12" t="s">
        <v>335</v>
      </c>
      <c r="B200" s="12" t="s">
        <v>478</v>
      </c>
      <c r="C200" s="12">
        <v>186</v>
      </c>
      <c r="D200" s="12">
        <v>2.4300000000000002</v>
      </c>
      <c r="E200" s="12" t="s">
        <v>481</v>
      </c>
      <c r="F200" s="13">
        <v>42045</v>
      </c>
      <c r="G200" s="12">
        <v>54.6</v>
      </c>
      <c r="H200" s="12">
        <v>2.5</v>
      </c>
      <c r="I200" s="13">
        <v>42059</v>
      </c>
      <c r="J200" s="12">
        <v>59</v>
      </c>
      <c r="K200" s="12">
        <v>3</v>
      </c>
      <c r="L200" s="12">
        <v>14</v>
      </c>
      <c r="M200" s="12">
        <v>4.3999999999999986</v>
      </c>
      <c r="N200" s="12">
        <v>0.5</v>
      </c>
      <c r="O200" s="17">
        <v>34.020000000000003</v>
      </c>
      <c r="P200" s="17"/>
      <c r="Q200" s="17">
        <v>314.28571428571416</v>
      </c>
      <c r="R200" s="14">
        <v>27.098597714285706</v>
      </c>
      <c r="S200" s="12">
        <v>14</v>
      </c>
      <c r="T200" s="12">
        <v>4.3999999999999986</v>
      </c>
      <c r="U200" s="14">
        <v>34.020000000000003</v>
      </c>
      <c r="V200" s="17">
        <v>314.28571428571416</v>
      </c>
      <c r="W200" s="14">
        <v>27.098597714285706</v>
      </c>
      <c r="X200">
        <f t="shared" si="6"/>
        <v>18.02675</v>
      </c>
      <c r="Y200">
        <f t="shared" si="7"/>
        <v>28.567230780467824</v>
      </c>
    </row>
    <row r="201" spans="1:25">
      <c r="A201" s="12" t="s">
        <v>335</v>
      </c>
      <c r="B201" s="12" t="s">
        <v>478</v>
      </c>
      <c r="C201" s="12">
        <v>186</v>
      </c>
      <c r="D201" s="12">
        <v>2.4300000000000002</v>
      </c>
      <c r="E201" s="12" t="s">
        <v>482</v>
      </c>
      <c r="F201" s="13">
        <v>42045</v>
      </c>
      <c r="G201" s="12">
        <v>57.6</v>
      </c>
      <c r="H201" s="12">
        <v>4</v>
      </c>
      <c r="I201" s="13">
        <v>42059</v>
      </c>
      <c r="J201" s="12">
        <v>63.5</v>
      </c>
      <c r="K201" s="12">
        <v>4</v>
      </c>
      <c r="L201" s="12">
        <v>14</v>
      </c>
      <c r="M201" s="12">
        <v>5.8999999999999986</v>
      </c>
      <c r="N201" s="12">
        <v>0</v>
      </c>
      <c r="O201" s="17">
        <v>34.020000000000003</v>
      </c>
      <c r="P201" s="17"/>
      <c r="Q201" s="17">
        <v>421.42857142857133</v>
      </c>
      <c r="R201" s="14">
        <v>33.01482807142856</v>
      </c>
      <c r="S201" s="12">
        <v>14</v>
      </c>
      <c r="T201" s="12">
        <v>5.8999999999999986</v>
      </c>
      <c r="U201" s="14">
        <v>34.020000000000003</v>
      </c>
      <c r="V201" s="17">
        <v>421.42857142857133</v>
      </c>
      <c r="W201" s="14">
        <v>33.01482807142856</v>
      </c>
      <c r="X201">
        <f t="shared" si="6"/>
        <v>11.803999999999998</v>
      </c>
      <c r="Y201">
        <f t="shared" si="7"/>
        <v>22.789884827786121</v>
      </c>
    </row>
    <row r="202" spans="1:25">
      <c r="A202" s="12" t="s">
        <v>335</v>
      </c>
      <c r="B202" s="12" t="s">
        <v>478</v>
      </c>
      <c r="C202" s="12">
        <v>186</v>
      </c>
      <c r="D202" s="12">
        <v>2.4300000000000002</v>
      </c>
      <c r="E202" s="12" t="s">
        <v>483</v>
      </c>
      <c r="F202" s="13">
        <v>42045</v>
      </c>
      <c r="G202" s="12">
        <v>58.4</v>
      </c>
      <c r="H202" s="12">
        <v>2.5</v>
      </c>
      <c r="I202" s="13">
        <v>42059</v>
      </c>
      <c r="J202" s="12">
        <v>59</v>
      </c>
      <c r="K202" s="12">
        <v>4</v>
      </c>
      <c r="L202" s="12">
        <v>14</v>
      </c>
      <c r="M202" s="12">
        <v>0.60000000000000142</v>
      </c>
      <c r="N202" s="12">
        <v>1.5</v>
      </c>
      <c r="O202" s="17">
        <v>34.020000000000003</v>
      </c>
      <c r="P202" s="17"/>
      <c r="Q202" s="17">
        <v>42.857142857142961</v>
      </c>
      <c r="R202" s="14">
        <v>14.038440142857148</v>
      </c>
      <c r="S202" s="12">
        <v>14</v>
      </c>
      <c r="T202" s="12">
        <v>0.60000000000000142</v>
      </c>
      <c r="U202" s="14">
        <v>34.020000000000003</v>
      </c>
      <c r="V202" s="17">
        <v>42.857142857142961</v>
      </c>
      <c r="W202" s="14">
        <v>14.038440142857148</v>
      </c>
      <c r="X202">
        <f t="shared" si="6"/>
        <v>18.02675</v>
      </c>
      <c r="Y202">
        <f t="shared" si="7"/>
        <v>14.799266131301174</v>
      </c>
    </row>
    <row r="203" spans="1:25">
      <c r="A203" s="12" t="s">
        <v>335</v>
      </c>
      <c r="B203" s="12" t="s">
        <v>478</v>
      </c>
      <c r="C203" s="12">
        <v>186</v>
      </c>
      <c r="D203" s="12">
        <v>2.4300000000000002</v>
      </c>
      <c r="E203" s="12" t="s">
        <v>484</v>
      </c>
      <c r="F203" s="13">
        <v>42045</v>
      </c>
      <c r="G203" s="12">
        <v>56</v>
      </c>
      <c r="H203" s="12">
        <v>3</v>
      </c>
      <c r="I203" s="13">
        <v>42059</v>
      </c>
      <c r="J203" s="12">
        <v>57.5</v>
      </c>
      <c r="K203" s="12">
        <v>3.5</v>
      </c>
      <c r="L203" s="12">
        <v>14</v>
      </c>
      <c r="M203" s="12">
        <v>1.5</v>
      </c>
      <c r="N203" s="12">
        <v>0.5</v>
      </c>
      <c r="O203" s="17">
        <v>34.020000000000003</v>
      </c>
      <c r="P203" s="17"/>
      <c r="Q203" s="17">
        <v>107.14285714285714</v>
      </c>
      <c r="R203" s="14">
        <v>16.878000357142856</v>
      </c>
      <c r="S203" s="12">
        <v>14</v>
      </c>
      <c r="T203" s="12">
        <v>1.5</v>
      </c>
      <c r="U203" s="14">
        <v>34.020000000000003</v>
      </c>
      <c r="V203" s="17">
        <v>107.14285714285714</v>
      </c>
      <c r="W203" s="14">
        <v>16.878000357142856</v>
      </c>
      <c r="X203">
        <f t="shared" si="6"/>
        <v>15.952499999999999</v>
      </c>
      <c r="Y203">
        <f t="shared" si="7"/>
        <v>15.74539770159774</v>
      </c>
    </row>
    <row r="204" spans="1:25">
      <c r="A204" s="12" t="s">
        <v>335</v>
      </c>
      <c r="B204" s="12" t="s">
        <v>478</v>
      </c>
      <c r="C204" s="12">
        <v>186</v>
      </c>
      <c r="D204" s="12">
        <v>2.4300000000000002</v>
      </c>
      <c r="E204" s="12" t="s">
        <v>485</v>
      </c>
      <c r="F204" s="13">
        <v>42045</v>
      </c>
      <c r="G204" s="12">
        <v>56.8</v>
      </c>
      <c r="H204" s="12">
        <v>3.5</v>
      </c>
      <c r="I204" s="13">
        <v>42059</v>
      </c>
      <c r="J204" s="12">
        <v>61</v>
      </c>
      <c r="K204" s="12">
        <v>4</v>
      </c>
      <c r="L204" s="12">
        <v>14</v>
      </c>
      <c r="M204" s="12">
        <v>4.2000000000000028</v>
      </c>
      <c r="N204" s="12">
        <v>0.5</v>
      </c>
      <c r="O204" s="17">
        <v>34.020000000000003</v>
      </c>
      <c r="P204" s="17"/>
      <c r="Q204" s="17">
        <v>300.00000000000023</v>
      </c>
      <c r="R204" s="14">
        <v>26.74940100000001</v>
      </c>
      <c r="S204" s="12">
        <v>14</v>
      </c>
      <c r="T204" s="12">
        <v>4.2000000000000028</v>
      </c>
      <c r="U204" s="14">
        <v>34.020000000000003</v>
      </c>
      <c r="V204" s="17">
        <v>300.00000000000023</v>
      </c>
      <c r="W204" s="14">
        <v>26.74940100000001</v>
      </c>
      <c r="X204">
        <f t="shared" si="6"/>
        <v>13.878249999999998</v>
      </c>
      <c r="Y204">
        <f t="shared" si="7"/>
        <v>21.709641779429827</v>
      </c>
    </row>
    <row r="205" spans="1:25">
      <c r="A205" s="12" t="s">
        <v>335</v>
      </c>
      <c r="B205" s="12" t="s">
        <v>478</v>
      </c>
      <c r="C205" s="12">
        <v>186</v>
      </c>
      <c r="D205" s="12">
        <v>2.4300000000000002</v>
      </c>
      <c r="E205" s="12" t="s">
        <v>486</v>
      </c>
      <c r="F205" s="13">
        <v>42045</v>
      </c>
      <c r="G205" s="12">
        <v>57.8</v>
      </c>
      <c r="H205" s="12">
        <v>3</v>
      </c>
      <c r="I205" s="13">
        <v>42059</v>
      </c>
      <c r="J205" s="12">
        <v>60.5</v>
      </c>
      <c r="K205" s="12">
        <v>4</v>
      </c>
      <c r="L205" s="12">
        <v>14</v>
      </c>
      <c r="M205" s="12">
        <v>2.7000000000000028</v>
      </c>
      <c r="N205" s="12">
        <v>1</v>
      </c>
      <c r="O205" s="17">
        <v>34.020000000000003</v>
      </c>
      <c r="P205" s="17"/>
      <c r="Q205" s="17">
        <v>192.85714285714306</v>
      </c>
      <c r="R205" s="14">
        <v>21.50953064285715</v>
      </c>
      <c r="S205" s="12">
        <v>14</v>
      </c>
      <c r="T205" s="12">
        <v>2.7000000000000028</v>
      </c>
      <c r="U205" s="14">
        <v>34.020000000000003</v>
      </c>
      <c r="V205" s="17">
        <v>192.85714285714306</v>
      </c>
      <c r="W205" s="14">
        <v>21.50953064285715</v>
      </c>
      <c r="X205">
        <f t="shared" si="6"/>
        <v>15.952499999999999</v>
      </c>
      <c r="Y205">
        <f t="shared" si="7"/>
        <v>20.066127928665416</v>
      </c>
    </row>
    <row r="206" spans="1:25">
      <c r="A206" s="12" t="s">
        <v>335</v>
      </c>
      <c r="B206" s="12" t="s">
        <v>478</v>
      </c>
      <c r="C206" s="12">
        <v>186</v>
      </c>
      <c r="D206" s="12">
        <v>2.4300000000000002</v>
      </c>
      <c r="E206" s="12" t="s">
        <v>487</v>
      </c>
      <c r="F206" s="13">
        <v>42045</v>
      </c>
      <c r="G206" s="12">
        <v>52.4</v>
      </c>
      <c r="H206" s="12">
        <v>2.5</v>
      </c>
      <c r="I206" s="13">
        <v>42059</v>
      </c>
      <c r="J206" s="12">
        <v>59.5</v>
      </c>
      <c r="K206" s="12">
        <v>3.5</v>
      </c>
      <c r="L206" s="12">
        <v>14</v>
      </c>
      <c r="M206" s="12">
        <v>7.1000000000000014</v>
      </c>
      <c r="N206" s="12">
        <v>1</v>
      </c>
      <c r="O206" s="17">
        <v>34.020000000000003</v>
      </c>
      <c r="P206" s="17"/>
      <c r="Q206" s="17">
        <v>507.14285714285722</v>
      </c>
      <c r="R206" s="14">
        <v>36.462728357142865</v>
      </c>
      <c r="S206" s="12">
        <v>14</v>
      </c>
      <c r="T206" s="12">
        <v>7.1000000000000014</v>
      </c>
      <c r="U206" s="14">
        <v>34.020000000000003</v>
      </c>
      <c r="V206" s="17">
        <v>507.14285714285722</v>
      </c>
      <c r="W206" s="14">
        <v>36.462728357142865</v>
      </c>
      <c r="X206">
        <f t="shared" si="6"/>
        <v>18.02675</v>
      </c>
      <c r="Y206">
        <f t="shared" si="7"/>
        <v>38.438858971469301</v>
      </c>
    </row>
    <row r="207" spans="1:25">
      <c r="A207" s="12" t="s">
        <v>335</v>
      </c>
      <c r="B207" s="12" t="s">
        <v>478</v>
      </c>
      <c r="C207" s="12">
        <v>186</v>
      </c>
      <c r="D207" s="12">
        <v>2.4300000000000002</v>
      </c>
      <c r="E207" s="12" t="s">
        <v>488</v>
      </c>
      <c r="F207" s="13">
        <v>42045</v>
      </c>
      <c r="G207" s="12">
        <v>57.2</v>
      </c>
      <c r="H207" s="12">
        <v>3</v>
      </c>
      <c r="I207" s="13">
        <v>42059</v>
      </c>
      <c r="J207" s="12">
        <v>60.5</v>
      </c>
      <c r="K207" s="12">
        <v>3.5</v>
      </c>
      <c r="L207" s="12">
        <v>14</v>
      </c>
      <c r="M207" s="12">
        <v>3.2999999999999972</v>
      </c>
      <c r="N207" s="12">
        <v>0.5</v>
      </c>
      <c r="O207" s="17">
        <v>34.020000000000003</v>
      </c>
      <c r="P207" s="17"/>
      <c r="Q207" s="17">
        <v>235.71428571428552</v>
      </c>
      <c r="R207" s="14">
        <v>23.571660785714272</v>
      </c>
      <c r="S207" s="12">
        <v>14</v>
      </c>
      <c r="T207" s="12">
        <v>3.2999999999999972</v>
      </c>
      <c r="U207" s="14">
        <v>34.020000000000003</v>
      </c>
      <c r="V207" s="17">
        <v>235.71428571428552</v>
      </c>
      <c r="W207" s="14">
        <v>23.571660785714272</v>
      </c>
      <c r="X207">
        <f t="shared" si="6"/>
        <v>15.952499999999999</v>
      </c>
      <c r="Y207">
        <f t="shared" si="7"/>
        <v>21.989878285620282</v>
      </c>
    </row>
    <row r="208" spans="1:25">
      <c r="A208" s="12" t="s">
        <v>335</v>
      </c>
      <c r="B208" s="12" t="s">
        <v>478</v>
      </c>
      <c r="C208" s="12">
        <v>186</v>
      </c>
      <c r="D208" s="12">
        <v>2.4300000000000002</v>
      </c>
      <c r="E208" s="12" t="s">
        <v>489</v>
      </c>
      <c r="F208" s="13">
        <v>42045</v>
      </c>
      <c r="G208" s="12">
        <v>53.6</v>
      </c>
      <c r="H208" s="12">
        <v>2.5</v>
      </c>
      <c r="I208" s="13">
        <v>42059</v>
      </c>
      <c r="J208" s="12">
        <v>55</v>
      </c>
      <c r="K208" s="12">
        <v>3.5</v>
      </c>
      <c r="L208" s="12">
        <v>14</v>
      </c>
      <c r="M208" s="12">
        <v>1.3999999999999986</v>
      </c>
      <c r="N208" s="12">
        <v>1</v>
      </c>
      <c r="O208" s="17">
        <v>34.020000000000003</v>
      </c>
      <c r="P208" s="17"/>
      <c r="Q208" s="17">
        <v>99.999999999999901</v>
      </c>
      <c r="R208" s="14">
        <v>16.111586999999993</v>
      </c>
      <c r="S208" s="12">
        <v>14</v>
      </c>
      <c r="T208" s="12">
        <v>1.3999999999999986</v>
      </c>
      <c r="U208" s="14">
        <v>34.020000000000003</v>
      </c>
      <c r="V208" s="17">
        <v>99.999999999999901</v>
      </c>
      <c r="W208" s="14">
        <v>16.111586999999993</v>
      </c>
      <c r="X208">
        <f t="shared" si="6"/>
        <v>18.02675</v>
      </c>
      <c r="Y208">
        <f t="shared" si="7"/>
        <v>16.984769061535079</v>
      </c>
    </row>
    <row r="209" spans="1:25">
      <c r="A209" s="12" t="s">
        <v>335</v>
      </c>
      <c r="B209" s="12" t="s">
        <v>478</v>
      </c>
      <c r="C209" s="12">
        <v>186</v>
      </c>
      <c r="D209" s="12">
        <v>2.4300000000000002</v>
      </c>
      <c r="E209" s="12" t="s">
        <v>490</v>
      </c>
      <c r="F209" s="13">
        <v>42045</v>
      </c>
      <c r="G209" s="12">
        <v>56</v>
      </c>
      <c r="H209" s="12">
        <v>3</v>
      </c>
      <c r="I209" s="13">
        <v>42059</v>
      </c>
      <c r="J209" s="12">
        <v>56.5</v>
      </c>
      <c r="K209" s="12">
        <v>4</v>
      </c>
      <c r="L209" s="12">
        <v>14</v>
      </c>
      <c r="M209" s="12">
        <v>0.5</v>
      </c>
      <c r="N209" s="12">
        <v>1</v>
      </c>
      <c r="O209" s="17">
        <v>34.020000000000003</v>
      </c>
      <c r="P209" s="17"/>
      <c r="Q209" s="17">
        <v>35.714285714285715</v>
      </c>
      <c r="R209" s="14">
        <v>13.272026785714285</v>
      </c>
      <c r="S209" s="12">
        <v>14</v>
      </c>
      <c r="T209" s="12">
        <v>0.5</v>
      </c>
      <c r="U209" s="14">
        <v>34.020000000000003</v>
      </c>
      <c r="V209" s="17">
        <v>35.714285714285715</v>
      </c>
      <c r="W209" s="14">
        <v>13.272026785714285</v>
      </c>
      <c r="X209">
        <f t="shared" si="6"/>
        <v>15.952499999999999</v>
      </c>
      <c r="Y209">
        <f t="shared" si="7"/>
        <v>12.381403935620298</v>
      </c>
    </row>
    <row r="210" spans="1:25">
      <c r="A210" s="12" t="s">
        <v>335</v>
      </c>
      <c r="B210" s="12" t="s">
        <v>478</v>
      </c>
      <c r="C210" s="12">
        <v>186</v>
      </c>
      <c r="D210" s="12">
        <v>2.4300000000000002</v>
      </c>
      <c r="E210" s="12" t="s">
        <v>491</v>
      </c>
      <c r="F210" s="13">
        <v>42045</v>
      </c>
      <c r="G210" s="12">
        <v>53.8</v>
      </c>
      <c r="H210" s="12">
        <v>3.5</v>
      </c>
      <c r="I210" s="13">
        <v>42059</v>
      </c>
      <c r="J210" s="12">
        <v>58.5</v>
      </c>
      <c r="K210" s="12">
        <v>3.5</v>
      </c>
      <c r="L210" s="12">
        <v>14</v>
      </c>
      <c r="M210" s="12">
        <v>4.7000000000000028</v>
      </c>
      <c r="N210" s="12">
        <v>0</v>
      </c>
      <c r="O210" s="17">
        <v>34.020000000000003</v>
      </c>
      <c r="P210" s="17"/>
      <c r="Q210" s="17">
        <v>335.71428571428589</v>
      </c>
      <c r="R210" s="14">
        <v>28.045117785714297</v>
      </c>
      <c r="S210" s="12">
        <v>14</v>
      </c>
      <c r="T210" s="12">
        <v>4.7000000000000028</v>
      </c>
      <c r="U210" s="14">
        <v>34.020000000000003</v>
      </c>
      <c r="V210" s="17">
        <v>335.71428571428589</v>
      </c>
      <c r="W210" s="14">
        <v>28.045117785714297</v>
      </c>
      <c r="X210">
        <f t="shared" si="6"/>
        <v>13.878249999999998</v>
      </c>
      <c r="Y210">
        <f t="shared" si="7"/>
        <v>22.761237187695283</v>
      </c>
    </row>
    <row r="211" spans="1:25">
      <c r="A211" s="12" t="s">
        <v>335</v>
      </c>
      <c r="B211" s="12" t="s">
        <v>478</v>
      </c>
      <c r="C211" s="12">
        <v>186</v>
      </c>
      <c r="D211" s="12">
        <v>2.4300000000000002</v>
      </c>
      <c r="E211" s="12" t="s">
        <v>492</v>
      </c>
      <c r="F211" s="13">
        <v>42045</v>
      </c>
      <c r="G211" s="12">
        <v>52.2</v>
      </c>
      <c r="H211" s="12">
        <v>3.5</v>
      </c>
      <c r="I211" s="13">
        <v>42059</v>
      </c>
      <c r="J211" s="12">
        <v>57</v>
      </c>
      <c r="K211" s="12">
        <v>4</v>
      </c>
      <c r="L211" s="12">
        <v>14</v>
      </c>
      <c r="M211" s="12">
        <v>4.7999999999999972</v>
      </c>
      <c r="N211" s="12">
        <v>0.5</v>
      </c>
      <c r="O211" s="17">
        <v>34.020000000000003</v>
      </c>
      <c r="P211" s="17"/>
      <c r="Q211" s="17">
        <v>342.85714285714266</v>
      </c>
      <c r="R211" s="14">
        <v>28.135171142857132</v>
      </c>
      <c r="S211" s="12">
        <v>14</v>
      </c>
      <c r="T211" s="12">
        <v>4.7999999999999972</v>
      </c>
      <c r="U211" s="14">
        <v>34.020000000000003</v>
      </c>
      <c r="V211" s="17">
        <v>342.85714285714266</v>
      </c>
      <c r="W211" s="14">
        <v>28.135171142857132</v>
      </c>
      <c r="X211">
        <f t="shared" si="6"/>
        <v>13.878249999999998</v>
      </c>
      <c r="Y211">
        <f t="shared" si="7"/>
        <v>22.834323913061809</v>
      </c>
    </row>
    <row r="212" spans="1:25">
      <c r="A212" s="12" t="s">
        <v>335</v>
      </c>
      <c r="B212" s="12" t="s">
        <v>478</v>
      </c>
      <c r="C212" s="12">
        <v>186</v>
      </c>
      <c r="D212" s="12">
        <v>2.4300000000000002</v>
      </c>
      <c r="E212" s="12" t="s">
        <v>493</v>
      </c>
      <c r="F212" s="13">
        <v>42045</v>
      </c>
      <c r="G212" s="12">
        <v>58.2</v>
      </c>
      <c r="H212" s="12">
        <v>3.5</v>
      </c>
      <c r="I212" s="13">
        <v>42059</v>
      </c>
      <c r="J212" s="12">
        <v>64</v>
      </c>
      <c r="K212" s="12">
        <v>4</v>
      </c>
      <c r="L212" s="12">
        <v>14</v>
      </c>
      <c r="M212" s="12">
        <v>5.7999999999999972</v>
      </c>
      <c r="N212" s="12">
        <v>0.5</v>
      </c>
      <c r="O212" s="17">
        <v>34.020000000000003</v>
      </c>
      <c r="P212" s="17"/>
      <c r="Q212" s="17">
        <v>414.28571428571411</v>
      </c>
      <c r="R212" s="14">
        <v>32.755684714285699</v>
      </c>
      <c r="S212" s="12">
        <v>14</v>
      </c>
      <c r="T212" s="12">
        <v>5.7999999999999972</v>
      </c>
      <c r="U212" s="14">
        <v>34.020000000000003</v>
      </c>
      <c r="V212" s="17">
        <v>414.28571428571411</v>
      </c>
      <c r="W212" s="14">
        <v>32.755684714285699</v>
      </c>
      <c r="X212">
        <f t="shared" si="6"/>
        <v>13.878249999999998</v>
      </c>
      <c r="Y212">
        <f t="shared" si="7"/>
        <v>26.584303005031309</v>
      </c>
    </row>
    <row r="213" spans="1:25">
      <c r="A213" s="12" t="s">
        <v>335</v>
      </c>
      <c r="B213" s="12" t="s">
        <v>478</v>
      </c>
      <c r="C213" s="12">
        <v>186</v>
      </c>
      <c r="D213" s="12">
        <v>2.4300000000000002</v>
      </c>
      <c r="E213" s="12" t="s">
        <v>494</v>
      </c>
      <c r="F213" s="13">
        <v>42045</v>
      </c>
      <c r="G213" s="12">
        <v>55.6</v>
      </c>
      <c r="H213" s="12">
        <v>3</v>
      </c>
      <c r="I213" s="13">
        <v>42059</v>
      </c>
      <c r="J213" s="12">
        <v>61.5</v>
      </c>
      <c r="K213" s="12">
        <v>4</v>
      </c>
      <c r="L213" s="12">
        <v>14</v>
      </c>
      <c r="M213" s="12">
        <v>5.8999999999999986</v>
      </c>
      <c r="N213" s="12">
        <v>1</v>
      </c>
      <c r="O213" s="17">
        <v>34.020000000000003</v>
      </c>
      <c r="P213" s="17"/>
      <c r="Q213" s="17">
        <v>421.42857142857133</v>
      </c>
      <c r="R213" s="14">
        <v>32.676648071428559</v>
      </c>
      <c r="S213" s="12">
        <v>14</v>
      </c>
      <c r="T213" s="12">
        <v>5.8999999999999986</v>
      </c>
      <c r="U213" s="14">
        <v>34.020000000000003</v>
      </c>
      <c r="V213" s="17">
        <v>421.42857142857133</v>
      </c>
      <c r="W213" s="14">
        <v>32.676648071428559</v>
      </c>
      <c r="X213">
        <f t="shared" si="6"/>
        <v>15.952499999999999</v>
      </c>
      <c r="Y213">
        <f t="shared" si="7"/>
        <v>30.483873003477424</v>
      </c>
    </row>
    <row r="214" spans="1:25">
      <c r="A214" s="12" t="s">
        <v>335</v>
      </c>
      <c r="B214" s="12" t="s">
        <v>478</v>
      </c>
      <c r="C214" s="12">
        <v>186</v>
      </c>
      <c r="D214" s="12">
        <v>2.4300000000000002</v>
      </c>
      <c r="E214" s="12" t="s">
        <v>495</v>
      </c>
      <c r="F214" s="13">
        <v>42045</v>
      </c>
      <c r="G214" s="12">
        <v>56.4</v>
      </c>
      <c r="H214" s="12">
        <v>3</v>
      </c>
      <c r="I214" s="13">
        <v>42059</v>
      </c>
      <c r="J214" s="12">
        <v>56</v>
      </c>
      <c r="K214" s="12">
        <v>3.5</v>
      </c>
      <c r="L214" s="12">
        <v>14</v>
      </c>
      <c r="M214" s="12">
        <v>-0.39999999999999858</v>
      </c>
      <c r="N214" s="12">
        <v>0.5</v>
      </c>
      <c r="O214" s="17">
        <v>34.020000000000003</v>
      </c>
      <c r="P214" s="17"/>
      <c r="Q214" s="17">
        <v>-28.57142857142847</v>
      </c>
      <c r="R214" s="14">
        <v>10.094286571428576</v>
      </c>
      <c r="S214" s="12">
        <v>14</v>
      </c>
      <c r="T214" s="12">
        <v>-0.39999999999999858</v>
      </c>
      <c r="U214" s="14">
        <v>34.020000000000003</v>
      </c>
      <c r="V214" s="17">
        <v>-28.57142857142847</v>
      </c>
      <c r="W214" s="14">
        <v>10.094286571428576</v>
      </c>
      <c r="X214">
        <f t="shared" si="6"/>
        <v>15.952499999999999</v>
      </c>
      <c r="Y214">
        <f t="shared" si="7"/>
        <v>9.4169068146616581</v>
      </c>
    </row>
    <row r="215" spans="1:25">
      <c r="A215" s="12" t="s">
        <v>335</v>
      </c>
      <c r="B215" s="12" t="s">
        <v>478</v>
      </c>
      <c r="C215" s="12">
        <v>186</v>
      </c>
      <c r="D215" s="12">
        <v>2.4300000000000002</v>
      </c>
      <c r="E215" s="12" t="s">
        <v>496</v>
      </c>
      <c r="F215" s="13">
        <v>42045</v>
      </c>
      <c r="G215" s="12">
        <v>60</v>
      </c>
      <c r="H215" s="12">
        <v>3.5</v>
      </c>
      <c r="I215" s="13">
        <v>42059</v>
      </c>
      <c r="J215" s="12">
        <v>53</v>
      </c>
      <c r="K215" s="12">
        <v>4</v>
      </c>
      <c r="L215" s="12">
        <v>14</v>
      </c>
      <c r="M215" s="12">
        <v>-7</v>
      </c>
      <c r="N215" s="12">
        <v>0.5</v>
      </c>
      <c r="O215" s="17">
        <v>34.020000000000003</v>
      </c>
      <c r="P215" s="17"/>
      <c r="Q215" s="17">
        <v>-500</v>
      </c>
      <c r="R215" s="14">
        <v>-13.096414999999999</v>
      </c>
      <c r="S215" s="12">
        <v>14</v>
      </c>
      <c r="T215" s="12">
        <v>-7</v>
      </c>
      <c r="U215" s="14">
        <v>34.020000000000003</v>
      </c>
      <c r="V215" s="17">
        <v>-500</v>
      </c>
      <c r="W215" s="14">
        <v>-13.096414999999999</v>
      </c>
      <c r="X215">
        <f t="shared" si="6"/>
        <v>13.878249999999998</v>
      </c>
      <c r="Y215">
        <f t="shared" si="7"/>
        <v>-10.628966168055552</v>
      </c>
    </row>
    <row r="216" spans="1:25">
      <c r="A216" s="12" t="s">
        <v>335</v>
      </c>
      <c r="B216" s="12" t="s">
        <v>478</v>
      </c>
      <c r="C216" s="12">
        <v>186</v>
      </c>
      <c r="D216" s="12">
        <v>2.4300000000000002</v>
      </c>
      <c r="E216" s="12" t="s">
        <v>497</v>
      </c>
      <c r="F216" s="13">
        <v>42045</v>
      </c>
      <c r="G216" s="12">
        <v>55.8</v>
      </c>
      <c r="H216" s="12">
        <v>3</v>
      </c>
      <c r="I216" s="13">
        <v>42059</v>
      </c>
      <c r="J216" s="12">
        <v>60.5</v>
      </c>
      <c r="K216" s="12">
        <v>3.5</v>
      </c>
      <c r="L216" s="12">
        <v>14</v>
      </c>
      <c r="M216" s="12">
        <v>4.7000000000000028</v>
      </c>
      <c r="N216" s="12">
        <v>0.5</v>
      </c>
      <c r="O216" s="17">
        <v>34.020000000000003</v>
      </c>
      <c r="P216" s="17"/>
      <c r="Q216" s="17">
        <v>335.71428571428589</v>
      </c>
      <c r="R216" s="14">
        <v>28.383297785714294</v>
      </c>
      <c r="S216" s="12">
        <v>14</v>
      </c>
      <c r="T216" s="12">
        <v>4.7000000000000028</v>
      </c>
      <c r="U216" s="14">
        <v>34.020000000000003</v>
      </c>
      <c r="V216" s="17">
        <v>335.71428571428589</v>
      </c>
      <c r="W216" s="14">
        <v>28.383297785714294</v>
      </c>
      <c r="X216">
        <f t="shared" si="6"/>
        <v>15.952499999999999</v>
      </c>
      <c r="Y216">
        <f t="shared" si="7"/>
        <v>26.478629118515041</v>
      </c>
    </row>
    <row r="217" spans="1:25">
      <c r="A217" s="12" t="s">
        <v>335</v>
      </c>
      <c r="B217" s="12" t="s">
        <v>478</v>
      </c>
      <c r="C217" s="12">
        <v>186</v>
      </c>
      <c r="D217" s="12">
        <v>2.4300000000000002</v>
      </c>
      <c r="E217" s="12" t="s">
        <v>498</v>
      </c>
      <c r="F217" s="13">
        <v>42045</v>
      </c>
      <c r="G217" s="12">
        <v>52.8</v>
      </c>
      <c r="H217" s="12">
        <v>3.5</v>
      </c>
      <c r="I217" s="13">
        <v>42059</v>
      </c>
      <c r="J217" s="12">
        <v>56</v>
      </c>
      <c r="K217" s="12">
        <v>3.5</v>
      </c>
      <c r="L217" s="12">
        <v>14</v>
      </c>
      <c r="M217" s="12">
        <v>3.2000000000000028</v>
      </c>
      <c r="N217" s="12">
        <v>0</v>
      </c>
      <c r="O217" s="17">
        <v>34.020000000000003</v>
      </c>
      <c r="P217" s="17"/>
      <c r="Q217" s="17">
        <v>228.57142857142878</v>
      </c>
      <c r="R217" s="14">
        <v>22.46706742857144</v>
      </c>
      <c r="S217" s="12">
        <v>14</v>
      </c>
      <c r="T217" s="12">
        <v>3.2000000000000028</v>
      </c>
      <c r="U217" s="14">
        <v>34.020000000000003</v>
      </c>
      <c r="V217" s="17">
        <v>228.57142857142878</v>
      </c>
      <c r="W217" s="14">
        <v>22.46706742857144</v>
      </c>
      <c r="X217">
        <f t="shared" si="6"/>
        <v>13.878249999999998</v>
      </c>
      <c r="Y217">
        <f t="shared" si="7"/>
        <v>18.234127400033422</v>
      </c>
    </row>
    <row r="218" spans="1:25">
      <c r="A218" s="12" t="s">
        <v>335</v>
      </c>
      <c r="B218" s="12" t="s">
        <v>499</v>
      </c>
      <c r="C218" s="12">
        <v>133</v>
      </c>
      <c r="D218" s="12">
        <v>2.4700000000000002</v>
      </c>
      <c r="E218" s="12" t="s">
        <v>500</v>
      </c>
      <c r="F218" s="13">
        <v>42045</v>
      </c>
      <c r="G218" s="12">
        <v>58.4</v>
      </c>
      <c r="H218" s="12">
        <v>2.5</v>
      </c>
      <c r="I218" s="13">
        <v>42059</v>
      </c>
      <c r="J218" s="12">
        <v>63</v>
      </c>
      <c r="K218" s="12">
        <v>3.5</v>
      </c>
      <c r="L218" s="12">
        <v>14</v>
      </c>
      <c r="M218" s="12">
        <v>4.6000000000000014</v>
      </c>
      <c r="N218" s="12">
        <v>1</v>
      </c>
      <c r="O218" s="17">
        <v>34.580000000000005</v>
      </c>
      <c r="P218" s="17"/>
      <c r="Q218" s="17">
        <v>328.57142857142867</v>
      </c>
      <c r="R218" s="14">
        <v>28.462334428571431</v>
      </c>
      <c r="S218" s="12">
        <v>14</v>
      </c>
      <c r="T218" s="12">
        <v>4.6000000000000014</v>
      </c>
      <c r="U218" s="14">
        <v>34.580000000000005</v>
      </c>
      <c r="V218" s="17">
        <v>328.57142857142867</v>
      </c>
      <c r="W218" s="14">
        <v>28.462334428571431</v>
      </c>
      <c r="X218">
        <f t="shared" si="6"/>
        <v>18.02675</v>
      </c>
      <c r="Y218">
        <f t="shared" si="7"/>
        <v>30.004876442119883</v>
      </c>
    </row>
    <row r="219" spans="1:25">
      <c r="A219" s="12" t="s">
        <v>335</v>
      </c>
      <c r="B219" s="12" t="s">
        <v>499</v>
      </c>
      <c r="C219" s="12">
        <v>133</v>
      </c>
      <c r="D219" s="12">
        <v>2.4700000000000002</v>
      </c>
      <c r="E219" s="12" t="s">
        <v>501</v>
      </c>
      <c r="F219" s="13">
        <v>42045</v>
      </c>
      <c r="G219" s="12">
        <v>52.6</v>
      </c>
      <c r="H219" s="12">
        <v>2.5</v>
      </c>
      <c r="I219" s="13">
        <v>42059</v>
      </c>
      <c r="J219" s="12">
        <v>56.5</v>
      </c>
      <c r="K219" s="12">
        <v>3.5</v>
      </c>
      <c r="L219" s="12">
        <v>14</v>
      </c>
      <c r="M219" s="12">
        <v>3.8999999999999986</v>
      </c>
      <c r="N219" s="12">
        <v>1</v>
      </c>
      <c r="O219" s="17">
        <v>34.580000000000005</v>
      </c>
      <c r="P219" s="17"/>
      <c r="Q219" s="17">
        <v>278.57142857142844</v>
      </c>
      <c r="R219" s="14">
        <v>24.957430928571419</v>
      </c>
      <c r="S219" s="12">
        <v>14</v>
      </c>
      <c r="T219" s="12">
        <v>3.8999999999999986</v>
      </c>
      <c r="U219" s="14">
        <v>34.580000000000005</v>
      </c>
      <c r="V219" s="17">
        <v>278.57142857142844</v>
      </c>
      <c r="W219" s="14">
        <v>24.957430928571419</v>
      </c>
      <c r="X219">
        <f t="shared" si="6"/>
        <v>18.02675</v>
      </c>
      <c r="Y219">
        <f t="shared" si="7"/>
        <v>26.310021519978058</v>
      </c>
    </row>
    <row r="220" spans="1:25">
      <c r="A220" s="12" t="s">
        <v>335</v>
      </c>
      <c r="B220" s="12" t="s">
        <v>499</v>
      </c>
      <c r="C220" s="12">
        <v>133</v>
      </c>
      <c r="D220" s="12">
        <v>2.4700000000000002</v>
      </c>
      <c r="E220" s="12" t="s">
        <v>502</v>
      </c>
      <c r="F220" s="13">
        <v>42045</v>
      </c>
      <c r="G220" s="12">
        <v>53.6</v>
      </c>
      <c r="H220" s="12">
        <v>3</v>
      </c>
      <c r="I220" s="13">
        <v>42059</v>
      </c>
      <c r="J220" s="12">
        <v>52.5</v>
      </c>
      <c r="K220" s="12">
        <v>2.5</v>
      </c>
      <c r="L220" s="12">
        <v>14</v>
      </c>
      <c r="M220" s="12">
        <v>-1.1000000000000014</v>
      </c>
      <c r="N220" s="12">
        <v>-0.5</v>
      </c>
      <c r="O220" s="17">
        <v>34.580000000000005</v>
      </c>
      <c r="P220" s="17"/>
      <c r="Q220" s="17">
        <v>-78.571428571428669</v>
      </c>
      <c r="R220" s="14">
        <v>7.0966530714285661</v>
      </c>
      <c r="S220" s="12">
        <v>14</v>
      </c>
      <c r="T220" s="12">
        <v>-1.1000000000000014</v>
      </c>
      <c r="U220" s="14">
        <v>34.580000000000005</v>
      </c>
      <c r="V220" s="17">
        <v>-78.571428571428669</v>
      </c>
      <c r="W220" s="14">
        <v>7.0966530714285661</v>
      </c>
      <c r="X220">
        <f t="shared" si="6"/>
        <v>15.952499999999999</v>
      </c>
      <c r="Y220">
        <f t="shared" si="7"/>
        <v>6.620430299530069</v>
      </c>
    </row>
    <row r="221" spans="1:25">
      <c r="A221" s="12" t="s">
        <v>335</v>
      </c>
      <c r="B221" s="12" t="s">
        <v>499</v>
      </c>
      <c r="C221" s="12">
        <v>133</v>
      </c>
      <c r="D221" s="12">
        <v>2.4700000000000002</v>
      </c>
      <c r="E221" s="12" t="s">
        <v>503</v>
      </c>
      <c r="F221" s="13">
        <v>42045</v>
      </c>
      <c r="G221" s="12">
        <v>55.6</v>
      </c>
      <c r="H221" s="12">
        <v>3</v>
      </c>
      <c r="I221" s="13">
        <v>42059</v>
      </c>
      <c r="J221" s="12">
        <v>60</v>
      </c>
      <c r="K221" s="12">
        <v>3.5</v>
      </c>
      <c r="L221" s="12">
        <v>14</v>
      </c>
      <c r="M221" s="12">
        <v>4.3999999999999986</v>
      </c>
      <c r="N221" s="12">
        <v>0.5</v>
      </c>
      <c r="O221" s="17">
        <v>34.580000000000005</v>
      </c>
      <c r="P221" s="17"/>
      <c r="Q221" s="17">
        <v>314.28571428571416</v>
      </c>
      <c r="R221" s="14">
        <v>27.267687714285707</v>
      </c>
      <c r="S221" s="12">
        <v>14</v>
      </c>
      <c r="T221" s="12">
        <v>4.3999999999999986</v>
      </c>
      <c r="U221" s="14">
        <v>34.580000000000005</v>
      </c>
      <c r="V221" s="17">
        <v>314.28571428571416</v>
      </c>
      <c r="W221" s="14">
        <v>27.267687714285707</v>
      </c>
      <c r="X221">
        <f t="shared" si="6"/>
        <v>15.952499999999999</v>
      </c>
      <c r="Y221">
        <f t="shared" si="7"/>
        <v>25.437882354511267</v>
      </c>
    </row>
    <row r="222" spans="1:25">
      <c r="A222" s="12" t="s">
        <v>335</v>
      </c>
      <c r="B222" s="12" t="s">
        <v>499</v>
      </c>
      <c r="C222" s="12">
        <v>133</v>
      </c>
      <c r="D222" s="12">
        <v>2.4700000000000002</v>
      </c>
      <c r="E222" s="12" t="s">
        <v>504</v>
      </c>
      <c r="F222" s="13">
        <v>42045</v>
      </c>
      <c r="G222" s="12">
        <v>59.8</v>
      </c>
      <c r="H222" s="12">
        <v>4</v>
      </c>
      <c r="I222" s="13">
        <v>42059</v>
      </c>
      <c r="J222" s="12">
        <v>66</v>
      </c>
      <c r="K222" s="12">
        <v>3.5</v>
      </c>
      <c r="L222" s="12">
        <v>14</v>
      </c>
      <c r="M222" s="12">
        <v>6.2000000000000028</v>
      </c>
      <c r="N222" s="12">
        <v>-0.5</v>
      </c>
      <c r="O222" s="17">
        <v>34.580000000000005</v>
      </c>
      <c r="P222" s="17"/>
      <c r="Q222" s="17">
        <v>442.85714285714306</v>
      </c>
      <c r="R222" s="14">
        <v>34.468618142857153</v>
      </c>
      <c r="S222" s="12">
        <v>14</v>
      </c>
      <c r="T222" s="12">
        <v>6.2000000000000028</v>
      </c>
      <c r="U222" s="14">
        <v>34.580000000000005</v>
      </c>
      <c r="V222" s="17">
        <v>442.85714285714306</v>
      </c>
      <c r="W222" s="14">
        <v>34.468618142857153</v>
      </c>
      <c r="X222">
        <f t="shared" si="6"/>
        <v>11.803999999999998</v>
      </c>
      <c r="Y222">
        <f t="shared" si="7"/>
        <v>23.793425061888055</v>
      </c>
    </row>
    <row r="223" spans="1:25">
      <c r="A223" s="12" t="s">
        <v>335</v>
      </c>
      <c r="B223" s="12" t="s">
        <v>499</v>
      </c>
      <c r="C223" s="12">
        <v>133</v>
      </c>
      <c r="D223" s="12">
        <v>2.4700000000000002</v>
      </c>
      <c r="E223" s="12" t="s">
        <v>505</v>
      </c>
      <c r="F223" s="13">
        <v>42045</v>
      </c>
      <c r="G223" s="12">
        <v>53.8</v>
      </c>
      <c r="H223" s="12">
        <v>2.5</v>
      </c>
      <c r="I223" s="13">
        <v>42059</v>
      </c>
      <c r="J223" s="12">
        <v>59</v>
      </c>
      <c r="K223" s="12">
        <v>3.5</v>
      </c>
      <c r="L223" s="12">
        <v>14</v>
      </c>
      <c r="M223" s="12">
        <v>5.2000000000000028</v>
      </c>
      <c r="N223" s="12">
        <v>1</v>
      </c>
      <c r="O223" s="17">
        <v>34.580000000000005</v>
      </c>
      <c r="P223" s="17"/>
      <c r="Q223" s="17">
        <v>371.42857142857162</v>
      </c>
      <c r="R223" s="14">
        <v>29.848104571428578</v>
      </c>
      <c r="S223" s="12">
        <v>14</v>
      </c>
      <c r="T223" s="12">
        <v>5.2000000000000028</v>
      </c>
      <c r="U223" s="14">
        <v>34.580000000000005</v>
      </c>
      <c r="V223" s="17">
        <v>371.42857142857162</v>
      </c>
      <c r="W223" s="14">
        <v>29.848104571428578</v>
      </c>
      <c r="X223">
        <f t="shared" si="6"/>
        <v>18.02675</v>
      </c>
      <c r="Y223">
        <f t="shared" si="7"/>
        <v>31.465749653976612</v>
      </c>
    </row>
    <row r="224" spans="1:25">
      <c r="A224" s="12" t="s">
        <v>335</v>
      </c>
      <c r="B224" s="12" t="s">
        <v>499</v>
      </c>
      <c r="C224" s="12">
        <v>133</v>
      </c>
      <c r="D224" s="12">
        <v>2.4700000000000002</v>
      </c>
      <c r="E224" s="12" t="s">
        <v>506</v>
      </c>
      <c r="F224" s="13">
        <v>42045</v>
      </c>
      <c r="G224" s="12">
        <v>55.4</v>
      </c>
      <c r="H224" s="12">
        <v>3.5</v>
      </c>
      <c r="I224" s="13">
        <v>42059</v>
      </c>
      <c r="J224" s="12">
        <v>58</v>
      </c>
      <c r="K224" s="12">
        <v>4</v>
      </c>
      <c r="L224" s="12">
        <v>14</v>
      </c>
      <c r="M224" s="12">
        <v>2.6000000000000014</v>
      </c>
      <c r="N224" s="12">
        <v>0.5</v>
      </c>
      <c r="O224" s="17">
        <v>34.580000000000005</v>
      </c>
      <c r="P224" s="17"/>
      <c r="Q224" s="17">
        <v>185.71428571428581</v>
      </c>
      <c r="R224" s="14">
        <v>20.743117285714291</v>
      </c>
      <c r="S224" s="12">
        <v>14</v>
      </c>
      <c r="T224" s="12">
        <v>2.6000000000000014</v>
      </c>
      <c r="U224" s="14">
        <v>34.580000000000005</v>
      </c>
      <c r="V224" s="17">
        <v>185.71428571428581</v>
      </c>
      <c r="W224" s="14">
        <v>20.743117285714291</v>
      </c>
      <c r="X224">
        <f t="shared" si="6"/>
        <v>13.878249999999998</v>
      </c>
      <c r="Y224">
        <f t="shared" si="7"/>
        <v>16.83498055382832</v>
      </c>
    </row>
    <row r="225" spans="1:25">
      <c r="A225" s="12" t="s">
        <v>335</v>
      </c>
      <c r="B225" s="12" t="s">
        <v>499</v>
      </c>
      <c r="C225" s="12">
        <v>133</v>
      </c>
      <c r="D225" s="12">
        <v>2.4700000000000002</v>
      </c>
      <c r="E225" s="12" t="s">
        <v>507</v>
      </c>
      <c r="F225" s="13">
        <v>42045</v>
      </c>
      <c r="G225" s="12">
        <v>57</v>
      </c>
      <c r="H225" s="12">
        <v>3.5</v>
      </c>
      <c r="I225" s="13">
        <v>42059</v>
      </c>
      <c r="J225" s="12">
        <v>58</v>
      </c>
      <c r="K225" s="12">
        <v>4</v>
      </c>
      <c r="L225" s="12">
        <v>14</v>
      </c>
      <c r="M225" s="12">
        <v>1</v>
      </c>
      <c r="N225" s="12">
        <v>0.5</v>
      </c>
      <c r="O225" s="17">
        <v>34.580000000000005</v>
      </c>
      <c r="P225" s="17"/>
      <c r="Q225" s="17">
        <v>71.428571428571431</v>
      </c>
      <c r="R225" s="14">
        <v>15.244103571428569</v>
      </c>
      <c r="S225" s="12">
        <v>14</v>
      </c>
      <c r="T225" s="12">
        <v>1</v>
      </c>
      <c r="U225" s="14">
        <v>34.580000000000005</v>
      </c>
      <c r="V225" s="17">
        <v>71.428571428571431</v>
      </c>
      <c r="W225" s="14">
        <v>15.244103571428569</v>
      </c>
      <c r="X225">
        <f t="shared" si="6"/>
        <v>13.878249999999998</v>
      </c>
      <c r="Y225">
        <f t="shared" si="7"/>
        <v>12.372016397086462</v>
      </c>
    </row>
    <row r="226" spans="1:25">
      <c r="A226" s="12" t="s">
        <v>335</v>
      </c>
      <c r="B226" s="12" t="s">
        <v>499</v>
      </c>
      <c r="C226" s="12">
        <v>133</v>
      </c>
      <c r="D226" s="12">
        <v>2.4700000000000002</v>
      </c>
      <c r="E226" s="12" t="s">
        <v>508</v>
      </c>
      <c r="F226" s="13">
        <v>42045</v>
      </c>
      <c r="G226" s="12">
        <v>58</v>
      </c>
      <c r="H226" s="12">
        <v>2.5</v>
      </c>
      <c r="I226" s="13">
        <v>42059</v>
      </c>
      <c r="J226" s="12">
        <v>61.5</v>
      </c>
      <c r="K226" s="12">
        <v>3</v>
      </c>
      <c r="L226" s="12">
        <v>14</v>
      </c>
      <c r="M226" s="12">
        <v>3.5</v>
      </c>
      <c r="N226" s="12">
        <v>0.5</v>
      </c>
      <c r="O226" s="17">
        <v>34.580000000000005</v>
      </c>
      <c r="P226" s="17"/>
      <c r="Q226" s="17">
        <v>250</v>
      </c>
      <c r="R226" s="14">
        <v>24.428127499999999</v>
      </c>
      <c r="S226" s="12">
        <v>14</v>
      </c>
      <c r="T226" s="12">
        <v>3.5</v>
      </c>
      <c r="U226" s="14">
        <v>34.580000000000005</v>
      </c>
      <c r="V226" s="17">
        <v>250</v>
      </c>
      <c r="W226" s="14">
        <v>24.428127499999999</v>
      </c>
      <c r="X226">
        <f t="shared" si="6"/>
        <v>18.02675</v>
      </c>
      <c r="Y226">
        <f t="shared" si="7"/>
        <v>25.752032012317247</v>
      </c>
    </row>
    <row r="227" spans="1:25">
      <c r="A227" s="12" t="s">
        <v>335</v>
      </c>
      <c r="B227" s="12" t="s">
        <v>499</v>
      </c>
      <c r="C227" s="12">
        <v>133</v>
      </c>
      <c r="D227" s="12">
        <v>2.4700000000000002</v>
      </c>
      <c r="E227" s="12" t="s">
        <v>509</v>
      </c>
      <c r="F227" s="13">
        <v>42045</v>
      </c>
      <c r="G227" s="12">
        <v>57.6</v>
      </c>
      <c r="H227" s="12">
        <v>3</v>
      </c>
      <c r="I227" s="13">
        <v>42059</v>
      </c>
      <c r="J227" s="12">
        <v>59.5</v>
      </c>
      <c r="K227" s="12">
        <v>4</v>
      </c>
      <c r="L227" s="12">
        <v>14</v>
      </c>
      <c r="M227" s="12">
        <v>1.8999999999999986</v>
      </c>
      <c r="N227" s="12">
        <v>1</v>
      </c>
      <c r="O227" s="17">
        <v>34.580000000000005</v>
      </c>
      <c r="P227" s="17"/>
      <c r="Q227" s="17">
        <v>135.71428571428561</v>
      </c>
      <c r="R227" s="14">
        <v>18.590933785714277</v>
      </c>
      <c r="S227" s="12">
        <v>14</v>
      </c>
      <c r="T227" s="12">
        <v>1.8999999999999986</v>
      </c>
      <c r="U227" s="14">
        <v>34.580000000000005</v>
      </c>
      <c r="V227" s="17">
        <v>135.71428571428561</v>
      </c>
      <c r="W227" s="14">
        <v>18.590933785714277</v>
      </c>
      <c r="X227">
        <f t="shared" si="6"/>
        <v>15.952499999999999</v>
      </c>
      <c r="Y227">
        <f t="shared" si="7"/>
        <v>17.343384281672922</v>
      </c>
    </row>
    <row r="228" spans="1:25">
      <c r="A228" s="12" t="s">
        <v>335</v>
      </c>
      <c r="B228" s="12" t="s">
        <v>499</v>
      </c>
      <c r="C228" s="12">
        <v>133</v>
      </c>
      <c r="D228" s="12">
        <v>2.4700000000000002</v>
      </c>
      <c r="E228" s="12" t="s">
        <v>510</v>
      </c>
      <c r="F228" s="13">
        <v>42045</v>
      </c>
      <c r="G228" s="12">
        <v>55.4</v>
      </c>
      <c r="H228" s="12">
        <v>3</v>
      </c>
      <c r="I228" s="13">
        <v>42059</v>
      </c>
      <c r="J228" s="12">
        <v>54.5</v>
      </c>
      <c r="K228" s="12">
        <v>3</v>
      </c>
      <c r="L228" s="12">
        <v>14</v>
      </c>
      <c r="M228" s="12">
        <v>-0.89999999999999858</v>
      </c>
      <c r="N228" s="12">
        <v>0</v>
      </c>
      <c r="O228" s="17">
        <v>34.580000000000005</v>
      </c>
      <c r="P228" s="17"/>
      <c r="Q228" s="17">
        <v>-64.285714285714178</v>
      </c>
      <c r="R228" s="14">
        <v>8.1222097857142899</v>
      </c>
      <c r="S228" s="12">
        <v>14</v>
      </c>
      <c r="T228" s="12">
        <v>-0.89999999999999858</v>
      </c>
      <c r="U228" s="14">
        <v>34.580000000000005</v>
      </c>
      <c r="V228" s="17">
        <v>-64.285714285714178</v>
      </c>
      <c r="W228" s="14">
        <v>8.1222097857142899</v>
      </c>
      <c r="X228">
        <f t="shared" si="6"/>
        <v>15.952499999999999</v>
      </c>
      <c r="Y228">
        <f t="shared" si="7"/>
        <v>7.5771667606203037</v>
      </c>
    </row>
    <row r="229" spans="1:25">
      <c r="A229" s="12" t="s">
        <v>335</v>
      </c>
      <c r="B229" s="12" t="s">
        <v>499</v>
      </c>
      <c r="C229" s="12">
        <v>133</v>
      </c>
      <c r="D229" s="12">
        <v>2.4700000000000002</v>
      </c>
      <c r="E229" s="12" t="s">
        <v>511</v>
      </c>
      <c r="F229" s="13">
        <v>42045</v>
      </c>
      <c r="G229" s="12">
        <v>58</v>
      </c>
      <c r="H229" s="12">
        <v>3</v>
      </c>
      <c r="I229" s="13">
        <v>42059</v>
      </c>
      <c r="J229" s="12">
        <v>61</v>
      </c>
      <c r="K229" s="12">
        <v>3</v>
      </c>
      <c r="L229" s="12">
        <v>14</v>
      </c>
      <c r="M229" s="12">
        <v>3</v>
      </c>
      <c r="N229" s="12">
        <v>0</v>
      </c>
      <c r="O229" s="17">
        <v>34.580000000000005</v>
      </c>
      <c r="P229" s="17"/>
      <c r="Q229" s="17">
        <v>214.28571428571428</v>
      </c>
      <c r="R229" s="14">
        <v>22.625140714285713</v>
      </c>
      <c r="S229" s="12">
        <v>14</v>
      </c>
      <c r="T229" s="12">
        <v>3</v>
      </c>
      <c r="U229" s="14">
        <v>34.580000000000005</v>
      </c>
      <c r="V229" s="17">
        <v>214.28571428571428</v>
      </c>
      <c r="W229" s="14">
        <v>22.625140714285713</v>
      </c>
      <c r="X229">
        <f t="shared" si="6"/>
        <v>15.952499999999999</v>
      </c>
      <c r="Y229">
        <f t="shared" si="7"/>
        <v>21.106874692669169</v>
      </c>
    </row>
    <row r="230" spans="1:25">
      <c r="A230" s="12" t="s">
        <v>335</v>
      </c>
      <c r="B230" s="12" t="s">
        <v>499</v>
      </c>
      <c r="C230" s="12">
        <v>133</v>
      </c>
      <c r="D230" s="12">
        <v>2.4700000000000002</v>
      </c>
      <c r="E230" s="12" t="s">
        <v>512</v>
      </c>
      <c r="F230" s="13">
        <v>42045</v>
      </c>
      <c r="G230" s="12">
        <v>52.2</v>
      </c>
      <c r="H230" s="12">
        <v>2.5</v>
      </c>
      <c r="I230" s="13">
        <v>42059</v>
      </c>
      <c r="J230" s="12">
        <v>57.5</v>
      </c>
      <c r="K230" s="12">
        <v>3.5</v>
      </c>
      <c r="L230" s="12">
        <v>14</v>
      </c>
      <c r="M230" s="12">
        <v>5.2999999999999972</v>
      </c>
      <c r="N230" s="12">
        <v>1</v>
      </c>
      <c r="O230" s="17">
        <v>34.580000000000005</v>
      </c>
      <c r="P230" s="17"/>
      <c r="Q230" s="17">
        <v>378.57142857142838</v>
      </c>
      <c r="R230" s="14">
        <v>29.938157928571421</v>
      </c>
      <c r="S230" s="12">
        <v>14</v>
      </c>
      <c r="T230" s="12">
        <v>5.2999999999999972</v>
      </c>
      <c r="U230" s="14">
        <v>34.580000000000005</v>
      </c>
      <c r="V230" s="17">
        <v>378.57142857142838</v>
      </c>
      <c r="W230" s="14">
        <v>29.938157928571421</v>
      </c>
      <c r="X230">
        <f t="shared" si="6"/>
        <v>18.02675</v>
      </c>
      <c r="Y230">
        <f t="shared" si="7"/>
        <v>31.560683534437121</v>
      </c>
    </row>
    <row r="231" spans="1:25">
      <c r="A231" s="12" t="s">
        <v>335</v>
      </c>
      <c r="B231" s="12" t="s">
        <v>499</v>
      </c>
      <c r="C231" s="12">
        <v>133</v>
      </c>
      <c r="D231" s="12">
        <v>2.4700000000000002</v>
      </c>
      <c r="E231" s="12" t="s">
        <v>513</v>
      </c>
      <c r="F231" s="13">
        <v>42045</v>
      </c>
      <c r="G231" s="12">
        <v>53.6</v>
      </c>
      <c r="H231" s="12">
        <v>3</v>
      </c>
      <c r="I231" s="13">
        <v>42059</v>
      </c>
      <c r="J231" s="12">
        <v>57.5</v>
      </c>
      <c r="K231" s="12">
        <v>4</v>
      </c>
      <c r="L231" s="12">
        <v>14</v>
      </c>
      <c r="M231" s="12">
        <v>3.8999999999999986</v>
      </c>
      <c r="N231" s="12">
        <v>1</v>
      </c>
      <c r="O231" s="17">
        <v>34.580000000000005</v>
      </c>
      <c r="P231" s="17"/>
      <c r="Q231" s="17">
        <v>278.57142857142844</v>
      </c>
      <c r="R231" s="14">
        <v>25.126520928571416</v>
      </c>
      <c r="S231" s="12">
        <v>14</v>
      </c>
      <c r="T231" s="12">
        <v>3.8999999999999986</v>
      </c>
      <c r="U231" s="14">
        <v>34.580000000000005</v>
      </c>
      <c r="V231" s="17">
        <v>278.57142857142844</v>
      </c>
      <c r="W231" s="14">
        <v>25.126520928571416</v>
      </c>
      <c r="X231">
        <f t="shared" si="6"/>
        <v>15.952499999999999</v>
      </c>
      <c r="Y231">
        <f t="shared" si="7"/>
        <v>23.440399129417276</v>
      </c>
    </row>
    <row r="232" spans="1:25">
      <c r="A232" s="12" t="s">
        <v>335</v>
      </c>
      <c r="B232" s="12" t="s">
        <v>499</v>
      </c>
      <c r="C232" s="12">
        <v>133</v>
      </c>
      <c r="D232" s="12">
        <v>2.4700000000000002</v>
      </c>
      <c r="E232" s="12" t="s">
        <v>514</v>
      </c>
      <c r="F232" s="13">
        <v>42045</v>
      </c>
      <c r="G232" s="12">
        <v>60</v>
      </c>
      <c r="H232" s="12">
        <v>3.5</v>
      </c>
      <c r="I232" s="13">
        <v>42059</v>
      </c>
      <c r="J232" s="12">
        <v>61.5</v>
      </c>
      <c r="K232" s="12">
        <v>4</v>
      </c>
      <c r="L232" s="12">
        <v>14</v>
      </c>
      <c r="M232" s="12">
        <v>1.5</v>
      </c>
      <c r="N232" s="12">
        <v>0.5</v>
      </c>
      <c r="O232" s="17">
        <v>34.580000000000005</v>
      </c>
      <c r="P232" s="17"/>
      <c r="Q232" s="17">
        <v>107.14285714285714</v>
      </c>
      <c r="R232" s="14">
        <v>17.554360357142855</v>
      </c>
      <c r="S232" s="12">
        <v>14</v>
      </c>
      <c r="T232" s="12">
        <v>1.5</v>
      </c>
      <c r="U232" s="14">
        <v>34.580000000000005</v>
      </c>
      <c r="V232" s="17">
        <v>107.14285714285714</v>
      </c>
      <c r="W232" s="14">
        <v>17.554360357142855</v>
      </c>
      <c r="X232">
        <f t="shared" si="6"/>
        <v>13.878249999999998</v>
      </c>
      <c r="Y232">
        <f t="shared" si="7"/>
        <v>14.247005943071214</v>
      </c>
    </row>
    <row r="233" spans="1:25">
      <c r="A233" s="12" t="s">
        <v>335</v>
      </c>
      <c r="B233" s="12" t="s">
        <v>499</v>
      </c>
      <c r="C233" s="12">
        <v>133</v>
      </c>
      <c r="D233" s="12">
        <v>2.4700000000000002</v>
      </c>
      <c r="E233" s="12" t="s">
        <v>515</v>
      </c>
      <c r="F233" s="13">
        <v>42045</v>
      </c>
      <c r="G233" s="12">
        <v>52.6</v>
      </c>
      <c r="H233" s="12">
        <v>2.5</v>
      </c>
      <c r="I233" s="13">
        <v>42059</v>
      </c>
      <c r="J233" s="12">
        <v>53.5</v>
      </c>
      <c r="K233" s="12">
        <v>4</v>
      </c>
      <c r="L233" s="12">
        <v>14</v>
      </c>
      <c r="M233" s="12">
        <v>0.89999999999999858</v>
      </c>
      <c r="N233" s="12">
        <v>1.5</v>
      </c>
      <c r="O233" s="17">
        <v>34.580000000000005</v>
      </c>
      <c r="P233" s="17"/>
      <c r="Q233" s="17">
        <v>64.285714285714178</v>
      </c>
      <c r="R233" s="14">
        <v>14.139510214285707</v>
      </c>
      <c r="S233" s="12">
        <v>14</v>
      </c>
      <c r="T233" s="12">
        <v>0.89999999999999858</v>
      </c>
      <c r="U233" s="14">
        <v>34.580000000000005</v>
      </c>
      <c r="V233" s="17">
        <v>64.285714285714178</v>
      </c>
      <c r="W233" s="14">
        <v>14.139510214285707</v>
      </c>
      <c r="X233">
        <f t="shared" si="6"/>
        <v>18.02675</v>
      </c>
      <c r="Y233">
        <f t="shared" si="7"/>
        <v>14.905813786864027</v>
      </c>
    </row>
    <row r="234" spans="1:25">
      <c r="A234" s="12" t="s">
        <v>335</v>
      </c>
      <c r="B234" s="12" t="s">
        <v>499</v>
      </c>
      <c r="C234" s="12">
        <v>133</v>
      </c>
      <c r="D234" s="12">
        <v>2.4700000000000002</v>
      </c>
      <c r="E234" s="12" t="s">
        <v>516</v>
      </c>
      <c r="F234" s="13">
        <v>42045</v>
      </c>
      <c r="G234" s="12">
        <v>57.2</v>
      </c>
      <c r="H234" s="12">
        <v>3</v>
      </c>
      <c r="I234" s="13">
        <v>42059</v>
      </c>
      <c r="J234" s="12">
        <v>64</v>
      </c>
      <c r="K234" s="12">
        <v>4</v>
      </c>
      <c r="L234" s="12">
        <v>14</v>
      </c>
      <c r="M234" s="12">
        <v>6.7999999999999972</v>
      </c>
      <c r="N234" s="12">
        <v>1</v>
      </c>
      <c r="O234" s="17">
        <v>34.580000000000005</v>
      </c>
      <c r="P234" s="17"/>
      <c r="Q234" s="17">
        <v>485.7142857142855</v>
      </c>
      <c r="R234" s="14">
        <v>36.192568285714273</v>
      </c>
      <c r="S234" s="12">
        <v>14</v>
      </c>
      <c r="T234" s="12">
        <v>6.7999999999999972</v>
      </c>
      <c r="U234" s="14">
        <v>34.580000000000005</v>
      </c>
      <c r="V234" s="17">
        <v>485.7142857142855</v>
      </c>
      <c r="W234" s="14">
        <v>36.192568285714273</v>
      </c>
      <c r="X234">
        <f t="shared" si="6"/>
        <v>15.952499999999999</v>
      </c>
      <c r="Y234">
        <f t="shared" si="7"/>
        <v>33.763856466541334</v>
      </c>
    </row>
    <row r="235" spans="1:25">
      <c r="A235" s="12" t="s">
        <v>335</v>
      </c>
      <c r="B235" s="12" t="s">
        <v>499</v>
      </c>
      <c r="C235" s="12">
        <v>133</v>
      </c>
      <c r="D235" s="12">
        <v>2.4700000000000002</v>
      </c>
      <c r="E235" s="12" t="s">
        <v>517</v>
      </c>
      <c r="F235" s="13">
        <v>42045</v>
      </c>
      <c r="G235" s="12">
        <v>57.2</v>
      </c>
      <c r="H235" s="12">
        <v>3.5</v>
      </c>
      <c r="I235" s="13">
        <v>42059</v>
      </c>
      <c r="J235" s="12">
        <v>60</v>
      </c>
      <c r="K235" s="12">
        <v>3.5</v>
      </c>
      <c r="L235" s="12">
        <v>14</v>
      </c>
      <c r="M235" s="12">
        <v>2.7999999999999972</v>
      </c>
      <c r="N235" s="12">
        <v>0</v>
      </c>
      <c r="O235" s="17">
        <v>34.580000000000005</v>
      </c>
      <c r="P235" s="17"/>
      <c r="Q235" s="17">
        <v>199.9999999999998</v>
      </c>
      <c r="R235" s="14">
        <v>21.76867399999999</v>
      </c>
      <c r="S235" s="12">
        <v>14</v>
      </c>
      <c r="T235" s="12">
        <v>2.7999999999999972</v>
      </c>
      <c r="U235" s="14">
        <v>34.580000000000005</v>
      </c>
      <c r="V235" s="17">
        <v>199.9999999999998</v>
      </c>
      <c r="W235" s="14">
        <v>21.76867399999999</v>
      </c>
      <c r="X235">
        <f t="shared" si="6"/>
        <v>13.878249999999998</v>
      </c>
      <c r="Y235">
        <f t="shared" si="7"/>
        <v>17.667315785994138</v>
      </c>
    </row>
    <row r="236" spans="1:25">
      <c r="A236" s="12" t="s">
        <v>335</v>
      </c>
      <c r="B236" s="12" t="s">
        <v>499</v>
      </c>
      <c r="C236" s="12">
        <v>133</v>
      </c>
      <c r="D236" s="12">
        <v>2.4700000000000002</v>
      </c>
      <c r="E236" s="12" t="s">
        <v>518</v>
      </c>
      <c r="F236" s="13">
        <v>42045</v>
      </c>
      <c r="G236" s="12">
        <v>54.6</v>
      </c>
      <c r="H236" s="12">
        <v>3</v>
      </c>
      <c r="I236" s="13">
        <v>42059</v>
      </c>
      <c r="J236" s="12">
        <v>55.5</v>
      </c>
      <c r="K236" s="12">
        <v>3</v>
      </c>
      <c r="L236" s="12">
        <v>14</v>
      </c>
      <c r="M236" s="12">
        <v>0.89999999999999858</v>
      </c>
      <c r="N236" s="12">
        <v>0</v>
      </c>
      <c r="O236" s="17">
        <v>34.580000000000005</v>
      </c>
      <c r="P236" s="17"/>
      <c r="Q236" s="17">
        <v>64.285714285714178</v>
      </c>
      <c r="R236" s="14">
        <v>14.477690214285708</v>
      </c>
      <c r="S236" s="12">
        <v>14</v>
      </c>
      <c r="T236" s="12">
        <v>0.89999999999999858</v>
      </c>
      <c r="U236" s="14">
        <v>34.580000000000005</v>
      </c>
      <c r="V236" s="17">
        <v>64.285714285714178</v>
      </c>
      <c r="W236" s="14">
        <v>14.477690214285708</v>
      </c>
      <c r="X236">
        <f t="shared" si="6"/>
        <v>15.952499999999999</v>
      </c>
      <c r="Y236">
        <f t="shared" si="7"/>
        <v>13.506161002537587</v>
      </c>
    </row>
    <row r="237" spans="1:25">
      <c r="A237" s="12" t="s">
        <v>335</v>
      </c>
      <c r="B237" s="12" t="s">
        <v>499</v>
      </c>
      <c r="C237" s="12">
        <v>133</v>
      </c>
      <c r="D237" s="12">
        <v>2.4700000000000002</v>
      </c>
      <c r="E237" s="12" t="s">
        <v>519</v>
      </c>
      <c r="F237" s="13">
        <v>42045</v>
      </c>
      <c r="G237" s="12">
        <v>55.2</v>
      </c>
      <c r="H237" s="12">
        <v>3</v>
      </c>
      <c r="I237" s="13">
        <v>42059</v>
      </c>
      <c r="J237" s="12">
        <v>52.5</v>
      </c>
      <c r="K237" s="12">
        <v>3</v>
      </c>
      <c r="L237" s="12">
        <v>14</v>
      </c>
      <c r="M237" s="12">
        <v>-2.7000000000000028</v>
      </c>
      <c r="N237" s="12">
        <v>0</v>
      </c>
      <c r="O237" s="17">
        <v>34.580000000000005</v>
      </c>
      <c r="P237" s="17"/>
      <c r="Q237" s="17">
        <v>-192.85714285714306</v>
      </c>
      <c r="R237" s="14">
        <v>1.5976393571428478</v>
      </c>
      <c r="S237" s="12">
        <v>14</v>
      </c>
      <c r="T237" s="12">
        <v>-2.7000000000000028</v>
      </c>
      <c r="U237" s="14">
        <v>34.580000000000005</v>
      </c>
      <c r="V237" s="17">
        <v>-192.85714285714306</v>
      </c>
      <c r="W237" s="14">
        <v>1.5976393571428478</v>
      </c>
      <c r="X237">
        <f t="shared" si="6"/>
        <v>15.952499999999999</v>
      </c>
      <c r="Y237">
        <f t="shared" si="7"/>
        <v>1.4904293476503669</v>
      </c>
    </row>
    <row r="238" spans="1:25">
      <c r="A238" s="12" t="s">
        <v>235</v>
      </c>
      <c r="B238" s="12" t="s">
        <v>236</v>
      </c>
      <c r="C238" s="12">
        <v>43</v>
      </c>
      <c r="D238" s="12">
        <v>2.16</v>
      </c>
      <c r="E238" s="12" t="s">
        <v>237</v>
      </c>
      <c r="F238" s="13">
        <v>42402</v>
      </c>
      <c r="G238" s="12">
        <v>65</v>
      </c>
      <c r="H238" s="12">
        <v>2.5</v>
      </c>
      <c r="I238" s="13">
        <v>42417</v>
      </c>
      <c r="J238" s="12">
        <v>68</v>
      </c>
      <c r="K238" s="12">
        <v>2.5</v>
      </c>
      <c r="L238" s="12">
        <v>15</v>
      </c>
      <c r="M238" s="12">
        <v>3</v>
      </c>
      <c r="N238" s="12">
        <v>0</v>
      </c>
      <c r="O238" s="17">
        <v>32.400000000000006</v>
      </c>
      <c r="P238" s="17"/>
      <c r="Q238" s="17">
        <v>200</v>
      </c>
      <c r="R238" s="14">
        <v>23.104484999999997</v>
      </c>
      <c r="S238" s="12">
        <v>15</v>
      </c>
      <c r="T238" s="12">
        <v>3</v>
      </c>
      <c r="U238" s="14">
        <v>32.400000000000006</v>
      </c>
      <c r="V238" s="17">
        <v>200</v>
      </c>
      <c r="W238" s="14">
        <v>23.104484999999997</v>
      </c>
      <c r="X238">
        <f t="shared" si="6"/>
        <v>18.02675</v>
      </c>
      <c r="Y238">
        <f t="shared" si="7"/>
        <v>24.356653507236839</v>
      </c>
    </row>
    <row r="239" spans="1:25">
      <c r="A239" s="12" t="s">
        <v>235</v>
      </c>
      <c r="B239" s="12" t="s">
        <v>236</v>
      </c>
      <c r="C239" s="12">
        <v>43</v>
      </c>
      <c r="D239" s="12">
        <v>2.16</v>
      </c>
      <c r="E239" s="12" t="s">
        <v>238</v>
      </c>
      <c r="F239" s="13">
        <v>42402</v>
      </c>
      <c r="G239" s="12">
        <v>54.5</v>
      </c>
      <c r="H239" s="12">
        <v>2.5</v>
      </c>
      <c r="I239" s="13">
        <v>42417</v>
      </c>
      <c r="J239" s="12">
        <v>59.5</v>
      </c>
      <c r="K239" s="12">
        <v>2.5</v>
      </c>
      <c r="L239" s="12">
        <v>15</v>
      </c>
      <c r="M239" s="12">
        <v>5</v>
      </c>
      <c r="N239" s="12">
        <v>0</v>
      </c>
      <c r="O239" s="17">
        <v>32.400000000000006</v>
      </c>
      <c r="P239" s="17"/>
      <c r="Q239" s="17">
        <v>333.33333333333331</v>
      </c>
      <c r="R239" s="14">
        <v>28.07146333333333</v>
      </c>
      <c r="S239" s="12">
        <v>15</v>
      </c>
      <c r="T239" s="12">
        <v>5</v>
      </c>
      <c r="U239" s="14">
        <v>32.400000000000006</v>
      </c>
      <c r="V239" s="17">
        <v>333.33333333333331</v>
      </c>
      <c r="W239" s="14">
        <v>28.07146333333333</v>
      </c>
      <c r="X239">
        <f t="shared" si="6"/>
        <v>18.02675</v>
      </c>
      <c r="Y239">
        <f t="shared" si="7"/>
        <v>29.59282173357699</v>
      </c>
    </row>
    <row r="240" spans="1:25">
      <c r="A240" s="12" t="s">
        <v>235</v>
      </c>
      <c r="B240" s="12" t="s">
        <v>236</v>
      </c>
      <c r="C240" s="12">
        <v>43</v>
      </c>
      <c r="D240" s="12">
        <v>2.16</v>
      </c>
      <c r="E240" s="12" t="s">
        <v>239</v>
      </c>
      <c r="F240" s="13">
        <v>42402</v>
      </c>
      <c r="G240" s="12">
        <v>59.5</v>
      </c>
      <c r="H240" s="12">
        <v>3</v>
      </c>
      <c r="I240" s="13">
        <v>42417</v>
      </c>
      <c r="J240" s="12">
        <v>60</v>
      </c>
      <c r="K240" s="12">
        <v>2.5</v>
      </c>
      <c r="L240" s="12">
        <v>15</v>
      </c>
      <c r="M240" s="12">
        <v>0.5</v>
      </c>
      <c r="N240" s="12">
        <v>-0.5</v>
      </c>
      <c r="O240" s="17">
        <v>32.400000000000006</v>
      </c>
      <c r="P240" s="17"/>
      <c r="Q240" s="17">
        <v>33.333333333333336</v>
      </c>
      <c r="R240" s="14">
        <v>13.746460833333332</v>
      </c>
      <c r="S240" s="12">
        <v>15</v>
      </c>
      <c r="T240" s="12">
        <v>0.5</v>
      </c>
      <c r="U240" s="14">
        <v>32.400000000000006</v>
      </c>
      <c r="V240" s="17">
        <v>33.333333333333336</v>
      </c>
      <c r="W240" s="14">
        <v>13.746460833333332</v>
      </c>
      <c r="X240">
        <f t="shared" si="6"/>
        <v>15.952499999999999</v>
      </c>
      <c r="Y240">
        <f t="shared" si="7"/>
        <v>12.824000961622804</v>
      </c>
    </row>
    <row r="241" spans="1:25">
      <c r="A241" s="12" t="s">
        <v>235</v>
      </c>
      <c r="B241" s="12" t="s">
        <v>236</v>
      </c>
      <c r="C241" s="12">
        <v>43</v>
      </c>
      <c r="D241" s="12">
        <v>2.16</v>
      </c>
      <c r="E241" s="12" t="s">
        <v>240</v>
      </c>
      <c r="F241" s="13">
        <v>42402</v>
      </c>
      <c r="G241" s="12">
        <v>62.5</v>
      </c>
      <c r="H241" s="12">
        <v>3</v>
      </c>
      <c r="I241" s="13">
        <v>42417</v>
      </c>
      <c r="J241" s="12">
        <v>67</v>
      </c>
      <c r="K241" s="12">
        <v>3</v>
      </c>
      <c r="L241" s="12">
        <v>15</v>
      </c>
      <c r="M241" s="12">
        <v>4.5</v>
      </c>
      <c r="N241" s="12">
        <v>0</v>
      </c>
      <c r="O241" s="17">
        <v>32.400000000000006</v>
      </c>
      <c r="P241" s="17"/>
      <c r="Q241" s="17">
        <v>300</v>
      </c>
      <c r="R241" s="14">
        <v>27.738577499999998</v>
      </c>
      <c r="S241" s="12">
        <v>15</v>
      </c>
      <c r="T241" s="12">
        <v>4.5</v>
      </c>
      <c r="U241" s="14">
        <v>32.400000000000006</v>
      </c>
      <c r="V241" s="17">
        <v>300</v>
      </c>
      <c r="W241" s="14">
        <v>27.738577499999998</v>
      </c>
      <c r="X241">
        <f t="shared" si="6"/>
        <v>15.952499999999999</v>
      </c>
      <c r="Y241">
        <f t="shared" si="7"/>
        <v>25.877172957236834</v>
      </c>
    </row>
    <row r="242" spans="1:25">
      <c r="A242" s="12" t="s">
        <v>235</v>
      </c>
      <c r="B242" s="12" t="s">
        <v>236</v>
      </c>
      <c r="C242" s="12">
        <v>43</v>
      </c>
      <c r="D242" s="12">
        <v>2.16</v>
      </c>
      <c r="E242" s="12" t="s">
        <v>241</v>
      </c>
      <c r="F242" s="13">
        <v>42402</v>
      </c>
      <c r="G242" s="12">
        <v>56</v>
      </c>
      <c r="H242" s="12">
        <v>2.5</v>
      </c>
      <c r="I242" s="13">
        <v>42417</v>
      </c>
      <c r="J242" s="12">
        <v>57</v>
      </c>
      <c r="K242" s="12">
        <v>2.75</v>
      </c>
      <c r="L242" s="12">
        <v>15</v>
      </c>
      <c r="M242" s="12">
        <v>1</v>
      </c>
      <c r="N242" s="12">
        <v>0.25</v>
      </c>
      <c r="O242" s="17">
        <v>32.400000000000006</v>
      </c>
      <c r="P242" s="17"/>
      <c r="Q242" s="17">
        <v>66.666666666666671</v>
      </c>
      <c r="R242" s="14">
        <v>14.840251666666667</v>
      </c>
      <c r="S242" s="12">
        <v>15</v>
      </c>
      <c r="T242" s="12">
        <v>1</v>
      </c>
      <c r="U242" s="14">
        <v>32.400000000000006</v>
      </c>
      <c r="V242" s="17">
        <v>66.666666666666671</v>
      </c>
      <c r="W242" s="14">
        <v>14.840251666666667</v>
      </c>
      <c r="X242">
        <f t="shared" si="6"/>
        <v>18.02675</v>
      </c>
      <c r="Y242">
        <f t="shared" si="7"/>
        <v>15.644532557431772</v>
      </c>
    </row>
    <row r="243" spans="1:25">
      <c r="A243" s="12" t="s">
        <v>235</v>
      </c>
      <c r="B243" s="12" t="s">
        <v>236</v>
      </c>
      <c r="C243" s="12">
        <v>43</v>
      </c>
      <c r="D243" s="12">
        <v>2.16</v>
      </c>
      <c r="E243" s="12" t="s">
        <v>242</v>
      </c>
      <c r="F243" s="13">
        <v>42402</v>
      </c>
      <c r="G243" s="12">
        <v>63</v>
      </c>
      <c r="H243" s="12">
        <v>3</v>
      </c>
      <c r="I243" s="13">
        <v>42417</v>
      </c>
      <c r="J243" s="12">
        <v>64.5</v>
      </c>
      <c r="K243" s="12">
        <v>3</v>
      </c>
      <c r="L243" s="12">
        <v>15</v>
      </c>
      <c r="M243" s="12">
        <v>1.5</v>
      </c>
      <c r="N243" s="12">
        <v>0</v>
      </c>
      <c r="O243" s="17">
        <v>32.400000000000006</v>
      </c>
      <c r="P243" s="17"/>
      <c r="Q243" s="17">
        <v>100</v>
      </c>
      <c r="R243" s="14">
        <v>17.709487500000002</v>
      </c>
      <c r="S243" s="12">
        <v>15</v>
      </c>
      <c r="T243" s="12">
        <v>1.5</v>
      </c>
      <c r="U243" s="14">
        <v>32.400000000000006</v>
      </c>
      <c r="V243" s="17">
        <v>100</v>
      </c>
      <c r="W243" s="14">
        <v>17.709487500000002</v>
      </c>
      <c r="X243">
        <f t="shared" si="6"/>
        <v>15.952499999999999</v>
      </c>
      <c r="Y243">
        <f t="shared" si="7"/>
        <v>16.521087680921053</v>
      </c>
    </row>
    <row r="244" spans="1:25">
      <c r="A244" s="12" t="s">
        <v>235</v>
      </c>
      <c r="B244" s="12" t="s">
        <v>236</v>
      </c>
      <c r="C244" s="12">
        <v>43</v>
      </c>
      <c r="D244" s="12">
        <v>2.16</v>
      </c>
      <c r="E244" s="12" t="s">
        <v>243</v>
      </c>
      <c r="F244" s="13">
        <v>42402</v>
      </c>
      <c r="G244" s="12">
        <v>57.5</v>
      </c>
      <c r="H244" s="12">
        <v>2.5</v>
      </c>
      <c r="I244" s="13">
        <v>42417</v>
      </c>
      <c r="J244" s="12">
        <v>58</v>
      </c>
      <c r="K244" s="12">
        <v>2.5</v>
      </c>
      <c r="L244" s="12">
        <v>15</v>
      </c>
      <c r="M244" s="12">
        <v>0.5</v>
      </c>
      <c r="N244" s="12">
        <v>0</v>
      </c>
      <c r="O244" s="17">
        <v>32.400000000000006</v>
      </c>
      <c r="P244" s="17"/>
      <c r="Q244" s="17">
        <v>33.333333333333336</v>
      </c>
      <c r="R244" s="14">
        <v>13.408280833333333</v>
      </c>
      <c r="S244" s="12">
        <v>15</v>
      </c>
      <c r="T244" s="12">
        <v>0.5</v>
      </c>
      <c r="U244" s="14">
        <v>32.400000000000006</v>
      </c>
      <c r="V244" s="17">
        <v>33.333333333333336</v>
      </c>
      <c r="W244" s="14">
        <v>13.408280833333333</v>
      </c>
      <c r="X244">
        <f t="shared" si="6"/>
        <v>18.02675</v>
      </c>
      <c r="Y244">
        <f t="shared" si="7"/>
        <v>14.13495476680068</v>
      </c>
    </row>
    <row r="245" spans="1:25">
      <c r="A245" s="12" t="s">
        <v>235</v>
      </c>
      <c r="B245" s="12" t="s">
        <v>236</v>
      </c>
      <c r="C245" s="12">
        <v>43</v>
      </c>
      <c r="D245" s="12">
        <v>2.16</v>
      </c>
      <c r="E245" s="12" t="s">
        <v>244</v>
      </c>
      <c r="F245" s="13">
        <v>42402</v>
      </c>
      <c r="G245" s="12">
        <v>60.5</v>
      </c>
      <c r="H245" s="12">
        <v>3</v>
      </c>
      <c r="I245" s="13">
        <v>42417</v>
      </c>
      <c r="J245" s="12">
        <v>63</v>
      </c>
      <c r="K245" s="12">
        <v>3</v>
      </c>
      <c r="L245" s="12">
        <v>15</v>
      </c>
      <c r="M245" s="12">
        <v>2.5</v>
      </c>
      <c r="N245" s="12">
        <v>0</v>
      </c>
      <c r="O245" s="17">
        <v>32.400000000000006</v>
      </c>
      <c r="P245" s="17"/>
      <c r="Q245" s="17">
        <v>166.66666666666666</v>
      </c>
      <c r="R245" s="14">
        <v>20.657974166666662</v>
      </c>
      <c r="S245" s="12">
        <v>15</v>
      </c>
      <c r="T245" s="12">
        <v>2.5</v>
      </c>
      <c r="U245" s="14">
        <v>32.400000000000006</v>
      </c>
      <c r="V245" s="17">
        <v>166.66666666666666</v>
      </c>
      <c r="W245" s="14">
        <v>20.657974166666662</v>
      </c>
      <c r="X245">
        <f t="shared" si="6"/>
        <v>15.952499999999999</v>
      </c>
      <c r="Y245">
        <f t="shared" si="7"/>
        <v>19.271715373903501</v>
      </c>
    </row>
    <row r="246" spans="1:25">
      <c r="A246" s="12" t="s">
        <v>235</v>
      </c>
      <c r="B246" s="12" t="s">
        <v>236</v>
      </c>
      <c r="C246" s="12">
        <v>43</v>
      </c>
      <c r="D246" s="12">
        <v>2.16</v>
      </c>
      <c r="E246" s="12" t="s">
        <v>245</v>
      </c>
      <c r="F246" s="13">
        <v>42402</v>
      </c>
      <c r="G246" s="12">
        <v>61.5</v>
      </c>
      <c r="H246" s="12">
        <v>2.5</v>
      </c>
      <c r="I246" s="13">
        <v>42417</v>
      </c>
      <c r="J246" s="12">
        <v>66</v>
      </c>
      <c r="K246" s="12">
        <v>3</v>
      </c>
      <c r="L246" s="12">
        <v>15</v>
      </c>
      <c r="M246" s="12">
        <v>4.5</v>
      </c>
      <c r="N246" s="12">
        <v>0.5</v>
      </c>
      <c r="O246" s="17">
        <v>32.400000000000006</v>
      </c>
      <c r="P246" s="17"/>
      <c r="Q246" s="17">
        <v>300</v>
      </c>
      <c r="R246" s="14">
        <v>27.569487500000001</v>
      </c>
      <c r="S246" s="12">
        <v>15</v>
      </c>
      <c r="T246" s="12">
        <v>4.5</v>
      </c>
      <c r="U246" s="14">
        <v>32.400000000000006</v>
      </c>
      <c r="V246" s="17">
        <v>300</v>
      </c>
      <c r="W246" s="14">
        <v>27.569487500000001</v>
      </c>
      <c r="X246">
        <f t="shared" si="6"/>
        <v>18.02675</v>
      </c>
      <c r="Y246">
        <f t="shared" si="7"/>
        <v>29.06364086494883</v>
      </c>
    </row>
    <row r="247" spans="1:25">
      <c r="A247" s="12" t="s">
        <v>235</v>
      </c>
      <c r="B247" s="12" t="s">
        <v>236</v>
      </c>
      <c r="C247" s="12">
        <v>43</v>
      </c>
      <c r="D247" s="12">
        <v>2.16</v>
      </c>
      <c r="E247" s="12" t="s">
        <v>246</v>
      </c>
      <c r="F247" s="13">
        <v>42402</v>
      </c>
      <c r="G247" s="12">
        <v>65</v>
      </c>
      <c r="H247" s="12">
        <v>2.5</v>
      </c>
      <c r="I247" s="13">
        <v>42417</v>
      </c>
      <c r="J247" s="12">
        <v>67.5</v>
      </c>
      <c r="K247" s="12">
        <v>3</v>
      </c>
      <c r="L247" s="12">
        <v>15</v>
      </c>
      <c r="M247" s="12">
        <v>2.5</v>
      </c>
      <c r="N247" s="12">
        <v>0.5</v>
      </c>
      <c r="O247" s="17">
        <v>32.400000000000006</v>
      </c>
      <c r="P247" s="17"/>
      <c r="Q247" s="17">
        <v>166.66666666666666</v>
      </c>
      <c r="R247" s="14">
        <v>21.418879166666663</v>
      </c>
      <c r="S247" s="12">
        <v>15</v>
      </c>
      <c r="T247" s="12">
        <v>2.5</v>
      </c>
      <c r="U247" s="14">
        <v>32.400000000000006</v>
      </c>
      <c r="V247" s="17">
        <v>166.66666666666666</v>
      </c>
      <c r="W247" s="14">
        <v>21.418879166666663</v>
      </c>
      <c r="X247">
        <f t="shared" si="6"/>
        <v>18.02675</v>
      </c>
      <c r="Y247">
        <f t="shared" si="7"/>
        <v>22.579694737877674</v>
      </c>
    </row>
    <row r="248" spans="1:25">
      <c r="A248" s="12" t="s">
        <v>235</v>
      </c>
      <c r="B248" s="12" t="s">
        <v>236</v>
      </c>
      <c r="C248" s="12">
        <v>43</v>
      </c>
      <c r="D248" s="12">
        <v>2.16</v>
      </c>
      <c r="E248" s="12" t="s">
        <v>247</v>
      </c>
      <c r="F248" s="13">
        <v>42402</v>
      </c>
      <c r="G248" s="12">
        <v>65</v>
      </c>
      <c r="H248" s="12">
        <v>3</v>
      </c>
      <c r="I248" s="13">
        <v>42417</v>
      </c>
      <c r="J248" s="12">
        <v>66</v>
      </c>
      <c r="K248" s="12">
        <v>3</v>
      </c>
      <c r="L248" s="12">
        <v>15</v>
      </c>
      <c r="M248" s="12">
        <v>1</v>
      </c>
      <c r="N248" s="12">
        <v>0</v>
      </c>
      <c r="O248" s="17">
        <v>32.400000000000006</v>
      </c>
      <c r="P248" s="17"/>
      <c r="Q248" s="17">
        <v>66.666666666666671</v>
      </c>
      <c r="R248" s="14">
        <v>16.362061666666666</v>
      </c>
      <c r="S248" s="12">
        <v>15</v>
      </c>
      <c r="T248" s="12">
        <v>1</v>
      </c>
      <c r="U248" s="14">
        <v>32.400000000000006</v>
      </c>
      <c r="V248" s="17">
        <v>66.666666666666671</v>
      </c>
      <c r="W248" s="14">
        <v>16.362061666666666</v>
      </c>
      <c r="X248">
        <f t="shared" si="6"/>
        <v>15.952499999999999</v>
      </c>
      <c r="Y248">
        <f t="shared" si="7"/>
        <v>15.264081212719296</v>
      </c>
    </row>
    <row r="249" spans="1:25">
      <c r="A249" s="12" t="s">
        <v>235</v>
      </c>
      <c r="B249" s="12" t="s">
        <v>236</v>
      </c>
      <c r="C249" s="12">
        <v>43</v>
      </c>
      <c r="D249" s="12">
        <v>2.16</v>
      </c>
      <c r="E249" s="12" t="s">
        <v>248</v>
      </c>
      <c r="F249" s="13">
        <v>42402</v>
      </c>
      <c r="G249" s="12">
        <v>60</v>
      </c>
      <c r="H249" s="12">
        <v>3</v>
      </c>
      <c r="I249" s="13">
        <v>42417</v>
      </c>
      <c r="J249" s="12">
        <v>63</v>
      </c>
      <c r="K249" s="12">
        <v>3.25</v>
      </c>
      <c r="L249" s="12">
        <v>15</v>
      </c>
      <c r="M249" s="12">
        <v>3</v>
      </c>
      <c r="N249" s="12">
        <v>0.25</v>
      </c>
      <c r="O249" s="17">
        <v>32.400000000000006</v>
      </c>
      <c r="P249" s="17"/>
      <c r="Q249" s="17">
        <v>200</v>
      </c>
      <c r="R249" s="14">
        <v>22.259034999999997</v>
      </c>
      <c r="S249" s="12">
        <v>15</v>
      </c>
      <c r="T249" s="12">
        <v>3</v>
      </c>
      <c r="U249" s="14">
        <v>32.400000000000006</v>
      </c>
      <c r="V249" s="17">
        <v>200</v>
      </c>
      <c r="W249" s="14">
        <v>22.259034999999997</v>
      </c>
      <c r="X249">
        <f t="shared" si="6"/>
        <v>15.952499999999999</v>
      </c>
      <c r="Y249">
        <f t="shared" si="7"/>
        <v>20.765336598684204</v>
      </c>
    </row>
    <row r="250" spans="1:25">
      <c r="A250" s="12" t="s">
        <v>235</v>
      </c>
      <c r="B250" s="12" t="s">
        <v>236</v>
      </c>
      <c r="C250" s="12">
        <v>43</v>
      </c>
      <c r="D250" s="12">
        <v>2.16</v>
      </c>
      <c r="E250" s="12" t="s">
        <v>249</v>
      </c>
      <c r="F250" s="13">
        <v>42402</v>
      </c>
      <c r="G250" s="12">
        <v>64</v>
      </c>
      <c r="H250" s="12">
        <v>3</v>
      </c>
      <c r="I250" s="13">
        <v>42417</v>
      </c>
      <c r="J250" s="12">
        <v>66</v>
      </c>
      <c r="K250" s="12">
        <v>3</v>
      </c>
      <c r="L250" s="12">
        <v>15</v>
      </c>
      <c r="M250" s="12">
        <v>2</v>
      </c>
      <c r="N250" s="12">
        <v>0</v>
      </c>
      <c r="O250" s="17">
        <v>32.400000000000006</v>
      </c>
      <c r="P250" s="17"/>
      <c r="Q250" s="17">
        <v>133.33333333333334</v>
      </c>
      <c r="R250" s="14">
        <v>19.564183333333332</v>
      </c>
      <c r="S250" s="12">
        <v>15</v>
      </c>
      <c r="T250" s="12">
        <v>2</v>
      </c>
      <c r="U250" s="14">
        <v>32.400000000000006</v>
      </c>
      <c r="V250" s="17">
        <v>133.33333333333334</v>
      </c>
      <c r="W250" s="14">
        <v>19.564183333333332</v>
      </c>
      <c r="X250">
        <f t="shared" si="6"/>
        <v>15.952499999999999</v>
      </c>
      <c r="Y250">
        <f t="shared" si="7"/>
        <v>18.251323662280697</v>
      </c>
    </row>
    <row r="251" spans="1:25">
      <c r="A251" s="12" t="s">
        <v>235</v>
      </c>
      <c r="B251" s="12" t="s">
        <v>236</v>
      </c>
      <c r="C251" s="12">
        <v>43</v>
      </c>
      <c r="D251" s="12">
        <v>2.16</v>
      </c>
      <c r="E251" s="12" t="s">
        <v>250</v>
      </c>
      <c r="F251" s="13">
        <v>42402</v>
      </c>
      <c r="G251" s="12">
        <v>61.5</v>
      </c>
      <c r="H251" s="12">
        <v>2.5</v>
      </c>
      <c r="I251" s="13">
        <v>42417</v>
      </c>
      <c r="J251" s="12">
        <v>62</v>
      </c>
      <c r="K251" s="12">
        <v>2.5</v>
      </c>
      <c r="L251" s="12">
        <v>15</v>
      </c>
      <c r="M251" s="12">
        <v>0.5</v>
      </c>
      <c r="N251" s="12">
        <v>0</v>
      </c>
      <c r="O251" s="17">
        <v>32.400000000000006</v>
      </c>
      <c r="P251" s="17"/>
      <c r="Q251" s="17">
        <v>33.333333333333336</v>
      </c>
      <c r="R251" s="14">
        <v>14.084640833333331</v>
      </c>
      <c r="S251" s="12">
        <v>15</v>
      </c>
      <c r="T251" s="12">
        <v>0.5</v>
      </c>
      <c r="U251" s="14">
        <v>32.400000000000006</v>
      </c>
      <c r="V251" s="17">
        <v>33.333333333333336</v>
      </c>
      <c r="W251" s="14">
        <v>14.084640833333331</v>
      </c>
      <c r="X251">
        <f t="shared" si="6"/>
        <v>18.02675</v>
      </c>
      <c r="Y251">
        <f t="shared" si="7"/>
        <v>14.847970710075533</v>
      </c>
    </row>
    <row r="252" spans="1:25">
      <c r="A252" s="12" t="s">
        <v>235</v>
      </c>
      <c r="B252" s="12" t="s">
        <v>236</v>
      </c>
      <c r="C252" s="12">
        <v>43</v>
      </c>
      <c r="D252" s="12">
        <v>2.16</v>
      </c>
      <c r="E252" s="12" t="s">
        <v>251</v>
      </c>
      <c r="F252" s="13">
        <v>42402</v>
      </c>
      <c r="G252" s="12">
        <v>63</v>
      </c>
      <c r="H252" s="12">
        <v>3</v>
      </c>
      <c r="I252" s="13">
        <v>42417</v>
      </c>
      <c r="J252" s="12">
        <v>64.5</v>
      </c>
      <c r="K252" s="12">
        <v>3</v>
      </c>
      <c r="L252" s="12">
        <v>15</v>
      </c>
      <c r="M252" s="12">
        <v>1.5</v>
      </c>
      <c r="N252" s="12">
        <v>0</v>
      </c>
      <c r="O252" s="17">
        <v>32.400000000000006</v>
      </c>
      <c r="P252" s="17"/>
      <c r="Q252" s="17">
        <v>100</v>
      </c>
      <c r="R252" s="14">
        <v>17.709487500000002</v>
      </c>
      <c r="S252" s="12">
        <v>15</v>
      </c>
      <c r="T252" s="12">
        <v>1.5</v>
      </c>
      <c r="U252" s="14">
        <v>32.400000000000006</v>
      </c>
      <c r="V252" s="17">
        <v>100</v>
      </c>
      <c r="W252" s="14">
        <v>17.709487500000002</v>
      </c>
      <c r="X252">
        <f t="shared" si="6"/>
        <v>15.952499999999999</v>
      </c>
      <c r="Y252">
        <f t="shared" si="7"/>
        <v>16.521087680921053</v>
      </c>
    </row>
    <row r="253" spans="1:25">
      <c r="A253" s="12" t="s">
        <v>235</v>
      </c>
      <c r="B253" s="12" t="s">
        <v>236</v>
      </c>
      <c r="C253" s="12">
        <v>43</v>
      </c>
      <c r="D253" s="12">
        <v>2.16</v>
      </c>
      <c r="E253" s="12" t="s">
        <v>252</v>
      </c>
      <c r="F253" s="13">
        <v>42402</v>
      </c>
      <c r="G253" s="12">
        <v>63</v>
      </c>
      <c r="H253" s="12">
        <v>3</v>
      </c>
      <c r="I253" s="13">
        <v>42417</v>
      </c>
      <c r="J253" s="12">
        <v>65.5</v>
      </c>
      <c r="K253" s="12">
        <v>2.5</v>
      </c>
      <c r="L253" s="12">
        <v>15</v>
      </c>
      <c r="M253" s="12">
        <v>2.5</v>
      </c>
      <c r="N253" s="12">
        <v>-0.5</v>
      </c>
      <c r="O253" s="17">
        <v>32.400000000000006</v>
      </c>
      <c r="P253" s="17"/>
      <c r="Q253" s="17">
        <v>166.66666666666666</v>
      </c>
      <c r="R253" s="14">
        <v>21.080699166666662</v>
      </c>
      <c r="S253" s="12">
        <v>15</v>
      </c>
      <c r="T253" s="12">
        <v>2.5</v>
      </c>
      <c r="U253" s="14">
        <v>32.400000000000006</v>
      </c>
      <c r="V253" s="17">
        <v>166.66666666666666</v>
      </c>
      <c r="W253" s="14">
        <v>21.080699166666662</v>
      </c>
      <c r="X253">
        <f t="shared" si="6"/>
        <v>15.952499999999999</v>
      </c>
      <c r="Y253">
        <f t="shared" si="7"/>
        <v>19.666073301535079</v>
      </c>
    </row>
    <row r="254" spans="1:25">
      <c r="A254" s="12" t="s">
        <v>235</v>
      </c>
      <c r="B254" s="12" t="s">
        <v>236</v>
      </c>
      <c r="C254" s="12">
        <v>43</v>
      </c>
      <c r="D254" s="12">
        <v>2.16</v>
      </c>
      <c r="E254" s="12" t="s">
        <v>253</v>
      </c>
      <c r="F254" s="13">
        <v>42402</v>
      </c>
      <c r="G254" s="12">
        <v>60</v>
      </c>
      <c r="H254" s="12">
        <v>2.5</v>
      </c>
      <c r="I254" s="13">
        <v>42417</v>
      </c>
      <c r="J254" s="12">
        <v>65.5</v>
      </c>
      <c r="K254" s="12">
        <v>2.75</v>
      </c>
      <c r="L254" s="12">
        <v>15</v>
      </c>
      <c r="M254" s="12">
        <v>5.5</v>
      </c>
      <c r="N254" s="12">
        <v>0.25</v>
      </c>
      <c r="O254" s="17">
        <v>32.400000000000006</v>
      </c>
      <c r="P254" s="17"/>
      <c r="Q254" s="17">
        <v>366.66666666666663</v>
      </c>
      <c r="R254" s="14">
        <v>30.687064166666666</v>
      </c>
      <c r="S254" s="12">
        <v>15</v>
      </c>
      <c r="T254" s="12">
        <v>5.5</v>
      </c>
      <c r="U254" s="14">
        <v>32.400000000000006</v>
      </c>
      <c r="V254" s="17">
        <v>366.66666666666663</v>
      </c>
      <c r="W254" s="14">
        <v>30.687064166666666</v>
      </c>
      <c r="X254">
        <f t="shared" si="6"/>
        <v>18.02675</v>
      </c>
      <c r="Y254">
        <f t="shared" si="7"/>
        <v>32.350177424939076</v>
      </c>
    </row>
    <row r="255" spans="1:25">
      <c r="A255" s="12" t="s">
        <v>235</v>
      </c>
      <c r="B255" s="12" t="s">
        <v>236</v>
      </c>
      <c r="C255" s="12">
        <v>43</v>
      </c>
      <c r="D255" s="12">
        <v>2.16</v>
      </c>
      <c r="E255" s="12" t="s">
        <v>254</v>
      </c>
      <c r="F255" s="13">
        <v>42402</v>
      </c>
      <c r="G255" s="12">
        <v>58.5</v>
      </c>
      <c r="H255" s="12">
        <v>2.5</v>
      </c>
      <c r="I255" s="13">
        <v>42417</v>
      </c>
      <c r="J255" s="12">
        <v>59</v>
      </c>
      <c r="K255" s="12">
        <v>2.5</v>
      </c>
      <c r="L255" s="12">
        <v>15</v>
      </c>
      <c r="M255" s="12">
        <v>0.5</v>
      </c>
      <c r="N255" s="12">
        <v>0</v>
      </c>
      <c r="O255" s="17">
        <v>32.400000000000006</v>
      </c>
      <c r="P255" s="17"/>
      <c r="Q255" s="17">
        <v>33.333333333333336</v>
      </c>
      <c r="R255" s="14">
        <v>13.577370833333331</v>
      </c>
      <c r="S255" s="12">
        <v>15</v>
      </c>
      <c r="T255" s="12">
        <v>0.5</v>
      </c>
      <c r="U255" s="14">
        <v>32.400000000000006</v>
      </c>
      <c r="V255" s="17">
        <v>33.333333333333336</v>
      </c>
      <c r="W255" s="14">
        <v>13.577370833333331</v>
      </c>
      <c r="X255">
        <f t="shared" si="6"/>
        <v>18.02675</v>
      </c>
      <c r="Y255">
        <f t="shared" si="7"/>
        <v>14.313208752619392</v>
      </c>
    </row>
    <row r="256" spans="1:25">
      <c r="A256" s="12" t="s">
        <v>235</v>
      </c>
      <c r="B256" s="12" t="s">
        <v>236</v>
      </c>
      <c r="C256" s="12">
        <v>43</v>
      </c>
      <c r="D256" s="12">
        <v>2.16</v>
      </c>
      <c r="E256" s="12" t="s">
        <v>255</v>
      </c>
      <c r="F256" s="13">
        <v>42402</v>
      </c>
      <c r="G256" s="12">
        <v>65</v>
      </c>
      <c r="H256" s="12">
        <v>2.5</v>
      </c>
      <c r="I256" s="13">
        <v>42417</v>
      </c>
      <c r="J256" s="12">
        <v>69</v>
      </c>
      <c r="K256" s="12">
        <v>3</v>
      </c>
      <c r="L256" s="12">
        <v>15</v>
      </c>
      <c r="M256" s="12">
        <v>4</v>
      </c>
      <c r="N256" s="12">
        <v>0.5</v>
      </c>
      <c r="O256" s="17">
        <v>32.400000000000006</v>
      </c>
      <c r="P256" s="17"/>
      <c r="Q256" s="17">
        <v>266.66666666666669</v>
      </c>
      <c r="R256" s="14">
        <v>26.475696666666664</v>
      </c>
      <c r="S256" s="12">
        <v>15</v>
      </c>
      <c r="T256" s="12">
        <v>4</v>
      </c>
      <c r="U256" s="14">
        <v>32.400000000000006</v>
      </c>
      <c r="V256" s="17">
        <v>266.66666666666669</v>
      </c>
      <c r="W256" s="14">
        <v>26.475696666666664</v>
      </c>
      <c r="X256">
        <f t="shared" si="6"/>
        <v>18.02675</v>
      </c>
      <c r="Y256">
        <f t="shared" si="7"/>
        <v>27.910571045955159</v>
      </c>
    </row>
    <row r="257" spans="1:25">
      <c r="A257" s="12" t="s">
        <v>235</v>
      </c>
      <c r="B257" s="12" t="s">
        <v>236</v>
      </c>
      <c r="C257" s="12">
        <v>43</v>
      </c>
      <c r="D257" s="12">
        <v>2.16</v>
      </c>
      <c r="E257" s="12" t="s">
        <v>256</v>
      </c>
      <c r="F257" s="13">
        <v>42402</v>
      </c>
      <c r="G257" s="12">
        <v>63</v>
      </c>
      <c r="H257" s="12">
        <v>2.5</v>
      </c>
      <c r="I257" s="13">
        <v>42417</v>
      </c>
      <c r="J257" s="12">
        <v>66.5</v>
      </c>
      <c r="K257" s="12">
        <v>3</v>
      </c>
      <c r="L257" s="12">
        <v>15</v>
      </c>
      <c r="M257" s="12">
        <v>3.5</v>
      </c>
      <c r="N257" s="12">
        <v>0.5</v>
      </c>
      <c r="O257" s="17">
        <v>32.400000000000006</v>
      </c>
      <c r="P257" s="17"/>
      <c r="Q257" s="17">
        <v>233.33333333333334</v>
      </c>
      <c r="R257" s="14">
        <v>24.451910833333329</v>
      </c>
      <c r="S257" s="12">
        <v>15</v>
      </c>
      <c r="T257" s="12">
        <v>3.5</v>
      </c>
      <c r="U257" s="14">
        <v>32.400000000000006</v>
      </c>
      <c r="V257" s="17">
        <v>233.33333333333334</v>
      </c>
      <c r="W257" s="14">
        <v>24.451910833333329</v>
      </c>
      <c r="X257">
        <f t="shared" si="6"/>
        <v>18.02675</v>
      </c>
      <c r="Y257">
        <f t="shared" si="7"/>
        <v>25.77710430495857</v>
      </c>
    </row>
    <row r="258" spans="1:25">
      <c r="A258" s="12" t="s">
        <v>235</v>
      </c>
      <c r="B258" s="12" t="s">
        <v>236</v>
      </c>
      <c r="C258" s="12">
        <v>43</v>
      </c>
      <c r="D258" s="12">
        <v>2.16</v>
      </c>
      <c r="E258" s="12" t="s">
        <v>257</v>
      </c>
      <c r="F258" s="13">
        <v>42402</v>
      </c>
      <c r="G258" s="12">
        <v>57</v>
      </c>
      <c r="H258" s="12">
        <v>2.5</v>
      </c>
      <c r="I258" s="13">
        <v>42417</v>
      </c>
      <c r="J258" s="12">
        <v>60</v>
      </c>
      <c r="K258" s="12">
        <v>2.75</v>
      </c>
      <c r="L258" s="12">
        <v>15</v>
      </c>
      <c r="M258" s="12">
        <v>3</v>
      </c>
      <c r="N258" s="12">
        <v>0.25</v>
      </c>
      <c r="O258" s="17">
        <v>32.400000000000006</v>
      </c>
      <c r="P258" s="17"/>
      <c r="Q258" s="17">
        <v>200</v>
      </c>
      <c r="R258" s="14">
        <v>21.751764999999999</v>
      </c>
      <c r="S258" s="12">
        <v>15</v>
      </c>
      <c r="T258" s="12">
        <v>3</v>
      </c>
      <c r="U258" s="14">
        <v>32.400000000000006</v>
      </c>
      <c r="V258" s="17">
        <v>200</v>
      </c>
      <c r="W258" s="14">
        <v>21.751764999999999</v>
      </c>
      <c r="X258">
        <f t="shared" si="6"/>
        <v>18.02675</v>
      </c>
      <c r="Y258">
        <f t="shared" si="7"/>
        <v>22.930621620687131</v>
      </c>
    </row>
    <row r="259" spans="1:25">
      <c r="A259" s="12" t="s">
        <v>235</v>
      </c>
      <c r="B259" s="12" t="s">
        <v>236</v>
      </c>
      <c r="C259" s="12">
        <v>43</v>
      </c>
      <c r="D259" s="12">
        <v>2.16</v>
      </c>
      <c r="E259" s="12" t="s">
        <v>258</v>
      </c>
      <c r="F259" s="13">
        <v>42402</v>
      </c>
      <c r="G259" s="12">
        <v>60</v>
      </c>
      <c r="H259" s="12">
        <v>2.5</v>
      </c>
      <c r="I259" s="13">
        <v>42417</v>
      </c>
      <c r="J259" s="12">
        <v>60</v>
      </c>
      <c r="K259" s="12">
        <v>2.5</v>
      </c>
      <c r="L259" s="12">
        <v>15</v>
      </c>
      <c r="M259" s="12">
        <v>0</v>
      </c>
      <c r="N259" s="12">
        <v>0</v>
      </c>
      <c r="O259" s="17">
        <v>32.400000000000006</v>
      </c>
      <c r="P259" s="17"/>
      <c r="Q259" s="17">
        <v>0</v>
      </c>
      <c r="R259" s="14">
        <v>12.145399999999999</v>
      </c>
      <c r="S259" s="12">
        <v>15</v>
      </c>
      <c r="T259" s="12">
        <v>0</v>
      </c>
      <c r="U259" s="14">
        <v>32.400000000000006</v>
      </c>
      <c r="V259" s="17">
        <v>0</v>
      </c>
      <c r="W259" s="14">
        <v>12.145399999999999</v>
      </c>
      <c r="X259">
        <f t="shared" ref="X259:X322" si="8">IF(H259&gt;0,-4.1485*H259 + 28.398,17.1)</f>
        <v>18.02675</v>
      </c>
      <c r="Y259">
        <f t="shared" ref="Y259:Y322" si="9">W259*X259/17.1</f>
        <v>12.803630961988301</v>
      </c>
    </row>
    <row r="260" spans="1:25">
      <c r="A260" s="12" t="s">
        <v>235</v>
      </c>
      <c r="B260" s="12" t="s">
        <v>236</v>
      </c>
      <c r="C260" s="12">
        <v>43</v>
      </c>
      <c r="D260" s="12">
        <v>2.16</v>
      </c>
      <c r="E260" s="12" t="s">
        <v>259</v>
      </c>
      <c r="F260" s="13">
        <v>42402</v>
      </c>
      <c r="G260" s="12">
        <v>64</v>
      </c>
      <c r="H260" s="12">
        <v>3</v>
      </c>
      <c r="I260" s="13">
        <v>42417</v>
      </c>
      <c r="J260" s="12">
        <v>66.5</v>
      </c>
      <c r="K260" s="12">
        <v>3</v>
      </c>
      <c r="L260" s="12">
        <v>15</v>
      </c>
      <c r="M260" s="12">
        <v>2.5</v>
      </c>
      <c r="N260" s="12">
        <v>0</v>
      </c>
      <c r="O260" s="17">
        <v>32.400000000000006</v>
      </c>
      <c r="P260" s="17"/>
      <c r="Q260" s="17">
        <v>166.66666666666666</v>
      </c>
      <c r="R260" s="14">
        <v>21.249789166666666</v>
      </c>
      <c r="S260" s="12">
        <v>15</v>
      </c>
      <c r="T260" s="12">
        <v>2.5</v>
      </c>
      <c r="U260" s="14">
        <v>32.400000000000006</v>
      </c>
      <c r="V260" s="17">
        <v>166.66666666666666</v>
      </c>
      <c r="W260" s="14">
        <v>21.249789166666666</v>
      </c>
      <c r="X260">
        <f t="shared" si="8"/>
        <v>15.952499999999999</v>
      </c>
      <c r="Y260">
        <f t="shared" si="9"/>
        <v>19.823816472587716</v>
      </c>
    </row>
    <row r="261" spans="1:25">
      <c r="A261" s="12" t="s">
        <v>235</v>
      </c>
      <c r="B261" s="12" t="s">
        <v>236</v>
      </c>
      <c r="C261" s="12">
        <v>43</v>
      </c>
      <c r="D261" s="12">
        <v>2.16</v>
      </c>
      <c r="E261" s="12" t="s">
        <v>260</v>
      </c>
      <c r="F261" s="13">
        <v>42402</v>
      </c>
      <c r="G261" s="12">
        <v>62</v>
      </c>
      <c r="H261" s="12">
        <v>2.5</v>
      </c>
      <c r="I261" s="13">
        <v>42417</v>
      </c>
      <c r="J261" s="12">
        <v>65.5</v>
      </c>
      <c r="K261" s="12">
        <v>3</v>
      </c>
      <c r="L261" s="12">
        <v>15</v>
      </c>
      <c r="M261" s="12">
        <v>3.5</v>
      </c>
      <c r="N261" s="12">
        <v>0.5</v>
      </c>
      <c r="O261" s="17">
        <v>32.400000000000006</v>
      </c>
      <c r="P261" s="17"/>
      <c r="Q261" s="17">
        <v>233.33333333333334</v>
      </c>
      <c r="R261" s="14">
        <v>24.282820833333332</v>
      </c>
      <c r="S261" s="12">
        <v>15</v>
      </c>
      <c r="T261" s="12">
        <v>3.5</v>
      </c>
      <c r="U261" s="14">
        <v>32.400000000000006</v>
      </c>
      <c r="V261" s="17">
        <v>233.33333333333334</v>
      </c>
      <c r="W261" s="14">
        <v>24.282820833333332</v>
      </c>
      <c r="X261">
        <f t="shared" si="8"/>
        <v>18.02675</v>
      </c>
      <c r="Y261">
        <f t="shared" si="9"/>
        <v>25.59885031913986</v>
      </c>
    </row>
    <row r="262" spans="1:25">
      <c r="A262" s="12" t="s">
        <v>235</v>
      </c>
      <c r="B262" s="12" t="s">
        <v>236</v>
      </c>
      <c r="C262" s="12">
        <v>43</v>
      </c>
      <c r="D262" s="12">
        <v>2.16</v>
      </c>
      <c r="E262" s="12" t="s">
        <v>261</v>
      </c>
      <c r="F262" s="13">
        <v>42402</v>
      </c>
      <c r="G262" s="12">
        <v>55</v>
      </c>
      <c r="H262" s="12">
        <v>2.5</v>
      </c>
      <c r="I262" s="13">
        <v>42417</v>
      </c>
      <c r="J262" s="12">
        <v>58.5</v>
      </c>
      <c r="K262" s="12">
        <v>2.5</v>
      </c>
      <c r="L262" s="12">
        <v>15</v>
      </c>
      <c r="M262" s="12">
        <v>3.5</v>
      </c>
      <c r="N262" s="12">
        <v>0</v>
      </c>
      <c r="O262" s="17">
        <v>32.400000000000006</v>
      </c>
      <c r="P262" s="17"/>
      <c r="Q262" s="17">
        <v>233.33333333333334</v>
      </c>
      <c r="R262" s="14">
        <v>23.099190833333331</v>
      </c>
      <c r="S262" s="12">
        <v>15</v>
      </c>
      <c r="T262" s="12">
        <v>3.5</v>
      </c>
      <c r="U262" s="14">
        <v>32.400000000000006</v>
      </c>
      <c r="V262" s="17">
        <v>233.33333333333334</v>
      </c>
      <c r="W262" s="14">
        <v>23.099190833333331</v>
      </c>
      <c r="X262">
        <f t="shared" si="8"/>
        <v>18.02675</v>
      </c>
      <c r="Y262">
        <f t="shared" si="9"/>
        <v>24.351072418408865</v>
      </c>
    </row>
    <row r="263" spans="1:25">
      <c r="A263" s="12" t="s">
        <v>235</v>
      </c>
      <c r="B263" s="12" t="s">
        <v>236</v>
      </c>
      <c r="C263" s="12">
        <v>43</v>
      </c>
      <c r="D263" s="12">
        <v>2.16</v>
      </c>
      <c r="E263" s="12" t="s">
        <v>262</v>
      </c>
      <c r="F263" s="13">
        <v>42402</v>
      </c>
      <c r="G263" s="12">
        <v>64</v>
      </c>
      <c r="H263" s="12">
        <v>3</v>
      </c>
      <c r="I263" s="13">
        <v>42417</v>
      </c>
      <c r="J263" s="12">
        <v>65.5</v>
      </c>
      <c r="K263" s="12">
        <v>3</v>
      </c>
      <c r="L263" s="12">
        <v>15</v>
      </c>
      <c r="M263" s="12">
        <v>1.5</v>
      </c>
      <c r="N263" s="12">
        <v>0</v>
      </c>
      <c r="O263" s="17">
        <v>32.400000000000006</v>
      </c>
      <c r="P263" s="17"/>
      <c r="Q263" s="17">
        <v>100</v>
      </c>
      <c r="R263" s="14">
        <v>17.878577499999999</v>
      </c>
      <c r="S263" s="12">
        <v>15</v>
      </c>
      <c r="T263" s="12">
        <v>1.5</v>
      </c>
      <c r="U263" s="14">
        <v>32.400000000000006</v>
      </c>
      <c r="V263" s="17">
        <v>100</v>
      </c>
      <c r="W263" s="14">
        <v>17.878577499999999</v>
      </c>
      <c r="X263">
        <f t="shared" si="8"/>
        <v>15.952499999999999</v>
      </c>
      <c r="Y263">
        <f t="shared" si="9"/>
        <v>16.678830851973682</v>
      </c>
    </row>
    <row r="264" spans="1:25">
      <c r="A264" s="12" t="s">
        <v>235</v>
      </c>
      <c r="B264" s="12" t="s">
        <v>236</v>
      </c>
      <c r="C264" s="12">
        <v>43</v>
      </c>
      <c r="D264" s="12">
        <v>2.16</v>
      </c>
      <c r="E264" s="12" t="s">
        <v>263</v>
      </c>
      <c r="F264" s="13">
        <v>42402</v>
      </c>
      <c r="G264" s="12">
        <v>59</v>
      </c>
      <c r="H264" s="12">
        <v>2.5</v>
      </c>
      <c r="I264" s="13">
        <v>42417</v>
      </c>
      <c r="J264" s="12">
        <v>63</v>
      </c>
      <c r="K264" s="12">
        <v>3</v>
      </c>
      <c r="L264" s="12">
        <v>15</v>
      </c>
      <c r="M264" s="12">
        <v>4</v>
      </c>
      <c r="N264" s="12">
        <v>0.5</v>
      </c>
      <c r="O264" s="17">
        <v>32.400000000000006</v>
      </c>
      <c r="P264" s="17"/>
      <c r="Q264" s="17">
        <v>266.66666666666669</v>
      </c>
      <c r="R264" s="14">
        <v>25.461156666666668</v>
      </c>
      <c r="S264" s="12">
        <v>15</v>
      </c>
      <c r="T264" s="12">
        <v>4</v>
      </c>
      <c r="U264" s="14">
        <v>32.400000000000006</v>
      </c>
      <c r="V264" s="17">
        <v>266.66666666666669</v>
      </c>
      <c r="W264" s="14">
        <v>25.461156666666668</v>
      </c>
      <c r="X264">
        <f t="shared" si="8"/>
        <v>18.02675</v>
      </c>
      <c r="Y264">
        <f t="shared" si="9"/>
        <v>26.841047131042885</v>
      </c>
    </row>
    <row r="265" spans="1:25">
      <c r="A265" s="12" t="s">
        <v>235</v>
      </c>
      <c r="B265" s="12" t="s">
        <v>236</v>
      </c>
      <c r="C265" s="12">
        <v>43</v>
      </c>
      <c r="D265" s="12">
        <v>2.16</v>
      </c>
      <c r="E265" s="12" t="s">
        <v>264</v>
      </c>
      <c r="F265" s="13">
        <v>42402</v>
      </c>
      <c r="G265" s="12">
        <v>64.5</v>
      </c>
      <c r="H265" s="12">
        <v>2.5</v>
      </c>
      <c r="I265" s="13">
        <v>42417</v>
      </c>
      <c r="J265" s="12">
        <v>67</v>
      </c>
      <c r="K265" s="12">
        <v>3</v>
      </c>
      <c r="L265" s="12">
        <v>15</v>
      </c>
      <c r="M265" s="12">
        <v>2.5</v>
      </c>
      <c r="N265" s="12">
        <v>0.5</v>
      </c>
      <c r="O265" s="17">
        <v>32.400000000000006</v>
      </c>
      <c r="P265" s="17"/>
      <c r="Q265" s="17">
        <v>166.66666666666666</v>
      </c>
      <c r="R265" s="14">
        <v>21.334334166666665</v>
      </c>
      <c r="S265" s="12">
        <v>15</v>
      </c>
      <c r="T265" s="12">
        <v>2.5</v>
      </c>
      <c r="U265" s="14">
        <v>32.400000000000006</v>
      </c>
      <c r="V265" s="17">
        <v>166.66666666666666</v>
      </c>
      <c r="W265" s="14">
        <v>21.334334166666665</v>
      </c>
      <c r="X265">
        <f t="shared" si="8"/>
        <v>18.02675</v>
      </c>
      <c r="Y265">
        <f t="shared" si="9"/>
        <v>22.49056774496832</v>
      </c>
    </row>
    <row r="266" spans="1:25">
      <c r="A266" s="12" t="s">
        <v>235</v>
      </c>
      <c r="B266" s="12" t="s">
        <v>236</v>
      </c>
      <c r="C266" s="12">
        <v>43</v>
      </c>
      <c r="D266" s="12">
        <v>2.16</v>
      </c>
      <c r="E266" s="12" t="s">
        <v>265</v>
      </c>
      <c r="F266" s="13">
        <v>42402</v>
      </c>
      <c r="G266" s="12">
        <v>56</v>
      </c>
      <c r="H266" s="12">
        <v>2.5</v>
      </c>
      <c r="I266" s="13">
        <v>42417</v>
      </c>
      <c r="J266" s="12">
        <v>60.5</v>
      </c>
      <c r="K266" s="12">
        <v>3</v>
      </c>
      <c r="L266" s="12">
        <v>15</v>
      </c>
      <c r="M266" s="12">
        <v>4.5</v>
      </c>
      <c r="N266" s="12">
        <v>0.5</v>
      </c>
      <c r="O266" s="17">
        <v>32.400000000000006</v>
      </c>
      <c r="P266" s="17"/>
      <c r="Q266" s="17">
        <v>300</v>
      </c>
      <c r="R266" s="14">
        <v>26.639492499999999</v>
      </c>
      <c r="S266" s="12">
        <v>15</v>
      </c>
      <c r="T266" s="12">
        <v>4.5</v>
      </c>
      <c r="U266" s="14">
        <v>32.400000000000006</v>
      </c>
      <c r="V266" s="17">
        <v>300</v>
      </c>
      <c r="W266" s="14">
        <v>26.639492499999999</v>
      </c>
      <c r="X266">
        <f t="shared" si="8"/>
        <v>18.02675</v>
      </c>
      <c r="Y266">
        <f t="shared" si="9"/>
        <v>28.083243942945902</v>
      </c>
    </row>
    <row r="267" spans="1:25">
      <c r="A267" s="12" t="s">
        <v>235</v>
      </c>
      <c r="B267" s="12" t="s">
        <v>236</v>
      </c>
      <c r="C267" s="12">
        <v>43</v>
      </c>
      <c r="D267" s="12">
        <v>2.16</v>
      </c>
      <c r="E267" s="12" t="s">
        <v>266</v>
      </c>
      <c r="F267" s="13">
        <v>42402</v>
      </c>
      <c r="G267" s="12">
        <v>65</v>
      </c>
      <c r="H267" s="12">
        <v>3</v>
      </c>
      <c r="I267" s="13">
        <v>42417</v>
      </c>
      <c r="J267" s="12">
        <v>68</v>
      </c>
      <c r="K267" s="12">
        <v>3.25</v>
      </c>
      <c r="L267" s="12">
        <v>15</v>
      </c>
      <c r="M267" s="12">
        <v>3</v>
      </c>
      <c r="N267" s="12">
        <v>0.25</v>
      </c>
      <c r="O267" s="17">
        <v>32.400000000000006</v>
      </c>
      <c r="P267" s="17"/>
      <c r="Q267" s="17">
        <v>200</v>
      </c>
      <c r="R267" s="14">
        <v>23.104484999999997</v>
      </c>
      <c r="S267" s="12">
        <v>15</v>
      </c>
      <c r="T267" s="12">
        <v>3</v>
      </c>
      <c r="U267" s="14">
        <v>32.400000000000006</v>
      </c>
      <c r="V267" s="17">
        <v>200</v>
      </c>
      <c r="W267" s="14">
        <v>23.104484999999997</v>
      </c>
      <c r="X267">
        <f t="shared" si="8"/>
        <v>15.952499999999999</v>
      </c>
      <c r="Y267">
        <f t="shared" si="9"/>
        <v>21.554052453947364</v>
      </c>
    </row>
    <row r="268" spans="1:25">
      <c r="A268" s="12" t="s">
        <v>335</v>
      </c>
      <c r="B268" s="12" t="s">
        <v>371</v>
      </c>
      <c r="C268" s="12">
        <v>245</v>
      </c>
      <c r="D268" s="12">
        <v>2.35</v>
      </c>
      <c r="E268" s="12" t="s">
        <v>372</v>
      </c>
      <c r="F268" s="13">
        <v>41687</v>
      </c>
      <c r="G268" s="12">
        <v>55.8</v>
      </c>
      <c r="I268" s="13">
        <v>41703</v>
      </c>
      <c r="J268" s="12">
        <v>56.6</v>
      </c>
      <c r="L268" s="12">
        <v>16</v>
      </c>
      <c r="M268" s="12">
        <v>0.80000000000000426</v>
      </c>
      <c r="O268" s="17">
        <v>37.6</v>
      </c>
      <c r="P268" s="17"/>
      <c r="Q268" s="17">
        <v>50.00000000000027</v>
      </c>
      <c r="R268" s="14">
        <v>13.967858000000014</v>
      </c>
      <c r="S268" s="12">
        <v>16</v>
      </c>
      <c r="T268" s="12">
        <v>0.80000000000000426</v>
      </c>
      <c r="U268" s="14">
        <v>37.6</v>
      </c>
      <c r="V268" s="17">
        <v>50.00000000000027</v>
      </c>
      <c r="W268" s="14">
        <v>13.967858000000014</v>
      </c>
      <c r="X268">
        <f t="shared" si="8"/>
        <v>17.100000000000001</v>
      </c>
      <c r="Y268">
        <f t="shared" si="9"/>
        <v>13.967858000000014</v>
      </c>
    </row>
    <row r="269" spans="1:25">
      <c r="A269" s="12" t="s">
        <v>335</v>
      </c>
      <c r="B269" s="12" t="s">
        <v>371</v>
      </c>
      <c r="C269" s="12">
        <v>245</v>
      </c>
      <c r="D269" s="12">
        <v>2.35</v>
      </c>
      <c r="E269" s="12" t="s">
        <v>373</v>
      </c>
      <c r="F269" s="13">
        <v>41687</v>
      </c>
      <c r="G269" s="12">
        <v>56.2</v>
      </c>
      <c r="I269" s="13">
        <v>41703</v>
      </c>
      <c r="J269" s="12">
        <v>60</v>
      </c>
      <c r="L269" s="12">
        <v>16</v>
      </c>
      <c r="M269" s="12">
        <v>3.7999999999999972</v>
      </c>
      <c r="O269" s="17">
        <v>37.6</v>
      </c>
      <c r="P269" s="17"/>
      <c r="Q269" s="17">
        <v>237.49999999999983</v>
      </c>
      <c r="R269" s="14">
        <v>23.532878999999991</v>
      </c>
      <c r="S269" s="12">
        <v>16</v>
      </c>
      <c r="T269" s="12">
        <v>3.7999999999999972</v>
      </c>
      <c r="U269" s="14">
        <v>37.6</v>
      </c>
      <c r="V269" s="17">
        <v>237.49999999999983</v>
      </c>
      <c r="W269" s="14">
        <v>23.532878999999991</v>
      </c>
      <c r="X269">
        <f t="shared" si="8"/>
        <v>17.100000000000001</v>
      </c>
      <c r="Y269">
        <f t="shared" si="9"/>
        <v>23.532878999999991</v>
      </c>
    </row>
    <row r="270" spans="1:25">
      <c r="A270" s="12" t="s">
        <v>335</v>
      </c>
      <c r="B270" s="12" t="s">
        <v>371</v>
      </c>
      <c r="C270" s="12">
        <v>245</v>
      </c>
      <c r="D270" s="12">
        <v>2.35</v>
      </c>
      <c r="E270" s="12" t="s">
        <v>374</v>
      </c>
      <c r="F270" s="13">
        <v>41687</v>
      </c>
      <c r="G270" s="12">
        <v>54</v>
      </c>
      <c r="I270" s="13">
        <v>41703</v>
      </c>
      <c r="J270" s="12">
        <v>54.6</v>
      </c>
      <c r="L270" s="12">
        <v>16</v>
      </c>
      <c r="M270" s="12">
        <v>0.60000000000000142</v>
      </c>
      <c r="O270" s="17">
        <v>37.6</v>
      </c>
      <c r="P270" s="17"/>
      <c r="Q270" s="17">
        <v>37.500000000000085</v>
      </c>
      <c r="R270" s="14">
        <v>13.030337000000003</v>
      </c>
      <c r="S270" s="12">
        <v>16</v>
      </c>
      <c r="T270" s="12">
        <v>0.60000000000000142</v>
      </c>
      <c r="U270" s="14">
        <v>37.6</v>
      </c>
      <c r="V270" s="17">
        <v>37.500000000000085</v>
      </c>
      <c r="W270" s="14">
        <v>13.030337000000003</v>
      </c>
      <c r="X270">
        <f t="shared" si="8"/>
        <v>17.100000000000001</v>
      </c>
      <c r="Y270">
        <f t="shared" si="9"/>
        <v>13.030337000000003</v>
      </c>
    </row>
    <row r="271" spans="1:25">
      <c r="A271" s="12" t="s">
        <v>335</v>
      </c>
      <c r="B271" s="12" t="s">
        <v>371</v>
      </c>
      <c r="C271" s="12">
        <v>245</v>
      </c>
      <c r="D271" s="12">
        <v>2.35</v>
      </c>
      <c r="E271" s="12" t="s">
        <v>375</v>
      </c>
      <c r="F271" s="13">
        <v>41687</v>
      </c>
      <c r="G271" s="12">
        <v>58</v>
      </c>
      <c r="I271" s="13">
        <v>41703</v>
      </c>
      <c r="J271" s="12">
        <v>55</v>
      </c>
      <c r="L271" s="12">
        <v>16</v>
      </c>
      <c r="M271" s="12">
        <v>-3</v>
      </c>
      <c r="O271" s="17">
        <v>37.6</v>
      </c>
      <c r="P271" s="17"/>
      <c r="Q271" s="17">
        <v>-187.5</v>
      </c>
      <c r="R271" s="14">
        <v>2.3098350000000014</v>
      </c>
      <c r="S271" s="12">
        <v>16</v>
      </c>
      <c r="T271" s="12">
        <v>-3</v>
      </c>
      <c r="U271" s="14">
        <v>37.6</v>
      </c>
      <c r="V271" s="17">
        <v>-187.5</v>
      </c>
      <c r="W271" s="14">
        <v>2.3098350000000014</v>
      </c>
      <c r="X271">
        <f t="shared" si="8"/>
        <v>17.100000000000001</v>
      </c>
      <c r="Y271">
        <f t="shared" si="9"/>
        <v>2.3098350000000014</v>
      </c>
    </row>
    <row r="272" spans="1:25">
      <c r="A272" s="12" t="s">
        <v>335</v>
      </c>
      <c r="B272" s="12" t="s">
        <v>371</v>
      </c>
      <c r="C272" s="12">
        <v>245</v>
      </c>
      <c r="D272" s="12">
        <v>2.35</v>
      </c>
      <c r="E272" s="12" t="s">
        <v>376</v>
      </c>
      <c r="F272" s="13">
        <v>41687</v>
      </c>
      <c r="G272" s="12">
        <v>58.8</v>
      </c>
      <c r="I272" s="13">
        <v>41703</v>
      </c>
      <c r="J272" s="12">
        <v>58.4</v>
      </c>
      <c r="L272" s="12">
        <v>16</v>
      </c>
      <c r="M272" s="12">
        <v>-0.39999999999999858</v>
      </c>
      <c r="O272" s="17">
        <v>37.6</v>
      </c>
      <c r="P272" s="17"/>
      <c r="Q272" s="17">
        <v>-24.999999999999911</v>
      </c>
      <c r="R272" s="14">
        <v>10.676174000000003</v>
      </c>
      <c r="S272" s="12">
        <v>16</v>
      </c>
      <c r="T272" s="12">
        <v>-0.39999999999999858</v>
      </c>
      <c r="U272" s="14">
        <v>37.6</v>
      </c>
      <c r="V272" s="17">
        <v>-24.999999999999911</v>
      </c>
      <c r="W272" s="14">
        <v>10.676174000000003</v>
      </c>
      <c r="X272">
        <f t="shared" si="8"/>
        <v>17.100000000000001</v>
      </c>
      <c r="Y272">
        <f t="shared" si="9"/>
        <v>10.676174000000003</v>
      </c>
    </row>
    <row r="273" spans="1:25">
      <c r="A273" s="12" t="s">
        <v>335</v>
      </c>
      <c r="B273" s="12" t="s">
        <v>371</v>
      </c>
      <c r="C273" s="12">
        <v>245</v>
      </c>
      <c r="D273" s="12">
        <v>2.35</v>
      </c>
      <c r="E273" s="12" t="s">
        <v>377</v>
      </c>
      <c r="F273" s="13">
        <v>41687</v>
      </c>
      <c r="G273" s="12">
        <v>52.2</v>
      </c>
      <c r="I273" s="13">
        <v>41703</v>
      </c>
      <c r="J273" s="12">
        <v>54</v>
      </c>
      <c r="L273" s="12">
        <v>16</v>
      </c>
      <c r="M273" s="12">
        <v>1.7999999999999972</v>
      </c>
      <c r="O273" s="17">
        <v>37.6</v>
      </c>
      <c r="P273" s="17"/>
      <c r="Q273" s="17">
        <v>112.49999999999983</v>
      </c>
      <c r="R273" s="14">
        <v>16.524928999999993</v>
      </c>
      <c r="S273" s="12">
        <v>16</v>
      </c>
      <c r="T273" s="12">
        <v>1.7999999999999972</v>
      </c>
      <c r="U273" s="14">
        <v>37.6</v>
      </c>
      <c r="V273" s="17">
        <v>112.49999999999983</v>
      </c>
      <c r="W273" s="14">
        <v>16.524928999999993</v>
      </c>
      <c r="X273">
        <f t="shared" si="8"/>
        <v>17.100000000000001</v>
      </c>
      <c r="Y273">
        <f t="shared" si="9"/>
        <v>16.524928999999993</v>
      </c>
    </row>
    <row r="274" spans="1:25">
      <c r="A274" s="12" t="s">
        <v>335</v>
      </c>
      <c r="B274" s="12" t="s">
        <v>371</v>
      </c>
      <c r="C274" s="12">
        <v>245</v>
      </c>
      <c r="D274" s="12">
        <v>2.35</v>
      </c>
      <c r="E274" s="12" t="s">
        <v>378</v>
      </c>
      <c r="F274" s="13">
        <v>41687</v>
      </c>
      <c r="G274" s="12">
        <v>54.6</v>
      </c>
      <c r="I274" s="13">
        <v>41703</v>
      </c>
      <c r="J274" s="12">
        <v>55.6</v>
      </c>
      <c r="L274" s="12">
        <v>16</v>
      </c>
      <c r="M274" s="12">
        <v>1</v>
      </c>
      <c r="O274" s="17">
        <v>37.6</v>
      </c>
      <c r="P274" s="17"/>
      <c r="Q274" s="17">
        <v>62.5</v>
      </c>
      <c r="R274" s="14">
        <v>14.398108999999998</v>
      </c>
      <c r="S274" s="12">
        <v>16</v>
      </c>
      <c r="T274" s="12">
        <v>1</v>
      </c>
      <c r="U274" s="14">
        <v>37.6</v>
      </c>
      <c r="V274" s="17">
        <v>62.5</v>
      </c>
      <c r="W274" s="14">
        <v>14.398108999999998</v>
      </c>
      <c r="X274">
        <f t="shared" si="8"/>
        <v>17.100000000000001</v>
      </c>
      <c r="Y274">
        <f t="shared" si="9"/>
        <v>14.398108999999998</v>
      </c>
    </row>
    <row r="275" spans="1:25">
      <c r="A275" s="12" t="s">
        <v>335</v>
      </c>
      <c r="B275" s="12" t="s">
        <v>371</v>
      </c>
      <c r="C275" s="12">
        <v>245</v>
      </c>
      <c r="D275" s="12">
        <v>2.35</v>
      </c>
      <c r="E275" s="12" t="s">
        <v>379</v>
      </c>
      <c r="F275" s="13">
        <v>41687</v>
      </c>
      <c r="G275" s="12">
        <v>54.6</v>
      </c>
      <c r="I275" s="13">
        <v>41703</v>
      </c>
      <c r="J275" s="12">
        <v>55.8</v>
      </c>
      <c r="L275" s="12">
        <v>16</v>
      </c>
      <c r="M275" s="12">
        <v>1.1999999999999957</v>
      </c>
      <c r="O275" s="17">
        <v>37.6</v>
      </c>
      <c r="P275" s="17"/>
      <c r="Q275" s="17">
        <v>74.99999999999973</v>
      </c>
      <c r="R275" s="14">
        <v>15.031267999999987</v>
      </c>
      <c r="S275" s="12">
        <v>16</v>
      </c>
      <c r="T275" s="12">
        <v>1.1999999999999957</v>
      </c>
      <c r="U275" s="14">
        <v>37.6</v>
      </c>
      <c r="V275" s="17">
        <v>74.99999999999973</v>
      </c>
      <c r="W275" s="14">
        <v>15.031267999999987</v>
      </c>
      <c r="X275">
        <f t="shared" si="8"/>
        <v>17.100000000000001</v>
      </c>
      <c r="Y275">
        <f t="shared" si="9"/>
        <v>15.031267999999988</v>
      </c>
    </row>
    <row r="276" spans="1:25">
      <c r="A276" s="12" t="s">
        <v>335</v>
      </c>
      <c r="B276" s="12" t="s">
        <v>371</v>
      </c>
      <c r="C276" s="12">
        <v>245</v>
      </c>
      <c r="D276" s="12">
        <v>2.35</v>
      </c>
      <c r="E276" s="12" t="s">
        <v>380</v>
      </c>
      <c r="F276" s="13">
        <v>41687</v>
      </c>
      <c r="G276" s="12">
        <v>54</v>
      </c>
      <c r="I276" s="13">
        <v>41703</v>
      </c>
      <c r="J276" s="12">
        <v>55.8</v>
      </c>
      <c r="L276" s="12">
        <v>16</v>
      </c>
      <c r="M276" s="12">
        <v>1.7999999999999972</v>
      </c>
      <c r="O276" s="17">
        <v>37.6</v>
      </c>
      <c r="P276" s="17"/>
      <c r="Q276" s="17">
        <v>112.49999999999983</v>
      </c>
      <c r="R276" s="14">
        <v>16.829290999999991</v>
      </c>
      <c r="S276" s="12">
        <v>16</v>
      </c>
      <c r="T276" s="12">
        <v>1.7999999999999972</v>
      </c>
      <c r="U276" s="14">
        <v>37.6</v>
      </c>
      <c r="V276" s="17">
        <v>112.49999999999983</v>
      </c>
      <c r="W276" s="14">
        <v>16.829290999999991</v>
      </c>
      <c r="X276">
        <f t="shared" si="8"/>
        <v>17.100000000000001</v>
      </c>
      <c r="Y276">
        <f t="shared" si="9"/>
        <v>16.829290999999991</v>
      </c>
    </row>
    <row r="277" spans="1:25">
      <c r="A277" s="12" t="s">
        <v>335</v>
      </c>
      <c r="B277" s="12" t="s">
        <v>371</v>
      </c>
      <c r="C277" s="12">
        <v>245</v>
      </c>
      <c r="D277" s="12">
        <v>2.35</v>
      </c>
      <c r="E277" s="12" t="s">
        <v>381</v>
      </c>
      <c r="F277" s="13">
        <v>41687</v>
      </c>
      <c r="G277" s="12">
        <v>57.2</v>
      </c>
      <c r="I277" s="13">
        <v>41703</v>
      </c>
      <c r="J277" s="12">
        <v>58</v>
      </c>
      <c r="L277" s="12">
        <v>16</v>
      </c>
      <c r="M277" s="12">
        <v>0.79999999999999716</v>
      </c>
      <c r="O277" s="17">
        <v>37.6</v>
      </c>
      <c r="P277" s="17"/>
      <c r="Q277" s="17">
        <v>49.999999999999822</v>
      </c>
      <c r="R277" s="14">
        <v>14.20458399999999</v>
      </c>
      <c r="S277" s="12">
        <v>16</v>
      </c>
      <c r="T277" s="12">
        <v>0.79999999999999716</v>
      </c>
      <c r="U277" s="14">
        <v>37.6</v>
      </c>
      <c r="V277" s="17">
        <v>49.999999999999822</v>
      </c>
      <c r="W277" s="14">
        <v>14.20458399999999</v>
      </c>
      <c r="X277">
        <f t="shared" si="8"/>
        <v>17.100000000000001</v>
      </c>
      <c r="Y277">
        <f t="shared" si="9"/>
        <v>14.20458399999999</v>
      </c>
    </row>
    <row r="278" spans="1:25">
      <c r="A278" s="12" t="s">
        <v>335</v>
      </c>
      <c r="B278" s="12" t="s">
        <v>371</v>
      </c>
      <c r="C278" s="12">
        <v>245</v>
      </c>
      <c r="D278" s="12">
        <v>2.35</v>
      </c>
      <c r="E278" s="12" t="s">
        <v>382</v>
      </c>
      <c r="F278" s="13">
        <v>41687</v>
      </c>
      <c r="G278" s="12">
        <v>64.2</v>
      </c>
      <c r="I278" s="13">
        <v>41703</v>
      </c>
      <c r="J278" s="12">
        <v>66</v>
      </c>
      <c r="L278" s="12">
        <v>16</v>
      </c>
      <c r="M278" s="12">
        <v>1.7999999999999972</v>
      </c>
      <c r="O278" s="17">
        <v>37.6</v>
      </c>
      <c r="P278" s="17"/>
      <c r="Q278" s="17">
        <v>112.49999999999983</v>
      </c>
      <c r="R278" s="14">
        <v>18.55400899999999</v>
      </c>
      <c r="S278" s="12">
        <v>16</v>
      </c>
      <c r="T278" s="12">
        <v>1.7999999999999972</v>
      </c>
      <c r="U278" s="14">
        <v>37.6</v>
      </c>
      <c r="V278" s="17">
        <v>112.49999999999983</v>
      </c>
      <c r="W278" s="14">
        <v>18.55400899999999</v>
      </c>
      <c r="X278">
        <f t="shared" si="8"/>
        <v>17.100000000000001</v>
      </c>
      <c r="Y278">
        <f t="shared" si="9"/>
        <v>18.55400899999999</v>
      </c>
    </row>
    <row r="279" spans="1:25">
      <c r="A279" s="12" t="s">
        <v>335</v>
      </c>
      <c r="B279" s="12" t="s">
        <v>371</v>
      </c>
      <c r="C279" s="12">
        <v>245</v>
      </c>
      <c r="D279" s="12">
        <v>2.35</v>
      </c>
      <c r="E279" s="12" t="s">
        <v>383</v>
      </c>
      <c r="F279" s="13">
        <v>41687</v>
      </c>
      <c r="G279" s="12">
        <v>48.4</v>
      </c>
      <c r="I279" s="13">
        <v>41703</v>
      </c>
      <c r="J279" s="12">
        <v>52.6</v>
      </c>
      <c r="L279" s="12">
        <v>16</v>
      </c>
      <c r="M279" s="12">
        <v>4.2000000000000028</v>
      </c>
      <c r="O279" s="17">
        <v>37.6</v>
      </c>
      <c r="P279" s="17"/>
      <c r="Q279" s="17">
        <v>262.50000000000017</v>
      </c>
      <c r="R279" s="14">
        <v>23.480295000000005</v>
      </c>
      <c r="S279" s="12">
        <v>16</v>
      </c>
      <c r="T279" s="12">
        <v>4.2000000000000028</v>
      </c>
      <c r="U279" s="14">
        <v>37.6</v>
      </c>
      <c r="V279" s="17">
        <v>262.50000000000017</v>
      </c>
      <c r="W279" s="14">
        <v>23.480295000000005</v>
      </c>
      <c r="X279">
        <f t="shared" si="8"/>
        <v>17.100000000000001</v>
      </c>
      <c r="Y279">
        <f t="shared" si="9"/>
        <v>23.480295000000005</v>
      </c>
    </row>
    <row r="280" spans="1:25">
      <c r="A280" s="12" t="s">
        <v>335</v>
      </c>
      <c r="B280" s="12" t="s">
        <v>371</v>
      </c>
      <c r="C280" s="12">
        <v>245</v>
      </c>
      <c r="D280" s="12">
        <v>2.35</v>
      </c>
      <c r="E280" s="12" t="s">
        <v>384</v>
      </c>
      <c r="F280" s="13">
        <v>41687</v>
      </c>
      <c r="G280" s="12">
        <v>55</v>
      </c>
      <c r="I280" s="13">
        <v>41703</v>
      </c>
      <c r="J280" s="12">
        <v>52.6</v>
      </c>
      <c r="L280" s="12">
        <v>16</v>
      </c>
      <c r="M280" s="12">
        <v>-2.3999999999999986</v>
      </c>
      <c r="O280" s="17">
        <v>37.6</v>
      </c>
      <c r="P280" s="17"/>
      <c r="Q280" s="17">
        <v>-149.99999999999991</v>
      </c>
      <c r="R280" s="14">
        <v>3.7020420000000032</v>
      </c>
      <c r="S280" s="12">
        <v>16</v>
      </c>
      <c r="T280" s="12">
        <v>-2.3999999999999986</v>
      </c>
      <c r="U280" s="14">
        <v>37.6</v>
      </c>
      <c r="V280" s="17">
        <v>-149.99999999999991</v>
      </c>
      <c r="W280" s="14">
        <v>3.7020420000000032</v>
      </c>
      <c r="X280">
        <f t="shared" si="8"/>
        <v>17.100000000000001</v>
      </c>
      <c r="Y280">
        <f t="shared" si="9"/>
        <v>3.7020420000000032</v>
      </c>
    </row>
    <row r="281" spans="1:25">
      <c r="A281" s="12" t="s">
        <v>335</v>
      </c>
      <c r="B281" s="12" t="s">
        <v>371</v>
      </c>
      <c r="C281" s="12">
        <v>245</v>
      </c>
      <c r="D281" s="12">
        <v>2.35</v>
      </c>
      <c r="E281" s="12" t="s">
        <v>385</v>
      </c>
      <c r="F281" s="13">
        <v>41687</v>
      </c>
      <c r="G281" s="12">
        <v>50.6</v>
      </c>
      <c r="I281" s="13">
        <v>41703</v>
      </c>
      <c r="J281" s="12">
        <v>53.2</v>
      </c>
      <c r="L281" s="12">
        <v>16</v>
      </c>
      <c r="M281" s="12">
        <v>2.6000000000000014</v>
      </c>
      <c r="O281" s="17">
        <v>37.6</v>
      </c>
      <c r="P281" s="17"/>
      <c r="Q281" s="17">
        <v>162.50000000000009</v>
      </c>
      <c r="R281" s="14">
        <v>18.787021000000003</v>
      </c>
      <c r="S281" s="12">
        <v>16</v>
      </c>
      <c r="T281" s="12">
        <v>2.6000000000000014</v>
      </c>
      <c r="U281" s="14">
        <v>37.6</v>
      </c>
      <c r="V281" s="17">
        <v>162.50000000000009</v>
      </c>
      <c r="W281" s="14">
        <v>18.787021000000003</v>
      </c>
      <c r="X281">
        <f t="shared" si="8"/>
        <v>17.100000000000001</v>
      </c>
      <c r="Y281">
        <f t="shared" si="9"/>
        <v>18.787021000000003</v>
      </c>
    </row>
    <row r="282" spans="1:25">
      <c r="A282" s="12" t="s">
        <v>335</v>
      </c>
      <c r="B282" s="12" t="s">
        <v>371</v>
      </c>
      <c r="C282" s="12">
        <v>245</v>
      </c>
      <c r="D282" s="12">
        <v>2.35</v>
      </c>
      <c r="E282" s="12" t="s">
        <v>386</v>
      </c>
      <c r="F282" s="13">
        <v>41687</v>
      </c>
      <c r="G282" s="12">
        <v>51.6</v>
      </c>
      <c r="I282" s="13">
        <v>41703</v>
      </c>
      <c r="J282" s="12">
        <v>53.6</v>
      </c>
      <c r="L282" s="12">
        <v>16</v>
      </c>
      <c r="M282" s="12">
        <v>2</v>
      </c>
      <c r="O282" s="17">
        <v>37.6</v>
      </c>
      <c r="P282" s="17"/>
      <c r="Q282" s="17">
        <v>125</v>
      </c>
      <c r="R282" s="14">
        <v>17.056633999999999</v>
      </c>
      <c r="S282" s="12">
        <v>16</v>
      </c>
      <c r="T282" s="12">
        <v>2</v>
      </c>
      <c r="U282" s="14">
        <v>37.6</v>
      </c>
      <c r="V282" s="17">
        <v>125</v>
      </c>
      <c r="W282" s="14">
        <v>17.056633999999999</v>
      </c>
      <c r="X282">
        <f t="shared" si="8"/>
        <v>17.100000000000001</v>
      </c>
      <c r="Y282">
        <f t="shared" si="9"/>
        <v>17.056633999999999</v>
      </c>
    </row>
    <row r="283" spans="1:25">
      <c r="A283" s="12" t="s">
        <v>335</v>
      </c>
      <c r="B283" s="12" t="s">
        <v>371</v>
      </c>
      <c r="C283" s="12">
        <v>245</v>
      </c>
      <c r="D283" s="12">
        <v>2.35</v>
      </c>
      <c r="E283" s="12" t="s">
        <v>387</v>
      </c>
      <c r="F283" s="13">
        <v>41687</v>
      </c>
      <c r="G283" s="12">
        <v>49.6</v>
      </c>
      <c r="I283" s="13">
        <v>41703</v>
      </c>
      <c r="J283" s="12">
        <v>54.4</v>
      </c>
      <c r="L283" s="12">
        <v>16</v>
      </c>
      <c r="M283" s="12">
        <v>4.7999999999999972</v>
      </c>
      <c r="O283" s="17">
        <v>37.6</v>
      </c>
      <c r="P283" s="17"/>
      <c r="Q283" s="17">
        <v>299.99999999999983</v>
      </c>
      <c r="R283" s="14">
        <v>25.582679999999989</v>
      </c>
      <c r="S283" s="12">
        <v>16</v>
      </c>
      <c r="T283" s="12">
        <v>4.7999999999999972</v>
      </c>
      <c r="U283" s="14">
        <v>37.6</v>
      </c>
      <c r="V283" s="17">
        <v>299.99999999999983</v>
      </c>
      <c r="W283" s="14">
        <v>25.582679999999989</v>
      </c>
      <c r="X283">
        <f t="shared" si="8"/>
        <v>17.100000000000001</v>
      </c>
      <c r="Y283">
        <f t="shared" si="9"/>
        <v>25.582679999999989</v>
      </c>
    </row>
    <row r="284" spans="1:25">
      <c r="A284" s="12" t="s">
        <v>335</v>
      </c>
      <c r="B284" s="12" t="s">
        <v>371</v>
      </c>
      <c r="C284" s="12">
        <v>245</v>
      </c>
      <c r="D284" s="12">
        <v>2.35</v>
      </c>
      <c r="E284" s="12" t="s">
        <v>388</v>
      </c>
      <c r="F284" s="13">
        <v>41687</v>
      </c>
      <c r="G284" s="12">
        <v>52.4</v>
      </c>
      <c r="I284" s="13">
        <v>41703</v>
      </c>
      <c r="J284" s="12">
        <v>56</v>
      </c>
      <c r="L284" s="12">
        <v>16</v>
      </c>
      <c r="M284" s="12">
        <v>3.6000000000000014</v>
      </c>
      <c r="O284" s="17">
        <v>37.6</v>
      </c>
      <c r="P284" s="17"/>
      <c r="Q284" s="17">
        <v>225.00000000000009</v>
      </c>
      <c r="R284" s="14">
        <v>22.257178000000003</v>
      </c>
      <c r="S284" s="12">
        <v>16</v>
      </c>
      <c r="T284" s="12">
        <v>3.6000000000000014</v>
      </c>
      <c r="U284" s="14">
        <v>37.6</v>
      </c>
      <c r="V284" s="17">
        <v>225.00000000000009</v>
      </c>
      <c r="W284" s="14">
        <v>22.257178000000003</v>
      </c>
      <c r="X284">
        <f t="shared" si="8"/>
        <v>17.100000000000001</v>
      </c>
      <c r="Y284">
        <f t="shared" si="9"/>
        <v>22.257178000000003</v>
      </c>
    </row>
    <row r="285" spans="1:25">
      <c r="A285" s="12" t="s">
        <v>335</v>
      </c>
      <c r="B285" s="12" t="s">
        <v>371</v>
      </c>
      <c r="C285" s="12">
        <v>245</v>
      </c>
      <c r="D285" s="12">
        <v>2.35</v>
      </c>
      <c r="E285" s="12" t="s">
        <v>389</v>
      </c>
      <c r="F285" s="13">
        <v>41687</v>
      </c>
      <c r="G285" s="12">
        <v>50.6</v>
      </c>
      <c r="I285" s="13">
        <v>41703</v>
      </c>
      <c r="J285" s="12">
        <v>53</v>
      </c>
      <c r="L285" s="12">
        <v>16</v>
      </c>
      <c r="M285" s="12">
        <v>2.3999999999999986</v>
      </c>
      <c r="O285" s="17">
        <v>37.6</v>
      </c>
      <c r="P285" s="17"/>
      <c r="Q285" s="17">
        <v>149.99999999999991</v>
      </c>
      <c r="R285" s="14">
        <v>18.153861999999993</v>
      </c>
      <c r="S285" s="12">
        <v>16</v>
      </c>
      <c r="T285" s="12">
        <v>2.3999999999999986</v>
      </c>
      <c r="U285" s="14">
        <v>37.6</v>
      </c>
      <c r="V285" s="17">
        <v>149.99999999999991</v>
      </c>
      <c r="W285" s="14">
        <v>18.153861999999993</v>
      </c>
      <c r="X285">
        <f t="shared" si="8"/>
        <v>17.100000000000001</v>
      </c>
      <c r="Y285">
        <f t="shared" si="9"/>
        <v>18.153861999999993</v>
      </c>
    </row>
    <row r="286" spans="1:25">
      <c r="A286" s="12" t="s">
        <v>335</v>
      </c>
      <c r="B286" s="12" t="s">
        <v>371</v>
      </c>
      <c r="C286" s="12">
        <v>245</v>
      </c>
      <c r="D286" s="12">
        <v>2.35</v>
      </c>
      <c r="E286" s="12" t="s">
        <v>390</v>
      </c>
      <c r="F286" s="13">
        <v>41687</v>
      </c>
      <c r="G286" s="12">
        <v>50</v>
      </c>
      <c r="I286" s="13">
        <v>41703</v>
      </c>
      <c r="J286" s="12">
        <v>51.2</v>
      </c>
      <c r="L286" s="12">
        <v>16</v>
      </c>
      <c r="M286" s="12">
        <v>1.2000000000000028</v>
      </c>
      <c r="O286" s="17">
        <v>37.6</v>
      </c>
      <c r="P286" s="17"/>
      <c r="Q286" s="17">
        <v>75.000000000000171</v>
      </c>
      <c r="R286" s="14">
        <v>14.253454000000009</v>
      </c>
      <c r="S286" s="12">
        <v>16</v>
      </c>
      <c r="T286" s="12">
        <v>1.2000000000000028</v>
      </c>
      <c r="U286" s="14">
        <v>37.6</v>
      </c>
      <c r="V286" s="17">
        <v>75.000000000000171</v>
      </c>
      <c r="W286" s="14">
        <v>14.253454000000009</v>
      </c>
      <c r="X286">
        <f t="shared" si="8"/>
        <v>17.100000000000001</v>
      </c>
      <c r="Y286">
        <f t="shared" si="9"/>
        <v>14.253454000000009</v>
      </c>
    </row>
    <row r="287" spans="1:25">
      <c r="A287" s="12" t="s">
        <v>335</v>
      </c>
      <c r="B287" s="12" t="s">
        <v>371</v>
      </c>
      <c r="C287" s="12">
        <v>245</v>
      </c>
      <c r="D287" s="12">
        <v>2.35</v>
      </c>
      <c r="E287" s="12" t="s">
        <v>391</v>
      </c>
      <c r="F287" s="13">
        <v>41687</v>
      </c>
      <c r="G287" s="12">
        <v>55.4</v>
      </c>
      <c r="I287" s="13">
        <v>41703</v>
      </c>
      <c r="J287" s="12">
        <v>57</v>
      </c>
      <c r="L287" s="12">
        <v>16</v>
      </c>
      <c r="M287" s="12">
        <v>1.6000000000000014</v>
      </c>
      <c r="O287" s="17">
        <v>37.6</v>
      </c>
      <c r="P287" s="17"/>
      <c r="Q287" s="17">
        <v>100.00000000000009</v>
      </c>
      <c r="R287" s="14">
        <v>16.432858000000003</v>
      </c>
      <c r="S287" s="12">
        <v>16</v>
      </c>
      <c r="T287" s="12">
        <v>1.6000000000000014</v>
      </c>
      <c r="U287" s="14">
        <v>37.6</v>
      </c>
      <c r="V287" s="17">
        <v>100.00000000000009</v>
      </c>
      <c r="W287" s="14">
        <v>16.432858000000003</v>
      </c>
      <c r="X287">
        <f t="shared" si="8"/>
        <v>17.100000000000001</v>
      </c>
      <c r="Y287">
        <f t="shared" si="9"/>
        <v>16.432858000000003</v>
      </c>
    </row>
    <row r="288" spans="1:25">
      <c r="A288" s="12" t="s">
        <v>335</v>
      </c>
      <c r="B288" s="12" t="s">
        <v>371</v>
      </c>
      <c r="C288" s="12">
        <v>245</v>
      </c>
      <c r="D288" s="12">
        <v>2.35</v>
      </c>
      <c r="E288" s="12" t="s">
        <v>392</v>
      </c>
      <c r="F288" s="13">
        <v>41687</v>
      </c>
      <c r="G288" s="12">
        <v>56.2</v>
      </c>
      <c r="I288" s="13">
        <v>41703</v>
      </c>
      <c r="J288" s="12">
        <v>61</v>
      </c>
      <c r="L288" s="12">
        <v>16</v>
      </c>
      <c r="M288" s="12">
        <v>4.7999999999999972</v>
      </c>
      <c r="O288" s="17">
        <v>37.6</v>
      </c>
      <c r="P288" s="17"/>
      <c r="Q288" s="17">
        <v>299.99999999999983</v>
      </c>
      <c r="R288" s="14">
        <v>26.69867399999999</v>
      </c>
      <c r="S288" s="12">
        <v>16</v>
      </c>
      <c r="T288" s="12">
        <v>4.7999999999999972</v>
      </c>
      <c r="U288" s="14">
        <v>37.6</v>
      </c>
      <c r="V288" s="17">
        <v>299.99999999999983</v>
      </c>
      <c r="W288" s="14">
        <v>26.69867399999999</v>
      </c>
      <c r="X288">
        <f t="shared" si="8"/>
        <v>17.100000000000001</v>
      </c>
      <c r="Y288">
        <f t="shared" si="9"/>
        <v>26.69867399999999</v>
      </c>
    </row>
    <row r="289" spans="1:25">
      <c r="A289" s="12" t="s">
        <v>335</v>
      </c>
      <c r="B289" s="12" t="s">
        <v>371</v>
      </c>
      <c r="C289" s="12">
        <v>245</v>
      </c>
      <c r="D289" s="12">
        <v>2.35</v>
      </c>
      <c r="E289" s="12" t="s">
        <v>393</v>
      </c>
      <c r="F289" s="13">
        <v>41687</v>
      </c>
      <c r="G289" s="12">
        <v>51</v>
      </c>
      <c r="I289" s="13">
        <v>41703</v>
      </c>
      <c r="J289" s="12">
        <v>47.4</v>
      </c>
      <c r="L289" s="12">
        <v>16</v>
      </c>
      <c r="M289" s="12">
        <v>-3.6000000000000014</v>
      </c>
      <c r="O289" s="17">
        <v>37.6</v>
      </c>
      <c r="P289" s="17"/>
      <c r="Q289" s="17">
        <v>-225.00000000000009</v>
      </c>
      <c r="R289" s="14">
        <v>-0.77327200000000218</v>
      </c>
      <c r="S289" s="12">
        <v>16</v>
      </c>
      <c r="T289" s="12">
        <v>-3.6000000000000014</v>
      </c>
      <c r="U289" s="14">
        <v>37.6</v>
      </c>
      <c r="V289" s="17">
        <v>-225.00000000000009</v>
      </c>
      <c r="W289" s="14">
        <v>-0.77327200000000218</v>
      </c>
      <c r="X289">
        <f t="shared" si="8"/>
        <v>17.100000000000001</v>
      </c>
      <c r="Y289">
        <f t="shared" si="9"/>
        <v>-0.77327200000000218</v>
      </c>
    </row>
    <row r="290" spans="1:25">
      <c r="A290" s="12" t="s">
        <v>335</v>
      </c>
      <c r="B290" s="12" t="s">
        <v>371</v>
      </c>
      <c r="C290" s="12">
        <v>245</v>
      </c>
      <c r="D290" s="12">
        <v>2.35</v>
      </c>
      <c r="E290" s="12" t="s">
        <v>394</v>
      </c>
      <c r="F290" s="13">
        <v>41687</v>
      </c>
      <c r="G290" s="12">
        <v>51.4</v>
      </c>
      <c r="I290" s="13">
        <v>41703</v>
      </c>
      <c r="J290" s="12">
        <v>52.8</v>
      </c>
      <c r="L290" s="12">
        <v>16</v>
      </c>
      <c r="M290" s="12">
        <v>1.3999999999999986</v>
      </c>
      <c r="O290" s="17">
        <v>37.6</v>
      </c>
      <c r="P290" s="17"/>
      <c r="Q290" s="17">
        <v>87.499999999999915</v>
      </c>
      <c r="R290" s="14">
        <v>15.123338999999994</v>
      </c>
      <c r="S290" s="12">
        <v>16</v>
      </c>
      <c r="T290" s="12">
        <v>1.3999999999999986</v>
      </c>
      <c r="U290" s="14">
        <v>37.6</v>
      </c>
      <c r="V290" s="17">
        <v>87.499999999999915</v>
      </c>
      <c r="W290" s="14">
        <v>15.123338999999994</v>
      </c>
      <c r="X290">
        <f t="shared" si="8"/>
        <v>17.100000000000001</v>
      </c>
      <c r="Y290">
        <f t="shared" si="9"/>
        <v>15.123338999999996</v>
      </c>
    </row>
    <row r="291" spans="1:25">
      <c r="A291" s="12" t="s">
        <v>335</v>
      </c>
      <c r="B291" s="12" t="s">
        <v>371</v>
      </c>
      <c r="C291" s="12">
        <v>245</v>
      </c>
      <c r="D291" s="12">
        <v>2.35</v>
      </c>
      <c r="E291" s="12" t="s">
        <v>395</v>
      </c>
      <c r="F291" s="13">
        <v>41687</v>
      </c>
      <c r="G291" s="12">
        <v>48.6</v>
      </c>
      <c r="I291" s="13">
        <v>41703</v>
      </c>
      <c r="J291" s="12">
        <v>48.6</v>
      </c>
      <c r="L291" s="12">
        <v>16</v>
      </c>
      <c r="M291" s="12">
        <v>0</v>
      </c>
      <c r="O291" s="17">
        <v>37.6</v>
      </c>
      <c r="P291" s="17"/>
      <c r="Q291" s="17">
        <v>0</v>
      </c>
      <c r="R291" s="14">
        <v>10.217774</v>
      </c>
      <c r="S291" s="12">
        <v>16</v>
      </c>
      <c r="T291" s="12">
        <v>0</v>
      </c>
      <c r="U291" s="14">
        <v>37.6</v>
      </c>
      <c r="V291" s="17">
        <v>0</v>
      </c>
      <c r="W291" s="14">
        <v>10.217774</v>
      </c>
      <c r="X291">
        <f t="shared" si="8"/>
        <v>17.100000000000001</v>
      </c>
      <c r="Y291">
        <f t="shared" si="9"/>
        <v>10.217774</v>
      </c>
    </row>
    <row r="292" spans="1:25">
      <c r="A292" s="12" t="s">
        <v>335</v>
      </c>
      <c r="B292" s="12" t="s">
        <v>371</v>
      </c>
      <c r="C292" s="12">
        <v>245</v>
      </c>
      <c r="D292" s="12">
        <v>2.35</v>
      </c>
      <c r="E292" s="12" t="s">
        <v>396</v>
      </c>
      <c r="F292" s="13">
        <v>41687</v>
      </c>
      <c r="G292" s="12">
        <v>48.6</v>
      </c>
      <c r="I292" s="13">
        <v>41703</v>
      </c>
      <c r="J292" s="12">
        <v>47.8</v>
      </c>
      <c r="L292" s="12">
        <v>16</v>
      </c>
      <c r="M292" s="12">
        <v>-0.80000000000000426</v>
      </c>
      <c r="O292" s="17">
        <v>37.6</v>
      </c>
      <c r="P292" s="17"/>
      <c r="Q292" s="17">
        <v>-50.00000000000027</v>
      </c>
      <c r="R292" s="14">
        <v>7.6851379999999869</v>
      </c>
      <c r="S292" s="12">
        <v>16</v>
      </c>
      <c r="T292" s="12">
        <v>-0.80000000000000426</v>
      </c>
      <c r="U292" s="14">
        <v>37.6</v>
      </c>
      <c r="V292" s="17">
        <v>-50.00000000000027</v>
      </c>
      <c r="W292" s="14">
        <v>7.6851379999999869</v>
      </c>
      <c r="X292">
        <f t="shared" si="8"/>
        <v>17.100000000000001</v>
      </c>
      <c r="Y292">
        <f t="shared" si="9"/>
        <v>7.6851379999999869</v>
      </c>
    </row>
    <row r="293" spans="1:25">
      <c r="A293" s="12" t="s">
        <v>335</v>
      </c>
      <c r="B293" s="12" t="s">
        <v>371</v>
      </c>
      <c r="C293" s="12">
        <v>245</v>
      </c>
      <c r="D293" s="12">
        <v>2.35</v>
      </c>
      <c r="E293" s="12" t="s">
        <v>397</v>
      </c>
      <c r="F293" s="13">
        <v>41687</v>
      </c>
      <c r="G293" s="12">
        <v>62.8</v>
      </c>
      <c r="I293" s="13">
        <v>41703</v>
      </c>
      <c r="J293" s="12">
        <v>64</v>
      </c>
      <c r="L293" s="12">
        <v>16</v>
      </c>
      <c r="M293" s="12">
        <v>1.2000000000000028</v>
      </c>
      <c r="O293" s="17">
        <v>37.6</v>
      </c>
      <c r="P293" s="17"/>
      <c r="Q293" s="17">
        <v>75.000000000000171</v>
      </c>
      <c r="R293" s="14">
        <v>16.417806000000006</v>
      </c>
      <c r="S293" s="12">
        <v>16</v>
      </c>
      <c r="T293" s="12">
        <v>1.2000000000000028</v>
      </c>
      <c r="U293" s="14">
        <v>37.6</v>
      </c>
      <c r="V293" s="17">
        <v>75.000000000000171</v>
      </c>
      <c r="W293" s="14">
        <v>16.417806000000006</v>
      </c>
      <c r="X293">
        <f t="shared" si="8"/>
        <v>17.100000000000001</v>
      </c>
      <c r="Y293">
        <f t="shared" si="9"/>
        <v>16.417806000000006</v>
      </c>
    </row>
    <row r="294" spans="1:25">
      <c r="A294" s="12" t="s">
        <v>335</v>
      </c>
      <c r="B294" s="12" t="s">
        <v>371</v>
      </c>
      <c r="C294" s="12">
        <v>245</v>
      </c>
      <c r="D294" s="12">
        <v>2.35</v>
      </c>
      <c r="E294" s="12" t="s">
        <v>398</v>
      </c>
      <c r="F294" s="13">
        <v>41687</v>
      </c>
      <c r="G294" s="12">
        <v>55</v>
      </c>
      <c r="I294" s="13">
        <v>41703</v>
      </c>
      <c r="J294" s="12">
        <v>55.2</v>
      </c>
      <c r="L294" s="12">
        <v>16</v>
      </c>
      <c r="M294" s="12">
        <v>0.20000000000000284</v>
      </c>
      <c r="O294" s="17">
        <v>37.6</v>
      </c>
      <c r="P294" s="17"/>
      <c r="Q294" s="17">
        <v>12.500000000000178</v>
      </c>
      <c r="R294" s="14">
        <v>11.933109000000007</v>
      </c>
      <c r="S294" s="12">
        <v>16</v>
      </c>
      <c r="T294" s="12">
        <v>0.20000000000000284</v>
      </c>
      <c r="U294" s="14">
        <v>37.6</v>
      </c>
      <c r="V294" s="17">
        <v>12.500000000000178</v>
      </c>
      <c r="W294" s="14">
        <v>11.933109000000007</v>
      </c>
      <c r="X294">
        <f t="shared" si="8"/>
        <v>17.100000000000001</v>
      </c>
      <c r="Y294">
        <f t="shared" si="9"/>
        <v>11.933109000000007</v>
      </c>
    </row>
    <row r="295" spans="1:25">
      <c r="A295" s="12" t="s">
        <v>335</v>
      </c>
      <c r="B295" s="12" t="s">
        <v>371</v>
      </c>
      <c r="C295" s="12">
        <v>245</v>
      </c>
      <c r="D295" s="12">
        <v>2.35</v>
      </c>
      <c r="E295" s="12" t="s">
        <v>399</v>
      </c>
      <c r="F295" s="13">
        <v>41687</v>
      </c>
      <c r="G295" s="12">
        <v>63.2</v>
      </c>
      <c r="I295" s="13">
        <v>41703</v>
      </c>
      <c r="J295" s="12">
        <v>61.4</v>
      </c>
      <c r="L295" s="12">
        <v>16</v>
      </c>
      <c r="M295" s="12">
        <v>-1.8000000000000043</v>
      </c>
      <c r="O295" s="17">
        <v>37.6</v>
      </c>
      <c r="P295" s="17"/>
      <c r="Q295" s="17">
        <v>-112.50000000000027</v>
      </c>
      <c r="R295" s="14">
        <v>6.9880569999999853</v>
      </c>
      <c r="S295" s="12">
        <v>16</v>
      </c>
      <c r="T295" s="12">
        <v>-1.8000000000000043</v>
      </c>
      <c r="U295" s="14">
        <v>37.6</v>
      </c>
      <c r="V295" s="17">
        <v>-112.50000000000027</v>
      </c>
      <c r="W295" s="14">
        <v>6.9880569999999853</v>
      </c>
      <c r="X295">
        <f t="shared" si="8"/>
        <v>17.100000000000001</v>
      </c>
      <c r="Y295">
        <f t="shared" si="9"/>
        <v>6.9880569999999853</v>
      </c>
    </row>
    <row r="296" spans="1:25">
      <c r="A296" s="12" t="s">
        <v>335</v>
      </c>
      <c r="B296" s="12" t="s">
        <v>371</v>
      </c>
      <c r="C296" s="12">
        <v>245</v>
      </c>
      <c r="D296" s="12">
        <v>2.35</v>
      </c>
      <c r="E296" s="12" t="s">
        <v>400</v>
      </c>
      <c r="F296" s="13">
        <v>41687</v>
      </c>
      <c r="G296" s="12">
        <v>51.8</v>
      </c>
      <c r="I296" s="13">
        <v>41703</v>
      </c>
      <c r="J296" s="12">
        <v>51.4</v>
      </c>
      <c r="L296" s="12">
        <v>16</v>
      </c>
      <c r="M296" s="12">
        <v>-0.39999999999999858</v>
      </c>
      <c r="O296" s="17">
        <v>37.6</v>
      </c>
      <c r="P296" s="17"/>
      <c r="Q296" s="17">
        <v>-24.999999999999911</v>
      </c>
      <c r="R296" s="14">
        <v>9.4925440000000023</v>
      </c>
      <c r="S296" s="12">
        <v>16</v>
      </c>
      <c r="T296" s="12">
        <v>-0.39999999999999858</v>
      </c>
      <c r="U296" s="14">
        <v>37.6</v>
      </c>
      <c r="V296" s="17">
        <v>-24.999999999999911</v>
      </c>
      <c r="W296" s="14">
        <v>9.4925440000000023</v>
      </c>
      <c r="X296">
        <f t="shared" si="8"/>
        <v>17.100000000000001</v>
      </c>
      <c r="Y296">
        <f t="shared" si="9"/>
        <v>9.4925440000000023</v>
      </c>
    </row>
    <row r="297" spans="1:25">
      <c r="A297" s="12" t="s">
        <v>335</v>
      </c>
      <c r="B297" s="12" t="s">
        <v>371</v>
      </c>
      <c r="C297" s="12">
        <v>245</v>
      </c>
      <c r="D297" s="12">
        <v>2.35</v>
      </c>
      <c r="E297" s="12" t="s">
        <v>401</v>
      </c>
      <c r="F297" s="13">
        <v>41687</v>
      </c>
      <c r="G297" s="12">
        <v>56.2</v>
      </c>
      <c r="I297" s="13">
        <v>41703</v>
      </c>
      <c r="J297" s="12">
        <v>53.6</v>
      </c>
      <c r="L297" s="12">
        <v>16</v>
      </c>
      <c r="M297" s="12">
        <v>-2.6000000000000014</v>
      </c>
      <c r="O297" s="17">
        <v>37.6</v>
      </c>
      <c r="P297" s="17"/>
      <c r="Q297" s="17">
        <v>-162.50000000000009</v>
      </c>
      <c r="R297" s="14">
        <v>3.2717909999999968</v>
      </c>
      <c r="S297" s="12">
        <v>16</v>
      </c>
      <c r="T297" s="12">
        <v>-2.6000000000000014</v>
      </c>
      <c r="U297" s="14">
        <v>37.6</v>
      </c>
      <c r="V297" s="17">
        <v>-162.50000000000009</v>
      </c>
      <c r="W297" s="14">
        <v>3.2717909999999968</v>
      </c>
      <c r="X297">
        <f t="shared" si="8"/>
        <v>17.100000000000001</v>
      </c>
      <c r="Y297">
        <f t="shared" si="9"/>
        <v>3.2717909999999968</v>
      </c>
    </row>
    <row r="298" spans="1:25">
      <c r="A298" s="12" t="s">
        <v>335</v>
      </c>
      <c r="B298" s="12" t="s">
        <v>371</v>
      </c>
      <c r="C298" s="12">
        <v>245</v>
      </c>
      <c r="D298" s="12">
        <v>2.35</v>
      </c>
      <c r="E298" s="12" t="s">
        <v>402</v>
      </c>
      <c r="F298" s="13">
        <v>41687</v>
      </c>
      <c r="G298" s="12">
        <v>59.6</v>
      </c>
      <c r="I298" s="13">
        <v>41703</v>
      </c>
      <c r="J298" s="12">
        <v>59.2</v>
      </c>
      <c r="L298" s="12">
        <v>16</v>
      </c>
      <c r="M298" s="12">
        <v>-0.39999999999999858</v>
      </c>
      <c r="O298" s="17">
        <v>37.6</v>
      </c>
      <c r="P298" s="17"/>
      <c r="Q298" s="17">
        <v>-24.999999999999911</v>
      </c>
      <c r="R298" s="14">
        <v>10.811446000000004</v>
      </c>
      <c r="S298" s="12">
        <v>16</v>
      </c>
      <c r="T298" s="12">
        <v>-0.39999999999999858</v>
      </c>
      <c r="U298" s="14">
        <v>37.6</v>
      </c>
      <c r="V298" s="17">
        <v>-24.999999999999911</v>
      </c>
      <c r="W298" s="14">
        <v>10.811446000000004</v>
      </c>
      <c r="X298">
        <f t="shared" si="8"/>
        <v>17.100000000000001</v>
      </c>
      <c r="Y298">
        <f t="shared" si="9"/>
        <v>10.811446000000004</v>
      </c>
    </row>
    <row r="299" spans="1:25">
      <c r="A299" s="12" t="s">
        <v>335</v>
      </c>
      <c r="B299" s="12" t="s">
        <v>371</v>
      </c>
      <c r="C299" s="12">
        <v>245</v>
      </c>
      <c r="D299" s="12">
        <v>2.35</v>
      </c>
      <c r="E299" s="12" t="s">
        <v>403</v>
      </c>
      <c r="F299" s="13">
        <v>41687</v>
      </c>
      <c r="G299" s="12">
        <v>49.4</v>
      </c>
      <c r="I299" s="13">
        <v>41703</v>
      </c>
      <c r="J299" s="12">
        <v>49.6</v>
      </c>
      <c r="L299" s="12">
        <v>16</v>
      </c>
      <c r="M299" s="12">
        <v>0.20000000000000284</v>
      </c>
      <c r="O299" s="17">
        <v>37.6</v>
      </c>
      <c r="P299" s="17"/>
      <c r="Q299" s="17">
        <v>12.500000000000178</v>
      </c>
      <c r="R299" s="14">
        <v>10.986205000000007</v>
      </c>
      <c r="S299" s="12">
        <v>16</v>
      </c>
      <c r="T299" s="12">
        <v>0.20000000000000284</v>
      </c>
      <c r="U299" s="14">
        <v>37.6</v>
      </c>
      <c r="V299" s="17">
        <v>12.500000000000178</v>
      </c>
      <c r="W299" s="14">
        <v>10.986205000000007</v>
      </c>
      <c r="X299">
        <f t="shared" si="8"/>
        <v>17.100000000000001</v>
      </c>
      <c r="Y299">
        <f t="shared" si="9"/>
        <v>10.986205000000007</v>
      </c>
    </row>
    <row r="300" spans="1:25">
      <c r="A300" s="12" t="s">
        <v>335</v>
      </c>
      <c r="B300" s="12" t="s">
        <v>371</v>
      </c>
      <c r="C300" s="12">
        <v>245</v>
      </c>
      <c r="D300" s="12">
        <v>2.35</v>
      </c>
      <c r="E300" s="12" t="s">
        <v>404</v>
      </c>
      <c r="F300" s="13">
        <v>41687</v>
      </c>
      <c r="G300" s="12">
        <v>52.8</v>
      </c>
      <c r="I300" s="13">
        <v>41703</v>
      </c>
      <c r="J300" s="12">
        <v>56.8</v>
      </c>
      <c r="L300" s="12">
        <v>16</v>
      </c>
      <c r="M300" s="12">
        <v>4</v>
      </c>
      <c r="O300" s="17">
        <v>37.6</v>
      </c>
      <c r="P300" s="17"/>
      <c r="Q300" s="17">
        <v>250</v>
      </c>
      <c r="R300" s="14">
        <v>23.591131999999998</v>
      </c>
      <c r="S300" s="12">
        <v>16</v>
      </c>
      <c r="T300" s="12">
        <v>4</v>
      </c>
      <c r="U300" s="14">
        <v>37.6</v>
      </c>
      <c r="V300" s="17">
        <v>250</v>
      </c>
      <c r="W300" s="14">
        <v>23.591131999999998</v>
      </c>
      <c r="X300">
        <f t="shared" si="8"/>
        <v>17.100000000000001</v>
      </c>
      <c r="Y300">
        <f t="shared" si="9"/>
        <v>23.591131999999998</v>
      </c>
    </row>
    <row r="301" spans="1:25">
      <c r="A301" s="12" t="s">
        <v>335</v>
      </c>
      <c r="B301" s="12" t="s">
        <v>371</v>
      </c>
      <c r="C301" s="12">
        <v>245</v>
      </c>
      <c r="D301" s="12">
        <v>2.35</v>
      </c>
      <c r="E301" s="12" t="s">
        <v>405</v>
      </c>
      <c r="F301" s="13">
        <v>41687</v>
      </c>
      <c r="G301" s="12">
        <v>61.2</v>
      </c>
      <c r="I301" s="13">
        <v>41703</v>
      </c>
      <c r="J301" s="12">
        <v>57.8</v>
      </c>
      <c r="L301" s="12">
        <v>16</v>
      </c>
      <c r="M301" s="12">
        <v>-3.4000000000000057</v>
      </c>
      <c r="O301" s="17">
        <v>37.6</v>
      </c>
      <c r="P301" s="17"/>
      <c r="Q301" s="17">
        <v>-212.50000000000034</v>
      </c>
      <c r="R301" s="14">
        <v>1.5846049999999838</v>
      </c>
      <c r="S301" s="12">
        <v>16</v>
      </c>
      <c r="T301" s="12">
        <v>-3.4000000000000057</v>
      </c>
      <c r="U301" s="14">
        <v>37.6</v>
      </c>
      <c r="V301" s="17">
        <v>-212.50000000000034</v>
      </c>
      <c r="W301" s="14">
        <v>1.5846049999999838</v>
      </c>
      <c r="X301">
        <f t="shared" si="8"/>
        <v>17.100000000000001</v>
      </c>
      <c r="Y301">
        <f t="shared" si="9"/>
        <v>1.5846049999999838</v>
      </c>
    </row>
    <row r="302" spans="1:25">
      <c r="A302" s="12" t="s">
        <v>335</v>
      </c>
      <c r="B302" s="12" t="s">
        <v>371</v>
      </c>
      <c r="C302" s="12">
        <v>245</v>
      </c>
      <c r="D302" s="12">
        <v>2.35</v>
      </c>
      <c r="E302" s="12" t="s">
        <v>406</v>
      </c>
      <c r="F302" s="13">
        <v>41687</v>
      </c>
      <c r="G302" s="12">
        <v>50.6</v>
      </c>
      <c r="I302" s="13">
        <v>41703</v>
      </c>
      <c r="J302" s="12">
        <v>50.2</v>
      </c>
      <c r="L302" s="12">
        <v>16</v>
      </c>
      <c r="M302" s="12">
        <v>-0.39999999999999858</v>
      </c>
      <c r="O302" s="17">
        <v>37.6</v>
      </c>
      <c r="P302" s="17"/>
      <c r="Q302" s="17">
        <v>-24.999999999999911</v>
      </c>
      <c r="R302" s="14">
        <v>9.2896360000000051</v>
      </c>
      <c r="S302" s="12">
        <v>16</v>
      </c>
      <c r="T302" s="12">
        <v>-0.39999999999999858</v>
      </c>
      <c r="U302" s="14">
        <v>37.6</v>
      </c>
      <c r="V302" s="17">
        <v>-24.999999999999911</v>
      </c>
      <c r="W302" s="14">
        <v>9.2896360000000051</v>
      </c>
      <c r="X302">
        <f t="shared" si="8"/>
        <v>17.100000000000001</v>
      </c>
      <c r="Y302">
        <f t="shared" si="9"/>
        <v>9.2896360000000051</v>
      </c>
    </row>
    <row r="303" spans="1:25">
      <c r="A303" s="12" t="s">
        <v>335</v>
      </c>
      <c r="B303" s="12" t="s">
        <v>371</v>
      </c>
      <c r="C303" s="12">
        <v>245</v>
      </c>
      <c r="D303" s="12">
        <v>2.35</v>
      </c>
      <c r="E303" s="12" t="s">
        <v>407</v>
      </c>
      <c r="F303" s="13">
        <v>41687</v>
      </c>
      <c r="G303" s="12">
        <v>50.4</v>
      </c>
      <c r="I303" s="13">
        <v>41703</v>
      </c>
      <c r="J303" s="12">
        <v>51.8</v>
      </c>
      <c r="L303" s="12">
        <v>16</v>
      </c>
      <c r="M303" s="12">
        <v>1.3999999999999986</v>
      </c>
      <c r="O303" s="17">
        <v>37.6</v>
      </c>
      <c r="P303" s="17"/>
      <c r="Q303" s="17">
        <v>87.499999999999915</v>
      </c>
      <c r="R303" s="14">
        <v>14.954248999999994</v>
      </c>
      <c r="S303" s="12">
        <v>16</v>
      </c>
      <c r="T303" s="12">
        <v>1.3999999999999986</v>
      </c>
      <c r="U303" s="14">
        <v>37.6</v>
      </c>
      <c r="V303" s="17">
        <v>87.499999999999915</v>
      </c>
      <c r="W303" s="14">
        <v>14.954248999999994</v>
      </c>
      <c r="X303">
        <f t="shared" si="8"/>
        <v>17.100000000000001</v>
      </c>
      <c r="Y303">
        <f t="shared" si="9"/>
        <v>14.954248999999994</v>
      </c>
    </row>
    <row r="304" spans="1:25">
      <c r="A304" s="12" t="s">
        <v>335</v>
      </c>
      <c r="B304" s="12" t="s">
        <v>371</v>
      </c>
      <c r="C304" s="12">
        <v>245</v>
      </c>
      <c r="D304" s="12">
        <v>2.35</v>
      </c>
      <c r="E304" s="12" t="s">
        <v>408</v>
      </c>
      <c r="F304" s="13">
        <v>41687</v>
      </c>
      <c r="G304" s="12">
        <v>56.4</v>
      </c>
      <c r="I304" s="13">
        <v>41703</v>
      </c>
      <c r="J304" s="12">
        <v>60</v>
      </c>
      <c r="L304" s="12">
        <v>16</v>
      </c>
      <c r="M304" s="12">
        <v>3.6000000000000014</v>
      </c>
      <c r="O304" s="17">
        <v>37.6</v>
      </c>
      <c r="P304" s="17"/>
      <c r="Q304" s="17">
        <v>225.00000000000009</v>
      </c>
      <c r="R304" s="14">
        <v>22.933538000000002</v>
      </c>
      <c r="S304" s="12">
        <v>16</v>
      </c>
      <c r="T304" s="12">
        <v>3.6000000000000014</v>
      </c>
      <c r="U304" s="14">
        <v>37.6</v>
      </c>
      <c r="V304" s="17">
        <v>225.00000000000009</v>
      </c>
      <c r="W304" s="14">
        <v>22.933538000000002</v>
      </c>
      <c r="X304">
        <f t="shared" si="8"/>
        <v>17.100000000000001</v>
      </c>
      <c r="Y304">
        <f t="shared" si="9"/>
        <v>22.933538000000002</v>
      </c>
    </row>
    <row r="305" spans="1:25">
      <c r="A305" s="12" t="s">
        <v>335</v>
      </c>
      <c r="B305" s="12" t="s">
        <v>371</v>
      </c>
      <c r="C305" s="12">
        <v>245</v>
      </c>
      <c r="D305" s="12">
        <v>2.35</v>
      </c>
      <c r="E305" s="12" t="s">
        <v>409</v>
      </c>
      <c r="F305" s="13">
        <v>41687</v>
      </c>
      <c r="G305" s="12">
        <v>58.2</v>
      </c>
      <c r="I305" s="13">
        <v>41703</v>
      </c>
      <c r="J305" s="12">
        <v>56.8</v>
      </c>
      <c r="L305" s="12">
        <v>16</v>
      </c>
      <c r="M305" s="12">
        <v>-1.4000000000000057</v>
      </c>
      <c r="O305" s="17">
        <v>37.6</v>
      </c>
      <c r="P305" s="17"/>
      <c r="Q305" s="17">
        <v>-87.500000000000355</v>
      </c>
      <c r="R305" s="14">
        <v>7.4089249999999813</v>
      </c>
      <c r="S305" s="12">
        <v>16</v>
      </c>
      <c r="T305" s="12">
        <v>-1.4000000000000057</v>
      </c>
      <c r="U305" s="14">
        <v>37.6</v>
      </c>
      <c r="V305" s="17">
        <v>-87.500000000000355</v>
      </c>
      <c r="W305" s="14">
        <v>7.4089249999999813</v>
      </c>
      <c r="X305">
        <f t="shared" si="8"/>
        <v>17.100000000000001</v>
      </c>
      <c r="Y305">
        <f t="shared" si="9"/>
        <v>7.4089249999999813</v>
      </c>
    </row>
    <row r="306" spans="1:25">
      <c r="A306" s="12" t="s">
        <v>335</v>
      </c>
      <c r="B306" s="12" t="s">
        <v>371</v>
      </c>
      <c r="C306" s="12">
        <v>245</v>
      </c>
      <c r="D306" s="12">
        <v>2.35</v>
      </c>
      <c r="E306" s="12" t="s">
        <v>410</v>
      </c>
      <c r="F306" s="13">
        <v>41687</v>
      </c>
      <c r="G306" s="12">
        <v>53.8</v>
      </c>
      <c r="I306" s="13">
        <v>41703</v>
      </c>
      <c r="J306" s="12">
        <v>51.6</v>
      </c>
      <c r="L306" s="12">
        <v>16</v>
      </c>
      <c r="M306" s="12">
        <v>-2.1999999999999957</v>
      </c>
      <c r="O306" s="17">
        <v>37.6</v>
      </c>
      <c r="P306" s="17"/>
      <c r="Q306" s="17">
        <v>-137.49999999999974</v>
      </c>
      <c r="R306" s="14">
        <v>4.1322930000000131</v>
      </c>
      <c r="S306" s="12">
        <v>16</v>
      </c>
      <c r="T306" s="12">
        <v>-2.1999999999999957</v>
      </c>
      <c r="U306" s="14">
        <v>37.6</v>
      </c>
      <c r="V306" s="17">
        <v>-137.49999999999974</v>
      </c>
      <c r="W306" s="14">
        <v>4.1322930000000131</v>
      </c>
      <c r="X306">
        <f t="shared" si="8"/>
        <v>17.100000000000001</v>
      </c>
      <c r="Y306">
        <f t="shared" si="9"/>
        <v>4.1322930000000131</v>
      </c>
    </row>
    <row r="307" spans="1:25">
      <c r="A307" s="12" t="s">
        <v>335</v>
      </c>
      <c r="B307" s="12" t="s">
        <v>371</v>
      </c>
      <c r="C307" s="12">
        <v>245</v>
      </c>
      <c r="D307" s="12">
        <v>2.35</v>
      </c>
      <c r="E307" s="12" t="s">
        <v>411</v>
      </c>
      <c r="F307" s="13">
        <v>41687</v>
      </c>
      <c r="G307" s="12">
        <v>59.2</v>
      </c>
      <c r="I307" s="13">
        <v>41703</v>
      </c>
      <c r="J307" s="12">
        <v>58.8</v>
      </c>
      <c r="L307" s="12">
        <v>16</v>
      </c>
      <c r="M307" s="12">
        <v>-0.40000000000000568</v>
      </c>
      <c r="O307" s="17">
        <v>37.6</v>
      </c>
      <c r="P307" s="17"/>
      <c r="Q307" s="17">
        <v>-25.000000000000355</v>
      </c>
      <c r="R307" s="14">
        <v>10.743809999999982</v>
      </c>
      <c r="S307" s="12">
        <v>16</v>
      </c>
      <c r="T307" s="12">
        <v>-0.40000000000000568</v>
      </c>
      <c r="U307" s="14">
        <v>37.6</v>
      </c>
      <c r="V307" s="17">
        <v>-25.000000000000355</v>
      </c>
      <c r="W307" s="14">
        <v>10.743809999999982</v>
      </c>
      <c r="X307">
        <f t="shared" si="8"/>
        <v>17.100000000000001</v>
      </c>
      <c r="Y307">
        <f t="shared" si="9"/>
        <v>10.743809999999982</v>
      </c>
    </row>
    <row r="308" spans="1:25">
      <c r="A308" s="12" t="s">
        <v>335</v>
      </c>
      <c r="B308" s="12" t="s">
        <v>371</v>
      </c>
      <c r="C308" s="12">
        <v>245</v>
      </c>
      <c r="D308" s="12">
        <v>2.35</v>
      </c>
      <c r="E308" s="12" t="s">
        <v>412</v>
      </c>
      <c r="F308" s="13">
        <v>41687</v>
      </c>
      <c r="G308" s="12">
        <v>52</v>
      </c>
      <c r="I308" s="13">
        <v>41703</v>
      </c>
      <c r="J308" s="12">
        <v>53</v>
      </c>
      <c r="L308" s="12">
        <v>16</v>
      </c>
      <c r="M308" s="12">
        <v>1</v>
      </c>
      <c r="O308" s="17">
        <v>37.6</v>
      </c>
      <c r="P308" s="17"/>
      <c r="Q308" s="17">
        <v>62.5</v>
      </c>
      <c r="R308" s="14">
        <v>13.958475</v>
      </c>
      <c r="S308" s="12">
        <v>16</v>
      </c>
      <c r="T308" s="12">
        <v>1</v>
      </c>
      <c r="U308" s="14">
        <v>37.6</v>
      </c>
      <c r="V308" s="17">
        <v>62.5</v>
      </c>
      <c r="W308" s="14">
        <v>13.958475</v>
      </c>
      <c r="X308">
        <f t="shared" si="8"/>
        <v>17.100000000000001</v>
      </c>
      <c r="Y308">
        <f t="shared" si="9"/>
        <v>13.958475</v>
      </c>
    </row>
    <row r="309" spans="1:25">
      <c r="A309" s="12" t="s">
        <v>335</v>
      </c>
      <c r="B309" s="12" t="s">
        <v>371</v>
      </c>
      <c r="C309" s="12">
        <v>245</v>
      </c>
      <c r="D309" s="12">
        <v>2.35</v>
      </c>
      <c r="E309" s="12" t="s">
        <v>413</v>
      </c>
      <c r="F309" s="13">
        <v>41687</v>
      </c>
      <c r="G309" s="12">
        <v>60.6</v>
      </c>
      <c r="I309" s="13">
        <v>41703</v>
      </c>
      <c r="J309" s="12">
        <v>56.2</v>
      </c>
      <c r="L309" s="12">
        <v>16</v>
      </c>
      <c r="M309" s="12">
        <v>-4.3999999999999986</v>
      </c>
      <c r="O309" s="17">
        <v>37.6</v>
      </c>
      <c r="P309" s="17"/>
      <c r="Q309" s="17">
        <v>-274.99999999999989</v>
      </c>
      <c r="R309" s="14">
        <v>-1.6826439999999945</v>
      </c>
      <c r="S309" s="12">
        <v>16</v>
      </c>
      <c r="T309" s="12">
        <v>-4.3999999999999986</v>
      </c>
      <c r="U309" s="14">
        <v>37.6</v>
      </c>
      <c r="V309" s="17">
        <v>-274.99999999999989</v>
      </c>
      <c r="W309" s="14">
        <v>-1.6826439999999945</v>
      </c>
      <c r="X309">
        <f t="shared" si="8"/>
        <v>17.100000000000001</v>
      </c>
      <c r="Y309">
        <f t="shared" si="9"/>
        <v>-1.6826439999999945</v>
      </c>
    </row>
    <row r="310" spans="1:25">
      <c r="A310" s="12" t="s">
        <v>335</v>
      </c>
      <c r="B310" s="12" t="s">
        <v>371</v>
      </c>
      <c r="C310" s="12">
        <v>245</v>
      </c>
      <c r="D310" s="12">
        <v>2.35</v>
      </c>
      <c r="E310" s="12" t="s">
        <v>414</v>
      </c>
      <c r="F310" s="13">
        <v>41687</v>
      </c>
      <c r="G310" s="12">
        <v>51.2</v>
      </c>
      <c r="I310" s="13">
        <v>41703</v>
      </c>
      <c r="J310" s="12">
        <v>49.4</v>
      </c>
      <c r="L310" s="12">
        <v>16</v>
      </c>
      <c r="M310" s="12">
        <v>-1.8000000000000043</v>
      </c>
      <c r="O310" s="17">
        <v>37.6</v>
      </c>
      <c r="P310" s="17"/>
      <c r="Q310" s="17">
        <v>-112.50000000000027</v>
      </c>
      <c r="R310" s="14">
        <v>4.9589769999999866</v>
      </c>
      <c r="S310" s="12">
        <v>16</v>
      </c>
      <c r="T310" s="12">
        <v>-1.8000000000000043</v>
      </c>
      <c r="U310" s="14">
        <v>37.6</v>
      </c>
      <c r="V310" s="17">
        <v>-112.50000000000027</v>
      </c>
      <c r="W310" s="14">
        <v>4.9589769999999866</v>
      </c>
      <c r="X310">
        <f t="shared" si="8"/>
        <v>17.100000000000001</v>
      </c>
      <c r="Y310">
        <f t="shared" si="9"/>
        <v>4.9589769999999866</v>
      </c>
    </row>
    <row r="311" spans="1:25">
      <c r="A311" s="12" t="s">
        <v>335</v>
      </c>
      <c r="B311" s="12" t="s">
        <v>371</v>
      </c>
      <c r="C311" s="12">
        <v>245</v>
      </c>
      <c r="D311" s="12">
        <v>2.35</v>
      </c>
      <c r="E311" s="12" t="s">
        <v>415</v>
      </c>
      <c r="F311" s="13">
        <v>41687</v>
      </c>
      <c r="G311" s="12">
        <v>63.4</v>
      </c>
      <c r="I311" s="13">
        <v>41703</v>
      </c>
      <c r="J311" s="12">
        <v>64</v>
      </c>
      <c r="L311" s="12">
        <v>16</v>
      </c>
      <c r="M311" s="12">
        <v>0.60000000000000142</v>
      </c>
      <c r="O311" s="17">
        <v>37.6</v>
      </c>
      <c r="P311" s="17"/>
      <c r="Q311" s="17">
        <v>37.500000000000085</v>
      </c>
      <c r="R311" s="14">
        <v>14.619783000000004</v>
      </c>
      <c r="S311" s="12">
        <v>16</v>
      </c>
      <c r="T311" s="12">
        <v>0.60000000000000142</v>
      </c>
      <c r="U311" s="14">
        <v>37.6</v>
      </c>
      <c r="V311" s="17">
        <v>37.500000000000085</v>
      </c>
      <c r="W311" s="14">
        <v>14.619783000000004</v>
      </c>
      <c r="X311">
        <f t="shared" si="8"/>
        <v>17.100000000000001</v>
      </c>
      <c r="Y311">
        <f t="shared" si="9"/>
        <v>14.619783000000004</v>
      </c>
    </row>
    <row r="312" spans="1:25">
      <c r="A312" s="12" t="s">
        <v>335</v>
      </c>
      <c r="B312" s="12" t="s">
        <v>371</v>
      </c>
      <c r="C312" s="12">
        <v>245</v>
      </c>
      <c r="D312" s="12">
        <v>2.35</v>
      </c>
      <c r="E312" s="12" t="s">
        <v>416</v>
      </c>
      <c r="F312" s="13">
        <v>41687</v>
      </c>
      <c r="G312" s="12">
        <v>57.4</v>
      </c>
      <c r="I312" s="13">
        <v>41703</v>
      </c>
      <c r="J312" s="12">
        <v>55.4</v>
      </c>
      <c r="L312" s="12">
        <v>16</v>
      </c>
      <c r="M312" s="12">
        <v>-2</v>
      </c>
      <c r="O312" s="17">
        <v>37.6</v>
      </c>
      <c r="P312" s="17"/>
      <c r="Q312" s="17">
        <v>-125</v>
      </c>
      <c r="R312" s="14">
        <v>5.3741760000000003</v>
      </c>
      <c r="S312" s="12">
        <v>16</v>
      </c>
      <c r="T312" s="12">
        <v>-2</v>
      </c>
      <c r="U312" s="14">
        <v>37.6</v>
      </c>
      <c r="V312" s="17">
        <v>-125</v>
      </c>
      <c r="W312" s="14">
        <v>5.3741760000000003</v>
      </c>
      <c r="X312">
        <f t="shared" si="8"/>
        <v>17.100000000000001</v>
      </c>
      <c r="Y312">
        <f t="shared" si="9"/>
        <v>5.3741760000000003</v>
      </c>
    </row>
    <row r="313" spans="1:25">
      <c r="A313" s="12" t="s">
        <v>335</v>
      </c>
      <c r="B313" s="12" t="s">
        <v>371</v>
      </c>
      <c r="C313" s="12">
        <v>245</v>
      </c>
      <c r="D313" s="12">
        <v>2.35</v>
      </c>
      <c r="E313" s="12" t="s">
        <v>417</v>
      </c>
      <c r="F313" s="13">
        <v>41687</v>
      </c>
      <c r="G313" s="12">
        <v>56.8</v>
      </c>
      <c r="I313" s="13">
        <v>41703</v>
      </c>
      <c r="J313" s="12">
        <v>59.2</v>
      </c>
      <c r="L313" s="12">
        <v>16</v>
      </c>
      <c r="M313" s="12">
        <v>2.4000000000000057</v>
      </c>
      <c r="O313" s="17">
        <v>37.6</v>
      </c>
      <c r="P313" s="17"/>
      <c r="Q313" s="17">
        <v>150.00000000000034</v>
      </c>
      <c r="R313" s="14">
        <v>19.202220000000015</v>
      </c>
      <c r="S313" s="12">
        <v>16</v>
      </c>
      <c r="T313" s="12">
        <v>2.4000000000000057</v>
      </c>
      <c r="U313" s="14">
        <v>37.6</v>
      </c>
      <c r="V313" s="17">
        <v>150.00000000000034</v>
      </c>
      <c r="W313" s="14">
        <v>19.202220000000015</v>
      </c>
      <c r="X313">
        <f t="shared" si="8"/>
        <v>17.100000000000001</v>
      </c>
      <c r="Y313">
        <f t="shared" si="9"/>
        <v>19.202220000000015</v>
      </c>
    </row>
    <row r="314" spans="1:25">
      <c r="A314" s="12" t="s">
        <v>335</v>
      </c>
      <c r="B314" s="12" t="s">
        <v>371</v>
      </c>
      <c r="C314" s="12">
        <v>245</v>
      </c>
      <c r="D314" s="12">
        <v>2.35</v>
      </c>
      <c r="E314" s="12" t="s">
        <v>418</v>
      </c>
      <c r="F314" s="13">
        <v>41687</v>
      </c>
      <c r="G314" s="12">
        <v>54.4</v>
      </c>
      <c r="I314" s="13">
        <v>41703</v>
      </c>
      <c r="J314" s="12">
        <v>55.6</v>
      </c>
      <c r="L314" s="12">
        <v>16</v>
      </c>
      <c r="M314" s="12">
        <v>1.2000000000000028</v>
      </c>
      <c r="O314" s="17">
        <v>37.6</v>
      </c>
      <c r="P314" s="17"/>
      <c r="Q314" s="17">
        <v>75.000000000000171</v>
      </c>
      <c r="R314" s="14">
        <v>14.997450000000008</v>
      </c>
      <c r="S314" s="12">
        <v>16</v>
      </c>
      <c r="T314" s="12">
        <v>1.2000000000000028</v>
      </c>
      <c r="U314" s="14">
        <v>37.6</v>
      </c>
      <c r="V314" s="17">
        <v>75.000000000000171</v>
      </c>
      <c r="W314" s="14">
        <v>14.997450000000008</v>
      </c>
      <c r="X314">
        <f t="shared" si="8"/>
        <v>17.100000000000001</v>
      </c>
      <c r="Y314">
        <f t="shared" si="9"/>
        <v>14.997450000000008</v>
      </c>
    </row>
    <row r="315" spans="1:25">
      <c r="A315" s="12" t="s">
        <v>335</v>
      </c>
      <c r="B315" s="12" t="s">
        <v>371</v>
      </c>
      <c r="C315" s="12">
        <v>245</v>
      </c>
      <c r="D315" s="12">
        <v>2.35</v>
      </c>
      <c r="E315" s="12" t="s">
        <v>419</v>
      </c>
      <c r="F315" s="13">
        <v>41687</v>
      </c>
      <c r="G315" s="12">
        <v>52.4</v>
      </c>
      <c r="I315" s="13">
        <v>41703</v>
      </c>
      <c r="J315" s="12">
        <v>55</v>
      </c>
      <c r="L315" s="12">
        <v>16</v>
      </c>
      <c r="M315" s="12">
        <v>2.6000000000000014</v>
      </c>
      <c r="O315" s="17">
        <v>37.6</v>
      </c>
      <c r="P315" s="17"/>
      <c r="Q315" s="17">
        <v>162.50000000000009</v>
      </c>
      <c r="R315" s="14">
        <v>19.091383000000004</v>
      </c>
      <c r="S315" s="12">
        <v>16</v>
      </c>
      <c r="T315" s="12">
        <v>2.6000000000000014</v>
      </c>
      <c r="U315" s="14">
        <v>37.6</v>
      </c>
      <c r="V315" s="17">
        <v>162.50000000000009</v>
      </c>
      <c r="W315" s="14">
        <v>19.091383000000004</v>
      </c>
      <c r="X315">
        <f t="shared" si="8"/>
        <v>17.100000000000001</v>
      </c>
      <c r="Y315">
        <f t="shared" si="9"/>
        <v>19.091383000000004</v>
      </c>
    </row>
    <row r="316" spans="1:25">
      <c r="A316" s="12" t="s">
        <v>335</v>
      </c>
      <c r="B316" s="12" t="s">
        <v>371</v>
      </c>
      <c r="C316" s="12">
        <v>245</v>
      </c>
      <c r="D316" s="12">
        <v>2.35</v>
      </c>
      <c r="E316" s="12" t="s">
        <v>420</v>
      </c>
      <c r="F316" s="13">
        <v>41687</v>
      </c>
      <c r="G316" s="12">
        <v>52.8</v>
      </c>
      <c r="I316" s="13">
        <v>41703</v>
      </c>
      <c r="J316" s="12">
        <v>50.6</v>
      </c>
      <c r="L316" s="12">
        <v>16</v>
      </c>
      <c r="M316" s="12">
        <v>-2.1999999999999957</v>
      </c>
      <c r="O316" s="17">
        <v>37.6</v>
      </c>
      <c r="P316" s="17"/>
      <c r="Q316" s="17">
        <v>-137.49999999999974</v>
      </c>
      <c r="R316" s="14">
        <v>3.9632030000000142</v>
      </c>
      <c r="S316" s="12">
        <v>16</v>
      </c>
      <c r="T316" s="12">
        <v>-2.1999999999999957</v>
      </c>
      <c r="U316" s="14">
        <v>37.6</v>
      </c>
      <c r="V316" s="17">
        <v>-137.49999999999974</v>
      </c>
      <c r="W316" s="14">
        <v>3.9632030000000142</v>
      </c>
      <c r="X316">
        <f t="shared" si="8"/>
        <v>17.100000000000001</v>
      </c>
      <c r="Y316">
        <f t="shared" si="9"/>
        <v>3.9632030000000142</v>
      </c>
    </row>
    <row r="317" spans="1:25">
      <c r="A317" s="12" t="s">
        <v>335</v>
      </c>
      <c r="B317" s="12" t="s">
        <v>371</v>
      </c>
      <c r="C317" s="12">
        <v>245</v>
      </c>
      <c r="D317" s="12">
        <v>2.35</v>
      </c>
      <c r="E317" s="12" t="s">
        <v>421</v>
      </c>
      <c r="F317" s="13">
        <v>41687</v>
      </c>
      <c r="G317" s="12">
        <v>54.4</v>
      </c>
      <c r="I317" s="13">
        <v>41703</v>
      </c>
      <c r="J317" s="12">
        <v>58.2</v>
      </c>
      <c r="L317" s="12">
        <v>16</v>
      </c>
      <c r="M317" s="12">
        <v>3.8000000000000043</v>
      </c>
      <c r="O317" s="17">
        <v>37.6</v>
      </c>
      <c r="P317" s="17"/>
      <c r="Q317" s="17">
        <v>237.50000000000026</v>
      </c>
      <c r="R317" s="14">
        <v>23.228517000000011</v>
      </c>
      <c r="S317" s="12">
        <v>16</v>
      </c>
      <c r="T317" s="12">
        <v>3.8000000000000043</v>
      </c>
      <c r="U317" s="14">
        <v>37.6</v>
      </c>
      <c r="V317" s="17">
        <v>237.50000000000026</v>
      </c>
      <c r="W317" s="14">
        <v>23.228517000000011</v>
      </c>
      <c r="X317">
        <f t="shared" si="8"/>
        <v>17.100000000000001</v>
      </c>
      <c r="Y317">
        <f t="shared" si="9"/>
        <v>23.228517000000011</v>
      </c>
    </row>
    <row r="318" spans="1:25">
      <c r="A318" s="12" t="s">
        <v>335</v>
      </c>
      <c r="B318" s="12" t="s">
        <v>371</v>
      </c>
      <c r="C318" s="12">
        <v>245</v>
      </c>
      <c r="D318" s="12">
        <v>2.35</v>
      </c>
      <c r="E318" s="12" t="s">
        <v>422</v>
      </c>
      <c r="F318" s="13">
        <v>41687</v>
      </c>
      <c r="G318" s="12">
        <v>57</v>
      </c>
      <c r="I318" s="13">
        <v>41703</v>
      </c>
      <c r="J318" s="12">
        <v>53</v>
      </c>
      <c r="L318" s="12">
        <v>16</v>
      </c>
      <c r="M318" s="12">
        <v>-4</v>
      </c>
      <c r="O318" s="17">
        <v>37.6</v>
      </c>
      <c r="P318" s="17"/>
      <c r="Q318" s="17">
        <v>-250</v>
      </c>
      <c r="R318" s="14">
        <v>-1.0250500000000002</v>
      </c>
      <c r="S318" s="12">
        <v>16</v>
      </c>
      <c r="T318" s="12">
        <v>-4</v>
      </c>
      <c r="U318" s="14">
        <v>37.6</v>
      </c>
      <c r="V318" s="17">
        <v>-250</v>
      </c>
      <c r="W318" s="14">
        <v>-1.0250500000000002</v>
      </c>
      <c r="X318">
        <f t="shared" si="8"/>
        <v>17.100000000000001</v>
      </c>
      <c r="Y318">
        <f t="shared" si="9"/>
        <v>-1.0250500000000002</v>
      </c>
    </row>
    <row r="319" spans="1:25">
      <c r="A319" s="12" t="s">
        <v>335</v>
      </c>
      <c r="B319" s="12" t="s">
        <v>371</v>
      </c>
      <c r="C319" s="12">
        <v>245</v>
      </c>
      <c r="D319" s="12">
        <v>2.35</v>
      </c>
      <c r="E319" s="12" t="s">
        <v>423</v>
      </c>
      <c r="F319" s="13">
        <v>41687</v>
      </c>
      <c r="G319" s="12">
        <v>54.2</v>
      </c>
      <c r="I319" s="13">
        <v>41703</v>
      </c>
      <c r="J319" s="12">
        <v>55.6</v>
      </c>
      <c r="L319" s="12">
        <v>16</v>
      </c>
      <c r="M319" s="12">
        <v>1.3999999999999986</v>
      </c>
      <c r="O319" s="17">
        <v>37.6</v>
      </c>
      <c r="P319" s="17"/>
      <c r="Q319" s="17">
        <v>87.499999999999915</v>
      </c>
      <c r="R319" s="14">
        <v>15.596790999999996</v>
      </c>
      <c r="S319" s="12">
        <v>16</v>
      </c>
      <c r="T319" s="12">
        <v>1.3999999999999986</v>
      </c>
      <c r="U319" s="14">
        <v>37.6</v>
      </c>
      <c r="V319" s="17">
        <v>87.499999999999915</v>
      </c>
      <c r="W319" s="14">
        <v>15.596790999999996</v>
      </c>
      <c r="X319">
        <f t="shared" si="8"/>
        <v>17.100000000000001</v>
      </c>
      <c r="Y319">
        <f t="shared" si="9"/>
        <v>15.596790999999998</v>
      </c>
    </row>
    <row r="320" spans="1:25">
      <c r="A320" s="12" t="s">
        <v>335</v>
      </c>
      <c r="B320" s="12" t="s">
        <v>371</v>
      </c>
      <c r="C320" s="12">
        <v>245</v>
      </c>
      <c r="D320" s="12">
        <v>2.35</v>
      </c>
      <c r="E320" s="12" t="s">
        <v>424</v>
      </c>
      <c r="F320" s="13">
        <v>41687</v>
      </c>
      <c r="G320" s="12">
        <v>54.4</v>
      </c>
      <c r="I320" s="13">
        <v>41703</v>
      </c>
      <c r="J320" s="12">
        <v>54.2</v>
      </c>
      <c r="L320" s="12">
        <v>16</v>
      </c>
      <c r="M320" s="12">
        <v>-0.19999999999999574</v>
      </c>
      <c r="O320" s="17">
        <v>37.6</v>
      </c>
      <c r="P320" s="17"/>
      <c r="Q320" s="17">
        <v>-12.499999999999734</v>
      </c>
      <c r="R320" s="14">
        <v>10.565337000000012</v>
      </c>
      <c r="S320" s="12">
        <v>16</v>
      </c>
      <c r="T320" s="12">
        <v>-0.19999999999999574</v>
      </c>
      <c r="U320" s="14">
        <v>37.6</v>
      </c>
      <c r="V320" s="17">
        <v>-12.499999999999734</v>
      </c>
      <c r="W320" s="14">
        <v>10.565337000000012</v>
      </c>
      <c r="X320">
        <f t="shared" si="8"/>
        <v>17.100000000000001</v>
      </c>
      <c r="Y320">
        <f t="shared" si="9"/>
        <v>10.565337000000012</v>
      </c>
    </row>
    <row r="321" spans="1:25">
      <c r="A321" s="12" t="s">
        <v>335</v>
      </c>
      <c r="B321" s="12" t="s">
        <v>425</v>
      </c>
      <c r="C321" s="12">
        <v>161</v>
      </c>
      <c r="D321" s="12">
        <v>2.36</v>
      </c>
      <c r="E321" s="12" t="s">
        <v>426</v>
      </c>
      <c r="F321" s="13">
        <v>41687</v>
      </c>
      <c r="G321" s="12">
        <v>53.2</v>
      </c>
      <c r="I321" s="13">
        <v>41703</v>
      </c>
      <c r="J321" s="12">
        <v>58.6</v>
      </c>
      <c r="L321" s="12">
        <v>16</v>
      </c>
      <c r="M321" s="12">
        <v>5.3999999999999986</v>
      </c>
      <c r="O321" s="17">
        <v>37.76</v>
      </c>
      <c r="P321" s="17"/>
      <c r="Q321" s="17">
        <v>337.49999999999989</v>
      </c>
      <c r="R321" s="14">
        <v>28.090880999999996</v>
      </c>
      <c r="S321" s="12">
        <v>16</v>
      </c>
      <c r="T321" s="12">
        <v>5.3999999999999986</v>
      </c>
      <c r="U321" s="14">
        <v>37.76</v>
      </c>
      <c r="V321" s="17">
        <v>337.49999999999989</v>
      </c>
      <c r="W321" s="14">
        <v>28.090880999999996</v>
      </c>
      <c r="X321">
        <f t="shared" si="8"/>
        <v>17.100000000000001</v>
      </c>
      <c r="Y321">
        <f t="shared" si="9"/>
        <v>28.090880999999996</v>
      </c>
    </row>
    <row r="322" spans="1:25">
      <c r="A322" s="12" t="s">
        <v>335</v>
      </c>
      <c r="B322" s="12" t="s">
        <v>425</v>
      </c>
      <c r="C322" s="12">
        <v>161</v>
      </c>
      <c r="D322" s="12">
        <v>2.36</v>
      </c>
      <c r="E322" s="12" t="s">
        <v>427</v>
      </c>
      <c r="F322" s="13">
        <v>41687</v>
      </c>
      <c r="G322" s="12">
        <v>54.4</v>
      </c>
      <c r="I322" s="13">
        <v>41703</v>
      </c>
      <c r="J322" s="12">
        <v>59.8</v>
      </c>
      <c r="L322" s="12">
        <v>16</v>
      </c>
      <c r="M322" s="12">
        <v>5.3999999999999986</v>
      </c>
      <c r="O322" s="17">
        <v>37.76</v>
      </c>
      <c r="P322" s="17"/>
      <c r="Q322" s="17">
        <v>337.49999999999989</v>
      </c>
      <c r="R322" s="14">
        <v>28.293788999999993</v>
      </c>
      <c r="S322" s="12">
        <v>16</v>
      </c>
      <c r="T322" s="12">
        <v>5.3999999999999986</v>
      </c>
      <c r="U322" s="14">
        <v>37.76</v>
      </c>
      <c r="V322" s="17">
        <v>337.49999999999989</v>
      </c>
      <c r="W322" s="14">
        <v>28.293788999999993</v>
      </c>
      <c r="X322">
        <f t="shared" si="8"/>
        <v>17.100000000000001</v>
      </c>
      <c r="Y322">
        <f t="shared" si="9"/>
        <v>28.293788999999993</v>
      </c>
    </row>
    <row r="323" spans="1:25">
      <c r="A323" s="12" t="s">
        <v>335</v>
      </c>
      <c r="B323" s="12" t="s">
        <v>425</v>
      </c>
      <c r="C323" s="12">
        <v>161</v>
      </c>
      <c r="D323" s="12">
        <v>2.36</v>
      </c>
      <c r="E323" s="12" t="s">
        <v>428</v>
      </c>
      <c r="F323" s="13">
        <v>41687</v>
      </c>
      <c r="G323" s="12">
        <v>53.2</v>
      </c>
      <c r="I323" s="13">
        <v>41703</v>
      </c>
      <c r="J323" s="12">
        <v>60</v>
      </c>
      <c r="L323" s="12">
        <v>16</v>
      </c>
      <c r="M323" s="12">
        <v>6.7999999999999972</v>
      </c>
      <c r="O323" s="17">
        <v>37.76</v>
      </c>
      <c r="P323" s="17"/>
      <c r="Q323" s="17">
        <v>424.99999999999983</v>
      </c>
      <c r="R323" s="14">
        <v>32.52299399999999</v>
      </c>
      <c r="S323" s="12">
        <v>16</v>
      </c>
      <c r="T323" s="12">
        <v>6.7999999999999972</v>
      </c>
      <c r="U323" s="14">
        <v>37.76</v>
      </c>
      <c r="V323" s="17">
        <v>424.99999999999983</v>
      </c>
      <c r="W323" s="14">
        <v>32.52299399999999</v>
      </c>
      <c r="X323">
        <f t="shared" ref="X323:X386" si="10">IF(H323&gt;0,-4.1485*H323 + 28.398,17.1)</f>
        <v>17.100000000000001</v>
      </c>
      <c r="Y323">
        <f t="shared" ref="Y323:Y386" si="11">W323*X323/17.1</f>
        <v>32.52299399999999</v>
      </c>
    </row>
    <row r="324" spans="1:25">
      <c r="A324" s="12" t="s">
        <v>335</v>
      </c>
      <c r="B324" s="12" t="s">
        <v>425</v>
      </c>
      <c r="C324" s="12">
        <v>161</v>
      </c>
      <c r="D324" s="12">
        <v>2.36</v>
      </c>
      <c r="E324" s="12" t="s">
        <v>429</v>
      </c>
      <c r="F324" s="13">
        <v>41687</v>
      </c>
      <c r="G324" s="12">
        <v>52.4</v>
      </c>
      <c r="I324" s="13">
        <v>41703</v>
      </c>
      <c r="J324" s="12">
        <v>57.8</v>
      </c>
      <c r="L324" s="12">
        <v>16</v>
      </c>
      <c r="M324" s="12">
        <v>5.3999999999999986</v>
      </c>
      <c r="O324" s="17">
        <v>37.76</v>
      </c>
      <c r="P324" s="17"/>
      <c r="Q324" s="17">
        <v>337.49999999999989</v>
      </c>
      <c r="R324" s="14">
        <v>27.955608999999995</v>
      </c>
      <c r="S324" s="12">
        <v>16</v>
      </c>
      <c r="T324" s="12">
        <v>5.3999999999999986</v>
      </c>
      <c r="U324" s="14">
        <v>37.76</v>
      </c>
      <c r="V324" s="17">
        <v>337.49999999999989</v>
      </c>
      <c r="W324" s="14">
        <v>27.955608999999995</v>
      </c>
      <c r="X324">
        <f t="shared" si="10"/>
        <v>17.100000000000001</v>
      </c>
      <c r="Y324">
        <f t="shared" si="11"/>
        <v>27.955608999999995</v>
      </c>
    </row>
    <row r="325" spans="1:25">
      <c r="A325" s="12" t="s">
        <v>335</v>
      </c>
      <c r="B325" s="12" t="s">
        <v>425</v>
      </c>
      <c r="C325" s="12">
        <v>161</v>
      </c>
      <c r="D325" s="12">
        <v>2.36</v>
      </c>
      <c r="E325" s="12" t="s">
        <v>430</v>
      </c>
      <c r="F325" s="13">
        <v>41687</v>
      </c>
      <c r="G325" s="12">
        <v>54.8</v>
      </c>
      <c r="I325" s="13">
        <v>41703</v>
      </c>
      <c r="J325" s="12">
        <v>62.8</v>
      </c>
      <c r="L325" s="12">
        <v>16</v>
      </c>
      <c r="M325" s="12">
        <v>8</v>
      </c>
      <c r="O325" s="17">
        <v>37.76</v>
      </c>
      <c r="P325" s="17"/>
      <c r="Q325" s="17">
        <v>500</v>
      </c>
      <c r="R325" s="14">
        <v>36.592492</v>
      </c>
      <c r="S325" s="12">
        <v>16</v>
      </c>
      <c r="T325" s="12">
        <v>8</v>
      </c>
      <c r="U325" s="14">
        <v>37.76</v>
      </c>
      <c r="V325" s="17">
        <v>500</v>
      </c>
      <c r="W325" s="14">
        <v>36.592492</v>
      </c>
      <c r="X325">
        <f t="shared" si="10"/>
        <v>17.100000000000001</v>
      </c>
      <c r="Y325">
        <f t="shared" si="11"/>
        <v>36.592492</v>
      </c>
    </row>
    <row r="326" spans="1:25">
      <c r="A326" s="12" t="s">
        <v>335</v>
      </c>
      <c r="B326" s="12" t="s">
        <v>425</v>
      </c>
      <c r="C326" s="12">
        <v>161</v>
      </c>
      <c r="D326" s="12">
        <v>2.36</v>
      </c>
      <c r="E326" s="12" t="s">
        <v>431</v>
      </c>
      <c r="F326" s="13">
        <v>41687</v>
      </c>
      <c r="G326" s="12">
        <v>54.6</v>
      </c>
      <c r="I326" s="13">
        <v>41703</v>
      </c>
      <c r="J326" s="12">
        <v>61.8</v>
      </c>
      <c r="L326" s="12">
        <v>16</v>
      </c>
      <c r="M326" s="12">
        <v>7.1999999999999957</v>
      </c>
      <c r="O326" s="17">
        <v>37.76</v>
      </c>
      <c r="P326" s="17"/>
      <c r="Q326" s="17">
        <v>449.99999999999972</v>
      </c>
      <c r="R326" s="14">
        <v>34.026037999999986</v>
      </c>
      <c r="S326" s="12">
        <v>16</v>
      </c>
      <c r="T326" s="12">
        <v>7.1999999999999957</v>
      </c>
      <c r="U326" s="14">
        <v>37.76</v>
      </c>
      <c r="V326" s="17">
        <v>449.99999999999972</v>
      </c>
      <c r="W326" s="14">
        <v>34.026037999999986</v>
      </c>
      <c r="X326">
        <f t="shared" si="10"/>
        <v>17.100000000000001</v>
      </c>
      <c r="Y326">
        <f t="shared" si="11"/>
        <v>34.026037999999986</v>
      </c>
    </row>
    <row r="327" spans="1:25">
      <c r="A327" s="12" t="s">
        <v>335</v>
      </c>
      <c r="B327" s="12" t="s">
        <v>425</v>
      </c>
      <c r="C327" s="12">
        <v>161</v>
      </c>
      <c r="D327" s="12">
        <v>2.36</v>
      </c>
      <c r="E327" s="12" t="s">
        <v>432</v>
      </c>
      <c r="F327" s="13">
        <v>41687</v>
      </c>
      <c r="G327" s="12">
        <v>50.6</v>
      </c>
      <c r="I327" s="13">
        <v>41703</v>
      </c>
      <c r="J327" s="12">
        <v>57.4</v>
      </c>
      <c r="L327" s="12">
        <v>16</v>
      </c>
      <c r="M327" s="12">
        <v>6.7999999999999972</v>
      </c>
      <c r="O327" s="17">
        <v>37.76</v>
      </c>
      <c r="P327" s="17"/>
      <c r="Q327" s="17">
        <v>424.99999999999983</v>
      </c>
      <c r="R327" s="14">
        <v>32.083359999999992</v>
      </c>
      <c r="S327" s="12">
        <v>16</v>
      </c>
      <c r="T327" s="12">
        <v>6.7999999999999972</v>
      </c>
      <c r="U327" s="14">
        <v>37.76</v>
      </c>
      <c r="V327" s="17">
        <v>424.99999999999983</v>
      </c>
      <c r="W327" s="14">
        <v>32.083359999999992</v>
      </c>
      <c r="X327">
        <f t="shared" si="10"/>
        <v>17.100000000000001</v>
      </c>
      <c r="Y327">
        <f t="shared" si="11"/>
        <v>32.083359999999992</v>
      </c>
    </row>
    <row r="328" spans="1:25">
      <c r="A328" s="12" t="s">
        <v>335</v>
      </c>
      <c r="B328" s="12" t="s">
        <v>425</v>
      </c>
      <c r="C328" s="12">
        <v>161</v>
      </c>
      <c r="D328" s="12">
        <v>2.36</v>
      </c>
      <c r="E328" s="12" t="s">
        <v>433</v>
      </c>
      <c r="F328" s="13">
        <v>41687</v>
      </c>
      <c r="G328" s="12">
        <v>54.6</v>
      </c>
      <c r="I328" s="13">
        <v>41703</v>
      </c>
      <c r="J328" s="12">
        <v>60.8</v>
      </c>
      <c r="L328" s="12">
        <v>16</v>
      </c>
      <c r="M328" s="12">
        <v>6.1999999999999957</v>
      </c>
      <c r="O328" s="17">
        <v>37.76</v>
      </c>
      <c r="P328" s="17"/>
      <c r="Q328" s="17">
        <v>387.49999999999972</v>
      </c>
      <c r="R328" s="14">
        <v>30.86024299999999</v>
      </c>
      <c r="S328" s="12">
        <v>16</v>
      </c>
      <c r="T328" s="12">
        <v>6.1999999999999957</v>
      </c>
      <c r="U328" s="14">
        <v>37.76</v>
      </c>
      <c r="V328" s="17">
        <v>387.49999999999972</v>
      </c>
      <c r="W328" s="14">
        <v>30.86024299999999</v>
      </c>
      <c r="X328">
        <f t="shared" si="10"/>
        <v>17.100000000000001</v>
      </c>
      <c r="Y328">
        <f t="shared" si="11"/>
        <v>30.86024299999999</v>
      </c>
    </row>
    <row r="329" spans="1:25">
      <c r="A329" s="12" t="s">
        <v>335</v>
      </c>
      <c r="B329" s="12" t="s">
        <v>425</v>
      </c>
      <c r="C329" s="12">
        <v>161</v>
      </c>
      <c r="D329" s="12">
        <v>2.36</v>
      </c>
      <c r="E329" s="12" t="s">
        <v>434</v>
      </c>
      <c r="F329" s="13">
        <v>41687</v>
      </c>
      <c r="G329" s="12">
        <v>51</v>
      </c>
      <c r="I329" s="13">
        <v>41703</v>
      </c>
      <c r="J329" s="12">
        <v>57</v>
      </c>
      <c r="L329" s="12">
        <v>16</v>
      </c>
      <c r="M329" s="12">
        <v>6</v>
      </c>
      <c r="O329" s="17">
        <v>37.76</v>
      </c>
      <c r="P329" s="17"/>
      <c r="Q329" s="17">
        <v>375</v>
      </c>
      <c r="R329" s="14">
        <v>29.618359999999996</v>
      </c>
      <c r="S329" s="12">
        <v>16</v>
      </c>
      <c r="T329" s="12">
        <v>6</v>
      </c>
      <c r="U329" s="14">
        <v>37.76</v>
      </c>
      <c r="V329" s="17">
        <v>375</v>
      </c>
      <c r="W329" s="14">
        <v>29.618359999999996</v>
      </c>
      <c r="X329">
        <f t="shared" si="10"/>
        <v>17.100000000000001</v>
      </c>
      <c r="Y329">
        <f t="shared" si="11"/>
        <v>29.618359999999996</v>
      </c>
    </row>
    <row r="330" spans="1:25">
      <c r="A330" s="12" t="s">
        <v>335</v>
      </c>
      <c r="B330" s="12" t="s">
        <v>425</v>
      </c>
      <c r="C330" s="12">
        <v>161</v>
      </c>
      <c r="D330" s="12">
        <v>2.36</v>
      </c>
      <c r="E330" s="12" t="s">
        <v>435</v>
      </c>
      <c r="F330" s="13">
        <v>41687</v>
      </c>
      <c r="G330" s="12">
        <v>52.8</v>
      </c>
      <c r="I330" s="13">
        <v>41703</v>
      </c>
      <c r="J330" s="12">
        <v>57.6</v>
      </c>
      <c r="L330" s="12">
        <v>16</v>
      </c>
      <c r="M330" s="12">
        <v>4.8000000000000043</v>
      </c>
      <c r="O330" s="17">
        <v>37.76</v>
      </c>
      <c r="P330" s="17"/>
      <c r="Q330" s="17">
        <v>300.00000000000028</v>
      </c>
      <c r="R330" s="14">
        <v>26.123768000000013</v>
      </c>
      <c r="S330" s="12">
        <v>16</v>
      </c>
      <c r="T330" s="12">
        <v>4.8000000000000043</v>
      </c>
      <c r="U330" s="14">
        <v>37.76</v>
      </c>
      <c r="V330" s="17">
        <v>300.00000000000028</v>
      </c>
      <c r="W330" s="14">
        <v>26.123768000000013</v>
      </c>
      <c r="X330">
        <f t="shared" si="10"/>
        <v>17.100000000000001</v>
      </c>
      <c r="Y330">
        <f t="shared" si="11"/>
        <v>26.123768000000013</v>
      </c>
    </row>
    <row r="331" spans="1:25">
      <c r="A331" s="12" t="s">
        <v>335</v>
      </c>
      <c r="B331" s="12" t="s">
        <v>425</v>
      </c>
      <c r="C331" s="12">
        <v>161</v>
      </c>
      <c r="D331" s="12">
        <v>2.36</v>
      </c>
      <c r="E331" s="12" t="s">
        <v>436</v>
      </c>
      <c r="F331" s="13">
        <v>41687</v>
      </c>
      <c r="G331" s="12">
        <v>56.2</v>
      </c>
      <c r="I331" s="13">
        <v>41703</v>
      </c>
      <c r="J331" s="12">
        <v>64.400000000000006</v>
      </c>
      <c r="L331" s="12">
        <v>16</v>
      </c>
      <c r="M331" s="12">
        <v>8.2000000000000028</v>
      </c>
      <c r="O331" s="17">
        <v>37.76</v>
      </c>
      <c r="P331" s="17"/>
      <c r="Q331" s="17">
        <v>512.50000000000023</v>
      </c>
      <c r="R331" s="14">
        <v>37.462377000000004</v>
      </c>
      <c r="S331" s="12">
        <v>16</v>
      </c>
      <c r="T331" s="12">
        <v>8.2000000000000028</v>
      </c>
      <c r="U331" s="14">
        <v>37.76</v>
      </c>
      <c r="V331" s="17">
        <v>512.50000000000023</v>
      </c>
      <c r="W331" s="14">
        <v>37.462377000000004</v>
      </c>
      <c r="X331">
        <f t="shared" si="10"/>
        <v>17.100000000000001</v>
      </c>
      <c r="Y331">
        <f t="shared" si="11"/>
        <v>37.462377000000004</v>
      </c>
    </row>
    <row r="332" spans="1:25">
      <c r="A332" s="12" t="s">
        <v>335</v>
      </c>
      <c r="B332" s="12" t="s">
        <v>425</v>
      </c>
      <c r="C332" s="12">
        <v>161</v>
      </c>
      <c r="D332" s="12">
        <v>2.36</v>
      </c>
      <c r="E332" s="12" t="s">
        <v>437</v>
      </c>
      <c r="F332" s="13">
        <v>41687</v>
      </c>
      <c r="G332" s="12">
        <v>53.4</v>
      </c>
      <c r="I332" s="13">
        <v>41703</v>
      </c>
      <c r="J332" s="12">
        <v>58</v>
      </c>
      <c r="L332" s="12">
        <v>16</v>
      </c>
      <c r="M332" s="12">
        <v>4.6000000000000014</v>
      </c>
      <c r="O332" s="17">
        <v>37.76</v>
      </c>
      <c r="P332" s="17"/>
      <c r="Q332" s="17">
        <v>287.50000000000011</v>
      </c>
      <c r="R332" s="14">
        <v>25.592063000000003</v>
      </c>
      <c r="S332" s="12">
        <v>16</v>
      </c>
      <c r="T332" s="12">
        <v>4.6000000000000014</v>
      </c>
      <c r="U332" s="14">
        <v>37.76</v>
      </c>
      <c r="V332" s="17">
        <v>287.50000000000011</v>
      </c>
      <c r="W332" s="14">
        <v>25.592063000000003</v>
      </c>
      <c r="X332">
        <f t="shared" si="10"/>
        <v>17.100000000000001</v>
      </c>
      <c r="Y332">
        <f t="shared" si="11"/>
        <v>25.592063000000003</v>
      </c>
    </row>
    <row r="333" spans="1:25">
      <c r="A333" s="12" t="s">
        <v>335</v>
      </c>
      <c r="B333" s="12" t="s">
        <v>425</v>
      </c>
      <c r="C333" s="12">
        <v>161</v>
      </c>
      <c r="D333" s="12">
        <v>2.36</v>
      </c>
      <c r="E333" s="12" t="s">
        <v>438</v>
      </c>
      <c r="F333" s="13">
        <v>41687</v>
      </c>
      <c r="G333" s="12">
        <v>55.4</v>
      </c>
      <c r="I333" s="13">
        <v>41703</v>
      </c>
      <c r="J333" s="12">
        <v>58.6</v>
      </c>
      <c r="L333" s="12">
        <v>16</v>
      </c>
      <c r="M333" s="12">
        <v>3.2000000000000028</v>
      </c>
      <c r="O333" s="17">
        <v>37.76</v>
      </c>
      <c r="P333" s="17"/>
      <c r="Q333" s="17">
        <v>200.00000000000017</v>
      </c>
      <c r="R333" s="14">
        <v>21.49813000000001</v>
      </c>
      <c r="S333" s="12">
        <v>16</v>
      </c>
      <c r="T333" s="12">
        <v>3.2000000000000028</v>
      </c>
      <c r="U333" s="14">
        <v>37.76</v>
      </c>
      <c r="V333" s="17">
        <v>200.00000000000017</v>
      </c>
      <c r="W333" s="14">
        <v>21.49813000000001</v>
      </c>
      <c r="X333">
        <f t="shared" si="10"/>
        <v>17.100000000000001</v>
      </c>
      <c r="Y333">
        <f t="shared" si="11"/>
        <v>21.49813000000001</v>
      </c>
    </row>
    <row r="334" spans="1:25">
      <c r="A334" s="12" t="s">
        <v>335</v>
      </c>
      <c r="B334" s="12" t="s">
        <v>425</v>
      </c>
      <c r="C334" s="12">
        <v>161</v>
      </c>
      <c r="D334" s="12">
        <v>2.36</v>
      </c>
      <c r="E334" s="12" t="s">
        <v>439</v>
      </c>
      <c r="F334" s="13">
        <v>41687</v>
      </c>
      <c r="G334" s="12">
        <v>61.2</v>
      </c>
      <c r="I334" s="13">
        <v>41703</v>
      </c>
      <c r="J334" s="12">
        <v>67.2</v>
      </c>
      <c r="L334" s="12">
        <v>16</v>
      </c>
      <c r="M334" s="12">
        <v>6</v>
      </c>
      <c r="O334" s="17">
        <v>37.76</v>
      </c>
      <c r="P334" s="17"/>
      <c r="Q334" s="17">
        <v>375</v>
      </c>
      <c r="R334" s="14">
        <v>31.343077999999998</v>
      </c>
      <c r="S334" s="12">
        <v>16</v>
      </c>
      <c r="T334" s="12">
        <v>6</v>
      </c>
      <c r="U334" s="14">
        <v>37.76</v>
      </c>
      <c r="V334" s="17">
        <v>375</v>
      </c>
      <c r="W334" s="14">
        <v>31.343077999999998</v>
      </c>
      <c r="X334">
        <f t="shared" si="10"/>
        <v>17.100000000000001</v>
      </c>
      <c r="Y334">
        <f t="shared" si="11"/>
        <v>31.343078000000002</v>
      </c>
    </row>
    <row r="335" spans="1:25">
      <c r="A335" s="12" t="s">
        <v>335</v>
      </c>
      <c r="B335" s="12" t="s">
        <v>425</v>
      </c>
      <c r="C335" s="12">
        <v>161</v>
      </c>
      <c r="D335" s="12">
        <v>2.36</v>
      </c>
      <c r="E335" s="12" t="s">
        <v>440</v>
      </c>
      <c r="F335" s="13">
        <v>41687</v>
      </c>
      <c r="G335" s="12">
        <v>51</v>
      </c>
      <c r="I335" s="13">
        <v>41703</v>
      </c>
      <c r="J335" s="12">
        <v>53</v>
      </c>
      <c r="L335" s="12">
        <v>16</v>
      </c>
      <c r="M335" s="12">
        <v>2</v>
      </c>
      <c r="O335" s="17">
        <v>37.76</v>
      </c>
      <c r="P335" s="17"/>
      <c r="Q335" s="17">
        <v>125</v>
      </c>
      <c r="R335" s="14">
        <v>16.955179999999999</v>
      </c>
      <c r="S335" s="12">
        <v>16</v>
      </c>
      <c r="T335" s="12">
        <v>2</v>
      </c>
      <c r="U335" s="14">
        <v>37.76</v>
      </c>
      <c r="V335" s="17">
        <v>125</v>
      </c>
      <c r="W335" s="14">
        <v>16.955179999999999</v>
      </c>
      <c r="X335">
        <f t="shared" si="10"/>
        <v>17.100000000000001</v>
      </c>
      <c r="Y335">
        <f t="shared" si="11"/>
        <v>16.955179999999999</v>
      </c>
    </row>
    <row r="336" spans="1:25">
      <c r="A336" s="12" t="s">
        <v>335</v>
      </c>
      <c r="B336" s="12" t="s">
        <v>425</v>
      </c>
      <c r="C336" s="12">
        <v>161</v>
      </c>
      <c r="D336" s="12">
        <v>2.36</v>
      </c>
      <c r="E336" s="12" t="s">
        <v>441</v>
      </c>
      <c r="F336" s="13">
        <v>41687</v>
      </c>
      <c r="G336" s="12">
        <v>51.4</v>
      </c>
      <c r="I336" s="13">
        <v>41703</v>
      </c>
      <c r="J336" s="12">
        <v>55.6</v>
      </c>
      <c r="L336" s="12">
        <v>16</v>
      </c>
      <c r="M336" s="12">
        <v>4.2000000000000028</v>
      </c>
      <c r="O336" s="17">
        <v>37.76</v>
      </c>
      <c r="P336" s="17"/>
      <c r="Q336" s="17">
        <v>262.50000000000017</v>
      </c>
      <c r="R336" s="14">
        <v>23.987565000000007</v>
      </c>
      <c r="S336" s="12">
        <v>16</v>
      </c>
      <c r="T336" s="12">
        <v>4.2000000000000028</v>
      </c>
      <c r="U336" s="14">
        <v>37.76</v>
      </c>
      <c r="V336" s="17">
        <v>262.50000000000017</v>
      </c>
      <c r="W336" s="14">
        <v>23.987565000000007</v>
      </c>
      <c r="X336">
        <f t="shared" si="10"/>
        <v>17.100000000000001</v>
      </c>
      <c r="Y336">
        <f t="shared" si="11"/>
        <v>23.987565000000007</v>
      </c>
    </row>
    <row r="337" spans="1:25">
      <c r="A337" s="12" t="s">
        <v>335</v>
      </c>
      <c r="B337" s="12" t="s">
        <v>425</v>
      </c>
      <c r="C337" s="12">
        <v>161</v>
      </c>
      <c r="D337" s="12">
        <v>2.36</v>
      </c>
      <c r="E337" s="12" t="s">
        <v>442</v>
      </c>
      <c r="F337" s="13">
        <v>41687</v>
      </c>
      <c r="G337" s="12">
        <v>54.2</v>
      </c>
      <c r="I337" s="13">
        <v>41703</v>
      </c>
      <c r="J337" s="12">
        <v>60</v>
      </c>
      <c r="L337" s="12">
        <v>16</v>
      </c>
      <c r="M337" s="12">
        <v>5.7999999999999972</v>
      </c>
      <c r="O337" s="17">
        <v>37.76</v>
      </c>
      <c r="P337" s="17"/>
      <c r="Q337" s="17">
        <v>362.49999999999983</v>
      </c>
      <c r="R337" s="14">
        <v>29.526288999999991</v>
      </c>
      <c r="S337" s="12">
        <v>16</v>
      </c>
      <c r="T337" s="12">
        <v>5.7999999999999972</v>
      </c>
      <c r="U337" s="14">
        <v>37.76</v>
      </c>
      <c r="V337" s="17">
        <v>362.49999999999983</v>
      </c>
      <c r="W337" s="14">
        <v>29.526288999999991</v>
      </c>
      <c r="X337">
        <f t="shared" si="10"/>
        <v>17.100000000000001</v>
      </c>
      <c r="Y337">
        <f t="shared" si="11"/>
        <v>29.526288999999991</v>
      </c>
    </row>
    <row r="338" spans="1:25">
      <c r="A338" s="12" t="s">
        <v>335</v>
      </c>
      <c r="B338" s="12" t="s">
        <v>425</v>
      </c>
      <c r="C338" s="12">
        <v>161</v>
      </c>
      <c r="D338" s="12">
        <v>2.36</v>
      </c>
      <c r="E338" s="12" t="s">
        <v>443</v>
      </c>
      <c r="F338" s="13">
        <v>41687</v>
      </c>
      <c r="G338" s="12">
        <v>56</v>
      </c>
      <c r="I338" s="13">
        <v>41703</v>
      </c>
      <c r="J338" s="12">
        <v>60</v>
      </c>
      <c r="L338" s="12">
        <v>16</v>
      </c>
      <c r="M338" s="12">
        <v>4</v>
      </c>
      <c r="O338" s="17">
        <v>37.76</v>
      </c>
      <c r="P338" s="17"/>
      <c r="Q338" s="17">
        <v>250</v>
      </c>
      <c r="R338" s="14">
        <v>24.132219999999997</v>
      </c>
      <c r="S338" s="12">
        <v>16</v>
      </c>
      <c r="T338" s="12">
        <v>4</v>
      </c>
      <c r="U338" s="14">
        <v>37.76</v>
      </c>
      <c r="V338" s="17">
        <v>250</v>
      </c>
      <c r="W338" s="14">
        <v>24.132219999999997</v>
      </c>
      <c r="X338">
        <f t="shared" si="10"/>
        <v>17.100000000000001</v>
      </c>
      <c r="Y338">
        <f t="shared" si="11"/>
        <v>24.132219999999997</v>
      </c>
    </row>
    <row r="339" spans="1:25">
      <c r="A339" s="12" t="s">
        <v>335</v>
      </c>
      <c r="B339" s="12" t="s">
        <v>425</v>
      </c>
      <c r="C339" s="12">
        <v>161</v>
      </c>
      <c r="D339" s="12">
        <v>2.36</v>
      </c>
      <c r="E339" s="12" t="s">
        <v>444</v>
      </c>
      <c r="F339" s="13">
        <v>41687</v>
      </c>
      <c r="G339" s="12">
        <v>63.2</v>
      </c>
      <c r="I339" s="13">
        <v>41703</v>
      </c>
      <c r="J339" s="12">
        <v>69.2</v>
      </c>
      <c r="L339" s="12">
        <v>16</v>
      </c>
      <c r="M339" s="12">
        <v>6</v>
      </c>
      <c r="O339" s="17">
        <v>37.76</v>
      </c>
      <c r="P339" s="17"/>
      <c r="Q339" s="17">
        <v>375</v>
      </c>
      <c r="R339" s="14">
        <v>31.681257999999996</v>
      </c>
      <c r="S339" s="12">
        <v>16</v>
      </c>
      <c r="T339" s="12">
        <v>6</v>
      </c>
      <c r="U339" s="14">
        <v>37.76</v>
      </c>
      <c r="V339" s="17">
        <v>375</v>
      </c>
      <c r="W339" s="14">
        <v>31.681257999999996</v>
      </c>
      <c r="X339">
        <f t="shared" si="10"/>
        <v>17.100000000000001</v>
      </c>
      <c r="Y339">
        <f t="shared" si="11"/>
        <v>31.681257999999993</v>
      </c>
    </row>
    <row r="340" spans="1:25">
      <c r="A340" s="12" t="s">
        <v>335</v>
      </c>
      <c r="B340" s="12" t="s">
        <v>425</v>
      </c>
      <c r="C340" s="12">
        <v>161</v>
      </c>
      <c r="D340" s="12">
        <v>2.36</v>
      </c>
      <c r="E340" s="12" t="s">
        <v>445</v>
      </c>
      <c r="F340" s="13">
        <v>41687</v>
      </c>
      <c r="G340" s="12">
        <v>55.6</v>
      </c>
      <c r="I340" s="13">
        <v>41703</v>
      </c>
      <c r="J340" s="12">
        <v>62</v>
      </c>
      <c r="L340" s="12">
        <v>16</v>
      </c>
      <c r="M340" s="12">
        <v>6.3999999999999986</v>
      </c>
      <c r="O340" s="17">
        <v>37.76</v>
      </c>
      <c r="P340" s="17"/>
      <c r="Q340" s="17">
        <v>399.99999999999989</v>
      </c>
      <c r="R340" s="14">
        <v>31.662491999999993</v>
      </c>
      <c r="S340" s="12">
        <v>16</v>
      </c>
      <c r="T340" s="12">
        <v>6.3999999999999986</v>
      </c>
      <c r="U340" s="14">
        <v>37.76</v>
      </c>
      <c r="V340" s="17">
        <v>399.99999999999989</v>
      </c>
      <c r="W340" s="14">
        <v>31.662491999999993</v>
      </c>
      <c r="X340">
        <f t="shared" si="10"/>
        <v>17.100000000000001</v>
      </c>
      <c r="Y340">
        <f t="shared" si="11"/>
        <v>31.662491999999997</v>
      </c>
    </row>
    <row r="341" spans="1:25">
      <c r="A341" s="12" t="s">
        <v>335</v>
      </c>
      <c r="B341" s="12" t="s">
        <v>425</v>
      </c>
      <c r="C341" s="12">
        <v>161</v>
      </c>
      <c r="D341" s="12">
        <v>2.36</v>
      </c>
      <c r="E341" s="12" t="s">
        <v>446</v>
      </c>
      <c r="F341" s="13">
        <v>41687</v>
      </c>
      <c r="G341" s="12">
        <v>58.4</v>
      </c>
      <c r="I341" s="13">
        <v>41703</v>
      </c>
      <c r="J341" s="12">
        <v>62.6</v>
      </c>
      <c r="L341" s="12">
        <v>16</v>
      </c>
      <c r="M341" s="12">
        <v>4.2000000000000028</v>
      </c>
      <c r="O341" s="17">
        <v>37.76</v>
      </c>
      <c r="P341" s="17"/>
      <c r="Q341" s="17">
        <v>262.50000000000017</v>
      </c>
      <c r="R341" s="14">
        <v>25.171195000000004</v>
      </c>
      <c r="S341" s="12">
        <v>16</v>
      </c>
      <c r="T341" s="12">
        <v>4.2000000000000028</v>
      </c>
      <c r="U341" s="14">
        <v>37.76</v>
      </c>
      <c r="V341" s="17">
        <v>262.50000000000017</v>
      </c>
      <c r="W341" s="14">
        <v>25.171195000000004</v>
      </c>
      <c r="X341">
        <f t="shared" si="10"/>
        <v>17.100000000000001</v>
      </c>
      <c r="Y341">
        <f t="shared" si="11"/>
        <v>25.171195000000004</v>
      </c>
    </row>
    <row r="342" spans="1:25">
      <c r="A342" s="12" t="s">
        <v>335</v>
      </c>
      <c r="B342" s="12" t="s">
        <v>425</v>
      </c>
      <c r="C342" s="12">
        <v>161</v>
      </c>
      <c r="D342" s="12">
        <v>2.36</v>
      </c>
      <c r="E342" s="12" t="s">
        <v>447</v>
      </c>
      <c r="F342" s="13">
        <v>41687</v>
      </c>
      <c r="G342" s="12">
        <v>53.4</v>
      </c>
      <c r="I342" s="13">
        <v>41703</v>
      </c>
      <c r="J342" s="12">
        <v>55.8</v>
      </c>
      <c r="L342" s="12">
        <v>16</v>
      </c>
      <c r="M342" s="12">
        <v>2.3999999999999986</v>
      </c>
      <c r="O342" s="17">
        <v>37.76</v>
      </c>
      <c r="P342" s="17"/>
      <c r="Q342" s="17">
        <v>149.99999999999991</v>
      </c>
      <c r="R342" s="14">
        <v>18.627313999999995</v>
      </c>
      <c r="S342" s="12">
        <v>16</v>
      </c>
      <c r="T342" s="12">
        <v>2.3999999999999986</v>
      </c>
      <c r="U342" s="14">
        <v>37.76</v>
      </c>
      <c r="V342" s="17">
        <v>149.99999999999991</v>
      </c>
      <c r="W342" s="14">
        <v>18.627313999999995</v>
      </c>
      <c r="X342">
        <f t="shared" si="10"/>
        <v>17.100000000000001</v>
      </c>
      <c r="Y342">
        <f t="shared" si="11"/>
        <v>18.627313999999995</v>
      </c>
    </row>
    <row r="343" spans="1:25">
      <c r="A343" s="12" t="s">
        <v>335</v>
      </c>
      <c r="B343" s="12" t="s">
        <v>425</v>
      </c>
      <c r="C343" s="12">
        <v>161</v>
      </c>
      <c r="D343" s="12">
        <v>2.36</v>
      </c>
      <c r="E343" s="12" t="s">
        <v>448</v>
      </c>
      <c r="F343" s="13">
        <v>41687</v>
      </c>
      <c r="G343" s="12">
        <v>51.4</v>
      </c>
      <c r="I343" s="13">
        <v>41703</v>
      </c>
      <c r="J343" s="12">
        <v>57.8</v>
      </c>
      <c r="L343" s="12">
        <v>16</v>
      </c>
      <c r="M343" s="12">
        <v>6.3999999999999986</v>
      </c>
      <c r="O343" s="17">
        <v>37.76</v>
      </c>
      <c r="P343" s="17"/>
      <c r="Q343" s="17">
        <v>399.99999999999989</v>
      </c>
      <c r="R343" s="14">
        <v>30.952313999999994</v>
      </c>
      <c r="S343" s="12">
        <v>16</v>
      </c>
      <c r="T343" s="12">
        <v>6.3999999999999986</v>
      </c>
      <c r="U343" s="14">
        <v>37.76</v>
      </c>
      <c r="V343" s="17">
        <v>399.99999999999989</v>
      </c>
      <c r="W343" s="14">
        <v>30.952313999999994</v>
      </c>
      <c r="X343">
        <f t="shared" si="10"/>
        <v>17.100000000000001</v>
      </c>
      <c r="Y343">
        <f t="shared" si="11"/>
        <v>30.952313999999991</v>
      </c>
    </row>
    <row r="344" spans="1:25">
      <c r="A344" s="12" t="s">
        <v>335</v>
      </c>
      <c r="B344" s="12" t="s">
        <v>425</v>
      </c>
      <c r="C344" s="12">
        <v>161</v>
      </c>
      <c r="D344" s="12">
        <v>2.36</v>
      </c>
      <c r="E344" s="12" t="s">
        <v>449</v>
      </c>
      <c r="F344" s="13">
        <v>41687</v>
      </c>
      <c r="G344" s="12">
        <v>51.6</v>
      </c>
      <c r="I344" s="13">
        <v>41703</v>
      </c>
      <c r="J344" s="12">
        <v>57.6</v>
      </c>
      <c r="L344" s="12">
        <v>16</v>
      </c>
      <c r="M344" s="12">
        <v>6</v>
      </c>
      <c r="O344" s="17">
        <v>37.76</v>
      </c>
      <c r="P344" s="17"/>
      <c r="Q344" s="17">
        <v>375</v>
      </c>
      <c r="R344" s="14">
        <v>29.719814</v>
      </c>
      <c r="S344" s="12">
        <v>16</v>
      </c>
      <c r="T344" s="12">
        <v>6</v>
      </c>
      <c r="U344" s="14">
        <v>37.76</v>
      </c>
      <c r="V344" s="17">
        <v>375</v>
      </c>
      <c r="W344" s="14">
        <v>29.719814</v>
      </c>
      <c r="X344">
        <f t="shared" si="10"/>
        <v>17.100000000000001</v>
      </c>
      <c r="Y344">
        <f t="shared" si="11"/>
        <v>29.719814</v>
      </c>
    </row>
    <row r="345" spans="1:25">
      <c r="A345" s="12" t="s">
        <v>335</v>
      </c>
      <c r="B345" s="12" t="s">
        <v>425</v>
      </c>
      <c r="C345" s="12">
        <v>161</v>
      </c>
      <c r="D345" s="12">
        <v>2.36</v>
      </c>
      <c r="E345" s="12" t="s">
        <v>450</v>
      </c>
      <c r="F345" s="13">
        <v>41687</v>
      </c>
      <c r="G345" s="12">
        <v>55.8</v>
      </c>
      <c r="I345" s="13">
        <v>41703</v>
      </c>
      <c r="J345" s="12">
        <v>59.8</v>
      </c>
      <c r="L345" s="12">
        <v>16</v>
      </c>
      <c r="M345" s="12">
        <v>4</v>
      </c>
      <c r="O345" s="17">
        <v>37.76</v>
      </c>
      <c r="P345" s="17"/>
      <c r="Q345" s="17">
        <v>250</v>
      </c>
      <c r="R345" s="14">
        <v>24.098402</v>
      </c>
      <c r="S345" s="12">
        <v>16</v>
      </c>
      <c r="T345" s="12">
        <v>4</v>
      </c>
      <c r="U345" s="14">
        <v>37.76</v>
      </c>
      <c r="V345" s="17">
        <v>250</v>
      </c>
      <c r="W345" s="14">
        <v>24.098402</v>
      </c>
      <c r="X345">
        <f t="shared" si="10"/>
        <v>17.100000000000001</v>
      </c>
      <c r="Y345">
        <f t="shared" si="11"/>
        <v>24.098402</v>
      </c>
    </row>
    <row r="346" spans="1:25">
      <c r="A346" s="12" t="s">
        <v>335</v>
      </c>
      <c r="B346" s="12" t="s">
        <v>425</v>
      </c>
      <c r="C346" s="12">
        <v>161</v>
      </c>
      <c r="D346" s="12">
        <v>2.36</v>
      </c>
      <c r="E346" s="12" t="s">
        <v>451</v>
      </c>
      <c r="F346" s="13">
        <v>41687</v>
      </c>
      <c r="G346" s="12">
        <v>55.6</v>
      </c>
      <c r="I346" s="13">
        <v>41703</v>
      </c>
      <c r="J346" s="12">
        <v>63.4</v>
      </c>
      <c r="L346" s="12">
        <v>16</v>
      </c>
      <c r="M346" s="12">
        <v>7.7999999999999972</v>
      </c>
      <c r="O346" s="17">
        <v>37.76</v>
      </c>
      <c r="P346" s="17"/>
      <c r="Q346" s="17">
        <v>487.49999999999983</v>
      </c>
      <c r="R346" s="14">
        <v>36.094604999999987</v>
      </c>
      <c r="S346" s="12">
        <v>16</v>
      </c>
      <c r="T346" s="12">
        <v>7.7999999999999972</v>
      </c>
      <c r="U346" s="14">
        <v>37.76</v>
      </c>
      <c r="V346" s="17">
        <v>487.49999999999983</v>
      </c>
      <c r="W346" s="14">
        <v>36.094604999999987</v>
      </c>
      <c r="X346">
        <f t="shared" si="10"/>
        <v>17.100000000000001</v>
      </c>
      <c r="Y346">
        <f t="shared" si="11"/>
        <v>36.094604999999987</v>
      </c>
    </row>
    <row r="347" spans="1:25">
      <c r="A347" s="12" t="s">
        <v>335</v>
      </c>
      <c r="B347" s="12" t="s">
        <v>425</v>
      </c>
      <c r="C347" s="12">
        <v>161</v>
      </c>
      <c r="D347" s="12">
        <v>2.36</v>
      </c>
      <c r="E347" s="12" t="s">
        <v>452</v>
      </c>
      <c r="F347" s="13">
        <v>41687</v>
      </c>
      <c r="G347" s="12">
        <v>53.6</v>
      </c>
      <c r="I347" s="13">
        <v>41703</v>
      </c>
      <c r="J347" s="12">
        <v>56.6</v>
      </c>
      <c r="L347" s="12">
        <v>16</v>
      </c>
      <c r="M347" s="12">
        <v>3</v>
      </c>
      <c r="O347" s="17">
        <v>37.76</v>
      </c>
      <c r="P347" s="17"/>
      <c r="Q347" s="17">
        <v>187.5</v>
      </c>
      <c r="R347" s="14">
        <v>20.560608999999999</v>
      </c>
      <c r="S347" s="12">
        <v>16</v>
      </c>
      <c r="T347" s="12">
        <v>3</v>
      </c>
      <c r="U347" s="14">
        <v>37.76</v>
      </c>
      <c r="V347" s="17">
        <v>187.5</v>
      </c>
      <c r="W347" s="14">
        <v>20.560608999999999</v>
      </c>
      <c r="X347">
        <f t="shared" si="10"/>
        <v>17.100000000000001</v>
      </c>
      <c r="Y347">
        <f t="shared" si="11"/>
        <v>20.560608999999999</v>
      </c>
    </row>
    <row r="348" spans="1:25">
      <c r="A348" s="12" t="s">
        <v>335</v>
      </c>
      <c r="B348" s="12" t="s">
        <v>425</v>
      </c>
      <c r="C348" s="12">
        <v>161</v>
      </c>
      <c r="D348" s="12">
        <v>2.36</v>
      </c>
      <c r="E348" s="12" t="s">
        <v>453</v>
      </c>
      <c r="F348" s="13">
        <v>41687</v>
      </c>
      <c r="G348" s="12">
        <v>57.6</v>
      </c>
      <c r="I348" s="13">
        <v>41703</v>
      </c>
      <c r="J348" s="12">
        <v>62.2</v>
      </c>
      <c r="L348" s="12">
        <v>16</v>
      </c>
      <c r="M348" s="12">
        <v>4.6000000000000014</v>
      </c>
      <c r="O348" s="17">
        <v>37.76</v>
      </c>
      <c r="P348" s="17"/>
      <c r="Q348" s="17">
        <v>287.50000000000011</v>
      </c>
      <c r="R348" s="14">
        <v>26.302241000000002</v>
      </c>
      <c r="S348" s="12">
        <v>16</v>
      </c>
      <c r="T348" s="12">
        <v>4.6000000000000014</v>
      </c>
      <c r="U348" s="14">
        <v>37.76</v>
      </c>
      <c r="V348" s="17">
        <v>287.50000000000011</v>
      </c>
      <c r="W348" s="14">
        <v>26.302241000000002</v>
      </c>
      <c r="X348">
        <f t="shared" si="10"/>
        <v>17.100000000000001</v>
      </c>
      <c r="Y348">
        <f t="shared" si="11"/>
        <v>26.302241000000002</v>
      </c>
    </row>
    <row r="349" spans="1:25">
      <c r="A349" s="12" t="s">
        <v>335</v>
      </c>
      <c r="B349" s="12" t="s">
        <v>425</v>
      </c>
      <c r="C349" s="12">
        <v>161</v>
      </c>
      <c r="D349" s="12">
        <v>2.36</v>
      </c>
      <c r="E349" s="12" t="s">
        <v>454</v>
      </c>
      <c r="F349" s="13">
        <v>41687</v>
      </c>
      <c r="G349" s="12">
        <v>50.4</v>
      </c>
      <c r="I349" s="13">
        <v>41703</v>
      </c>
      <c r="J349" s="12">
        <v>52.4</v>
      </c>
      <c r="L349" s="12">
        <v>16</v>
      </c>
      <c r="M349" s="12">
        <v>2</v>
      </c>
      <c r="O349" s="17">
        <v>37.76</v>
      </c>
      <c r="P349" s="17"/>
      <c r="Q349" s="17">
        <v>125</v>
      </c>
      <c r="R349" s="14">
        <v>16.853725999999998</v>
      </c>
      <c r="S349" s="12">
        <v>16</v>
      </c>
      <c r="T349" s="12">
        <v>2</v>
      </c>
      <c r="U349" s="14">
        <v>37.76</v>
      </c>
      <c r="V349" s="17">
        <v>125</v>
      </c>
      <c r="W349" s="14">
        <v>16.853725999999998</v>
      </c>
      <c r="X349">
        <f t="shared" si="10"/>
        <v>17.100000000000001</v>
      </c>
      <c r="Y349">
        <f t="shared" si="11"/>
        <v>16.853725999999998</v>
      </c>
    </row>
    <row r="350" spans="1:25">
      <c r="A350" s="12" t="s">
        <v>335</v>
      </c>
      <c r="B350" s="12" t="s">
        <v>425</v>
      </c>
      <c r="C350" s="12">
        <v>161</v>
      </c>
      <c r="D350" s="12">
        <v>2.36</v>
      </c>
      <c r="E350" s="12" t="s">
        <v>455</v>
      </c>
      <c r="F350" s="13">
        <v>41687</v>
      </c>
      <c r="G350" s="12">
        <v>49.6</v>
      </c>
      <c r="I350" s="13">
        <v>41703</v>
      </c>
      <c r="J350" s="12">
        <v>52.8</v>
      </c>
      <c r="L350" s="12">
        <v>16</v>
      </c>
      <c r="M350" s="12">
        <v>3.1999999999999957</v>
      </c>
      <c r="O350" s="17">
        <v>37.76</v>
      </c>
      <c r="P350" s="17"/>
      <c r="Q350" s="17">
        <v>199.99999999999974</v>
      </c>
      <c r="R350" s="14">
        <v>20.517407999999989</v>
      </c>
      <c r="S350" s="12">
        <v>16</v>
      </c>
      <c r="T350" s="12">
        <v>3.1999999999999957</v>
      </c>
      <c r="U350" s="14">
        <v>37.76</v>
      </c>
      <c r="V350" s="17">
        <v>199.99999999999974</v>
      </c>
      <c r="W350" s="14">
        <v>20.517407999999989</v>
      </c>
      <c r="X350">
        <f t="shared" si="10"/>
        <v>17.100000000000001</v>
      </c>
      <c r="Y350">
        <f t="shared" si="11"/>
        <v>20.517407999999989</v>
      </c>
    </row>
    <row r="351" spans="1:25">
      <c r="A351" s="12" t="s">
        <v>335</v>
      </c>
      <c r="B351" s="12" t="s">
        <v>425</v>
      </c>
      <c r="C351" s="12">
        <v>161</v>
      </c>
      <c r="D351" s="12">
        <v>2.36</v>
      </c>
      <c r="E351" s="12" t="s">
        <v>456</v>
      </c>
      <c r="F351" s="13">
        <v>41687</v>
      </c>
      <c r="G351" s="12">
        <v>49.4</v>
      </c>
      <c r="I351" s="13">
        <v>41703</v>
      </c>
      <c r="J351" s="12">
        <v>55.2</v>
      </c>
      <c r="L351" s="12">
        <v>16</v>
      </c>
      <c r="M351" s="12">
        <v>5.8000000000000043</v>
      </c>
      <c r="O351" s="17">
        <v>37.76</v>
      </c>
      <c r="P351" s="17"/>
      <c r="Q351" s="17">
        <v>362.50000000000028</v>
      </c>
      <c r="R351" s="14">
        <v>28.71465700000001</v>
      </c>
      <c r="S351" s="12">
        <v>16</v>
      </c>
      <c r="T351" s="12">
        <v>5.8000000000000043</v>
      </c>
      <c r="U351" s="14">
        <v>37.76</v>
      </c>
      <c r="V351" s="17">
        <v>362.50000000000028</v>
      </c>
      <c r="W351" s="14">
        <v>28.71465700000001</v>
      </c>
      <c r="X351">
        <f t="shared" si="10"/>
        <v>17.100000000000001</v>
      </c>
      <c r="Y351">
        <f t="shared" si="11"/>
        <v>28.71465700000001</v>
      </c>
    </row>
    <row r="352" spans="1:25">
      <c r="A352" s="12" t="s">
        <v>335</v>
      </c>
      <c r="B352" s="12" t="s">
        <v>425</v>
      </c>
      <c r="C352" s="12">
        <v>161</v>
      </c>
      <c r="D352" s="12">
        <v>2.36</v>
      </c>
      <c r="E352" s="12" t="s">
        <v>457</v>
      </c>
      <c r="F352" s="13">
        <v>41687</v>
      </c>
      <c r="G352" s="12">
        <v>60.4</v>
      </c>
      <c r="I352" s="13">
        <v>41703</v>
      </c>
      <c r="J352" s="12">
        <v>63.8</v>
      </c>
      <c r="L352" s="12">
        <v>16</v>
      </c>
      <c r="M352" s="12">
        <v>3.3999999999999986</v>
      </c>
      <c r="O352" s="17">
        <v>37.76</v>
      </c>
      <c r="P352" s="17"/>
      <c r="Q352" s="17">
        <v>212.49999999999991</v>
      </c>
      <c r="R352" s="14">
        <v>22.976738999999995</v>
      </c>
      <c r="S352" s="12">
        <v>16</v>
      </c>
      <c r="T352" s="12">
        <v>3.3999999999999986</v>
      </c>
      <c r="U352" s="14">
        <v>37.76</v>
      </c>
      <c r="V352" s="17">
        <v>212.49999999999991</v>
      </c>
      <c r="W352" s="14">
        <v>22.976738999999995</v>
      </c>
      <c r="X352">
        <f t="shared" si="10"/>
        <v>17.100000000000001</v>
      </c>
      <c r="Y352">
        <f t="shared" si="11"/>
        <v>22.976738999999995</v>
      </c>
    </row>
    <row r="353" spans="1:25">
      <c r="A353" s="12" t="s">
        <v>335</v>
      </c>
      <c r="B353" s="12" t="s">
        <v>425</v>
      </c>
      <c r="C353" s="12">
        <v>161</v>
      </c>
      <c r="D353" s="12">
        <v>2.36</v>
      </c>
      <c r="E353" s="12" t="s">
        <v>458</v>
      </c>
      <c r="F353" s="13">
        <v>41687</v>
      </c>
      <c r="G353" s="12">
        <v>58</v>
      </c>
      <c r="I353" s="13">
        <v>41703</v>
      </c>
      <c r="J353" s="12">
        <v>65.8</v>
      </c>
      <c r="L353" s="12">
        <v>16</v>
      </c>
      <c r="M353" s="12">
        <v>7.7999999999999972</v>
      </c>
      <c r="O353" s="17">
        <v>37.76</v>
      </c>
      <c r="P353" s="17"/>
      <c r="Q353" s="17">
        <v>487.49999999999983</v>
      </c>
      <c r="R353" s="14">
        <v>36.500420999999989</v>
      </c>
      <c r="S353" s="12">
        <v>16</v>
      </c>
      <c r="T353" s="12">
        <v>7.7999999999999972</v>
      </c>
      <c r="U353" s="14">
        <v>37.76</v>
      </c>
      <c r="V353" s="17">
        <v>487.49999999999983</v>
      </c>
      <c r="W353" s="14">
        <v>36.500420999999989</v>
      </c>
      <c r="X353">
        <f t="shared" si="10"/>
        <v>17.100000000000001</v>
      </c>
      <c r="Y353">
        <f t="shared" si="11"/>
        <v>36.500420999999989</v>
      </c>
    </row>
    <row r="354" spans="1:25">
      <c r="A354" s="12" t="s">
        <v>335</v>
      </c>
      <c r="B354" s="12" t="s">
        <v>425</v>
      </c>
      <c r="C354" s="12">
        <v>161</v>
      </c>
      <c r="D354" s="12">
        <v>2.36</v>
      </c>
      <c r="E354" s="12" t="s">
        <v>459</v>
      </c>
      <c r="F354" s="13">
        <v>41687</v>
      </c>
      <c r="G354" s="12">
        <v>52.6</v>
      </c>
      <c r="I354" s="13">
        <v>41703</v>
      </c>
      <c r="J354" s="12">
        <v>53.6</v>
      </c>
      <c r="L354" s="12">
        <v>16</v>
      </c>
      <c r="M354" s="12">
        <v>1</v>
      </c>
      <c r="O354" s="17">
        <v>37.76</v>
      </c>
      <c r="P354" s="17"/>
      <c r="Q354" s="17">
        <v>62.5</v>
      </c>
      <c r="R354" s="14">
        <v>14.059929</v>
      </c>
      <c r="S354" s="12">
        <v>16</v>
      </c>
      <c r="T354" s="12">
        <v>1</v>
      </c>
      <c r="U354" s="14">
        <v>37.76</v>
      </c>
      <c r="V354" s="17">
        <v>62.5</v>
      </c>
      <c r="W354" s="14">
        <v>14.059929</v>
      </c>
      <c r="X354">
        <f t="shared" si="10"/>
        <v>17.100000000000001</v>
      </c>
      <c r="Y354">
        <f t="shared" si="11"/>
        <v>14.059929</v>
      </c>
    </row>
    <row r="355" spans="1:25">
      <c r="A355" s="12" t="s">
        <v>335</v>
      </c>
      <c r="B355" s="12" t="s">
        <v>425</v>
      </c>
      <c r="C355" s="12">
        <v>161</v>
      </c>
      <c r="D355" s="12">
        <v>2.36</v>
      </c>
      <c r="E355" s="12" t="s">
        <v>460</v>
      </c>
      <c r="F355" s="13">
        <v>41687</v>
      </c>
      <c r="G355" s="12">
        <v>56.6</v>
      </c>
      <c r="I355" s="13">
        <v>41703</v>
      </c>
      <c r="J355" s="12">
        <v>62.4</v>
      </c>
      <c r="L355" s="12">
        <v>16</v>
      </c>
      <c r="M355" s="12">
        <v>5.7999999999999972</v>
      </c>
      <c r="O355" s="17">
        <v>37.76</v>
      </c>
      <c r="P355" s="17"/>
      <c r="Q355" s="17">
        <v>362.49999999999983</v>
      </c>
      <c r="R355" s="14">
        <v>29.932104999999989</v>
      </c>
      <c r="S355" s="12">
        <v>16</v>
      </c>
      <c r="T355" s="12">
        <v>5.7999999999999972</v>
      </c>
      <c r="U355" s="14">
        <v>37.76</v>
      </c>
      <c r="V355" s="17">
        <v>362.49999999999983</v>
      </c>
      <c r="W355" s="14">
        <v>29.932104999999989</v>
      </c>
      <c r="X355">
        <f t="shared" si="10"/>
        <v>17.100000000000001</v>
      </c>
      <c r="Y355">
        <f t="shared" si="11"/>
        <v>29.932104999999989</v>
      </c>
    </row>
    <row r="356" spans="1:25">
      <c r="A356" s="12" t="s">
        <v>335</v>
      </c>
      <c r="B356" s="12" t="s">
        <v>425</v>
      </c>
      <c r="C356" s="12">
        <v>161</v>
      </c>
      <c r="D356" s="12">
        <v>2.36</v>
      </c>
      <c r="E356" s="12" t="s">
        <v>461</v>
      </c>
      <c r="F356" s="13">
        <v>41687</v>
      </c>
      <c r="G356" s="12">
        <v>58.6</v>
      </c>
      <c r="I356" s="13">
        <v>41703</v>
      </c>
      <c r="J356" s="12">
        <v>66.2</v>
      </c>
      <c r="L356" s="12">
        <v>16</v>
      </c>
      <c r="M356" s="12">
        <v>7.6000000000000014</v>
      </c>
      <c r="O356" s="17">
        <v>37.76</v>
      </c>
      <c r="P356" s="17"/>
      <c r="Q356" s="17">
        <v>475.00000000000011</v>
      </c>
      <c r="R356" s="14">
        <v>35.968716000000001</v>
      </c>
      <c r="S356" s="12">
        <v>16</v>
      </c>
      <c r="T356" s="12">
        <v>7.6000000000000014</v>
      </c>
      <c r="U356" s="14">
        <v>37.76</v>
      </c>
      <c r="V356" s="17">
        <v>475.00000000000011</v>
      </c>
      <c r="W356" s="14">
        <v>35.968716000000001</v>
      </c>
      <c r="X356">
        <f t="shared" si="10"/>
        <v>17.100000000000001</v>
      </c>
      <c r="Y356">
        <f t="shared" si="11"/>
        <v>35.968716000000001</v>
      </c>
    </row>
    <row r="357" spans="1:25">
      <c r="A357" s="12" t="s">
        <v>335</v>
      </c>
      <c r="B357" s="12" t="s">
        <v>425</v>
      </c>
      <c r="C357" s="12">
        <v>161</v>
      </c>
      <c r="D357" s="12">
        <v>2.36</v>
      </c>
      <c r="E357" s="12" t="s">
        <v>462</v>
      </c>
      <c r="F357" s="13">
        <v>41687</v>
      </c>
      <c r="G357" s="12">
        <v>56.6</v>
      </c>
      <c r="I357" s="13">
        <v>41703</v>
      </c>
      <c r="J357" s="12">
        <v>60.8</v>
      </c>
      <c r="L357" s="12">
        <v>16</v>
      </c>
      <c r="M357" s="12">
        <v>4.1999999999999957</v>
      </c>
      <c r="O357" s="17">
        <v>37.76</v>
      </c>
      <c r="P357" s="17"/>
      <c r="Q357" s="17">
        <v>262.49999999999972</v>
      </c>
      <c r="R357" s="14">
        <v>24.866832999999986</v>
      </c>
      <c r="S357" s="12">
        <v>16</v>
      </c>
      <c r="T357" s="12">
        <v>4.1999999999999957</v>
      </c>
      <c r="U357" s="14">
        <v>37.76</v>
      </c>
      <c r="V357" s="17">
        <v>262.49999999999972</v>
      </c>
      <c r="W357" s="14">
        <v>24.866832999999986</v>
      </c>
      <c r="X357">
        <f t="shared" si="10"/>
        <v>17.100000000000001</v>
      </c>
      <c r="Y357">
        <f t="shared" si="11"/>
        <v>24.866832999999986</v>
      </c>
    </row>
    <row r="358" spans="1:25">
      <c r="A358" s="12" t="s">
        <v>335</v>
      </c>
      <c r="B358" s="12" t="s">
        <v>425</v>
      </c>
      <c r="C358" s="12">
        <v>161</v>
      </c>
      <c r="D358" s="12">
        <v>2.36</v>
      </c>
      <c r="E358" s="12" t="s">
        <v>463</v>
      </c>
      <c r="F358" s="13">
        <v>41687</v>
      </c>
      <c r="G358" s="12">
        <v>64</v>
      </c>
      <c r="I358" s="13">
        <v>41703</v>
      </c>
      <c r="J358" s="12">
        <v>69.599999999999994</v>
      </c>
      <c r="L358" s="12">
        <v>16</v>
      </c>
      <c r="M358" s="12">
        <v>5.5999999999999943</v>
      </c>
      <c r="O358" s="17">
        <v>37.76</v>
      </c>
      <c r="P358" s="17"/>
      <c r="Q358" s="17">
        <v>349.99999999999966</v>
      </c>
      <c r="R358" s="14">
        <v>30.550211999999981</v>
      </c>
      <c r="S358" s="12">
        <v>16</v>
      </c>
      <c r="T358" s="12">
        <v>5.5999999999999943</v>
      </c>
      <c r="U358" s="14">
        <v>37.76</v>
      </c>
      <c r="V358" s="17">
        <v>349.99999999999966</v>
      </c>
      <c r="W358" s="14">
        <v>30.550211999999981</v>
      </c>
      <c r="X358">
        <f t="shared" si="10"/>
        <v>17.100000000000001</v>
      </c>
      <c r="Y358">
        <f t="shared" si="11"/>
        <v>30.550211999999981</v>
      </c>
    </row>
    <row r="359" spans="1:25">
      <c r="A359" s="12" t="s">
        <v>335</v>
      </c>
      <c r="B359" s="12" t="s">
        <v>425</v>
      </c>
      <c r="C359" s="12">
        <v>161</v>
      </c>
      <c r="D359" s="12">
        <v>2.36</v>
      </c>
      <c r="E359" s="12" t="s">
        <v>464</v>
      </c>
      <c r="F359" s="13">
        <v>41687</v>
      </c>
      <c r="G359" s="12">
        <v>51.4</v>
      </c>
      <c r="I359" s="13">
        <v>41703</v>
      </c>
      <c r="J359" s="12">
        <v>57.4</v>
      </c>
      <c r="L359" s="12">
        <v>16</v>
      </c>
      <c r="M359" s="12">
        <v>6</v>
      </c>
      <c r="O359" s="17">
        <v>37.76</v>
      </c>
      <c r="P359" s="17"/>
      <c r="Q359" s="17">
        <v>375</v>
      </c>
      <c r="R359" s="14">
        <v>29.685995999999996</v>
      </c>
      <c r="S359" s="12">
        <v>16</v>
      </c>
      <c r="T359" s="12">
        <v>6</v>
      </c>
      <c r="U359" s="14">
        <v>37.76</v>
      </c>
      <c r="V359" s="17">
        <v>375</v>
      </c>
      <c r="W359" s="14">
        <v>29.685995999999996</v>
      </c>
      <c r="X359">
        <f t="shared" si="10"/>
        <v>17.100000000000001</v>
      </c>
      <c r="Y359">
        <f t="shared" si="11"/>
        <v>29.685995999999996</v>
      </c>
    </row>
    <row r="360" spans="1:25">
      <c r="A360" s="12" t="s">
        <v>335</v>
      </c>
      <c r="B360" s="12" t="s">
        <v>425</v>
      </c>
      <c r="C360" s="12">
        <v>161</v>
      </c>
      <c r="D360" s="12">
        <v>2.36</v>
      </c>
      <c r="E360" s="12" t="s">
        <v>465</v>
      </c>
      <c r="F360" s="13">
        <v>41687</v>
      </c>
      <c r="G360" s="12">
        <v>49</v>
      </c>
      <c r="I360" s="13">
        <v>41703</v>
      </c>
      <c r="J360" s="12">
        <v>51</v>
      </c>
      <c r="L360" s="12">
        <v>16</v>
      </c>
      <c r="M360" s="12">
        <v>2</v>
      </c>
      <c r="O360" s="17">
        <v>37.76</v>
      </c>
      <c r="P360" s="17"/>
      <c r="Q360" s="17">
        <v>125</v>
      </c>
      <c r="R360" s="14">
        <v>16.616999999999997</v>
      </c>
      <c r="S360" s="12">
        <v>16</v>
      </c>
      <c r="T360" s="12">
        <v>2</v>
      </c>
      <c r="U360" s="14">
        <v>37.76</v>
      </c>
      <c r="V360" s="17">
        <v>125</v>
      </c>
      <c r="W360" s="14">
        <v>16.616999999999997</v>
      </c>
      <c r="X360">
        <f t="shared" si="10"/>
        <v>17.100000000000001</v>
      </c>
      <c r="Y360">
        <f t="shared" si="11"/>
        <v>16.616999999999997</v>
      </c>
    </row>
    <row r="361" spans="1:25">
      <c r="A361" s="12" t="s">
        <v>335</v>
      </c>
      <c r="B361" s="12" t="s">
        <v>425</v>
      </c>
      <c r="C361" s="12">
        <v>161</v>
      </c>
      <c r="D361" s="12">
        <v>2.36</v>
      </c>
      <c r="E361" s="12" t="s">
        <v>466</v>
      </c>
      <c r="F361" s="13">
        <v>41687</v>
      </c>
      <c r="G361" s="12">
        <v>53</v>
      </c>
      <c r="I361" s="13">
        <v>41703</v>
      </c>
      <c r="J361" s="12">
        <v>57.6</v>
      </c>
      <c r="L361" s="12">
        <v>16</v>
      </c>
      <c r="M361" s="12">
        <v>4.6000000000000014</v>
      </c>
      <c r="O361" s="17">
        <v>37.76</v>
      </c>
      <c r="P361" s="17"/>
      <c r="Q361" s="17">
        <v>287.50000000000011</v>
      </c>
      <c r="R361" s="14">
        <v>25.524427000000003</v>
      </c>
      <c r="S361" s="12">
        <v>16</v>
      </c>
      <c r="T361" s="12">
        <v>4.6000000000000014</v>
      </c>
      <c r="U361" s="14">
        <v>37.76</v>
      </c>
      <c r="V361" s="17">
        <v>287.50000000000011</v>
      </c>
      <c r="W361" s="14">
        <v>25.524427000000003</v>
      </c>
      <c r="X361">
        <f t="shared" si="10"/>
        <v>17.100000000000001</v>
      </c>
      <c r="Y361">
        <f t="shared" si="11"/>
        <v>25.524427000000003</v>
      </c>
    </row>
    <row r="362" spans="1:25">
      <c r="A362" s="12" t="s">
        <v>335</v>
      </c>
      <c r="B362" s="12" t="s">
        <v>425</v>
      </c>
      <c r="C362" s="12">
        <v>161</v>
      </c>
      <c r="D362" s="12">
        <v>2.36</v>
      </c>
      <c r="E362" s="12" t="s">
        <v>467</v>
      </c>
      <c r="F362" s="13">
        <v>41687</v>
      </c>
      <c r="G362" s="12">
        <v>53.8</v>
      </c>
      <c r="I362" s="13">
        <v>41703</v>
      </c>
      <c r="J362" s="12">
        <v>57.8</v>
      </c>
      <c r="L362" s="12">
        <v>16</v>
      </c>
      <c r="M362" s="12">
        <v>4</v>
      </c>
      <c r="O362" s="17">
        <v>37.76</v>
      </c>
      <c r="P362" s="17"/>
      <c r="Q362" s="17">
        <v>250</v>
      </c>
      <c r="R362" s="14">
        <v>23.760221999999999</v>
      </c>
      <c r="S362" s="12">
        <v>16</v>
      </c>
      <c r="T362" s="12">
        <v>4</v>
      </c>
      <c r="U362" s="14">
        <v>37.76</v>
      </c>
      <c r="V362" s="17">
        <v>250</v>
      </c>
      <c r="W362" s="14">
        <v>23.760221999999999</v>
      </c>
      <c r="X362">
        <f t="shared" si="10"/>
        <v>17.100000000000001</v>
      </c>
      <c r="Y362">
        <f t="shared" si="11"/>
        <v>23.760221999999999</v>
      </c>
    </row>
    <row r="363" spans="1:25">
      <c r="A363" s="12" t="s">
        <v>335</v>
      </c>
      <c r="B363" s="12" t="s">
        <v>425</v>
      </c>
      <c r="C363" s="12">
        <v>161</v>
      </c>
      <c r="D363" s="12">
        <v>2.36</v>
      </c>
      <c r="E363" s="12" t="s">
        <v>468</v>
      </c>
      <c r="F363" s="13">
        <v>41687</v>
      </c>
      <c r="G363" s="12">
        <v>52.2</v>
      </c>
      <c r="I363" s="13">
        <v>41703</v>
      </c>
      <c r="J363" s="12">
        <v>59</v>
      </c>
      <c r="L363" s="12">
        <v>16</v>
      </c>
      <c r="M363" s="12">
        <v>6.7999999999999972</v>
      </c>
      <c r="O363" s="17">
        <v>37.76</v>
      </c>
      <c r="P363" s="17"/>
      <c r="Q363" s="17">
        <v>424.99999999999983</v>
      </c>
      <c r="R363" s="14">
        <v>32.353903999999986</v>
      </c>
      <c r="S363" s="12">
        <v>16</v>
      </c>
      <c r="T363" s="12">
        <v>6.7999999999999972</v>
      </c>
      <c r="U363" s="14">
        <v>37.76</v>
      </c>
      <c r="V363" s="17">
        <v>424.99999999999983</v>
      </c>
      <c r="W363" s="14">
        <v>32.353903999999986</v>
      </c>
      <c r="X363">
        <f t="shared" si="10"/>
        <v>17.100000000000001</v>
      </c>
      <c r="Y363">
        <f t="shared" si="11"/>
        <v>32.353903999999986</v>
      </c>
    </row>
    <row r="364" spans="1:25">
      <c r="A364" s="12" t="s">
        <v>335</v>
      </c>
      <c r="B364" s="12" t="s">
        <v>425</v>
      </c>
      <c r="C364" s="12">
        <v>161</v>
      </c>
      <c r="D364" s="12">
        <v>2.36</v>
      </c>
      <c r="E364" s="12" t="s">
        <v>469</v>
      </c>
      <c r="F364" s="13">
        <v>41687</v>
      </c>
      <c r="G364" s="12">
        <v>55.2</v>
      </c>
      <c r="I364" s="13">
        <v>41703</v>
      </c>
      <c r="J364" s="12">
        <v>58.8</v>
      </c>
      <c r="L364" s="12">
        <v>16</v>
      </c>
      <c r="M364" s="12">
        <v>3.5999999999999943</v>
      </c>
      <c r="O364" s="17">
        <v>37.76</v>
      </c>
      <c r="P364" s="17"/>
      <c r="Q364" s="17">
        <v>224.99999999999966</v>
      </c>
      <c r="R364" s="14">
        <v>22.730629999999984</v>
      </c>
      <c r="S364" s="12">
        <v>16</v>
      </c>
      <c r="T364" s="12">
        <v>3.5999999999999943</v>
      </c>
      <c r="U364" s="14">
        <v>37.76</v>
      </c>
      <c r="V364" s="17">
        <v>224.99999999999966</v>
      </c>
      <c r="W364" s="14">
        <v>22.730629999999984</v>
      </c>
      <c r="X364">
        <f t="shared" si="10"/>
        <v>17.100000000000001</v>
      </c>
      <c r="Y364">
        <f t="shared" si="11"/>
        <v>22.730629999999984</v>
      </c>
    </row>
    <row r="365" spans="1:25">
      <c r="A365" s="12" t="s">
        <v>335</v>
      </c>
      <c r="B365" s="12" t="s">
        <v>425</v>
      </c>
      <c r="C365" s="12">
        <v>161</v>
      </c>
      <c r="D365" s="12">
        <v>2.36</v>
      </c>
      <c r="E365" s="12" t="s">
        <v>470</v>
      </c>
      <c r="F365" s="13">
        <v>41687</v>
      </c>
      <c r="G365" s="12">
        <v>51.6</v>
      </c>
      <c r="I365" s="13">
        <v>41703</v>
      </c>
      <c r="J365" s="12">
        <v>59</v>
      </c>
      <c r="L365" s="12">
        <v>16</v>
      </c>
      <c r="M365" s="12">
        <v>7.3999999999999986</v>
      </c>
      <c r="O365" s="17">
        <v>37.76</v>
      </c>
      <c r="P365" s="17"/>
      <c r="Q365" s="17">
        <v>462.49999999999989</v>
      </c>
      <c r="R365" s="14">
        <v>34.151926999999993</v>
      </c>
      <c r="S365" s="12">
        <v>16</v>
      </c>
      <c r="T365" s="12">
        <v>7.3999999999999986</v>
      </c>
      <c r="U365" s="14">
        <v>37.76</v>
      </c>
      <c r="V365" s="17">
        <v>462.49999999999989</v>
      </c>
      <c r="W365" s="14">
        <v>34.151926999999993</v>
      </c>
      <c r="X365">
        <f t="shared" si="10"/>
        <v>17.100000000000001</v>
      </c>
      <c r="Y365">
        <f t="shared" si="11"/>
        <v>34.151926999999993</v>
      </c>
    </row>
    <row r="366" spans="1:25">
      <c r="A366" s="12" t="s">
        <v>335</v>
      </c>
      <c r="B366" s="12" t="s">
        <v>425</v>
      </c>
      <c r="C366" s="12">
        <v>161</v>
      </c>
      <c r="D366" s="12">
        <v>2.36</v>
      </c>
      <c r="E366" s="12" t="s">
        <v>471</v>
      </c>
      <c r="F366" s="13">
        <v>41687</v>
      </c>
      <c r="G366" s="12">
        <v>51.6</v>
      </c>
      <c r="I366" s="13">
        <v>41703</v>
      </c>
      <c r="J366" s="12">
        <v>52.8</v>
      </c>
      <c r="L366" s="12">
        <v>16</v>
      </c>
      <c r="M366" s="12">
        <v>1.1999999999999957</v>
      </c>
      <c r="O366" s="17">
        <v>37.76</v>
      </c>
      <c r="P366" s="17"/>
      <c r="Q366" s="17">
        <v>74.99999999999973</v>
      </c>
      <c r="R366" s="14">
        <v>14.523997999999988</v>
      </c>
      <c r="S366" s="12">
        <v>16</v>
      </c>
      <c r="T366" s="12">
        <v>1.1999999999999957</v>
      </c>
      <c r="U366" s="14">
        <v>37.76</v>
      </c>
      <c r="V366" s="17">
        <v>74.99999999999973</v>
      </c>
      <c r="W366" s="14">
        <v>14.523997999999988</v>
      </c>
      <c r="X366">
        <f t="shared" si="10"/>
        <v>17.100000000000001</v>
      </c>
      <c r="Y366">
        <f t="shared" si="11"/>
        <v>14.523997999999988</v>
      </c>
    </row>
    <row r="367" spans="1:25">
      <c r="A367" s="12" t="s">
        <v>335</v>
      </c>
      <c r="B367" s="12" t="s">
        <v>425</v>
      </c>
      <c r="C367" s="12">
        <v>161</v>
      </c>
      <c r="D367" s="12">
        <v>2.36</v>
      </c>
      <c r="E367" s="12" t="s">
        <v>472</v>
      </c>
      <c r="F367" s="13">
        <v>41687</v>
      </c>
      <c r="G367" s="12">
        <v>52.2</v>
      </c>
      <c r="I367" s="13">
        <v>41703</v>
      </c>
      <c r="J367" s="12">
        <v>57</v>
      </c>
      <c r="L367" s="12">
        <v>16</v>
      </c>
      <c r="M367" s="12">
        <v>4.7999999999999972</v>
      </c>
      <c r="O367" s="17">
        <v>37.76</v>
      </c>
      <c r="P367" s="17"/>
      <c r="Q367" s="17">
        <v>299.99999999999983</v>
      </c>
      <c r="R367" s="14">
        <v>26.022313999999991</v>
      </c>
      <c r="S367" s="12">
        <v>16</v>
      </c>
      <c r="T367" s="12">
        <v>4.7999999999999972</v>
      </c>
      <c r="U367" s="14">
        <v>37.76</v>
      </c>
      <c r="V367" s="17">
        <v>299.99999999999983</v>
      </c>
      <c r="W367" s="14">
        <v>26.022313999999991</v>
      </c>
      <c r="X367">
        <f t="shared" si="10"/>
        <v>17.100000000000001</v>
      </c>
      <c r="Y367">
        <f t="shared" si="11"/>
        <v>26.022313999999991</v>
      </c>
    </row>
    <row r="368" spans="1:25">
      <c r="A368" s="12" t="s">
        <v>335</v>
      </c>
      <c r="B368" s="12" t="s">
        <v>425</v>
      </c>
      <c r="C368" s="12">
        <v>161</v>
      </c>
      <c r="D368" s="12">
        <v>2.36</v>
      </c>
      <c r="E368" s="12" t="s">
        <v>473</v>
      </c>
      <c r="F368" s="13">
        <v>41687</v>
      </c>
      <c r="G368" s="12">
        <v>55.4</v>
      </c>
      <c r="I368" s="13">
        <v>41703</v>
      </c>
      <c r="J368" s="12">
        <v>55.6</v>
      </c>
      <c r="L368" s="12">
        <v>16</v>
      </c>
      <c r="M368" s="12">
        <v>0.20000000000000284</v>
      </c>
      <c r="O368" s="17">
        <v>37.76</v>
      </c>
      <c r="P368" s="17"/>
      <c r="Q368" s="17">
        <v>12.500000000000178</v>
      </c>
      <c r="R368" s="14">
        <v>12.000745000000007</v>
      </c>
      <c r="S368" s="12">
        <v>16</v>
      </c>
      <c r="T368" s="12">
        <v>0.20000000000000284</v>
      </c>
      <c r="U368" s="14">
        <v>37.76</v>
      </c>
      <c r="V368" s="17">
        <v>12.500000000000178</v>
      </c>
      <c r="W368" s="14">
        <v>12.000745000000007</v>
      </c>
      <c r="X368">
        <f t="shared" si="10"/>
        <v>17.100000000000001</v>
      </c>
      <c r="Y368">
        <f t="shared" si="11"/>
        <v>12.000745000000007</v>
      </c>
    </row>
    <row r="369" spans="1:25">
      <c r="A369" s="12" t="s">
        <v>335</v>
      </c>
      <c r="B369" s="12" t="s">
        <v>425</v>
      </c>
      <c r="C369" s="12">
        <v>161</v>
      </c>
      <c r="D369" s="12">
        <v>2.36</v>
      </c>
      <c r="E369" s="12" t="s">
        <v>474</v>
      </c>
      <c r="F369" s="13">
        <v>41687</v>
      </c>
      <c r="G369" s="12">
        <v>57.8</v>
      </c>
      <c r="I369" s="13">
        <v>41703</v>
      </c>
      <c r="J369" s="12">
        <v>61</v>
      </c>
      <c r="L369" s="12">
        <v>16</v>
      </c>
      <c r="M369" s="12">
        <v>3.2000000000000028</v>
      </c>
      <c r="O369" s="17">
        <v>37.76</v>
      </c>
      <c r="P369" s="17"/>
      <c r="Q369" s="17">
        <v>200.00000000000017</v>
      </c>
      <c r="R369" s="14">
        <v>21.903946000000008</v>
      </c>
      <c r="S369" s="12">
        <v>16</v>
      </c>
      <c r="T369" s="12">
        <v>3.2000000000000028</v>
      </c>
      <c r="U369" s="14">
        <v>37.76</v>
      </c>
      <c r="V369" s="17">
        <v>200.00000000000017</v>
      </c>
      <c r="W369" s="14">
        <v>21.903946000000008</v>
      </c>
      <c r="X369">
        <f t="shared" si="10"/>
        <v>17.100000000000001</v>
      </c>
      <c r="Y369">
        <f t="shared" si="11"/>
        <v>21.903946000000008</v>
      </c>
    </row>
    <row r="370" spans="1:25">
      <c r="A370" s="12" t="s">
        <v>335</v>
      </c>
      <c r="B370" s="12" t="s">
        <v>425</v>
      </c>
      <c r="C370" s="12">
        <v>161</v>
      </c>
      <c r="D370" s="12">
        <v>2.36</v>
      </c>
      <c r="E370" s="12" t="s">
        <v>475</v>
      </c>
      <c r="F370" s="13">
        <v>41687</v>
      </c>
      <c r="G370" s="12">
        <v>62.4</v>
      </c>
      <c r="I370" s="13">
        <v>41703</v>
      </c>
      <c r="J370" s="12">
        <v>66.400000000000006</v>
      </c>
      <c r="L370" s="12">
        <v>16</v>
      </c>
      <c r="M370" s="12">
        <v>4.0000000000000071</v>
      </c>
      <c r="O370" s="17">
        <v>37.76</v>
      </c>
      <c r="P370" s="17"/>
      <c r="Q370" s="17">
        <v>250.00000000000045</v>
      </c>
      <c r="R370" s="14">
        <v>25.214396000000022</v>
      </c>
      <c r="S370" s="12">
        <v>16</v>
      </c>
      <c r="T370" s="12">
        <v>4.0000000000000071</v>
      </c>
      <c r="U370" s="14">
        <v>37.76</v>
      </c>
      <c r="V370" s="17">
        <v>250.00000000000045</v>
      </c>
      <c r="W370" s="14">
        <v>25.214396000000022</v>
      </c>
      <c r="X370">
        <f t="shared" si="10"/>
        <v>17.100000000000001</v>
      </c>
      <c r="Y370">
        <f t="shared" si="11"/>
        <v>25.214396000000022</v>
      </c>
    </row>
    <row r="371" spans="1:25">
      <c r="A371" s="12" t="s">
        <v>335</v>
      </c>
      <c r="B371" s="12" t="s">
        <v>425</v>
      </c>
      <c r="C371" s="12">
        <v>161</v>
      </c>
      <c r="D371" s="12">
        <v>2.36</v>
      </c>
      <c r="E371" s="12" t="s">
        <v>476</v>
      </c>
      <c r="F371" s="13">
        <v>41687</v>
      </c>
      <c r="G371" s="12">
        <v>50.2</v>
      </c>
      <c r="I371" s="13">
        <v>41703</v>
      </c>
      <c r="J371" s="12">
        <v>53.8</v>
      </c>
      <c r="L371" s="12">
        <v>16</v>
      </c>
      <c r="M371" s="12">
        <v>3.5999999999999943</v>
      </c>
      <c r="O371" s="17">
        <v>37.76</v>
      </c>
      <c r="P371" s="17"/>
      <c r="Q371" s="17">
        <v>224.99999999999966</v>
      </c>
      <c r="R371" s="14">
        <v>21.885179999999984</v>
      </c>
      <c r="S371" s="12">
        <v>16</v>
      </c>
      <c r="T371" s="12">
        <v>3.5999999999999943</v>
      </c>
      <c r="U371" s="14">
        <v>37.76</v>
      </c>
      <c r="V371" s="17">
        <v>224.99999999999966</v>
      </c>
      <c r="W371" s="14">
        <v>21.885179999999984</v>
      </c>
      <c r="X371">
        <f t="shared" si="10"/>
        <v>17.100000000000001</v>
      </c>
      <c r="Y371">
        <f t="shared" si="11"/>
        <v>21.885179999999984</v>
      </c>
    </row>
    <row r="372" spans="1:25">
      <c r="A372" s="12" t="s">
        <v>335</v>
      </c>
      <c r="B372" s="12" t="s">
        <v>425</v>
      </c>
      <c r="C372" s="12">
        <v>161</v>
      </c>
      <c r="D372" s="12">
        <v>2.36</v>
      </c>
      <c r="E372" s="12" t="s">
        <v>477</v>
      </c>
      <c r="F372" s="13">
        <v>41687</v>
      </c>
      <c r="G372" s="12">
        <v>52.2</v>
      </c>
      <c r="I372" s="13">
        <v>41703</v>
      </c>
      <c r="J372" s="12">
        <v>58</v>
      </c>
      <c r="L372" s="12">
        <v>16</v>
      </c>
      <c r="M372" s="12">
        <v>5.7999999999999972</v>
      </c>
      <c r="O372" s="17">
        <v>37.76</v>
      </c>
      <c r="P372" s="17"/>
      <c r="Q372" s="17">
        <v>362.49999999999983</v>
      </c>
      <c r="R372" s="14">
        <v>29.18810899999999</v>
      </c>
      <c r="S372" s="12">
        <v>16</v>
      </c>
      <c r="T372" s="12">
        <v>5.7999999999999972</v>
      </c>
      <c r="U372" s="14">
        <v>37.76</v>
      </c>
      <c r="V372" s="17">
        <v>362.49999999999983</v>
      </c>
      <c r="W372" s="14">
        <v>29.18810899999999</v>
      </c>
      <c r="X372">
        <f t="shared" si="10"/>
        <v>17.100000000000001</v>
      </c>
      <c r="Y372">
        <f t="shared" si="11"/>
        <v>29.18810899999999</v>
      </c>
    </row>
    <row r="373" spans="1:25">
      <c r="A373" s="12" t="s">
        <v>299</v>
      </c>
      <c r="B373" s="12" t="s">
        <v>300</v>
      </c>
      <c r="C373" s="12">
        <v>14</v>
      </c>
      <c r="D373" s="12">
        <v>1.98</v>
      </c>
      <c r="E373" s="12" t="s">
        <v>301</v>
      </c>
      <c r="F373" s="13">
        <v>39476</v>
      </c>
      <c r="G373" s="12">
        <v>54</v>
      </c>
      <c r="H373" s="12">
        <v>2.5</v>
      </c>
      <c r="I373" s="13">
        <v>39497</v>
      </c>
      <c r="J373" s="12">
        <v>58.2</v>
      </c>
      <c r="K373" s="12">
        <v>2.5</v>
      </c>
      <c r="L373" s="12">
        <v>21</v>
      </c>
      <c r="M373" s="12">
        <v>4.2000000000000028</v>
      </c>
      <c r="N373" s="12">
        <v>0</v>
      </c>
      <c r="O373" s="17">
        <v>41.58</v>
      </c>
      <c r="P373" s="17"/>
      <c r="Q373" s="17">
        <v>200.00000000000011</v>
      </c>
      <c r="R373" s="14">
        <v>21.345949000000005</v>
      </c>
      <c r="S373" s="12">
        <v>7</v>
      </c>
      <c r="T373" s="12">
        <v>2</v>
      </c>
      <c r="U373" s="14">
        <v>13.86</v>
      </c>
      <c r="V373" s="17">
        <v>285.71428571428572</v>
      </c>
      <c r="W373" s="14">
        <v>25.571663285714283</v>
      </c>
      <c r="X373">
        <f t="shared" si="10"/>
        <v>18.02675</v>
      </c>
      <c r="Y373">
        <f t="shared" si="11"/>
        <v>26.957542756476602</v>
      </c>
    </row>
    <row r="374" spans="1:25">
      <c r="A374" s="12" t="s">
        <v>299</v>
      </c>
      <c r="B374" s="12" t="s">
        <v>300</v>
      </c>
      <c r="C374" s="12">
        <v>14</v>
      </c>
      <c r="D374" s="12">
        <v>1.98</v>
      </c>
      <c r="E374" s="12" t="s">
        <v>302</v>
      </c>
      <c r="F374" s="13">
        <v>39476</v>
      </c>
      <c r="G374" s="12">
        <v>56.6</v>
      </c>
      <c r="H374" s="12">
        <v>2.5</v>
      </c>
      <c r="I374" s="13">
        <v>39497</v>
      </c>
      <c r="J374" s="12">
        <v>62.2</v>
      </c>
      <c r="K374" s="12">
        <v>2.5</v>
      </c>
      <c r="L374" s="12">
        <v>21</v>
      </c>
      <c r="M374" s="12">
        <v>5.6000000000000014</v>
      </c>
      <c r="N374" s="12">
        <v>0</v>
      </c>
      <c r="O374" s="17">
        <v>41.58</v>
      </c>
      <c r="P374" s="17"/>
      <c r="Q374" s="17">
        <v>266.66666666666674</v>
      </c>
      <c r="R374" s="14">
        <v>25.190612666666667</v>
      </c>
      <c r="S374" s="12">
        <v>7</v>
      </c>
      <c r="T374" s="12">
        <v>-0.19999999999999574</v>
      </c>
      <c r="U374" s="14">
        <v>13.86</v>
      </c>
      <c r="V374" s="17">
        <v>-28.571428571427962</v>
      </c>
      <c r="W374" s="14">
        <v>10.635374571428601</v>
      </c>
      <c r="X374">
        <f t="shared" si="10"/>
        <v>18.02675</v>
      </c>
      <c r="Y374">
        <f t="shared" si="11"/>
        <v>11.211768336578977</v>
      </c>
    </row>
    <row r="375" spans="1:25">
      <c r="A375" s="12" t="s">
        <v>299</v>
      </c>
      <c r="B375" s="12" t="s">
        <v>300</v>
      </c>
      <c r="C375" s="12">
        <v>14</v>
      </c>
      <c r="D375" s="12">
        <v>1.98</v>
      </c>
      <c r="E375" s="12" t="s">
        <v>303</v>
      </c>
      <c r="F375" s="13">
        <v>39476</v>
      </c>
      <c r="G375" s="12">
        <v>56.6</v>
      </c>
      <c r="H375" s="12">
        <v>3.25</v>
      </c>
      <c r="I375" s="13">
        <v>39497</v>
      </c>
      <c r="J375" s="12">
        <v>59.6</v>
      </c>
      <c r="K375" s="12">
        <v>3.25</v>
      </c>
      <c r="L375" s="12">
        <v>21</v>
      </c>
      <c r="M375" s="12">
        <v>3</v>
      </c>
      <c r="N375" s="12">
        <v>0</v>
      </c>
      <c r="O375" s="17">
        <v>41.58</v>
      </c>
      <c r="P375" s="17"/>
      <c r="Q375" s="17">
        <v>142.85714285714286</v>
      </c>
      <c r="R375" s="14">
        <v>18.86698614285714</v>
      </c>
      <c r="S375" s="12">
        <v>7</v>
      </c>
      <c r="T375" s="12">
        <v>-6.1999999999999957</v>
      </c>
      <c r="U375" s="14">
        <v>13.86</v>
      </c>
      <c r="V375" s="17">
        <v>-885.7142857142851</v>
      </c>
      <c r="W375" s="14">
        <v>-31.841585285714253</v>
      </c>
      <c r="X375">
        <f t="shared" si="10"/>
        <v>14.915374999999999</v>
      </c>
      <c r="Y375">
        <f t="shared" si="11"/>
        <v>-27.773636557363165</v>
      </c>
    </row>
    <row r="376" spans="1:25">
      <c r="A376" s="12" t="s">
        <v>299</v>
      </c>
      <c r="B376" s="12" t="s">
        <v>300</v>
      </c>
      <c r="C376" s="12">
        <v>14</v>
      </c>
      <c r="D376" s="12">
        <v>1.98</v>
      </c>
      <c r="E376" s="12" t="s">
        <v>304</v>
      </c>
      <c r="F376" s="13">
        <v>39476</v>
      </c>
      <c r="G376" s="12">
        <v>63.6</v>
      </c>
      <c r="H376" s="12">
        <v>3.25</v>
      </c>
      <c r="I376" s="13">
        <v>39497</v>
      </c>
      <c r="J376" s="12">
        <v>67</v>
      </c>
      <c r="K376" s="12">
        <v>3.25</v>
      </c>
      <c r="L376" s="12">
        <v>21</v>
      </c>
      <c r="M376" s="12">
        <v>3.3999999999999986</v>
      </c>
      <c r="N376" s="12">
        <v>0</v>
      </c>
      <c r="O376" s="17">
        <v>41.58</v>
      </c>
      <c r="P376" s="17"/>
      <c r="Q376" s="17">
        <v>161.90476190476184</v>
      </c>
      <c r="R376" s="14">
        <v>21.023481761904755</v>
      </c>
      <c r="S376" s="12">
        <v>7</v>
      </c>
      <c r="T376" s="12">
        <v>-0.40000000000000568</v>
      </c>
      <c r="U376" s="14">
        <v>13.86</v>
      </c>
      <c r="V376" s="17">
        <v>-57.142857142857956</v>
      </c>
      <c r="W376" s="14">
        <v>10.224434142857103</v>
      </c>
      <c r="X376">
        <f t="shared" si="10"/>
        <v>14.915374999999999</v>
      </c>
      <c r="Y376">
        <f t="shared" si="11"/>
        <v>8.9182028890945748</v>
      </c>
    </row>
    <row r="377" spans="1:25">
      <c r="A377" s="12" t="s">
        <v>299</v>
      </c>
      <c r="B377" s="12" t="s">
        <v>300</v>
      </c>
      <c r="C377" s="12">
        <v>14</v>
      </c>
      <c r="D377" s="12">
        <v>1.98</v>
      </c>
      <c r="E377" s="12" t="s">
        <v>305</v>
      </c>
      <c r="F377" s="13">
        <v>39476</v>
      </c>
      <c r="G377" s="12">
        <v>52.4</v>
      </c>
      <c r="H377" s="12">
        <v>2</v>
      </c>
      <c r="I377" s="13">
        <v>39497</v>
      </c>
      <c r="J377" s="12">
        <v>56</v>
      </c>
      <c r="K377" s="12">
        <v>2</v>
      </c>
      <c r="L377" s="12">
        <v>21</v>
      </c>
      <c r="M377" s="12">
        <v>3.6000000000000014</v>
      </c>
      <c r="N377" s="12">
        <v>0</v>
      </c>
      <c r="O377" s="17">
        <v>41.58</v>
      </c>
      <c r="P377" s="17"/>
      <c r="Q377" s="17">
        <v>171.42857142857147</v>
      </c>
      <c r="R377" s="14">
        <v>19.616106571428574</v>
      </c>
      <c r="S377" s="12">
        <v>7</v>
      </c>
      <c r="T377" s="12">
        <v>-3.2000000000000028</v>
      </c>
      <c r="U377" s="14">
        <v>13.86</v>
      </c>
      <c r="V377" s="17">
        <v>-457.14285714285757</v>
      </c>
      <c r="W377" s="14">
        <v>-11.372464857142878</v>
      </c>
      <c r="X377">
        <f t="shared" si="10"/>
        <v>20.100999999999999</v>
      </c>
      <c r="Y377">
        <f t="shared" si="11"/>
        <v>-13.368299186750232</v>
      </c>
    </row>
    <row r="378" spans="1:25">
      <c r="A378" s="12" t="s">
        <v>299</v>
      </c>
      <c r="B378" s="12" t="s">
        <v>300</v>
      </c>
      <c r="C378" s="12">
        <v>14</v>
      </c>
      <c r="D378" s="12">
        <v>1.98</v>
      </c>
      <c r="E378" s="12" t="s">
        <v>306</v>
      </c>
      <c r="F378" s="13">
        <v>39476</v>
      </c>
      <c r="G378" s="12">
        <v>53.2</v>
      </c>
      <c r="H378" s="12">
        <v>2.5</v>
      </c>
      <c r="I378" s="13">
        <v>39497</v>
      </c>
      <c r="J378" s="12">
        <v>57.6</v>
      </c>
      <c r="K378" s="12">
        <v>2.5</v>
      </c>
      <c r="L378" s="12">
        <v>21</v>
      </c>
      <c r="M378" s="12">
        <v>4.3999999999999986</v>
      </c>
      <c r="N378" s="12">
        <v>0</v>
      </c>
      <c r="O378" s="17">
        <v>41.58</v>
      </c>
      <c r="P378" s="17"/>
      <c r="Q378" s="17">
        <v>209.52380952380943</v>
      </c>
      <c r="R378" s="14">
        <v>21.697109809523806</v>
      </c>
      <c r="S378" s="12">
        <v>7</v>
      </c>
      <c r="T378" s="12">
        <v>-0.39999999999999858</v>
      </c>
      <c r="U378" s="14">
        <v>13.86</v>
      </c>
      <c r="V378" s="17">
        <v>-57.14285714285694</v>
      </c>
      <c r="W378" s="14">
        <v>8.550443142857155</v>
      </c>
      <c r="X378">
        <f t="shared" si="10"/>
        <v>18.02675</v>
      </c>
      <c r="Y378">
        <f t="shared" si="11"/>
        <v>9.0138421593859768</v>
      </c>
    </row>
    <row r="379" spans="1:25">
      <c r="A379" s="12" t="s">
        <v>299</v>
      </c>
      <c r="B379" s="12" t="s">
        <v>300</v>
      </c>
      <c r="C379" s="12">
        <v>14</v>
      </c>
      <c r="D379" s="12">
        <v>1.98</v>
      </c>
      <c r="E379" s="12" t="s">
        <v>307</v>
      </c>
      <c r="F379" s="13">
        <v>39476</v>
      </c>
      <c r="G379" s="12">
        <v>60.2</v>
      </c>
      <c r="H379" s="12">
        <v>2.25</v>
      </c>
      <c r="I379" s="13">
        <v>39497</v>
      </c>
      <c r="J379" s="12">
        <v>66.599999999999994</v>
      </c>
      <c r="K379" s="12">
        <v>2.25</v>
      </c>
      <c r="L379" s="12">
        <v>21</v>
      </c>
      <c r="M379" s="12">
        <v>6.3999999999999915</v>
      </c>
      <c r="N379" s="12">
        <v>0</v>
      </c>
      <c r="O379" s="17">
        <v>41.58</v>
      </c>
      <c r="P379" s="17"/>
      <c r="Q379" s="17">
        <v>304.76190476190436</v>
      </c>
      <c r="R379" s="14">
        <v>27.745067904761882</v>
      </c>
      <c r="S379" s="12">
        <v>7</v>
      </c>
      <c r="T379" s="12">
        <v>-0.40000000000000568</v>
      </c>
      <c r="U379" s="14">
        <v>13.86</v>
      </c>
      <c r="V379" s="17">
        <v>-57.142857142857956</v>
      </c>
      <c r="W379" s="14">
        <v>9.9031631428571032</v>
      </c>
      <c r="X379">
        <f t="shared" si="10"/>
        <v>19.063874999999999</v>
      </c>
      <c r="Y379">
        <f t="shared" si="11"/>
        <v>11.040506681873387</v>
      </c>
    </row>
    <row r="380" spans="1:25">
      <c r="A380" s="12" t="s">
        <v>299</v>
      </c>
      <c r="B380" s="12" t="s">
        <v>300</v>
      </c>
      <c r="C380" s="12">
        <v>14</v>
      </c>
      <c r="D380" s="12">
        <v>1.98</v>
      </c>
      <c r="E380" s="12" t="s">
        <v>308</v>
      </c>
      <c r="F380" s="13">
        <v>39476</v>
      </c>
      <c r="G380" s="12">
        <v>60.2</v>
      </c>
      <c r="H380" s="12">
        <v>3</v>
      </c>
      <c r="I380" s="13">
        <v>39497</v>
      </c>
      <c r="J380" s="12">
        <v>66.599999999999994</v>
      </c>
      <c r="K380" s="12">
        <v>3</v>
      </c>
      <c r="L380" s="12">
        <v>21</v>
      </c>
      <c r="M380" s="12">
        <v>6.3999999999999915</v>
      </c>
      <c r="N380" s="12">
        <v>0</v>
      </c>
      <c r="O380" s="17">
        <v>41.58</v>
      </c>
      <c r="P380" s="17"/>
      <c r="Q380" s="17">
        <v>304.76190476190436</v>
      </c>
      <c r="R380" s="14">
        <v>27.745067904761882</v>
      </c>
      <c r="S380" s="12">
        <v>7</v>
      </c>
      <c r="T380" s="12">
        <v>1.3999999999999915</v>
      </c>
      <c r="U380" s="14">
        <v>13.86</v>
      </c>
      <c r="V380" s="17">
        <v>199.99999999999878</v>
      </c>
      <c r="W380" s="14">
        <v>22.580305999999936</v>
      </c>
      <c r="X380">
        <f t="shared" si="10"/>
        <v>15.952499999999999</v>
      </c>
      <c r="Y380">
        <f t="shared" si="11"/>
        <v>21.065048623684149</v>
      </c>
    </row>
    <row r="381" spans="1:25">
      <c r="A381" s="12" t="s">
        <v>299</v>
      </c>
      <c r="B381" s="12" t="s">
        <v>300</v>
      </c>
      <c r="C381" s="12">
        <v>14</v>
      </c>
      <c r="D381" s="12">
        <v>1.98</v>
      </c>
      <c r="E381" s="12" t="s">
        <v>309</v>
      </c>
      <c r="F381" s="13">
        <v>39476</v>
      </c>
      <c r="G381" s="12">
        <v>50.6</v>
      </c>
      <c r="H381" s="12">
        <v>1.75</v>
      </c>
      <c r="I381" s="13">
        <v>39497</v>
      </c>
      <c r="J381" s="12">
        <v>60.2</v>
      </c>
      <c r="K381" s="12">
        <v>1.75</v>
      </c>
      <c r="L381" s="12">
        <v>21</v>
      </c>
      <c r="M381" s="12">
        <v>9.6000000000000014</v>
      </c>
      <c r="N381" s="12">
        <v>0</v>
      </c>
      <c r="O381" s="17">
        <v>41.58</v>
      </c>
      <c r="P381" s="17"/>
      <c r="Q381" s="17">
        <v>457.14285714285717</v>
      </c>
      <c r="R381" s="14">
        <v>33.904728857142857</v>
      </c>
      <c r="S381" s="12">
        <v>7</v>
      </c>
      <c r="T381" s="12">
        <v>1.2000000000000028</v>
      </c>
      <c r="U381" s="14">
        <v>13.86</v>
      </c>
      <c r="V381" s="17">
        <v>171.42857142857184</v>
      </c>
      <c r="W381" s="14">
        <v>19.819014571428593</v>
      </c>
      <c r="X381">
        <f t="shared" si="10"/>
        <v>21.138124999999999</v>
      </c>
      <c r="Y381">
        <f t="shared" si="11"/>
        <v>24.499228502203447</v>
      </c>
    </row>
    <row r="382" spans="1:25">
      <c r="A382" s="12" t="s">
        <v>299</v>
      </c>
      <c r="B382" s="12" t="s">
        <v>300</v>
      </c>
      <c r="C382" s="12">
        <v>14</v>
      </c>
      <c r="D382" s="12">
        <v>1.98</v>
      </c>
      <c r="E382" s="12" t="s">
        <v>310</v>
      </c>
      <c r="F382" s="13">
        <v>39476</v>
      </c>
      <c r="G382" s="12">
        <v>63.2</v>
      </c>
      <c r="H382" s="12">
        <v>2.5</v>
      </c>
      <c r="I382" s="13">
        <v>39497</v>
      </c>
      <c r="J382" s="12">
        <v>69</v>
      </c>
      <c r="K382" s="12">
        <v>2.5</v>
      </c>
      <c r="L382" s="12">
        <v>21</v>
      </c>
      <c r="M382" s="12">
        <v>5.7999999999999972</v>
      </c>
      <c r="N382" s="12">
        <v>0</v>
      </c>
      <c r="O382" s="17">
        <v>41.58</v>
      </c>
      <c r="P382" s="17"/>
      <c r="Q382" s="17">
        <v>276.19047619047603</v>
      </c>
      <c r="R382" s="14">
        <v>26.793039476190465</v>
      </c>
      <c r="S382" s="12">
        <v>7</v>
      </c>
      <c r="T382" s="12">
        <v>-1.2000000000000028</v>
      </c>
      <c r="U382" s="14">
        <v>13.86</v>
      </c>
      <c r="V382" s="17">
        <v>-171.42857142857184</v>
      </c>
      <c r="W382" s="14">
        <v>4.7254204285714074</v>
      </c>
      <c r="X382">
        <f t="shared" si="10"/>
        <v>18.02675</v>
      </c>
      <c r="Y382">
        <f t="shared" si="11"/>
        <v>4.9815188719736616</v>
      </c>
    </row>
    <row r="383" spans="1:25">
      <c r="A383" s="12" t="s">
        <v>299</v>
      </c>
      <c r="B383" s="12" t="s">
        <v>300</v>
      </c>
      <c r="C383" s="12">
        <v>14</v>
      </c>
      <c r="D383" s="12">
        <v>1.98</v>
      </c>
      <c r="E383" s="12" t="s">
        <v>311</v>
      </c>
      <c r="F383" s="13">
        <v>39476</v>
      </c>
      <c r="G383" s="12">
        <v>57.2</v>
      </c>
      <c r="H383" s="12">
        <v>3.5</v>
      </c>
      <c r="I383" s="13">
        <v>39497</v>
      </c>
      <c r="J383" s="12">
        <v>68.400000000000006</v>
      </c>
      <c r="K383" s="12">
        <v>3.5</v>
      </c>
      <c r="L383" s="12">
        <v>21</v>
      </c>
      <c r="M383" s="12">
        <v>11.200000000000003</v>
      </c>
      <c r="N383" s="12">
        <v>0</v>
      </c>
      <c r="O383" s="17">
        <v>41.58</v>
      </c>
      <c r="P383" s="17"/>
      <c r="Q383" s="17">
        <v>533.33333333333348</v>
      </c>
      <c r="R383" s="14">
        <v>38.912185333333341</v>
      </c>
      <c r="S383" s="12">
        <v>7</v>
      </c>
      <c r="T383" s="12">
        <v>5.8000000000000043</v>
      </c>
      <c r="U383" s="14">
        <v>13.86</v>
      </c>
      <c r="V383" s="17">
        <v>828.57142857142912</v>
      </c>
      <c r="W383" s="14">
        <v>53.46742342857145</v>
      </c>
      <c r="X383">
        <f t="shared" si="10"/>
        <v>13.878249999999998</v>
      </c>
      <c r="Y383">
        <f t="shared" si="11"/>
        <v>43.393816912138682</v>
      </c>
    </row>
    <row r="384" spans="1:25">
      <c r="A384" s="12" t="s">
        <v>299</v>
      </c>
      <c r="B384" s="12" t="s">
        <v>300</v>
      </c>
      <c r="C384" s="12">
        <v>14</v>
      </c>
      <c r="D384" s="12">
        <v>1.98</v>
      </c>
      <c r="E384" s="12" t="s">
        <v>312</v>
      </c>
      <c r="F384" s="13">
        <v>39476</v>
      </c>
      <c r="G384" s="12">
        <v>48.2</v>
      </c>
      <c r="H384" s="12">
        <v>2.25</v>
      </c>
      <c r="I384" s="13">
        <v>39497</v>
      </c>
      <c r="J384" s="12">
        <v>56</v>
      </c>
      <c r="K384" s="12">
        <v>2.25</v>
      </c>
      <c r="L384" s="12">
        <v>21</v>
      </c>
      <c r="M384" s="12">
        <v>7.7999999999999972</v>
      </c>
      <c r="N384" s="12">
        <v>0</v>
      </c>
      <c r="O384" s="17">
        <v>41.58</v>
      </c>
      <c r="P384" s="17"/>
      <c r="Q384" s="17">
        <v>371.42857142857127</v>
      </c>
      <c r="R384" s="14">
        <v>29.121017571428563</v>
      </c>
      <c r="S384" s="12">
        <v>7</v>
      </c>
      <c r="T384" s="12">
        <v>0.39999999999999858</v>
      </c>
      <c r="U384" s="14">
        <v>13.86</v>
      </c>
      <c r="V384" s="17">
        <v>57.14285714285694</v>
      </c>
      <c r="W384" s="14">
        <v>13.626731857142847</v>
      </c>
      <c r="X384">
        <f t="shared" si="10"/>
        <v>19.063874999999999</v>
      </c>
      <c r="Y384">
        <f t="shared" si="11"/>
        <v>15.191714197841465</v>
      </c>
    </row>
    <row r="385" spans="1:25">
      <c r="A385" s="12" t="s">
        <v>299</v>
      </c>
      <c r="B385" s="12" t="s">
        <v>300</v>
      </c>
      <c r="C385" s="12">
        <v>14</v>
      </c>
      <c r="D385" s="12">
        <v>1.98</v>
      </c>
      <c r="E385" s="12" t="s">
        <v>313</v>
      </c>
      <c r="F385" s="13">
        <v>39476</v>
      </c>
      <c r="G385" s="12">
        <v>66.400000000000006</v>
      </c>
      <c r="H385" s="12">
        <v>2.5</v>
      </c>
      <c r="I385" s="13">
        <v>39497</v>
      </c>
      <c r="J385" s="12">
        <v>73</v>
      </c>
      <c r="K385" s="12">
        <v>2.5</v>
      </c>
      <c r="L385" s="12">
        <v>21</v>
      </c>
      <c r="M385" s="12">
        <v>6.5999999999999943</v>
      </c>
      <c r="N385" s="12">
        <v>0</v>
      </c>
      <c r="O385" s="17">
        <v>41.58</v>
      </c>
      <c r="P385" s="17"/>
      <c r="Q385" s="17">
        <v>314.28571428571399</v>
      </c>
      <c r="R385" s="14">
        <v>29.279858714285698</v>
      </c>
      <c r="S385" s="12">
        <v>7</v>
      </c>
      <c r="T385" s="12">
        <v>3.2000000000000028</v>
      </c>
      <c r="U385" s="14">
        <v>13.86</v>
      </c>
      <c r="V385" s="17">
        <v>457.14285714285757</v>
      </c>
      <c r="W385" s="14">
        <v>36.322715857142882</v>
      </c>
      <c r="X385">
        <f t="shared" si="10"/>
        <v>18.02675</v>
      </c>
      <c r="Y385">
        <f t="shared" si="11"/>
        <v>38.291258367119909</v>
      </c>
    </row>
    <row r="386" spans="1:25">
      <c r="A386" s="12" t="s">
        <v>299</v>
      </c>
      <c r="B386" s="12" t="s">
        <v>300</v>
      </c>
      <c r="C386" s="12">
        <v>14</v>
      </c>
      <c r="D386" s="12">
        <v>1.98</v>
      </c>
      <c r="E386" s="12" t="s">
        <v>314</v>
      </c>
      <c r="F386" s="13">
        <v>39476</v>
      </c>
      <c r="G386" s="12">
        <v>48.4</v>
      </c>
      <c r="H386" s="12">
        <v>2</v>
      </c>
      <c r="I386" s="13">
        <v>39497</v>
      </c>
      <c r="J386" s="12">
        <v>52.4</v>
      </c>
      <c r="K386" s="12">
        <v>2</v>
      </c>
      <c r="L386" s="12">
        <v>21</v>
      </c>
      <c r="M386" s="12">
        <v>4</v>
      </c>
      <c r="N386" s="12">
        <v>0</v>
      </c>
      <c r="O386" s="17">
        <v>41.58</v>
      </c>
      <c r="P386" s="17"/>
      <c r="Q386" s="17">
        <v>190.47619047619045</v>
      </c>
      <c r="R386" s="14">
        <v>19.912612190476189</v>
      </c>
      <c r="S386" s="12">
        <v>7</v>
      </c>
      <c r="T386" s="12">
        <v>0.60000000000000142</v>
      </c>
      <c r="U386" s="14">
        <v>13.86</v>
      </c>
      <c r="V386" s="17">
        <v>85.714285714285921</v>
      </c>
      <c r="W386" s="14">
        <v>14.747850285714296</v>
      </c>
      <c r="X386">
        <f t="shared" si="10"/>
        <v>20.100999999999999</v>
      </c>
      <c r="Y386">
        <f t="shared" si="11"/>
        <v>17.336054888487894</v>
      </c>
    </row>
    <row r="387" spans="1:25">
      <c r="A387" s="12" t="s">
        <v>299</v>
      </c>
      <c r="B387" s="12" t="s">
        <v>300</v>
      </c>
      <c r="C387" s="12">
        <v>14</v>
      </c>
      <c r="D387" s="12">
        <v>1.98</v>
      </c>
      <c r="E387" s="12" t="s">
        <v>315</v>
      </c>
      <c r="F387" s="13">
        <v>39476</v>
      </c>
      <c r="G387" s="12">
        <v>53</v>
      </c>
      <c r="H387" s="12">
        <v>2</v>
      </c>
      <c r="I387" s="13">
        <v>39497</v>
      </c>
      <c r="J387" s="12">
        <v>61</v>
      </c>
      <c r="K387" s="12">
        <v>2</v>
      </c>
      <c r="L387" s="12">
        <v>21</v>
      </c>
      <c r="M387" s="12">
        <v>8</v>
      </c>
      <c r="N387" s="12">
        <v>0</v>
      </c>
      <c r="O387" s="17">
        <v>41.58</v>
      </c>
      <c r="P387" s="17"/>
      <c r="Q387" s="17">
        <v>380.95238095238091</v>
      </c>
      <c r="R387" s="14">
        <v>30.419082380952378</v>
      </c>
      <c r="S387" s="12">
        <v>7</v>
      </c>
      <c r="T387" s="12">
        <v>1.6000000000000014</v>
      </c>
      <c r="U387" s="14">
        <v>13.86</v>
      </c>
      <c r="V387" s="17">
        <v>228.57142857142878</v>
      </c>
      <c r="W387" s="14">
        <v>22.906701428571438</v>
      </c>
      <c r="X387">
        <f t="shared" ref="X387:X450" si="12">IF(H387&gt;0,-4.1485*H387 + 28.398,17.1)</f>
        <v>20.100999999999999</v>
      </c>
      <c r="Y387">
        <f t="shared" ref="Y387:Y450" si="13">W387*X387/17.1</f>
        <v>26.926760550626575</v>
      </c>
    </row>
    <row r="388" spans="1:25">
      <c r="A388" s="12" t="s">
        <v>299</v>
      </c>
      <c r="B388" s="12" t="s">
        <v>300</v>
      </c>
      <c r="C388" s="12">
        <v>14</v>
      </c>
      <c r="D388" s="12">
        <v>1.98</v>
      </c>
      <c r="E388" s="12" t="s">
        <v>316</v>
      </c>
      <c r="F388" s="13">
        <v>39476</v>
      </c>
      <c r="G388" s="12">
        <v>60</v>
      </c>
      <c r="H388" s="12">
        <v>2</v>
      </c>
      <c r="I388" s="13">
        <v>39497</v>
      </c>
      <c r="J388" s="12">
        <v>65</v>
      </c>
      <c r="K388" s="12">
        <v>2</v>
      </c>
      <c r="L388" s="12">
        <v>21</v>
      </c>
      <c r="M388" s="12">
        <v>5</v>
      </c>
      <c r="N388" s="12">
        <v>0</v>
      </c>
      <c r="O388" s="17">
        <v>41.58</v>
      </c>
      <c r="P388" s="17"/>
      <c r="Q388" s="17">
        <v>238.09523809523807</v>
      </c>
      <c r="R388" s="14">
        <v>24.306220238095236</v>
      </c>
      <c r="S388" s="12">
        <v>7</v>
      </c>
      <c r="T388" s="12">
        <v>-1.2000000000000028</v>
      </c>
      <c r="U388" s="14">
        <v>13.86</v>
      </c>
      <c r="V388" s="17">
        <v>-171.42857142857184</v>
      </c>
      <c r="W388" s="14">
        <v>4.1166964285714087</v>
      </c>
      <c r="X388">
        <f t="shared" si="12"/>
        <v>20.100999999999999</v>
      </c>
      <c r="Y388">
        <f t="shared" si="13"/>
        <v>4.8391646146616294</v>
      </c>
    </row>
    <row r="389" spans="1:25">
      <c r="A389" s="12" t="s">
        <v>299</v>
      </c>
      <c r="B389" s="12" t="s">
        <v>300</v>
      </c>
      <c r="C389" s="12">
        <v>14</v>
      </c>
      <c r="D389" s="12">
        <v>1.98</v>
      </c>
      <c r="E389" s="12" t="s">
        <v>317</v>
      </c>
      <c r="F389" s="13">
        <v>39476</v>
      </c>
      <c r="G389" s="12">
        <v>64.2</v>
      </c>
      <c r="H389" s="12">
        <v>3</v>
      </c>
      <c r="I389" s="13">
        <v>39497</v>
      </c>
      <c r="J389" s="12">
        <v>68</v>
      </c>
      <c r="K389" s="12">
        <v>3</v>
      </c>
      <c r="L389" s="12">
        <v>21</v>
      </c>
      <c r="M389" s="12">
        <v>3.7999999999999972</v>
      </c>
      <c r="N389" s="12">
        <v>0</v>
      </c>
      <c r="O389" s="17">
        <v>41.58</v>
      </c>
      <c r="P389" s="17"/>
      <c r="Q389" s="17">
        <v>180.95238095238082</v>
      </c>
      <c r="R389" s="14">
        <v>22.097801380952372</v>
      </c>
      <c r="S389" s="12">
        <v>7</v>
      </c>
      <c r="T389" s="12">
        <v>-2.4000000000000057</v>
      </c>
      <c r="U389" s="14">
        <v>13.86</v>
      </c>
      <c r="V389" s="17">
        <v>-342.85714285714369</v>
      </c>
      <c r="W389" s="14">
        <v>-3.7260081428571841</v>
      </c>
      <c r="X389">
        <f t="shared" si="12"/>
        <v>15.952499999999999</v>
      </c>
      <c r="Y389">
        <f t="shared" si="13"/>
        <v>-3.4759733859022934</v>
      </c>
    </row>
    <row r="390" spans="1:25">
      <c r="A390" s="12" t="s">
        <v>299</v>
      </c>
      <c r="B390" s="12" t="s">
        <v>300</v>
      </c>
      <c r="C390" s="12">
        <v>14</v>
      </c>
      <c r="D390" s="12">
        <v>1.98</v>
      </c>
      <c r="E390" s="12" t="s">
        <v>318</v>
      </c>
      <c r="F390" s="13">
        <v>39476</v>
      </c>
      <c r="G390" s="12">
        <v>56.4</v>
      </c>
      <c r="H390" s="12">
        <v>2.5</v>
      </c>
      <c r="I390" s="13">
        <v>39497</v>
      </c>
      <c r="J390" s="12">
        <v>61.8</v>
      </c>
      <c r="K390" s="12">
        <v>2.5</v>
      </c>
      <c r="L390" s="12">
        <v>21</v>
      </c>
      <c r="M390" s="12">
        <v>5.3999999999999986</v>
      </c>
      <c r="N390" s="12">
        <v>0</v>
      </c>
      <c r="O390" s="17">
        <v>41.58</v>
      </c>
      <c r="P390" s="17"/>
      <c r="Q390" s="17">
        <v>257.14285714285705</v>
      </c>
      <c r="R390" s="14">
        <v>24.670361857142851</v>
      </c>
      <c r="S390" s="12">
        <v>7</v>
      </c>
      <c r="T390" s="12">
        <v>-0.80000000000000426</v>
      </c>
      <c r="U390" s="14">
        <v>13.86</v>
      </c>
      <c r="V390" s="17">
        <v>-114.28571428571489</v>
      </c>
      <c r="W390" s="14">
        <v>6.3589332857142544</v>
      </c>
      <c r="X390">
        <f t="shared" si="12"/>
        <v>18.02675</v>
      </c>
      <c r="Y390">
        <f t="shared" si="13"/>
        <v>6.7035614390789133</v>
      </c>
    </row>
    <row r="391" spans="1:25">
      <c r="A391" s="12" t="s">
        <v>299</v>
      </c>
      <c r="B391" s="12" t="s">
        <v>300</v>
      </c>
      <c r="C391" s="12">
        <v>14</v>
      </c>
      <c r="D391" s="12">
        <v>1.98</v>
      </c>
      <c r="E391" s="12" t="s">
        <v>319</v>
      </c>
      <c r="F391" s="13">
        <v>39476</v>
      </c>
      <c r="G391" s="12">
        <v>64</v>
      </c>
      <c r="H391" s="12">
        <v>3</v>
      </c>
      <c r="I391" s="13">
        <v>39497</v>
      </c>
      <c r="J391" s="12">
        <v>68.8</v>
      </c>
      <c r="K391" s="12">
        <v>3</v>
      </c>
      <c r="L391" s="12">
        <v>21</v>
      </c>
      <c r="M391" s="12">
        <v>4.7999999999999972</v>
      </c>
      <c r="N391" s="12">
        <v>0</v>
      </c>
      <c r="O391" s="17">
        <v>41.58</v>
      </c>
      <c r="P391" s="17"/>
      <c r="Q391" s="17">
        <v>228.57142857142841</v>
      </c>
      <c r="R391" s="14">
        <v>24.496147428571422</v>
      </c>
      <c r="S391" s="12">
        <v>7</v>
      </c>
      <c r="T391" s="12">
        <v>-1</v>
      </c>
      <c r="U391" s="14">
        <v>13.86</v>
      </c>
      <c r="V391" s="17">
        <v>-142.85714285714286</v>
      </c>
      <c r="W391" s="14">
        <v>6.1847188571428591</v>
      </c>
      <c r="X391">
        <f t="shared" si="12"/>
        <v>15.952499999999999</v>
      </c>
      <c r="Y391">
        <f t="shared" si="13"/>
        <v>5.7696916706766928</v>
      </c>
    </row>
    <row r="392" spans="1:25">
      <c r="A392" s="12" t="s">
        <v>299</v>
      </c>
      <c r="B392" s="12" t="s">
        <v>300</v>
      </c>
      <c r="C392" s="12">
        <v>14</v>
      </c>
      <c r="D392" s="12">
        <v>1.98</v>
      </c>
      <c r="E392" s="12" t="s">
        <v>320</v>
      </c>
      <c r="F392" s="13">
        <v>39476</v>
      </c>
      <c r="G392" s="12">
        <v>54</v>
      </c>
      <c r="H392" s="12">
        <v>2.5</v>
      </c>
      <c r="I392" s="13">
        <v>39497</v>
      </c>
      <c r="J392" s="12">
        <v>56.6</v>
      </c>
      <c r="K392" s="12">
        <v>2.5</v>
      </c>
      <c r="L392" s="12">
        <v>21</v>
      </c>
      <c r="M392" s="12">
        <v>2.6000000000000014</v>
      </c>
      <c r="N392" s="12">
        <v>0</v>
      </c>
      <c r="O392" s="17">
        <v>41.58</v>
      </c>
      <c r="P392" s="17"/>
      <c r="Q392" s="17">
        <v>123.80952380952388</v>
      </c>
      <c r="R392" s="14">
        <v>17.454486523809528</v>
      </c>
      <c r="S392" s="12">
        <v>7</v>
      </c>
      <c r="T392" s="12">
        <v>-0.39999999999999858</v>
      </c>
      <c r="U392" s="14">
        <v>13.86</v>
      </c>
      <c r="V392" s="17">
        <v>-57.14285714285694</v>
      </c>
      <c r="W392" s="14">
        <v>8.5335341428571532</v>
      </c>
      <c r="X392">
        <f t="shared" si="12"/>
        <v>18.02675</v>
      </c>
      <c r="Y392">
        <f t="shared" si="13"/>
        <v>8.9960167608041033</v>
      </c>
    </row>
    <row r="393" spans="1:25">
      <c r="A393" s="12" t="s">
        <v>299</v>
      </c>
      <c r="B393" s="12" t="s">
        <v>300</v>
      </c>
      <c r="C393" s="12">
        <v>14</v>
      </c>
      <c r="D393" s="12">
        <v>1.98</v>
      </c>
      <c r="E393" s="12" t="s">
        <v>321</v>
      </c>
      <c r="F393" s="13">
        <v>39476</v>
      </c>
      <c r="G393" s="12">
        <v>59.2</v>
      </c>
      <c r="H393" s="12">
        <v>1.75</v>
      </c>
      <c r="I393" s="13">
        <v>39497</v>
      </c>
      <c r="J393" s="12">
        <v>66.8</v>
      </c>
      <c r="K393" s="12">
        <v>1.75</v>
      </c>
      <c r="L393" s="12">
        <v>21</v>
      </c>
      <c r="M393" s="12">
        <v>7.5999999999999943</v>
      </c>
      <c r="N393" s="12">
        <v>0</v>
      </c>
      <c r="O393" s="17">
        <v>41.58</v>
      </c>
      <c r="P393" s="17"/>
      <c r="Q393" s="17">
        <v>361.90476190476164</v>
      </c>
      <c r="R393" s="14">
        <v>30.494574761904744</v>
      </c>
      <c r="S393" s="12">
        <v>7</v>
      </c>
      <c r="T393" s="12">
        <v>2.3999999999999915</v>
      </c>
      <c r="U393" s="14">
        <v>13.86</v>
      </c>
      <c r="V393" s="17">
        <v>342.85714285714164</v>
      </c>
      <c r="W393" s="14">
        <v>29.55552714285708</v>
      </c>
      <c r="X393">
        <f t="shared" si="12"/>
        <v>21.138124999999999</v>
      </c>
      <c r="Y393">
        <f t="shared" si="13"/>
        <v>36.534995741906769</v>
      </c>
    </row>
    <row r="394" spans="1:25">
      <c r="A394" s="12" t="s">
        <v>299</v>
      </c>
      <c r="B394" s="12" t="s">
        <v>300</v>
      </c>
      <c r="C394" s="12">
        <v>14</v>
      </c>
      <c r="D394" s="12">
        <v>1.98</v>
      </c>
      <c r="E394" s="12" t="s">
        <v>322</v>
      </c>
      <c r="F394" s="13">
        <v>39476</v>
      </c>
      <c r="G394" s="12">
        <v>57.8</v>
      </c>
      <c r="H394" s="12">
        <v>1.75</v>
      </c>
      <c r="I394" s="13">
        <v>39497</v>
      </c>
      <c r="J394" s="12">
        <v>62.2</v>
      </c>
      <c r="K394" s="12">
        <v>1.75</v>
      </c>
      <c r="L394" s="12">
        <v>21</v>
      </c>
      <c r="M394" s="12">
        <v>4.4000000000000057</v>
      </c>
      <c r="N394" s="12">
        <v>0</v>
      </c>
      <c r="O394" s="17">
        <v>41.58</v>
      </c>
      <c r="P394" s="17"/>
      <c r="Q394" s="17">
        <v>209.5238095238098</v>
      </c>
      <c r="R394" s="14">
        <v>22.474923809523823</v>
      </c>
      <c r="S394" s="12">
        <v>7</v>
      </c>
      <c r="T394" s="12">
        <v>-1.1999999999999957</v>
      </c>
      <c r="U394" s="14">
        <v>13.86</v>
      </c>
      <c r="V394" s="17">
        <v>-171.42857142857082</v>
      </c>
      <c r="W394" s="14">
        <v>3.6939714285714569</v>
      </c>
      <c r="X394">
        <f t="shared" si="12"/>
        <v>21.138124999999999</v>
      </c>
      <c r="Y394">
        <f t="shared" si="13"/>
        <v>4.5662941405597675</v>
      </c>
    </row>
    <row r="395" spans="1:25">
      <c r="A395" s="12" t="s">
        <v>299</v>
      </c>
      <c r="B395" s="12" t="s">
        <v>300</v>
      </c>
      <c r="C395" s="12">
        <v>14</v>
      </c>
      <c r="D395" s="12">
        <v>1.98</v>
      </c>
      <c r="E395" s="12" t="s">
        <v>323</v>
      </c>
      <c r="F395" s="13">
        <v>39476</v>
      </c>
      <c r="G395" s="12">
        <v>56.2</v>
      </c>
      <c r="H395" s="12">
        <v>2.75</v>
      </c>
      <c r="I395" s="13">
        <v>39497</v>
      </c>
      <c r="J395" s="12">
        <v>64.2</v>
      </c>
      <c r="K395" s="12">
        <v>2.75</v>
      </c>
      <c r="L395" s="12">
        <v>21</v>
      </c>
      <c r="M395" s="12">
        <v>8</v>
      </c>
      <c r="N395" s="12">
        <v>0</v>
      </c>
      <c r="O395" s="17">
        <v>41.58</v>
      </c>
      <c r="P395" s="17"/>
      <c r="Q395" s="17">
        <v>380.95238095238091</v>
      </c>
      <c r="R395" s="14">
        <v>30.960170380952377</v>
      </c>
      <c r="S395" s="12">
        <v>7</v>
      </c>
      <c r="T395" s="12">
        <v>0.60000000000000142</v>
      </c>
      <c r="U395" s="14">
        <v>13.86</v>
      </c>
      <c r="V395" s="17">
        <v>85.714285714285921</v>
      </c>
      <c r="W395" s="14">
        <v>16.404932285714295</v>
      </c>
      <c r="X395">
        <f t="shared" si="12"/>
        <v>16.989624999999997</v>
      </c>
      <c r="Y395">
        <f t="shared" si="13"/>
        <v>16.299043724250215</v>
      </c>
    </row>
    <row r="396" spans="1:25">
      <c r="A396" s="12" t="s">
        <v>299</v>
      </c>
      <c r="B396" s="12" t="s">
        <v>300</v>
      </c>
      <c r="C396" s="12">
        <v>14</v>
      </c>
      <c r="D396" s="12">
        <v>1.98</v>
      </c>
      <c r="E396" s="12" t="s">
        <v>324</v>
      </c>
      <c r="F396" s="13">
        <v>39476</v>
      </c>
      <c r="G396" s="12">
        <v>58</v>
      </c>
      <c r="H396" s="12">
        <v>2.25</v>
      </c>
      <c r="I396" s="13">
        <v>39497</v>
      </c>
      <c r="J396" s="12">
        <v>68</v>
      </c>
      <c r="K396" s="12">
        <v>2.25</v>
      </c>
      <c r="L396" s="12">
        <v>21</v>
      </c>
      <c r="M396" s="12">
        <v>10</v>
      </c>
      <c r="N396" s="12">
        <v>0</v>
      </c>
      <c r="O396" s="17">
        <v>41.58</v>
      </c>
      <c r="P396" s="17"/>
      <c r="Q396" s="17">
        <v>476.19047619047615</v>
      </c>
      <c r="R396" s="14">
        <v>36.128860476190475</v>
      </c>
      <c r="S396" s="12">
        <v>7</v>
      </c>
      <c r="T396" s="12">
        <v>2.7999999999999972</v>
      </c>
      <c r="U396" s="14">
        <v>13.86</v>
      </c>
      <c r="V396" s="17">
        <v>399.9999999999996</v>
      </c>
      <c r="W396" s="14">
        <v>32.372669999999978</v>
      </c>
      <c r="X396">
        <f t="shared" si="12"/>
        <v>19.063874999999999</v>
      </c>
      <c r="Y396">
        <f t="shared" si="13"/>
        <v>36.090557561184177</v>
      </c>
    </row>
    <row r="397" spans="1:25">
      <c r="A397" s="12" t="s">
        <v>299</v>
      </c>
      <c r="B397" s="12" t="s">
        <v>300</v>
      </c>
      <c r="C397" s="12">
        <v>14</v>
      </c>
      <c r="D397" s="12">
        <v>1.98</v>
      </c>
      <c r="E397" s="12" t="s">
        <v>325</v>
      </c>
      <c r="F397" s="13">
        <v>39476</v>
      </c>
      <c r="G397" s="12">
        <v>67</v>
      </c>
      <c r="H397" s="12">
        <v>2.25</v>
      </c>
      <c r="I397" s="13">
        <v>39497</v>
      </c>
      <c r="J397" s="12">
        <v>69</v>
      </c>
      <c r="K397" s="12">
        <v>2.25</v>
      </c>
      <c r="L397" s="12">
        <v>21</v>
      </c>
      <c r="M397" s="12">
        <v>2</v>
      </c>
      <c r="N397" s="12">
        <v>0</v>
      </c>
      <c r="O397" s="17">
        <v>41.58</v>
      </c>
      <c r="P397" s="17"/>
      <c r="Q397" s="17">
        <v>95.238095238095227</v>
      </c>
      <c r="R397" s="14">
        <v>18.193358095238096</v>
      </c>
      <c r="S397" s="12">
        <v>7</v>
      </c>
      <c r="T397" s="12">
        <v>0.40000000000000568</v>
      </c>
      <c r="U397" s="14">
        <v>13.86</v>
      </c>
      <c r="V397" s="17">
        <v>57.142857142857956</v>
      </c>
      <c r="W397" s="14">
        <v>16.315262857142898</v>
      </c>
      <c r="X397">
        <f t="shared" si="12"/>
        <v>19.063874999999999</v>
      </c>
      <c r="Y397">
        <f t="shared" si="13"/>
        <v>18.189013549749419</v>
      </c>
    </row>
    <row r="398" spans="1:25">
      <c r="A398" s="12" t="s">
        <v>299</v>
      </c>
      <c r="B398" s="12" t="s">
        <v>300</v>
      </c>
      <c r="C398" s="12">
        <v>14</v>
      </c>
      <c r="D398" s="12">
        <v>1.98</v>
      </c>
      <c r="E398" s="12" t="s">
        <v>326</v>
      </c>
      <c r="F398" s="13">
        <v>39476</v>
      </c>
      <c r="G398" s="12">
        <v>70.599999999999994</v>
      </c>
      <c r="H398" s="12">
        <v>3</v>
      </c>
      <c r="I398" s="13">
        <v>39497</v>
      </c>
      <c r="J398" s="12">
        <v>75.400000000000006</v>
      </c>
      <c r="K398" s="12">
        <v>3</v>
      </c>
      <c r="L398" s="12">
        <v>21</v>
      </c>
      <c r="M398" s="12">
        <v>4.8000000000000114</v>
      </c>
      <c r="N398" s="12">
        <v>0</v>
      </c>
      <c r="O398" s="17">
        <v>41.58</v>
      </c>
      <c r="P398" s="17"/>
      <c r="Q398" s="17">
        <v>228.57142857142912</v>
      </c>
      <c r="R398" s="14">
        <v>25.612141428571455</v>
      </c>
      <c r="S398" s="12">
        <v>7</v>
      </c>
      <c r="T398" s="12">
        <v>1.2000000000000028</v>
      </c>
      <c r="U398" s="14">
        <v>13.86</v>
      </c>
      <c r="V398" s="17">
        <v>171.42857142857184</v>
      </c>
      <c r="W398" s="14">
        <v>22.794998571428593</v>
      </c>
      <c r="X398">
        <f t="shared" si="12"/>
        <v>15.952499999999999</v>
      </c>
      <c r="Y398">
        <f t="shared" si="13"/>
        <v>21.265334193609039</v>
      </c>
    </row>
    <row r="399" spans="1:25">
      <c r="A399" s="12" t="s">
        <v>299</v>
      </c>
      <c r="B399" s="12" t="s">
        <v>300</v>
      </c>
      <c r="C399" s="12">
        <v>14</v>
      </c>
      <c r="D399" s="12">
        <v>1.98</v>
      </c>
      <c r="E399" s="12" t="s">
        <v>327</v>
      </c>
      <c r="F399" s="13">
        <v>39476</v>
      </c>
      <c r="G399" s="12">
        <v>61.6</v>
      </c>
      <c r="H399" s="12">
        <v>2.5</v>
      </c>
      <c r="I399" s="13">
        <v>39497</v>
      </c>
      <c r="J399" s="12">
        <v>68.599999999999994</v>
      </c>
      <c r="K399" s="12">
        <v>2.5</v>
      </c>
      <c r="L399" s="12">
        <v>21</v>
      </c>
      <c r="M399" s="12">
        <v>6.9999999999999929</v>
      </c>
      <c r="N399" s="12">
        <v>0</v>
      </c>
      <c r="O399" s="17">
        <v>41.58</v>
      </c>
      <c r="P399" s="17"/>
      <c r="Q399" s="17">
        <v>333.33333333333297</v>
      </c>
      <c r="R399" s="14">
        <v>29.441092333333316</v>
      </c>
      <c r="S399" s="12">
        <v>7</v>
      </c>
      <c r="T399" s="12">
        <v>4.5999999999999943</v>
      </c>
      <c r="U399" s="14">
        <v>13.86</v>
      </c>
      <c r="V399" s="17">
        <v>657.14285714285631</v>
      </c>
      <c r="W399" s="14">
        <v>45.404901857142818</v>
      </c>
      <c r="X399">
        <f t="shared" si="12"/>
        <v>18.02675</v>
      </c>
      <c r="Y399">
        <f t="shared" si="13"/>
        <v>47.865661669780657</v>
      </c>
    </row>
    <row r="400" spans="1:25">
      <c r="A400" s="12" t="s">
        <v>299</v>
      </c>
      <c r="B400" s="12" t="s">
        <v>300</v>
      </c>
      <c r="C400" s="12">
        <v>14</v>
      </c>
      <c r="D400" s="12">
        <v>1.98</v>
      </c>
      <c r="E400" s="12" t="s">
        <v>328</v>
      </c>
      <c r="F400" s="13">
        <v>39476</v>
      </c>
      <c r="G400" s="12">
        <v>60</v>
      </c>
      <c r="H400" s="12">
        <v>2.5</v>
      </c>
      <c r="I400" s="13">
        <v>39497</v>
      </c>
      <c r="J400" s="12">
        <v>66.400000000000006</v>
      </c>
      <c r="K400" s="12">
        <v>2.25</v>
      </c>
      <c r="L400" s="12">
        <v>21</v>
      </c>
      <c r="M400" s="12">
        <v>6.4000000000000057</v>
      </c>
      <c r="N400" s="12">
        <v>-0.25</v>
      </c>
      <c r="O400" s="17">
        <v>41.58</v>
      </c>
      <c r="P400" s="17"/>
      <c r="Q400" s="17">
        <v>304.76190476190499</v>
      </c>
      <c r="R400" s="14">
        <v>27.711249904761917</v>
      </c>
      <c r="S400" s="12">
        <v>7</v>
      </c>
      <c r="T400" s="12">
        <v>2.6000000000000085</v>
      </c>
      <c r="U400" s="14">
        <v>13.86</v>
      </c>
      <c r="V400" s="17">
        <v>371.42857142857264</v>
      </c>
      <c r="W400" s="14">
        <v>30.997916571428632</v>
      </c>
      <c r="X400">
        <f t="shared" si="12"/>
        <v>18.02675</v>
      </c>
      <c r="Y400">
        <f t="shared" si="13"/>
        <v>32.67787675754392</v>
      </c>
    </row>
    <row r="401" spans="1:25">
      <c r="A401" s="12" t="s">
        <v>299</v>
      </c>
      <c r="B401" s="12" t="s">
        <v>300</v>
      </c>
      <c r="C401" s="12">
        <v>14</v>
      </c>
      <c r="D401" s="12">
        <v>1.98</v>
      </c>
      <c r="E401" s="12" t="s">
        <v>329</v>
      </c>
      <c r="F401" s="13">
        <v>39476</v>
      </c>
      <c r="G401" s="12">
        <v>58</v>
      </c>
      <c r="H401" s="12">
        <v>3</v>
      </c>
      <c r="I401" s="13">
        <v>39497</v>
      </c>
      <c r="J401" s="12">
        <v>61.8</v>
      </c>
      <c r="K401" s="12">
        <v>3</v>
      </c>
      <c r="L401" s="12">
        <v>21</v>
      </c>
      <c r="M401" s="12">
        <v>3.7999999999999972</v>
      </c>
      <c r="N401" s="12">
        <v>0</v>
      </c>
      <c r="O401" s="17">
        <v>41.58</v>
      </c>
      <c r="P401" s="17"/>
      <c r="Q401" s="17">
        <v>180.95238095238082</v>
      </c>
      <c r="R401" s="14">
        <v>21.049443380952372</v>
      </c>
      <c r="S401" s="12">
        <v>7</v>
      </c>
      <c r="T401" s="12">
        <v>-1</v>
      </c>
      <c r="U401" s="14">
        <v>13.86</v>
      </c>
      <c r="V401" s="17">
        <v>-142.85714285714286</v>
      </c>
      <c r="W401" s="14">
        <v>5.0856338571428568</v>
      </c>
      <c r="X401">
        <f t="shared" si="12"/>
        <v>15.952499999999999</v>
      </c>
      <c r="Y401">
        <f t="shared" si="13"/>
        <v>4.7443610588345848</v>
      </c>
    </row>
    <row r="402" spans="1:25">
      <c r="A402" s="12" t="s">
        <v>299</v>
      </c>
      <c r="B402" s="12" t="s">
        <v>300</v>
      </c>
      <c r="C402" s="12">
        <v>14</v>
      </c>
      <c r="D402" s="12">
        <v>1.98</v>
      </c>
      <c r="E402" s="12" t="s">
        <v>330</v>
      </c>
      <c r="F402" s="13">
        <v>39476</v>
      </c>
      <c r="G402" s="12">
        <v>55.2</v>
      </c>
      <c r="H402" s="12">
        <v>2.5</v>
      </c>
      <c r="I402" s="13">
        <v>39497</v>
      </c>
      <c r="J402" s="12">
        <v>60.4</v>
      </c>
      <c r="K402" s="12">
        <v>2.5</v>
      </c>
      <c r="L402" s="12">
        <v>21</v>
      </c>
      <c r="M402" s="12">
        <v>5.1999999999999957</v>
      </c>
      <c r="N402" s="12">
        <v>0</v>
      </c>
      <c r="O402" s="17">
        <v>41.58</v>
      </c>
      <c r="P402" s="17"/>
      <c r="Q402" s="17">
        <v>247.61904761904739</v>
      </c>
      <c r="R402" s="14">
        <v>23.981021047619038</v>
      </c>
      <c r="S402" s="12">
        <v>7</v>
      </c>
      <c r="T402" s="12">
        <v>-1</v>
      </c>
      <c r="U402" s="14">
        <v>13.86</v>
      </c>
      <c r="V402" s="17">
        <v>-142.85714285714286</v>
      </c>
      <c r="W402" s="14">
        <v>4.7305448571428572</v>
      </c>
      <c r="X402">
        <f t="shared" si="12"/>
        <v>18.02675</v>
      </c>
      <c r="Y402">
        <f t="shared" si="13"/>
        <v>4.9869210235964907</v>
      </c>
    </row>
    <row r="403" spans="1:25">
      <c r="A403" s="12" t="s">
        <v>299</v>
      </c>
      <c r="B403" s="12" t="s">
        <v>300</v>
      </c>
      <c r="C403" s="12">
        <v>14</v>
      </c>
      <c r="D403" s="12">
        <v>1.98</v>
      </c>
      <c r="E403" s="12" t="s">
        <v>331</v>
      </c>
      <c r="F403" s="13">
        <v>39476</v>
      </c>
      <c r="G403" s="12">
        <v>60.6</v>
      </c>
      <c r="H403" s="12">
        <v>2</v>
      </c>
      <c r="I403" s="13">
        <v>39497</v>
      </c>
      <c r="J403" s="12">
        <v>64</v>
      </c>
      <c r="K403" s="12">
        <v>2</v>
      </c>
      <c r="L403" s="12">
        <v>21</v>
      </c>
      <c r="M403" s="12">
        <v>3.3999999999999986</v>
      </c>
      <c r="N403" s="12">
        <v>0</v>
      </c>
      <c r="O403" s="17">
        <v>41.58</v>
      </c>
      <c r="P403" s="17"/>
      <c r="Q403" s="17">
        <v>161.90476190476184</v>
      </c>
      <c r="R403" s="14">
        <v>20.516211761904756</v>
      </c>
      <c r="S403" s="12">
        <v>7</v>
      </c>
      <c r="T403" s="12">
        <v>0.20000000000000284</v>
      </c>
      <c r="U403" s="14">
        <v>13.86</v>
      </c>
      <c r="V403" s="17">
        <v>28.571428571428978</v>
      </c>
      <c r="W403" s="14">
        <v>13.942878428571447</v>
      </c>
      <c r="X403">
        <f t="shared" si="12"/>
        <v>20.100999999999999</v>
      </c>
      <c r="Y403">
        <f t="shared" si="13"/>
        <v>16.389812824135358</v>
      </c>
    </row>
    <row r="404" spans="1:25">
      <c r="A404" s="12" t="s">
        <v>299</v>
      </c>
      <c r="B404" s="12" t="s">
        <v>300</v>
      </c>
      <c r="C404" s="12">
        <v>14</v>
      </c>
      <c r="D404" s="12">
        <v>1.98</v>
      </c>
      <c r="E404" s="12" t="s">
        <v>332</v>
      </c>
      <c r="F404" s="13">
        <v>39476</v>
      </c>
      <c r="G404" s="12">
        <v>64.400000000000006</v>
      </c>
      <c r="H404" s="12">
        <v>1.75</v>
      </c>
      <c r="I404" s="13">
        <v>39497</v>
      </c>
      <c r="J404" s="12">
        <v>65.599999999999994</v>
      </c>
      <c r="K404" s="12">
        <v>1.75</v>
      </c>
      <c r="L404" s="12">
        <v>21</v>
      </c>
      <c r="M404" s="12">
        <v>1.1999999999999886</v>
      </c>
      <c r="N404" s="12">
        <v>0</v>
      </c>
      <c r="O404" s="17">
        <v>41.58</v>
      </c>
      <c r="P404" s="17"/>
      <c r="Q404" s="17">
        <v>57.142857142856599</v>
      </c>
      <c r="R404" s="14">
        <v>15.80799285714283</v>
      </c>
      <c r="S404" s="12">
        <v>7</v>
      </c>
      <c r="T404" s="12">
        <v>0.79999999999999716</v>
      </c>
      <c r="U404" s="14">
        <v>13.86</v>
      </c>
      <c r="V404" s="17">
        <v>114.28571428571388</v>
      </c>
      <c r="W404" s="14">
        <v>18.625135714285694</v>
      </c>
      <c r="X404">
        <f t="shared" si="12"/>
        <v>21.138124999999999</v>
      </c>
      <c r="Y404">
        <f t="shared" si="13"/>
        <v>23.023417945645335</v>
      </c>
    </row>
    <row r="405" spans="1:25">
      <c r="A405" s="12" t="s">
        <v>299</v>
      </c>
      <c r="B405" s="12" t="s">
        <v>300</v>
      </c>
      <c r="C405" s="12">
        <v>14</v>
      </c>
      <c r="D405" s="12">
        <v>1.98</v>
      </c>
      <c r="E405" s="12" t="s">
        <v>333</v>
      </c>
      <c r="F405" s="13">
        <v>39476</v>
      </c>
      <c r="G405" s="12">
        <v>54</v>
      </c>
      <c r="H405" s="12">
        <v>1.75</v>
      </c>
      <c r="I405" s="13">
        <v>39497</v>
      </c>
      <c r="J405" s="12">
        <v>60.4</v>
      </c>
      <c r="K405" s="12">
        <v>1.75</v>
      </c>
      <c r="L405" s="12">
        <v>21</v>
      </c>
      <c r="M405" s="12">
        <v>6.3999999999999986</v>
      </c>
      <c r="N405" s="12">
        <v>0</v>
      </c>
      <c r="O405" s="17">
        <v>41.58</v>
      </c>
      <c r="P405" s="17"/>
      <c r="Q405" s="17">
        <v>304.7619047619047</v>
      </c>
      <c r="R405" s="14">
        <v>26.696709904761899</v>
      </c>
      <c r="S405" s="12">
        <v>7</v>
      </c>
      <c r="T405" s="12">
        <v>1.1999999999999957</v>
      </c>
      <c r="U405" s="14">
        <v>13.86</v>
      </c>
      <c r="V405" s="17">
        <v>171.42857142857082</v>
      </c>
      <c r="W405" s="14">
        <v>20.123376571428544</v>
      </c>
      <c r="X405">
        <f t="shared" si="12"/>
        <v>21.138124999999999</v>
      </c>
      <c r="Y405">
        <f t="shared" si="13"/>
        <v>24.875464876545493</v>
      </c>
    </row>
    <row r="406" spans="1:25">
      <c r="A406" s="12" t="s">
        <v>299</v>
      </c>
      <c r="B406" s="12" t="s">
        <v>300</v>
      </c>
      <c r="C406" s="12">
        <v>14</v>
      </c>
      <c r="D406" s="12">
        <v>1.98</v>
      </c>
      <c r="E406" s="12" t="s">
        <v>334</v>
      </c>
      <c r="F406" s="13">
        <v>39476</v>
      </c>
      <c r="G406" s="12">
        <v>71</v>
      </c>
      <c r="H406" s="12">
        <v>2</v>
      </c>
      <c r="I406" s="13">
        <v>39497</v>
      </c>
      <c r="J406" s="12">
        <v>70.599999999999994</v>
      </c>
      <c r="K406" s="12">
        <v>2</v>
      </c>
      <c r="L406" s="12">
        <v>21</v>
      </c>
      <c r="M406" s="12">
        <v>-0.40000000000000568</v>
      </c>
      <c r="N406" s="12">
        <v>0</v>
      </c>
      <c r="O406" s="17">
        <v>41.58</v>
      </c>
      <c r="P406" s="17"/>
      <c r="Q406" s="17">
        <v>-19.047619047619321</v>
      </c>
      <c r="R406" s="14">
        <v>13.032524380952365</v>
      </c>
      <c r="S406" s="12">
        <v>7</v>
      </c>
      <c r="T406" s="12">
        <v>0.59999999999999432</v>
      </c>
      <c r="U406" s="14">
        <v>13.86</v>
      </c>
      <c r="V406" s="17">
        <v>85.714285714284898</v>
      </c>
      <c r="W406" s="14">
        <v>18.197286285714242</v>
      </c>
      <c r="X406">
        <f t="shared" si="12"/>
        <v>20.100999999999999</v>
      </c>
      <c r="Y406">
        <f t="shared" si="13"/>
        <v>21.390856820417657</v>
      </c>
    </row>
    <row r="407" spans="1:25">
      <c r="A407" s="12" t="s">
        <v>335</v>
      </c>
      <c r="B407" s="12" t="s">
        <v>336</v>
      </c>
      <c r="C407" s="12">
        <v>29</v>
      </c>
      <c r="D407" s="12">
        <v>3.96</v>
      </c>
      <c r="E407" s="12" t="s">
        <v>337</v>
      </c>
      <c r="F407" s="13">
        <v>39476</v>
      </c>
      <c r="G407" s="12">
        <v>50.8</v>
      </c>
      <c r="H407" s="12">
        <v>1.75</v>
      </c>
      <c r="I407" s="13">
        <v>39497</v>
      </c>
      <c r="J407" s="12">
        <v>53.4</v>
      </c>
      <c r="K407" s="12">
        <v>1.75</v>
      </c>
      <c r="L407" s="12">
        <v>21</v>
      </c>
      <c r="M407" s="12">
        <v>2.6000000000000014</v>
      </c>
      <c r="N407" s="12">
        <v>0</v>
      </c>
      <c r="O407" s="17">
        <v>83.16</v>
      </c>
      <c r="P407" s="17"/>
      <c r="Q407" s="17">
        <v>123.80952380952388</v>
      </c>
      <c r="R407" s="14">
        <v>16.913398523809526</v>
      </c>
      <c r="S407" s="12">
        <v>7</v>
      </c>
      <c r="T407" s="12">
        <v>-3.8000000000000043</v>
      </c>
      <c r="U407" s="14">
        <v>27.72</v>
      </c>
      <c r="V407" s="17">
        <v>-542.85714285714346</v>
      </c>
      <c r="W407" s="14">
        <v>-15.953268142857173</v>
      </c>
      <c r="X407">
        <f t="shared" si="12"/>
        <v>21.138124999999999</v>
      </c>
      <c r="Y407">
        <f t="shared" si="13"/>
        <v>-19.720595097206591</v>
      </c>
    </row>
    <row r="408" spans="1:25">
      <c r="A408" s="12" t="s">
        <v>335</v>
      </c>
      <c r="B408" s="12" t="s">
        <v>336</v>
      </c>
      <c r="C408" s="12">
        <v>29</v>
      </c>
      <c r="D408" s="12">
        <v>3.96</v>
      </c>
      <c r="E408" s="12" t="s">
        <v>338</v>
      </c>
      <c r="F408" s="13">
        <v>39476</v>
      </c>
      <c r="G408" s="12">
        <v>59.6</v>
      </c>
      <c r="H408" s="12">
        <v>1.75</v>
      </c>
      <c r="I408" s="13">
        <v>39497</v>
      </c>
      <c r="J408" s="12">
        <v>62.2</v>
      </c>
      <c r="K408" s="12">
        <v>1.75</v>
      </c>
      <c r="L408" s="12">
        <v>21</v>
      </c>
      <c r="M408" s="12">
        <v>2.6000000000000014</v>
      </c>
      <c r="N408" s="12">
        <v>0</v>
      </c>
      <c r="O408" s="17">
        <v>83.16</v>
      </c>
      <c r="P408" s="17"/>
      <c r="Q408" s="17">
        <v>123.80952380952388</v>
      </c>
      <c r="R408" s="14">
        <v>18.401390523809528</v>
      </c>
      <c r="S408" s="12">
        <v>7</v>
      </c>
      <c r="T408" s="12">
        <v>-4.5999999999999943</v>
      </c>
      <c r="U408" s="14">
        <v>27.72</v>
      </c>
      <c r="V408" s="17">
        <v>-657.14285714285631</v>
      </c>
      <c r="W408" s="14">
        <v>-20.099561857142817</v>
      </c>
      <c r="X408">
        <f t="shared" si="12"/>
        <v>21.138124999999999</v>
      </c>
      <c r="Y408">
        <f t="shared" si="13"/>
        <v>-24.846026373188124</v>
      </c>
    </row>
    <row r="409" spans="1:25">
      <c r="A409" s="12" t="s">
        <v>335</v>
      </c>
      <c r="B409" s="12" t="s">
        <v>336</v>
      </c>
      <c r="C409" s="12">
        <v>29</v>
      </c>
      <c r="D409" s="12">
        <v>3.96</v>
      </c>
      <c r="E409" s="12" t="s">
        <v>339</v>
      </c>
      <c r="F409" s="13">
        <v>39476</v>
      </c>
      <c r="G409" s="12">
        <v>53.8</v>
      </c>
      <c r="H409" s="12">
        <v>2</v>
      </c>
      <c r="I409" s="13">
        <v>39497</v>
      </c>
      <c r="J409" s="12">
        <v>63</v>
      </c>
      <c r="K409" s="12">
        <v>2</v>
      </c>
      <c r="L409" s="12">
        <v>21</v>
      </c>
      <c r="M409" s="12">
        <v>9.2000000000000028</v>
      </c>
      <c r="N409" s="12">
        <v>0</v>
      </c>
      <c r="O409" s="17">
        <v>83.16</v>
      </c>
      <c r="P409" s="17"/>
      <c r="Q409" s="17">
        <v>438.09523809523819</v>
      </c>
      <c r="R409" s="14">
        <v>33.472951238095241</v>
      </c>
      <c r="S409" s="12">
        <v>7</v>
      </c>
      <c r="T409" s="12">
        <v>5.6000000000000014</v>
      </c>
      <c r="U409" s="14">
        <v>27.72</v>
      </c>
      <c r="V409" s="17">
        <v>800.00000000000011</v>
      </c>
      <c r="W409" s="14">
        <v>51.314856000000006</v>
      </c>
      <c r="X409">
        <f t="shared" si="12"/>
        <v>20.100999999999999</v>
      </c>
      <c r="Y409">
        <f t="shared" si="13"/>
        <v>60.320463184561412</v>
      </c>
    </row>
    <row r="410" spans="1:25">
      <c r="A410" s="12" t="s">
        <v>335</v>
      </c>
      <c r="B410" s="12" t="s">
        <v>336</v>
      </c>
      <c r="C410" s="12">
        <v>29</v>
      </c>
      <c r="D410" s="12">
        <v>3.96</v>
      </c>
      <c r="E410" s="12" t="s">
        <v>340</v>
      </c>
      <c r="F410" s="13">
        <v>39476</v>
      </c>
      <c r="G410" s="12">
        <v>61.4</v>
      </c>
      <c r="H410" s="12">
        <v>2.5</v>
      </c>
      <c r="I410" s="13">
        <v>39497</v>
      </c>
      <c r="J410" s="12">
        <v>66.2</v>
      </c>
      <c r="K410" s="12">
        <v>2.5</v>
      </c>
      <c r="L410" s="12">
        <v>21</v>
      </c>
      <c r="M410" s="12">
        <v>4.8000000000000043</v>
      </c>
      <c r="N410" s="12">
        <v>0</v>
      </c>
      <c r="O410" s="17">
        <v>83.16</v>
      </c>
      <c r="P410" s="17"/>
      <c r="Q410" s="17">
        <v>228.57142857142878</v>
      </c>
      <c r="R410" s="14">
        <v>24.056513428571439</v>
      </c>
      <c r="S410" s="12">
        <v>7</v>
      </c>
      <c r="T410" s="12">
        <v>0.79999999999999716</v>
      </c>
      <c r="U410" s="14">
        <v>27.72</v>
      </c>
      <c r="V410" s="17">
        <v>114.28571428571388</v>
      </c>
      <c r="W410" s="14">
        <v>18.422227714285693</v>
      </c>
      <c r="X410">
        <f t="shared" si="12"/>
        <v>18.02675</v>
      </c>
      <c r="Y410">
        <f t="shared" si="13"/>
        <v>19.420637043771908</v>
      </c>
    </row>
    <row r="411" spans="1:25">
      <c r="A411" s="12" t="s">
        <v>335</v>
      </c>
      <c r="B411" s="12" t="s">
        <v>336</v>
      </c>
      <c r="C411" s="12">
        <v>29</v>
      </c>
      <c r="D411" s="12">
        <v>3.96</v>
      </c>
      <c r="E411" s="12" t="s">
        <v>341</v>
      </c>
      <c r="F411" s="13">
        <v>39476</v>
      </c>
      <c r="G411" s="12">
        <v>55</v>
      </c>
      <c r="H411" s="12">
        <v>1.5</v>
      </c>
      <c r="I411" s="13">
        <v>39497</v>
      </c>
      <c r="J411" s="12">
        <v>61</v>
      </c>
      <c r="K411" s="12">
        <v>1.5</v>
      </c>
      <c r="L411" s="12">
        <v>21</v>
      </c>
      <c r="M411" s="12">
        <v>6</v>
      </c>
      <c r="N411" s="12">
        <v>0</v>
      </c>
      <c r="O411" s="17">
        <v>83.16</v>
      </c>
      <c r="P411" s="17"/>
      <c r="Q411" s="17">
        <v>285.71428571428572</v>
      </c>
      <c r="R411" s="14">
        <v>25.892934285714283</v>
      </c>
      <c r="S411" s="12">
        <v>7</v>
      </c>
      <c r="T411" s="12">
        <v>-2.6000000000000014</v>
      </c>
      <c r="U411" s="14">
        <v>27.72</v>
      </c>
      <c r="V411" s="17">
        <v>-371.42857142857162</v>
      </c>
      <c r="W411" s="14">
        <v>-6.5042085714285793</v>
      </c>
      <c r="X411">
        <f t="shared" si="12"/>
        <v>22.175249999999998</v>
      </c>
      <c r="Y411">
        <f t="shared" si="13"/>
        <v>-8.4346462645363491</v>
      </c>
    </row>
    <row r="412" spans="1:25">
      <c r="A412" s="12" t="s">
        <v>335</v>
      </c>
      <c r="B412" s="12" t="s">
        <v>336</v>
      </c>
      <c r="C412" s="12">
        <v>29</v>
      </c>
      <c r="D412" s="12">
        <v>3.96</v>
      </c>
      <c r="E412" s="12" t="s">
        <v>342</v>
      </c>
      <c r="F412" s="13">
        <v>39476</v>
      </c>
      <c r="G412" s="12">
        <v>61</v>
      </c>
      <c r="H412" s="12">
        <v>2.5</v>
      </c>
      <c r="I412" s="13">
        <v>39497</v>
      </c>
      <c r="J412" s="12">
        <v>62.8</v>
      </c>
      <c r="K412" s="12">
        <v>2.5</v>
      </c>
      <c r="L412" s="12">
        <v>21</v>
      </c>
      <c r="M412" s="12">
        <v>1.7999999999999972</v>
      </c>
      <c r="N412" s="12">
        <v>0</v>
      </c>
      <c r="O412" s="17">
        <v>83.16</v>
      </c>
      <c r="P412" s="17"/>
      <c r="Q412" s="17">
        <v>85.71428571428558</v>
      </c>
      <c r="R412" s="14">
        <v>16.69238528571428</v>
      </c>
      <c r="S412" s="12">
        <v>7</v>
      </c>
      <c r="T412" s="12">
        <v>-3.4000000000000057</v>
      </c>
      <c r="U412" s="14">
        <v>27.72</v>
      </c>
      <c r="V412" s="17">
        <v>-485.71428571428652</v>
      </c>
      <c r="W412" s="14">
        <v>-11.479043285714324</v>
      </c>
      <c r="X412">
        <f t="shared" si="12"/>
        <v>18.02675</v>
      </c>
      <c r="Y412">
        <f t="shared" si="13"/>
        <v>-12.101160441564367</v>
      </c>
    </row>
    <row r="413" spans="1:25">
      <c r="A413" s="12" t="s">
        <v>335</v>
      </c>
      <c r="B413" s="12" t="s">
        <v>336</v>
      </c>
      <c r="C413" s="12">
        <v>29</v>
      </c>
      <c r="D413" s="12">
        <v>3.96</v>
      </c>
      <c r="E413" s="12" t="s">
        <v>343</v>
      </c>
      <c r="F413" s="13">
        <v>39476</v>
      </c>
      <c r="G413" s="12">
        <v>51.6</v>
      </c>
      <c r="H413" s="12">
        <v>2.25</v>
      </c>
      <c r="I413" s="13">
        <v>39497</v>
      </c>
      <c r="J413" s="12">
        <v>55.8</v>
      </c>
      <c r="K413" s="12">
        <v>2.25</v>
      </c>
      <c r="L413" s="12">
        <v>21</v>
      </c>
      <c r="M413" s="12">
        <v>4.1999999999999957</v>
      </c>
      <c r="N413" s="12">
        <v>0</v>
      </c>
      <c r="O413" s="17">
        <v>83.16</v>
      </c>
      <c r="P413" s="17"/>
      <c r="Q413" s="17">
        <v>199.9999999999998</v>
      </c>
      <c r="R413" s="14">
        <v>20.940132999999989</v>
      </c>
      <c r="S413" s="12">
        <v>7</v>
      </c>
      <c r="T413" s="12">
        <v>-2.8000000000000043</v>
      </c>
      <c r="U413" s="14">
        <v>27.72</v>
      </c>
      <c r="V413" s="17">
        <v>-400.00000000000063</v>
      </c>
      <c r="W413" s="14">
        <v>-8.6398670000000308</v>
      </c>
      <c r="X413">
        <f t="shared" si="12"/>
        <v>19.063874999999999</v>
      </c>
      <c r="Y413">
        <f t="shared" si="13"/>
        <v>-9.6321254096272266</v>
      </c>
    </row>
    <row r="414" spans="1:25">
      <c r="A414" s="12" t="s">
        <v>335</v>
      </c>
      <c r="B414" s="12" t="s">
        <v>336</v>
      </c>
      <c r="C414" s="12">
        <v>29</v>
      </c>
      <c r="D414" s="12">
        <v>3.96</v>
      </c>
      <c r="E414" s="12" t="s">
        <v>344</v>
      </c>
      <c r="F414" s="13">
        <v>39476</v>
      </c>
      <c r="G414" s="12">
        <v>60.2</v>
      </c>
      <c r="H414" s="12">
        <v>1.75</v>
      </c>
      <c r="I414" s="13">
        <v>39497</v>
      </c>
      <c r="J414" s="12">
        <v>64.2</v>
      </c>
      <c r="K414" s="12">
        <v>1.75</v>
      </c>
      <c r="L414" s="12">
        <v>21</v>
      </c>
      <c r="M414" s="12">
        <v>4</v>
      </c>
      <c r="N414" s="12">
        <v>0</v>
      </c>
      <c r="O414" s="17">
        <v>83.16</v>
      </c>
      <c r="P414" s="17"/>
      <c r="Q414" s="17">
        <v>190.47619047619045</v>
      </c>
      <c r="R414" s="14">
        <v>21.907874190476189</v>
      </c>
      <c r="S414" s="12">
        <v>7</v>
      </c>
      <c r="T414" s="12">
        <v>-6.2000000000000028</v>
      </c>
      <c r="U414" s="14">
        <v>27.72</v>
      </c>
      <c r="V414" s="17">
        <v>-885.71428571428612</v>
      </c>
      <c r="W414" s="14">
        <v>-31.148316285714301</v>
      </c>
      <c r="X414">
        <f t="shared" si="12"/>
        <v>21.138124999999999</v>
      </c>
      <c r="Y414">
        <f t="shared" si="13"/>
        <v>-38.503918315027171</v>
      </c>
    </row>
    <row r="415" spans="1:25">
      <c r="A415" s="12" t="s">
        <v>335</v>
      </c>
      <c r="B415" s="12" t="s">
        <v>336</v>
      </c>
      <c r="C415" s="12">
        <v>29</v>
      </c>
      <c r="D415" s="12">
        <v>3.96</v>
      </c>
      <c r="E415" s="12" t="s">
        <v>345</v>
      </c>
      <c r="F415" s="13">
        <v>39476</v>
      </c>
      <c r="G415" s="12">
        <v>51.6</v>
      </c>
      <c r="H415" s="12">
        <v>1.75</v>
      </c>
      <c r="I415" s="13">
        <v>39497</v>
      </c>
      <c r="J415" s="12">
        <v>55.6</v>
      </c>
      <c r="K415" s="12">
        <v>1.75</v>
      </c>
      <c r="L415" s="12">
        <v>21</v>
      </c>
      <c r="M415" s="12">
        <v>4</v>
      </c>
      <c r="N415" s="12">
        <v>0</v>
      </c>
      <c r="O415" s="17">
        <v>83.16</v>
      </c>
      <c r="P415" s="17"/>
      <c r="Q415" s="17">
        <v>190.47619047619045</v>
      </c>
      <c r="R415" s="14">
        <v>20.453700190476191</v>
      </c>
      <c r="S415" s="12">
        <v>7</v>
      </c>
      <c r="T415" s="12">
        <v>-3</v>
      </c>
      <c r="U415" s="14">
        <v>27.72</v>
      </c>
      <c r="V415" s="17">
        <v>-428.57142857142856</v>
      </c>
      <c r="W415" s="14">
        <v>-10.065347428571426</v>
      </c>
      <c r="X415">
        <f t="shared" si="12"/>
        <v>21.138124999999999</v>
      </c>
      <c r="Y415">
        <f t="shared" si="13"/>
        <v>-12.442255679156219</v>
      </c>
    </row>
    <row r="416" spans="1:25">
      <c r="A416" s="12" t="s">
        <v>335</v>
      </c>
      <c r="B416" s="12" t="s">
        <v>336</v>
      </c>
      <c r="C416" s="12">
        <v>29</v>
      </c>
      <c r="D416" s="12">
        <v>3.96</v>
      </c>
      <c r="E416" s="12" t="s">
        <v>346</v>
      </c>
      <c r="F416" s="13">
        <v>39476</v>
      </c>
      <c r="G416" s="12">
        <v>60.2</v>
      </c>
      <c r="H416" s="12">
        <v>1.75</v>
      </c>
      <c r="I416" s="13">
        <v>39497</v>
      </c>
      <c r="J416" s="12">
        <v>69</v>
      </c>
      <c r="K416" s="12">
        <v>1.75</v>
      </c>
      <c r="L416" s="12">
        <v>21</v>
      </c>
      <c r="M416" s="12">
        <v>8.7999999999999972</v>
      </c>
      <c r="N416" s="12">
        <v>0</v>
      </c>
      <c r="O416" s="17">
        <v>83.16</v>
      </c>
      <c r="P416" s="17"/>
      <c r="Q416" s="17">
        <v>419.04761904761887</v>
      </c>
      <c r="R416" s="14">
        <v>33.582261619047607</v>
      </c>
      <c r="S416" s="12">
        <v>7</v>
      </c>
      <c r="T416" s="12">
        <v>3.5999999999999943</v>
      </c>
      <c r="U416" s="14">
        <v>27.72</v>
      </c>
      <c r="V416" s="17">
        <v>514.28571428571342</v>
      </c>
      <c r="W416" s="14">
        <v>38.277499714285668</v>
      </c>
      <c r="X416">
        <f t="shared" si="12"/>
        <v>21.138124999999999</v>
      </c>
      <c r="Y416">
        <f t="shared" si="13"/>
        <v>47.316641733803195</v>
      </c>
    </row>
    <row r="417" spans="1:25">
      <c r="A417" s="12" t="s">
        <v>335</v>
      </c>
      <c r="B417" s="12" t="s">
        <v>336</v>
      </c>
      <c r="C417" s="12">
        <v>29</v>
      </c>
      <c r="D417" s="12">
        <v>3.96</v>
      </c>
      <c r="E417" s="12" t="s">
        <v>347</v>
      </c>
      <c r="F417" s="13">
        <v>39476</v>
      </c>
      <c r="G417" s="12">
        <v>54.6</v>
      </c>
      <c r="H417" s="12">
        <v>2.25</v>
      </c>
      <c r="I417" s="13">
        <v>39497</v>
      </c>
      <c r="J417" s="12">
        <v>57.4</v>
      </c>
      <c r="K417" s="12">
        <v>2.25</v>
      </c>
      <c r="L417" s="12">
        <v>21</v>
      </c>
      <c r="M417" s="12">
        <v>2.7999999999999972</v>
      </c>
      <c r="N417" s="12">
        <v>0</v>
      </c>
      <c r="O417" s="17">
        <v>83.16</v>
      </c>
      <c r="P417" s="17"/>
      <c r="Q417" s="17">
        <v>133.3333333333332</v>
      </c>
      <c r="R417" s="14">
        <v>18.042373333333327</v>
      </c>
      <c r="S417" s="12">
        <v>7</v>
      </c>
      <c r="T417" s="12">
        <v>-1.2000000000000028</v>
      </c>
      <c r="U417" s="14">
        <v>27.72</v>
      </c>
      <c r="V417" s="17">
        <v>-171.42857142857184</v>
      </c>
      <c r="W417" s="14">
        <v>3.0176114285714082</v>
      </c>
      <c r="X417">
        <f t="shared" si="12"/>
        <v>19.063874999999999</v>
      </c>
      <c r="Y417">
        <f t="shared" si="13"/>
        <v>3.3641735130325583</v>
      </c>
    </row>
    <row r="418" spans="1:25">
      <c r="A418" s="12" t="s">
        <v>335</v>
      </c>
      <c r="B418" s="12" t="s">
        <v>336</v>
      </c>
      <c r="C418" s="12">
        <v>29</v>
      </c>
      <c r="D418" s="12">
        <v>3.96</v>
      </c>
      <c r="E418" s="12" t="s">
        <v>348</v>
      </c>
      <c r="F418" s="13">
        <v>39476</v>
      </c>
      <c r="G418" s="12">
        <v>64.599999999999994</v>
      </c>
      <c r="H418" s="12">
        <v>2.5</v>
      </c>
      <c r="I418" s="13">
        <v>39497</v>
      </c>
      <c r="J418" s="12">
        <v>71.8</v>
      </c>
      <c r="K418" s="12">
        <v>2.5</v>
      </c>
      <c r="L418" s="12">
        <v>21</v>
      </c>
      <c r="M418" s="12">
        <v>7.2000000000000028</v>
      </c>
      <c r="N418" s="12">
        <v>0</v>
      </c>
      <c r="O418" s="17">
        <v>83.16</v>
      </c>
      <c r="P418" s="17"/>
      <c r="Q418" s="17">
        <v>342.85714285714295</v>
      </c>
      <c r="R418" s="14">
        <v>30.434795142857144</v>
      </c>
      <c r="S418" s="12">
        <v>7</v>
      </c>
      <c r="T418" s="12">
        <v>0.79999999999999716</v>
      </c>
      <c r="U418" s="14">
        <v>27.72</v>
      </c>
      <c r="V418" s="17">
        <v>114.28571428571388</v>
      </c>
      <c r="W418" s="14">
        <v>19.166223714285692</v>
      </c>
      <c r="X418">
        <f t="shared" si="12"/>
        <v>18.02675</v>
      </c>
      <c r="Y418">
        <f t="shared" si="13"/>
        <v>20.204954581374242</v>
      </c>
    </row>
    <row r="419" spans="1:25">
      <c r="A419" s="12" t="s">
        <v>335</v>
      </c>
      <c r="B419" s="12" t="s">
        <v>336</v>
      </c>
      <c r="C419" s="12">
        <v>29</v>
      </c>
      <c r="D419" s="12">
        <v>3.96</v>
      </c>
      <c r="E419" s="12" t="s">
        <v>349</v>
      </c>
      <c r="F419" s="13">
        <v>39476</v>
      </c>
      <c r="G419" s="12">
        <v>62.8</v>
      </c>
      <c r="H419" s="12">
        <v>2.5</v>
      </c>
      <c r="I419" s="13">
        <v>39497</v>
      </c>
      <c r="J419" s="12">
        <v>70</v>
      </c>
      <c r="K419" s="12">
        <v>2.5</v>
      </c>
      <c r="L419" s="12">
        <v>21</v>
      </c>
      <c r="M419" s="12">
        <v>7.2000000000000028</v>
      </c>
      <c r="N419" s="12">
        <v>0</v>
      </c>
      <c r="O419" s="17">
        <v>83.16</v>
      </c>
      <c r="P419" s="17"/>
      <c r="Q419" s="17">
        <v>342.85714285714295</v>
      </c>
      <c r="R419" s="14">
        <v>30.13043314285715</v>
      </c>
      <c r="S419" s="12">
        <v>7</v>
      </c>
      <c r="T419" s="12">
        <v>-1.7999999999999972</v>
      </c>
      <c r="U419" s="14">
        <v>27.72</v>
      </c>
      <c r="V419" s="17">
        <v>-257.14285714285671</v>
      </c>
      <c r="W419" s="14">
        <v>0.55043314285716427</v>
      </c>
      <c r="X419">
        <f t="shared" si="12"/>
        <v>18.02675</v>
      </c>
      <c r="Y419">
        <f t="shared" si="13"/>
        <v>0.5802643659649348</v>
      </c>
    </row>
    <row r="420" spans="1:25">
      <c r="A420" s="12" t="s">
        <v>335</v>
      </c>
      <c r="B420" s="12" t="s">
        <v>336</v>
      </c>
      <c r="C420" s="12">
        <v>29</v>
      </c>
      <c r="D420" s="12">
        <v>3.96</v>
      </c>
      <c r="E420" s="12" t="s">
        <v>350</v>
      </c>
      <c r="F420" s="13">
        <v>39476</v>
      </c>
      <c r="G420" s="12">
        <v>50.2</v>
      </c>
      <c r="H420" s="12">
        <v>1.5</v>
      </c>
      <c r="I420" s="13">
        <v>39497</v>
      </c>
      <c r="J420" s="12">
        <v>55.4</v>
      </c>
      <c r="K420" s="12">
        <v>1.5</v>
      </c>
      <c r="L420" s="12">
        <v>21</v>
      </c>
      <c r="M420" s="12">
        <v>5.1999999999999957</v>
      </c>
      <c r="N420" s="12">
        <v>0</v>
      </c>
      <c r="O420" s="17">
        <v>83.16</v>
      </c>
      <c r="P420" s="17"/>
      <c r="Q420" s="17">
        <v>247.61904761904739</v>
      </c>
      <c r="R420" s="14">
        <v>23.135571047619038</v>
      </c>
      <c r="S420" s="12">
        <v>7</v>
      </c>
      <c r="T420" s="12">
        <v>-2.6000000000000014</v>
      </c>
      <c r="U420" s="14">
        <v>27.72</v>
      </c>
      <c r="V420" s="17">
        <v>-371.42857142857162</v>
      </c>
      <c r="W420" s="14">
        <v>-7.383476571428579</v>
      </c>
      <c r="X420">
        <f t="shared" si="12"/>
        <v>22.175249999999998</v>
      </c>
      <c r="Y420">
        <f t="shared" si="13"/>
        <v>-9.5748794643609116</v>
      </c>
    </row>
    <row r="421" spans="1:25">
      <c r="A421" s="12" t="s">
        <v>335</v>
      </c>
      <c r="B421" s="12" t="s">
        <v>336</v>
      </c>
      <c r="C421" s="12">
        <v>29</v>
      </c>
      <c r="D421" s="12">
        <v>3.96</v>
      </c>
      <c r="E421" s="12" t="s">
        <v>351</v>
      </c>
      <c r="F421" s="13">
        <v>39476</v>
      </c>
      <c r="G421" s="12">
        <v>60.8</v>
      </c>
      <c r="H421" s="12">
        <v>2.25</v>
      </c>
      <c r="I421" s="13">
        <v>39497</v>
      </c>
      <c r="J421" s="12">
        <v>70</v>
      </c>
      <c r="K421" s="12">
        <v>2.25</v>
      </c>
      <c r="L421" s="12">
        <v>21</v>
      </c>
      <c r="M421" s="12">
        <v>9.2000000000000028</v>
      </c>
      <c r="N421" s="12">
        <v>0</v>
      </c>
      <c r="O421" s="17">
        <v>83.16</v>
      </c>
      <c r="P421" s="17"/>
      <c r="Q421" s="17">
        <v>438.09523809523819</v>
      </c>
      <c r="R421" s="14">
        <v>34.656581238095242</v>
      </c>
      <c r="S421" s="12">
        <v>7</v>
      </c>
      <c r="T421" s="12">
        <v>-3.5999999999999943</v>
      </c>
      <c r="U421" s="14">
        <v>27.72</v>
      </c>
      <c r="V421" s="17">
        <v>-514.28571428571342</v>
      </c>
      <c r="W421" s="14">
        <v>-12.295799714285673</v>
      </c>
      <c r="X421">
        <f t="shared" si="12"/>
        <v>19.063874999999999</v>
      </c>
      <c r="Y421">
        <f t="shared" si="13"/>
        <v>-13.707929168314489</v>
      </c>
    </row>
    <row r="422" spans="1:25">
      <c r="A422" s="12" t="s">
        <v>335</v>
      </c>
      <c r="B422" s="12" t="s">
        <v>336</v>
      </c>
      <c r="C422" s="12">
        <v>29</v>
      </c>
      <c r="D422" s="12">
        <v>3.96</v>
      </c>
      <c r="E422" s="12" t="s">
        <v>352</v>
      </c>
      <c r="F422" s="13">
        <v>39476</v>
      </c>
      <c r="G422" s="12">
        <v>57.6</v>
      </c>
      <c r="H422" s="12">
        <v>3</v>
      </c>
      <c r="I422" s="13">
        <v>39497</v>
      </c>
      <c r="J422" s="12">
        <v>67.599999999999994</v>
      </c>
      <c r="K422" s="12">
        <v>3</v>
      </c>
      <c r="L422" s="12">
        <v>21</v>
      </c>
      <c r="M422" s="12">
        <v>9.9999999999999929</v>
      </c>
      <c r="N422" s="12">
        <v>0</v>
      </c>
      <c r="O422" s="17">
        <v>83.16</v>
      </c>
      <c r="P422" s="17"/>
      <c r="Q422" s="17">
        <v>476.19047619047581</v>
      </c>
      <c r="R422" s="14">
        <v>36.061224476190453</v>
      </c>
      <c r="S422" s="12">
        <v>7</v>
      </c>
      <c r="T422" s="12">
        <v>0.19999999999998863</v>
      </c>
      <c r="U422" s="14">
        <v>27.72</v>
      </c>
      <c r="V422" s="17">
        <v>28.571428571426946</v>
      </c>
      <c r="W422" s="14">
        <v>13.993605428571346</v>
      </c>
      <c r="X422">
        <f t="shared" si="12"/>
        <v>15.952499999999999</v>
      </c>
      <c r="Y422">
        <f t="shared" si="13"/>
        <v>13.05456085375932</v>
      </c>
    </row>
    <row r="423" spans="1:25">
      <c r="A423" s="12" t="s">
        <v>335</v>
      </c>
      <c r="B423" s="12" t="s">
        <v>336</v>
      </c>
      <c r="C423" s="12">
        <v>29</v>
      </c>
      <c r="D423" s="12">
        <v>3.96</v>
      </c>
      <c r="E423" s="12" t="s">
        <v>353</v>
      </c>
      <c r="F423" s="13">
        <v>39476</v>
      </c>
      <c r="G423" s="12">
        <v>68.8</v>
      </c>
      <c r="H423" s="12">
        <v>3.5</v>
      </c>
      <c r="I423" s="13">
        <v>39497</v>
      </c>
      <c r="J423" s="12">
        <v>76</v>
      </c>
      <c r="K423" s="12">
        <v>3.5</v>
      </c>
      <c r="L423" s="12">
        <v>21</v>
      </c>
      <c r="M423" s="12">
        <v>7.2000000000000028</v>
      </c>
      <c r="N423" s="12">
        <v>0</v>
      </c>
      <c r="O423" s="17">
        <v>83.16</v>
      </c>
      <c r="P423" s="17"/>
      <c r="Q423" s="17">
        <v>342.85714285714295</v>
      </c>
      <c r="R423" s="14">
        <v>31.144973142857147</v>
      </c>
      <c r="S423" s="12">
        <v>7</v>
      </c>
      <c r="T423" s="12">
        <v>5.7999999999999972</v>
      </c>
      <c r="U423" s="14">
        <v>27.72</v>
      </c>
      <c r="V423" s="17">
        <v>828.57142857142821</v>
      </c>
      <c r="W423" s="14">
        <v>55.090687428571407</v>
      </c>
      <c r="X423">
        <f t="shared" si="12"/>
        <v>13.878249999999998</v>
      </c>
      <c r="Y423">
        <f t="shared" si="13"/>
        <v>44.71124753248953</v>
      </c>
    </row>
    <row r="424" spans="1:25">
      <c r="A424" s="12" t="s">
        <v>335</v>
      </c>
      <c r="B424" s="12" t="s">
        <v>336</v>
      </c>
      <c r="C424" s="12">
        <v>29</v>
      </c>
      <c r="D424" s="12">
        <v>3.96</v>
      </c>
      <c r="E424" s="12" t="s">
        <v>354</v>
      </c>
      <c r="F424" s="13">
        <v>39476</v>
      </c>
      <c r="G424" s="12">
        <v>57.6</v>
      </c>
      <c r="H424" s="12">
        <v>2.25</v>
      </c>
      <c r="I424" s="13">
        <v>39497</v>
      </c>
      <c r="J424" s="12">
        <v>67.400000000000006</v>
      </c>
      <c r="K424" s="12">
        <v>2.25</v>
      </c>
      <c r="L424" s="12">
        <v>21</v>
      </c>
      <c r="M424" s="12">
        <v>9.8000000000000043</v>
      </c>
      <c r="N424" s="12">
        <v>0</v>
      </c>
      <c r="O424" s="17">
        <v>83.16</v>
      </c>
      <c r="P424" s="17"/>
      <c r="Q424" s="17">
        <v>466.66666666666691</v>
      </c>
      <c r="R424" s="14">
        <v>35.574791666666677</v>
      </c>
      <c r="S424" s="12">
        <v>7</v>
      </c>
      <c r="T424" s="12">
        <v>-2</v>
      </c>
      <c r="U424" s="14">
        <v>27.72</v>
      </c>
      <c r="V424" s="17">
        <v>-285.71428571428572</v>
      </c>
      <c r="W424" s="14">
        <v>-1.5175892857142834</v>
      </c>
      <c r="X424">
        <f t="shared" si="12"/>
        <v>19.063874999999999</v>
      </c>
      <c r="Y424">
        <f t="shared" si="13"/>
        <v>-1.6918790903038818</v>
      </c>
    </row>
    <row r="425" spans="1:25">
      <c r="A425" s="12" t="s">
        <v>335</v>
      </c>
      <c r="B425" s="12" t="s">
        <v>336</v>
      </c>
      <c r="C425" s="12">
        <v>29</v>
      </c>
      <c r="D425" s="12">
        <v>3.96</v>
      </c>
      <c r="E425" s="12" t="s">
        <v>355</v>
      </c>
      <c r="F425" s="13">
        <v>39476</v>
      </c>
      <c r="G425" s="12">
        <v>55.4</v>
      </c>
      <c r="H425" s="12">
        <v>1.75</v>
      </c>
      <c r="I425" s="13">
        <v>39497</v>
      </c>
      <c r="J425" s="12">
        <v>61.4</v>
      </c>
      <c r="K425" s="12">
        <v>1.75</v>
      </c>
      <c r="L425" s="12">
        <v>21</v>
      </c>
      <c r="M425" s="12">
        <v>6</v>
      </c>
      <c r="N425" s="12">
        <v>0</v>
      </c>
      <c r="O425" s="17">
        <v>83.16</v>
      </c>
      <c r="P425" s="17"/>
      <c r="Q425" s="17">
        <v>285.71428571428572</v>
      </c>
      <c r="R425" s="14">
        <v>25.960570285714283</v>
      </c>
      <c r="S425" s="12">
        <v>7</v>
      </c>
      <c r="T425" s="12">
        <v>-3.3999999999999986</v>
      </c>
      <c r="U425" s="14">
        <v>27.72</v>
      </c>
      <c r="V425" s="17">
        <v>-485.7142857142855</v>
      </c>
      <c r="W425" s="14">
        <v>-12.070858285714275</v>
      </c>
      <c r="X425">
        <f t="shared" si="12"/>
        <v>21.138124999999999</v>
      </c>
      <c r="Y425">
        <f t="shared" si="13"/>
        <v>-14.921363233959884</v>
      </c>
    </row>
    <row r="426" spans="1:25">
      <c r="A426" s="12" t="s">
        <v>335</v>
      </c>
      <c r="B426" s="12" t="s">
        <v>336</v>
      </c>
      <c r="C426" s="12">
        <v>29</v>
      </c>
      <c r="D426" s="12">
        <v>3.96</v>
      </c>
      <c r="E426" s="12" t="s">
        <v>356</v>
      </c>
      <c r="F426" s="13">
        <v>39476</v>
      </c>
      <c r="G426" s="12">
        <v>53.8</v>
      </c>
      <c r="H426" s="12">
        <v>2.25</v>
      </c>
      <c r="I426" s="13">
        <v>39497</v>
      </c>
      <c r="J426" s="12">
        <v>61</v>
      </c>
      <c r="K426" s="12">
        <v>2.25</v>
      </c>
      <c r="L426" s="12">
        <v>21</v>
      </c>
      <c r="M426" s="12">
        <v>7.2000000000000028</v>
      </c>
      <c r="N426" s="12">
        <v>0</v>
      </c>
      <c r="O426" s="17">
        <v>83.16</v>
      </c>
      <c r="P426" s="17"/>
      <c r="Q426" s="17">
        <v>342.85714285714295</v>
      </c>
      <c r="R426" s="14">
        <v>28.608623142857148</v>
      </c>
      <c r="S426" s="12">
        <v>7</v>
      </c>
      <c r="T426" s="12">
        <v>-2.3999999999999986</v>
      </c>
      <c r="U426" s="14">
        <v>27.72</v>
      </c>
      <c r="V426" s="17">
        <v>-342.85714285714266</v>
      </c>
      <c r="W426" s="14">
        <v>-5.1970911428571309</v>
      </c>
      <c r="X426">
        <f t="shared" si="12"/>
        <v>19.063874999999999</v>
      </c>
      <c r="Y426">
        <f t="shared" si="13"/>
        <v>-5.7939588252067526</v>
      </c>
    </row>
    <row r="427" spans="1:25">
      <c r="A427" s="12" t="s">
        <v>335</v>
      </c>
      <c r="B427" s="12" t="s">
        <v>336</v>
      </c>
      <c r="C427" s="12">
        <v>29</v>
      </c>
      <c r="D427" s="12">
        <v>3.96</v>
      </c>
      <c r="E427" s="12" t="s">
        <v>357</v>
      </c>
      <c r="F427" s="13">
        <v>39476</v>
      </c>
      <c r="G427" s="12">
        <v>59.2</v>
      </c>
      <c r="H427" s="12">
        <v>2.25</v>
      </c>
      <c r="I427" s="13">
        <v>39497</v>
      </c>
      <c r="J427" s="12">
        <v>63.8</v>
      </c>
      <c r="K427" s="12">
        <v>1.75</v>
      </c>
      <c r="L427" s="12">
        <v>21</v>
      </c>
      <c r="M427" s="12">
        <v>4.5999999999999943</v>
      </c>
      <c r="N427" s="12">
        <v>-0.5</v>
      </c>
      <c r="O427" s="17">
        <v>83.16</v>
      </c>
      <c r="P427" s="17"/>
      <c r="Q427" s="17">
        <v>219.04761904761878</v>
      </c>
      <c r="R427" s="14">
        <v>23.198082619047604</v>
      </c>
      <c r="S427" s="12">
        <v>7</v>
      </c>
      <c r="T427" s="12">
        <v>-2.6000000000000085</v>
      </c>
      <c r="U427" s="14">
        <v>27.72</v>
      </c>
      <c r="V427" s="17">
        <v>-371.42857142857264</v>
      </c>
      <c r="W427" s="14">
        <v>-5.9123935714286322</v>
      </c>
      <c r="X427">
        <f t="shared" si="12"/>
        <v>19.063874999999999</v>
      </c>
      <c r="Y427">
        <f t="shared" si="13"/>
        <v>-6.5914112278666082</v>
      </c>
    </row>
    <row r="428" spans="1:25">
      <c r="A428" s="12" t="s">
        <v>335</v>
      </c>
      <c r="B428" s="12" t="s">
        <v>336</v>
      </c>
      <c r="C428" s="12">
        <v>29</v>
      </c>
      <c r="D428" s="12">
        <v>3.96</v>
      </c>
      <c r="E428" s="12" t="s">
        <v>358</v>
      </c>
      <c r="F428" s="13">
        <v>39476</v>
      </c>
      <c r="G428" s="12">
        <v>58</v>
      </c>
      <c r="H428" s="12">
        <v>1.75</v>
      </c>
      <c r="I428" s="13">
        <v>39497</v>
      </c>
      <c r="J428" s="12">
        <v>71.599999999999994</v>
      </c>
      <c r="K428" s="12">
        <v>3</v>
      </c>
      <c r="L428" s="12">
        <v>21</v>
      </c>
      <c r="M428" s="12">
        <v>13.599999999999994</v>
      </c>
      <c r="N428" s="12">
        <v>1.25</v>
      </c>
      <c r="O428" s="17">
        <v>83.16</v>
      </c>
      <c r="P428" s="17"/>
      <c r="Q428" s="17">
        <v>647.61904761904736</v>
      </c>
      <c r="R428" s="14">
        <v>44.88465104761903</v>
      </c>
      <c r="S428" s="12">
        <v>7</v>
      </c>
      <c r="T428" s="12">
        <v>6</v>
      </c>
      <c r="U428" s="14">
        <v>27.72</v>
      </c>
      <c r="V428" s="17">
        <v>857.14285714285711</v>
      </c>
      <c r="W428" s="14">
        <v>55.214174857142851</v>
      </c>
      <c r="X428">
        <f t="shared" si="12"/>
        <v>21.138124999999999</v>
      </c>
      <c r="Y428">
        <f t="shared" si="13"/>
        <v>68.252873093692543</v>
      </c>
    </row>
    <row r="429" spans="1:25">
      <c r="A429" s="12" t="s">
        <v>335</v>
      </c>
      <c r="B429" s="12" t="s">
        <v>336</v>
      </c>
      <c r="C429" s="12">
        <v>29</v>
      </c>
      <c r="D429" s="12">
        <v>3.96</v>
      </c>
      <c r="E429" s="12" t="s">
        <v>359</v>
      </c>
      <c r="F429" s="13">
        <v>39476</v>
      </c>
      <c r="G429" s="12">
        <v>68</v>
      </c>
      <c r="H429" s="12">
        <v>3</v>
      </c>
      <c r="I429" s="13">
        <v>39497</v>
      </c>
      <c r="J429" s="12">
        <v>69</v>
      </c>
      <c r="K429" s="12">
        <v>3</v>
      </c>
      <c r="L429" s="12">
        <v>21</v>
      </c>
      <c r="M429" s="12">
        <v>1</v>
      </c>
      <c r="N429" s="12">
        <v>0</v>
      </c>
      <c r="O429" s="17">
        <v>83.16</v>
      </c>
      <c r="P429" s="17"/>
      <c r="Q429" s="17">
        <v>47.619047619047613</v>
      </c>
      <c r="R429" s="14">
        <v>15.930284047619047</v>
      </c>
      <c r="S429" s="12">
        <v>7</v>
      </c>
      <c r="T429" s="12">
        <v>-6.2000000000000028</v>
      </c>
      <c r="U429" s="14">
        <v>27.72</v>
      </c>
      <c r="V429" s="17">
        <v>-885.71428571428612</v>
      </c>
      <c r="W429" s="14">
        <v>-30.083049285714303</v>
      </c>
      <c r="X429">
        <f t="shared" si="12"/>
        <v>15.952499999999999</v>
      </c>
      <c r="Y429">
        <f t="shared" si="13"/>
        <v>-28.064318346804523</v>
      </c>
    </row>
    <row r="430" spans="1:25">
      <c r="A430" s="12" t="s">
        <v>335</v>
      </c>
      <c r="B430" s="12" t="s">
        <v>336</v>
      </c>
      <c r="C430" s="12">
        <v>29</v>
      </c>
      <c r="D430" s="12">
        <v>3.96</v>
      </c>
      <c r="E430" s="12" t="s">
        <v>360</v>
      </c>
      <c r="F430" s="13">
        <v>39476</v>
      </c>
      <c r="G430" s="12">
        <v>64.599999999999994</v>
      </c>
      <c r="H430" s="12">
        <v>3</v>
      </c>
      <c r="I430" s="13">
        <v>39497</v>
      </c>
      <c r="J430" s="12">
        <v>63</v>
      </c>
      <c r="K430" s="12">
        <v>2.5</v>
      </c>
      <c r="L430" s="12">
        <v>21</v>
      </c>
      <c r="M430" s="12">
        <v>-1.5999999999999943</v>
      </c>
      <c r="N430" s="12">
        <v>-0.5</v>
      </c>
      <c r="O430" s="17">
        <v>83.16</v>
      </c>
      <c r="P430" s="17"/>
      <c r="Q430" s="17">
        <v>-76.19047619047592</v>
      </c>
      <c r="R430" s="14">
        <v>9.0317515238095361</v>
      </c>
      <c r="S430" s="12">
        <v>7</v>
      </c>
      <c r="T430" s="12">
        <v>-7.7999999999999972</v>
      </c>
      <c r="U430" s="14">
        <v>27.72</v>
      </c>
      <c r="V430" s="17">
        <v>-1114.2857142857138</v>
      </c>
      <c r="W430" s="14">
        <v>-42.146343714285678</v>
      </c>
      <c r="X430">
        <f t="shared" si="12"/>
        <v>15.952499999999999</v>
      </c>
      <c r="Y430">
        <f t="shared" si="13"/>
        <v>-39.31810222819545</v>
      </c>
    </row>
    <row r="431" spans="1:25">
      <c r="A431" s="12" t="s">
        <v>335</v>
      </c>
      <c r="B431" s="12" t="s">
        <v>336</v>
      </c>
      <c r="C431" s="12">
        <v>29</v>
      </c>
      <c r="D431" s="12">
        <v>3.96</v>
      </c>
      <c r="E431" s="12" t="s">
        <v>361</v>
      </c>
      <c r="F431" s="13">
        <v>39476</v>
      </c>
      <c r="G431" s="12">
        <v>56</v>
      </c>
      <c r="H431" s="12">
        <v>2</v>
      </c>
      <c r="I431" s="13">
        <v>39497</v>
      </c>
      <c r="J431" s="12">
        <v>57.2</v>
      </c>
      <c r="K431" s="12">
        <v>2</v>
      </c>
      <c r="L431" s="12">
        <v>21</v>
      </c>
      <c r="M431" s="12">
        <v>1.2000000000000028</v>
      </c>
      <c r="N431" s="12">
        <v>0</v>
      </c>
      <c r="O431" s="17">
        <v>83.16</v>
      </c>
      <c r="P431" s="17"/>
      <c r="Q431" s="17">
        <v>57.142857142857281</v>
      </c>
      <c r="R431" s="14">
        <v>14.387636857142864</v>
      </c>
      <c r="S431" s="12">
        <v>7</v>
      </c>
      <c r="T431" s="12">
        <v>-1.7999999999999972</v>
      </c>
      <c r="U431" s="14">
        <v>27.72</v>
      </c>
      <c r="V431" s="17">
        <v>-257.14285714285671</v>
      </c>
      <c r="W431" s="14">
        <v>-1.1066488571428366</v>
      </c>
      <c r="X431">
        <f t="shared" si="12"/>
        <v>20.100999999999999</v>
      </c>
      <c r="Y431">
        <f t="shared" si="13"/>
        <v>-1.3008624957560324</v>
      </c>
    </row>
    <row r="432" spans="1:25">
      <c r="A432" s="12" t="s">
        <v>335</v>
      </c>
      <c r="B432" s="12" t="s">
        <v>336</v>
      </c>
      <c r="C432" s="12">
        <v>29</v>
      </c>
      <c r="D432" s="12">
        <v>3.96</v>
      </c>
      <c r="E432" s="12" t="s">
        <v>362</v>
      </c>
      <c r="F432" s="13">
        <v>39476</v>
      </c>
      <c r="G432" s="12">
        <v>62.8</v>
      </c>
      <c r="H432" s="12">
        <v>2</v>
      </c>
      <c r="I432" s="13">
        <v>39497</v>
      </c>
      <c r="J432" s="12">
        <v>66.2</v>
      </c>
      <c r="K432" s="12">
        <v>2</v>
      </c>
      <c r="L432" s="12">
        <v>21</v>
      </c>
      <c r="M432" s="12">
        <v>3.4000000000000057</v>
      </c>
      <c r="N432" s="12">
        <v>0</v>
      </c>
      <c r="O432" s="17">
        <v>83.16</v>
      </c>
      <c r="P432" s="17"/>
      <c r="Q432" s="17">
        <v>161.90476190476215</v>
      </c>
      <c r="R432" s="14">
        <v>20.888209761904776</v>
      </c>
      <c r="S432" s="12">
        <v>7</v>
      </c>
      <c r="T432" s="12">
        <v>-2.3999999999999915</v>
      </c>
      <c r="U432" s="14">
        <v>27.72</v>
      </c>
      <c r="V432" s="17">
        <v>-342.85714285714164</v>
      </c>
      <c r="W432" s="14">
        <v>-3.9965521428570838</v>
      </c>
      <c r="X432">
        <f t="shared" si="12"/>
        <v>20.100999999999999</v>
      </c>
      <c r="Y432">
        <f t="shared" si="13"/>
        <v>-4.697935358103523</v>
      </c>
    </row>
    <row r="433" spans="1:25">
      <c r="A433" s="12" t="s">
        <v>335</v>
      </c>
      <c r="B433" s="12" t="s">
        <v>336</v>
      </c>
      <c r="C433" s="12">
        <v>29</v>
      </c>
      <c r="D433" s="12">
        <v>3.96</v>
      </c>
      <c r="E433" s="12" t="s">
        <v>363</v>
      </c>
      <c r="F433" s="13">
        <v>39476</v>
      </c>
      <c r="G433" s="12">
        <v>59</v>
      </c>
      <c r="H433" s="12">
        <v>2.25</v>
      </c>
      <c r="I433" s="13">
        <v>39497</v>
      </c>
      <c r="J433" s="12">
        <v>64.400000000000006</v>
      </c>
      <c r="K433" s="12">
        <v>2.25</v>
      </c>
      <c r="L433" s="12">
        <v>21</v>
      </c>
      <c r="M433" s="12">
        <v>5.4000000000000057</v>
      </c>
      <c r="N433" s="12">
        <v>0</v>
      </c>
      <c r="O433" s="17">
        <v>83.16</v>
      </c>
      <c r="P433" s="17"/>
      <c r="Q433" s="17">
        <v>257.14285714285739</v>
      </c>
      <c r="R433" s="14">
        <v>25.10999585714287</v>
      </c>
      <c r="S433" s="12">
        <v>7</v>
      </c>
      <c r="T433" s="12">
        <v>-7</v>
      </c>
      <c r="U433" s="14">
        <v>27.72</v>
      </c>
      <c r="V433" s="17">
        <v>-1000</v>
      </c>
      <c r="W433" s="14">
        <v>-36.867146999999996</v>
      </c>
      <c r="X433">
        <f t="shared" si="12"/>
        <v>19.063874999999999</v>
      </c>
      <c r="Y433">
        <f t="shared" si="13"/>
        <v>-41.101209474539466</v>
      </c>
    </row>
    <row r="434" spans="1:25">
      <c r="A434" s="12" t="s">
        <v>335</v>
      </c>
      <c r="B434" s="12" t="s">
        <v>336</v>
      </c>
      <c r="C434" s="12">
        <v>29</v>
      </c>
      <c r="D434" s="12">
        <v>3.96</v>
      </c>
      <c r="E434" s="12" t="s">
        <v>364</v>
      </c>
      <c r="F434" s="13">
        <v>39476</v>
      </c>
      <c r="G434" s="12">
        <v>56.4</v>
      </c>
      <c r="H434" s="12">
        <v>2</v>
      </c>
      <c r="I434" s="13">
        <v>39497</v>
      </c>
      <c r="J434" s="12">
        <v>65.400000000000006</v>
      </c>
      <c r="K434" s="12">
        <v>2</v>
      </c>
      <c r="L434" s="12">
        <v>21</v>
      </c>
      <c r="M434" s="12">
        <v>9.0000000000000071</v>
      </c>
      <c r="N434" s="12">
        <v>0</v>
      </c>
      <c r="O434" s="17">
        <v>83.16</v>
      </c>
      <c r="P434" s="17"/>
      <c r="Q434" s="17">
        <v>428.57142857142895</v>
      </c>
      <c r="R434" s="14">
        <v>33.426152428571442</v>
      </c>
      <c r="S434" s="12">
        <v>7</v>
      </c>
      <c r="T434" s="12">
        <v>1.8000000000000043</v>
      </c>
      <c r="U434" s="14">
        <v>27.72</v>
      </c>
      <c r="V434" s="17">
        <v>257.14285714285774</v>
      </c>
      <c r="W434" s="14">
        <v>24.974723857142884</v>
      </c>
      <c r="X434">
        <f t="shared" si="12"/>
        <v>20.100999999999999</v>
      </c>
      <c r="Y434">
        <f t="shared" si="13"/>
        <v>29.3577148685631</v>
      </c>
    </row>
    <row r="435" spans="1:25">
      <c r="A435" s="12" t="s">
        <v>335</v>
      </c>
      <c r="B435" s="12" t="s">
        <v>336</v>
      </c>
      <c r="C435" s="12">
        <v>29</v>
      </c>
      <c r="D435" s="12">
        <v>3.96</v>
      </c>
      <c r="E435" s="12" t="s">
        <v>365</v>
      </c>
      <c r="F435" s="13">
        <v>39476</v>
      </c>
      <c r="G435" s="12">
        <v>58</v>
      </c>
      <c r="H435" s="12">
        <v>2.25</v>
      </c>
      <c r="I435" s="13">
        <v>39497</v>
      </c>
      <c r="J435" s="12">
        <v>62.2</v>
      </c>
      <c r="K435" s="12">
        <v>2.25</v>
      </c>
      <c r="L435" s="12">
        <v>21</v>
      </c>
      <c r="M435" s="12">
        <v>4.2000000000000028</v>
      </c>
      <c r="N435" s="12">
        <v>0</v>
      </c>
      <c r="O435" s="17">
        <v>83.16</v>
      </c>
      <c r="P435" s="17"/>
      <c r="Q435" s="17">
        <v>200.00000000000011</v>
      </c>
      <c r="R435" s="14">
        <v>22.022309000000007</v>
      </c>
      <c r="S435" s="12">
        <v>7</v>
      </c>
      <c r="T435" s="12">
        <v>-2.2000000000000028</v>
      </c>
      <c r="U435" s="14">
        <v>27.72</v>
      </c>
      <c r="V435" s="17">
        <v>-314.28571428571468</v>
      </c>
      <c r="W435" s="14">
        <v>-3.3319767142857319</v>
      </c>
      <c r="X435">
        <f t="shared" si="12"/>
        <v>19.063874999999999</v>
      </c>
      <c r="Y435">
        <f t="shared" si="13"/>
        <v>-3.7146425487750818</v>
      </c>
    </row>
    <row r="436" spans="1:25">
      <c r="A436" s="12" t="s">
        <v>335</v>
      </c>
      <c r="B436" s="12" t="s">
        <v>336</v>
      </c>
      <c r="C436" s="12">
        <v>29</v>
      </c>
      <c r="D436" s="12">
        <v>3.96</v>
      </c>
      <c r="E436" s="12" t="s">
        <v>366</v>
      </c>
      <c r="F436" s="13">
        <v>39476</v>
      </c>
      <c r="G436" s="12">
        <v>56</v>
      </c>
      <c r="H436" s="12">
        <v>3</v>
      </c>
      <c r="I436" s="13">
        <v>39497</v>
      </c>
      <c r="J436" s="12">
        <v>67.400000000000006</v>
      </c>
      <c r="K436" s="12">
        <v>3</v>
      </c>
      <c r="L436" s="12">
        <v>21</v>
      </c>
      <c r="M436" s="12">
        <v>11.400000000000006</v>
      </c>
      <c r="N436" s="12">
        <v>0</v>
      </c>
      <c r="O436" s="17">
        <v>83.16</v>
      </c>
      <c r="P436" s="17"/>
      <c r="Q436" s="17">
        <v>542.85714285714312</v>
      </c>
      <c r="R436" s="14">
        <v>39.195710142857152</v>
      </c>
      <c r="S436" s="12">
        <v>7</v>
      </c>
      <c r="T436" s="12">
        <v>3.2000000000000028</v>
      </c>
      <c r="U436" s="14">
        <v>27.72</v>
      </c>
      <c r="V436" s="17">
        <v>457.14285714285757</v>
      </c>
      <c r="W436" s="14">
        <v>34.969995857142877</v>
      </c>
      <c r="X436">
        <f t="shared" si="12"/>
        <v>15.952499999999999</v>
      </c>
      <c r="Y436">
        <f t="shared" si="13"/>
        <v>32.623325082518811</v>
      </c>
    </row>
    <row r="437" spans="1:25">
      <c r="A437" s="12" t="s">
        <v>335</v>
      </c>
      <c r="B437" s="12" t="s">
        <v>336</v>
      </c>
      <c r="C437" s="12">
        <v>29</v>
      </c>
      <c r="D437" s="12">
        <v>3.96</v>
      </c>
      <c r="E437" s="12" t="s">
        <v>367</v>
      </c>
      <c r="F437" s="13">
        <v>39476</v>
      </c>
      <c r="G437" s="12">
        <v>63.8</v>
      </c>
      <c r="H437" s="12">
        <v>1.75</v>
      </c>
      <c r="I437" s="13">
        <v>39497</v>
      </c>
      <c r="J437" s="12">
        <v>64.8</v>
      </c>
      <c r="K437" s="12">
        <v>1.75</v>
      </c>
      <c r="L437" s="12">
        <v>21</v>
      </c>
      <c r="M437" s="12">
        <v>1</v>
      </c>
      <c r="N437" s="12">
        <v>0</v>
      </c>
      <c r="O437" s="17">
        <v>83.16</v>
      </c>
      <c r="P437" s="17"/>
      <c r="Q437" s="17">
        <v>47.619047619047613</v>
      </c>
      <c r="R437" s="14">
        <v>15.220106047619048</v>
      </c>
      <c r="S437" s="12">
        <v>7</v>
      </c>
      <c r="T437" s="12">
        <v>-3.4000000000000057</v>
      </c>
      <c r="U437" s="14">
        <v>27.72</v>
      </c>
      <c r="V437" s="17">
        <v>-485.71428571428652</v>
      </c>
      <c r="W437" s="14">
        <v>-11.073227285714324</v>
      </c>
      <c r="X437">
        <f t="shared" si="12"/>
        <v>21.138124999999999</v>
      </c>
      <c r="Y437">
        <f t="shared" si="13"/>
        <v>-13.688144006949711</v>
      </c>
    </row>
    <row r="438" spans="1:25">
      <c r="A438" s="12" t="s">
        <v>335</v>
      </c>
      <c r="B438" s="12" t="s">
        <v>336</v>
      </c>
      <c r="C438" s="12">
        <v>29</v>
      </c>
      <c r="D438" s="12">
        <v>3.96</v>
      </c>
      <c r="E438" s="12" t="s">
        <v>368</v>
      </c>
      <c r="F438" s="13">
        <v>39476</v>
      </c>
      <c r="G438" s="12">
        <v>58.2</v>
      </c>
      <c r="H438" s="12">
        <v>1.75</v>
      </c>
      <c r="I438" s="13">
        <v>39497</v>
      </c>
      <c r="J438" s="12">
        <v>64.2</v>
      </c>
      <c r="K438" s="12">
        <v>1.75</v>
      </c>
      <c r="L438" s="12">
        <v>21</v>
      </c>
      <c r="M438" s="12">
        <v>6</v>
      </c>
      <c r="N438" s="12">
        <v>0</v>
      </c>
      <c r="O438" s="17">
        <v>83.16</v>
      </c>
      <c r="P438" s="17"/>
      <c r="Q438" s="17">
        <v>285.71428571428572</v>
      </c>
      <c r="R438" s="14">
        <v>26.434022285714285</v>
      </c>
      <c r="S438" s="12">
        <v>7</v>
      </c>
      <c r="T438" s="12">
        <v>-4</v>
      </c>
      <c r="U438" s="14">
        <v>27.72</v>
      </c>
      <c r="V438" s="17">
        <v>-571.42857142857144</v>
      </c>
      <c r="W438" s="14">
        <v>-15.823120571428568</v>
      </c>
      <c r="X438">
        <f t="shared" si="12"/>
        <v>21.138124999999999</v>
      </c>
      <c r="Y438">
        <f t="shared" si="13"/>
        <v>-19.559713481223888</v>
      </c>
    </row>
    <row r="439" spans="1:25">
      <c r="A439" s="12" t="s">
        <v>335</v>
      </c>
      <c r="B439" s="12" t="s">
        <v>336</v>
      </c>
      <c r="C439" s="12">
        <v>29</v>
      </c>
      <c r="D439" s="12">
        <v>3.96</v>
      </c>
      <c r="E439" s="12" t="s">
        <v>369</v>
      </c>
      <c r="F439" s="13">
        <v>39476</v>
      </c>
      <c r="G439" s="12">
        <v>51</v>
      </c>
      <c r="H439" s="12">
        <v>2</v>
      </c>
      <c r="I439" s="13">
        <v>39497</v>
      </c>
      <c r="J439" s="12">
        <v>55.2</v>
      </c>
      <c r="K439" s="12">
        <v>2</v>
      </c>
      <c r="L439" s="12">
        <v>21</v>
      </c>
      <c r="M439" s="12">
        <v>4.2000000000000028</v>
      </c>
      <c r="N439" s="12">
        <v>0</v>
      </c>
      <c r="O439" s="17">
        <v>83.16</v>
      </c>
      <c r="P439" s="17"/>
      <c r="Q439" s="17">
        <v>200.00000000000011</v>
      </c>
      <c r="R439" s="14">
        <v>20.838679000000006</v>
      </c>
      <c r="S439" s="12">
        <v>7</v>
      </c>
      <c r="T439" s="12">
        <v>-1.7999999999999972</v>
      </c>
      <c r="U439" s="14">
        <v>27.72</v>
      </c>
      <c r="V439" s="17">
        <v>-257.14285714285671</v>
      </c>
      <c r="W439" s="14">
        <v>-1.698463857142837</v>
      </c>
      <c r="X439">
        <f t="shared" si="12"/>
        <v>20.100999999999999</v>
      </c>
      <c r="Y439">
        <f t="shared" si="13"/>
        <v>-1.9965392978028165</v>
      </c>
    </row>
    <row r="440" spans="1:25">
      <c r="A440" s="12" t="s">
        <v>335</v>
      </c>
      <c r="B440" s="12" t="s">
        <v>336</v>
      </c>
      <c r="C440" s="12">
        <v>29</v>
      </c>
      <c r="D440" s="12">
        <v>3.96</v>
      </c>
      <c r="E440" s="12" t="s">
        <v>370</v>
      </c>
      <c r="F440" s="13">
        <v>39476</v>
      </c>
      <c r="G440" s="12">
        <v>57.8</v>
      </c>
      <c r="H440" s="12">
        <v>2.25</v>
      </c>
      <c r="I440" s="13">
        <v>39497</v>
      </c>
      <c r="J440" s="12">
        <v>63</v>
      </c>
      <c r="K440" s="12">
        <v>2.25</v>
      </c>
      <c r="L440" s="12">
        <v>21</v>
      </c>
      <c r="M440" s="12">
        <v>5.2000000000000028</v>
      </c>
      <c r="N440" s="12">
        <v>0</v>
      </c>
      <c r="O440" s="17">
        <v>83.16</v>
      </c>
      <c r="P440" s="17"/>
      <c r="Q440" s="17">
        <v>247.61904761904776</v>
      </c>
      <c r="R440" s="14">
        <v>24.420655047619054</v>
      </c>
      <c r="S440" s="12">
        <v>7</v>
      </c>
      <c r="T440" s="12">
        <v>-2</v>
      </c>
      <c r="U440" s="14">
        <v>27.72</v>
      </c>
      <c r="V440" s="17">
        <v>-285.71428571428572</v>
      </c>
      <c r="W440" s="14">
        <v>-1.8726782857142847</v>
      </c>
      <c r="X440">
        <f t="shared" si="12"/>
        <v>19.063874999999999</v>
      </c>
      <c r="Y440">
        <f t="shared" si="13"/>
        <v>-2.0877488160275677</v>
      </c>
    </row>
    <row r="441" spans="1:25">
      <c r="A441" s="12" t="s">
        <v>335</v>
      </c>
      <c r="B441" s="12" t="s">
        <v>478</v>
      </c>
      <c r="C441" s="12">
        <v>186</v>
      </c>
      <c r="D441" s="12">
        <v>2.4300000000000002</v>
      </c>
      <c r="E441" s="12" t="s">
        <v>479</v>
      </c>
      <c r="F441" s="13">
        <v>42045</v>
      </c>
      <c r="G441" s="12">
        <v>54.6</v>
      </c>
      <c r="H441" s="12">
        <v>3</v>
      </c>
      <c r="I441" s="13">
        <v>42066</v>
      </c>
      <c r="J441" s="12">
        <v>56</v>
      </c>
      <c r="K441" s="12">
        <v>3.5</v>
      </c>
      <c r="L441" s="12">
        <v>21</v>
      </c>
      <c r="M441" s="12">
        <v>1.3999999999999986</v>
      </c>
      <c r="N441" s="12">
        <v>0.5</v>
      </c>
      <c r="O441" s="17">
        <v>51.03</v>
      </c>
      <c r="P441" s="17"/>
      <c r="Q441" s="17">
        <v>66.6666666666666</v>
      </c>
      <c r="R441" s="14">
        <v>14.637343666666663</v>
      </c>
      <c r="S441" s="12">
        <v>7</v>
      </c>
      <c r="T441" s="12">
        <v>-3</v>
      </c>
      <c r="U441" s="14">
        <v>17.010000000000002</v>
      </c>
      <c r="V441" s="17">
        <v>-428.57142857142856</v>
      </c>
      <c r="W441" s="14">
        <v>-9.7778944285714271</v>
      </c>
      <c r="X441">
        <f t="shared" si="12"/>
        <v>15.952499999999999</v>
      </c>
      <c r="Y441">
        <f t="shared" si="13"/>
        <v>-9.121746249812027</v>
      </c>
    </row>
    <row r="442" spans="1:25">
      <c r="A442" s="12" t="s">
        <v>335</v>
      </c>
      <c r="B442" s="12" t="s">
        <v>478</v>
      </c>
      <c r="C442" s="12">
        <v>186</v>
      </c>
      <c r="D442" s="12">
        <v>2.4300000000000002</v>
      </c>
      <c r="E442" s="12" t="s">
        <v>480</v>
      </c>
      <c r="F442" s="13">
        <v>42045</v>
      </c>
      <c r="G442" s="12">
        <v>56.8</v>
      </c>
      <c r="H442" s="12">
        <v>3.5</v>
      </c>
      <c r="I442" s="13">
        <v>42066</v>
      </c>
      <c r="J442" s="12">
        <v>55.5</v>
      </c>
      <c r="K442" s="12">
        <v>4</v>
      </c>
      <c r="L442" s="12">
        <v>21</v>
      </c>
      <c r="M442" s="12">
        <v>-1.2999999999999972</v>
      </c>
      <c r="N442" s="12">
        <v>0.5</v>
      </c>
      <c r="O442" s="17">
        <v>51.03</v>
      </c>
      <c r="P442" s="17"/>
      <c r="Q442" s="17">
        <v>-61.90476190476177</v>
      </c>
      <c r="R442" s="14">
        <v>8.4424987380952441</v>
      </c>
      <c r="S442" s="12">
        <v>7</v>
      </c>
      <c r="T442" s="12">
        <v>0.5</v>
      </c>
      <c r="U442" s="14">
        <v>17.010000000000002</v>
      </c>
      <c r="V442" s="17">
        <v>71.428571428571431</v>
      </c>
      <c r="W442" s="14">
        <v>15.015832071428569</v>
      </c>
      <c r="X442">
        <f t="shared" si="12"/>
        <v>13.878249999999998</v>
      </c>
      <c r="Y442">
        <f t="shared" si="13"/>
        <v>12.186752716099619</v>
      </c>
    </row>
    <row r="443" spans="1:25">
      <c r="A443" s="12" t="s">
        <v>335</v>
      </c>
      <c r="B443" s="12" t="s">
        <v>478</v>
      </c>
      <c r="C443" s="12">
        <v>186</v>
      </c>
      <c r="D443" s="12">
        <v>2.4300000000000002</v>
      </c>
      <c r="E443" s="12" t="s">
        <v>481</v>
      </c>
      <c r="F443" s="13">
        <v>42045</v>
      </c>
      <c r="G443" s="12">
        <v>54.6</v>
      </c>
      <c r="H443" s="12">
        <v>2.5</v>
      </c>
      <c r="I443" s="13">
        <v>42066</v>
      </c>
      <c r="J443" s="12">
        <v>57.5</v>
      </c>
      <c r="K443" s="12">
        <v>3</v>
      </c>
      <c r="L443" s="12">
        <v>21</v>
      </c>
      <c r="M443" s="12">
        <v>2.8999999999999986</v>
      </c>
      <c r="N443" s="12">
        <v>0.5</v>
      </c>
      <c r="O443" s="17">
        <v>51.03</v>
      </c>
      <c r="P443" s="17"/>
      <c r="Q443" s="17">
        <v>138.09523809523802</v>
      </c>
      <c r="R443" s="14">
        <v>18.285589738095233</v>
      </c>
      <c r="S443" s="12">
        <v>7</v>
      </c>
      <c r="T443" s="12">
        <v>-1.5</v>
      </c>
      <c r="U443" s="14">
        <v>17.010000000000002</v>
      </c>
      <c r="V443" s="17">
        <v>-214.28571428571428</v>
      </c>
      <c r="W443" s="14">
        <v>0.91320878571428565</v>
      </c>
      <c r="X443">
        <f t="shared" si="12"/>
        <v>18.02675</v>
      </c>
      <c r="Y443">
        <f t="shared" si="13"/>
        <v>0.96270096361842084</v>
      </c>
    </row>
    <row r="444" spans="1:25">
      <c r="A444" s="12" t="s">
        <v>335</v>
      </c>
      <c r="B444" s="12" t="s">
        <v>478</v>
      </c>
      <c r="C444" s="12">
        <v>186</v>
      </c>
      <c r="D444" s="12">
        <v>2.4300000000000002</v>
      </c>
      <c r="E444" s="12" t="s">
        <v>482</v>
      </c>
      <c r="F444" s="13">
        <v>42045</v>
      </c>
      <c r="G444" s="12">
        <v>57.6</v>
      </c>
      <c r="H444" s="12">
        <v>4</v>
      </c>
      <c r="I444" s="13">
        <v>42066</v>
      </c>
      <c r="J444" s="12">
        <v>61</v>
      </c>
      <c r="K444" s="12">
        <v>4.5</v>
      </c>
      <c r="L444" s="12">
        <v>21</v>
      </c>
      <c r="M444" s="12">
        <v>3.3999999999999986</v>
      </c>
      <c r="N444" s="12">
        <v>0.5</v>
      </c>
      <c r="O444" s="17">
        <v>51.03</v>
      </c>
      <c r="P444" s="17"/>
      <c r="Q444" s="17">
        <v>161.90476190476184</v>
      </c>
      <c r="R444" s="14">
        <v>20.008941761904758</v>
      </c>
      <c r="S444" s="12">
        <v>7</v>
      </c>
      <c r="T444" s="12">
        <v>-2.5</v>
      </c>
      <c r="U444" s="14">
        <v>17.010000000000002</v>
      </c>
      <c r="V444" s="17">
        <v>-357.14285714285717</v>
      </c>
      <c r="W444" s="14">
        <v>-5.5801058571428594</v>
      </c>
      <c r="X444">
        <f t="shared" si="12"/>
        <v>11.803999999999998</v>
      </c>
      <c r="Y444">
        <f t="shared" si="13"/>
        <v>-3.8519046513283213</v>
      </c>
    </row>
    <row r="445" spans="1:25">
      <c r="A445" s="12" t="s">
        <v>335</v>
      </c>
      <c r="B445" s="12" t="s">
        <v>478</v>
      </c>
      <c r="C445" s="12">
        <v>186</v>
      </c>
      <c r="D445" s="12">
        <v>2.4300000000000002</v>
      </c>
      <c r="E445" s="12" t="s">
        <v>483</v>
      </c>
      <c r="F445" s="13">
        <v>42045</v>
      </c>
      <c r="G445" s="12">
        <v>58.4</v>
      </c>
      <c r="H445" s="12">
        <v>2.5</v>
      </c>
      <c r="I445" s="13">
        <v>42066</v>
      </c>
      <c r="J445" s="12">
        <v>57.5</v>
      </c>
      <c r="K445" s="12">
        <v>4</v>
      </c>
      <c r="L445" s="12">
        <v>21</v>
      </c>
      <c r="M445" s="12">
        <v>-0.89999999999999858</v>
      </c>
      <c r="N445" s="12">
        <v>1.5</v>
      </c>
      <c r="O445" s="17">
        <v>51.03</v>
      </c>
      <c r="P445" s="17"/>
      <c r="Q445" s="17">
        <v>-42.85714285714279</v>
      </c>
      <c r="R445" s="14">
        <v>9.6859083571428606</v>
      </c>
      <c r="S445" s="12">
        <v>7</v>
      </c>
      <c r="T445" s="12">
        <v>-1.5</v>
      </c>
      <c r="U445" s="14">
        <v>17.010000000000002</v>
      </c>
      <c r="V445" s="17">
        <v>-214.28571428571428</v>
      </c>
      <c r="W445" s="14">
        <v>1.2344797857142868</v>
      </c>
      <c r="X445">
        <f t="shared" si="12"/>
        <v>18.02675</v>
      </c>
      <c r="Y445">
        <f t="shared" si="13"/>
        <v>1.3013835366739779</v>
      </c>
    </row>
    <row r="446" spans="1:25">
      <c r="A446" s="12" t="s">
        <v>335</v>
      </c>
      <c r="B446" s="12" t="s">
        <v>478</v>
      </c>
      <c r="C446" s="12">
        <v>186</v>
      </c>
      <c r="D446" s="12">
        <v>2.4300000000000002</v>
      </c>
      <c r="E446" s="12" t="s">
        <v>484</v>
      </c>
      <c r="F446" s="13">
        <v>42045</v>
      </c>
      <c r="G446" s="12">
        <v>56</v>
      </c>
      <c r="H446" s="12">
        <v>3</v>
      </c>
      <c r="I446" s="13">
        <v>42066</v>
      </c>
      <c r="J446" s="12">
        <v>57</v>
      </c>
      <c r="K446" s="12">
        <v>3.5</v>
      </c>
      <c r="L446" s="12">
        <v>21</v>
      </c>
      <c r="M446" s="12">
        <v>1</v>
      </c>
      <c r="N446" s="12">
        <v>0.5</v>
      </c>
      <c r="O446" s="17">
        <v>51.03</v>
      </c>
      <c r="P446" s="17"/>
      <c r="Q446" s="17">
        <v>47.619047619047613</v>
      </c>
      <c r="R446" s="14">
        <v>13.901204047619046</v>
      </c>
      <c r="S446" s="12">
        <v>7</v>
      </c>
      <c r="T446" s="12">
        <v>-0.5</v>
      </c>
      <c r="U446" s="14">
        <v>17.010000000000002</v>
      </c>
      <c r="V446" s="17">
        <v>-71.428571428571431</v>
      </c>
      <c r="W446" s="14">
        <v>8.0321564285714295</v>
      </c>
      <c r="X446">
        <f t="shared" si="12"/>
        <v>15.952499999999999</v>
      </c>
      <c r="Y446">
        <f t="shared" si="13"/>
        <v>7.4931564577067666</v>
      </c>
    </row>
    <row r="447" spans="1:25">
      <c r="A447" s="12" t="s">
        <v>335</v>
      </c>
      <c r="B447" s="12" t="s">
        <v>478</v>
      </c>
      <c r="C447" s="12">
        <v>186</v>
      </c>
      <c r="D447" s="12">
        <v>2.4300000000000002</v>
      </c>
      <c r="E447" s="12" t="s">
        <v>485</v>
      </c>
      <c r="F447" s="13">
        <v>42045</v>
      </c>
      <c r="G447" s="12">
        <v>56.8</v>
      </c>
      <c r="H447" s="12">
        <v>3.5</v>
      </c>
      <c r="I447" s="13">
        <v>42066</v>
      </c>
      <c r="J447" s="12">
        <v>60.5</v>
      </c>
      <c r="K447" s="12">
        <v>4</v>
      </c>
      <c r="L447" s="12">
        <v>21</v>
      </c>
      <c r="M447" s="12">
        <v>3.7000000000000028</v>
      </c>
      <c r="N447" s="12">
        <v>0.5</v>
      </c>
      <c r="O447" s="17">
        <v>51.03</v>
      </c>
      <c r="P447" s="17"/>
      <c r="Q447" s="17">
        <v>176.19047619047632</v>
      </c>
      <c r="R447" s="14">
        <v>20.603318976190479</v>
      </c>
      <c r="S447" s="12">
        <v>7</v>
      </c>
      <c r="T447" s="12">
        <v>-0.5</v>
      </c>
      <c r="U447" s="14">
        <v>17.010000000000002</v>
      </c>
      <c r="V447" s="17">
        <v>-71.428571428571431</v>
      </c>
      <c r="W447" s="14">
        <v>8.3956999285714282</v>
      </c>
      <c r="X447">
        <f t="shared" si="12"/>
        <v>13.878249999999998</v>
      </c>
      <c r="Y447">
        <f t="shared" si="13"/>
        <v>6.8138960546021288</v>
      </c>
    </row>
    <row r="448" spans="1:25">
      <c r="A448" s="12" t="s">
        <v>335</v>
      </c>
      <c r="B448" s="12" t="s">
        <v>478</v>
      </c>
      <c r="C448" s="12">
        <v>186</v>
      </c>
      <c r="D448" s="12">
        <v>2.4300000000000002</v>
      </c>
      <c r="E448" s="12" t="s">
        <v>486</v>
      </c>
      <c r="F448" s="13">
        <v>42045</v>
      </c>
      <c r="G448" s="12">
        <v>57.8</v>
      </c>
      <c r="H448" s="12">
        <v>3</v>
      </c>
      <c r="I448" s="13">
        <v>42066</v>
      </c>
      <c r="J448" s="12">
        <v>58.5</v>
      </c>
      <c r="K448" s="12">
        <v>4.5</v>
      </c>
      <c r="L448" s="12">
        <v>21</v>
      </c>
      <c r="M448" s="12">
        <v>0.70000000000000284</v>
      </c>
      <c r="N448" s="12">
        <v>1.5</v>
      </c>
      <c r="O448" s="17">
        <v>51.03</v>
      </c>
      <c r="P448" s="17"/>
      <c r="Q448" s="17">
        <v>33.333333333333471</v>
      </c>
      <c r="R448" s="14">
        <v>13.475916833333338</v>
      </c>
      <c r="S448" s="12">
        <v>7</v>
      </c>
      <c r="T448" s="12">
        <v>-2</v>
      </c>
      <c r="U448" s="14">
        <v>17.010000000000002</v>
      </c>
      <c r="V448" s="17">
        <v>-285.71428571428572</v>
      </c>
      <c r="W448" s="14">
        <v>-2.2531307857142853</v>
      </c>
      <c r="X448">
        <f t="shared" si="12"/>
        <v>15.952499999999999</v>
      </c>
      <c r="Y448">
        <f t="shared" si="13"/>
        <v>-2.1019338514097741</v>
      </c>
    </row>
    <row r="449" spans="1:25">
      <c r="A449" s="12" t="s">
        <v>335</v>
      </c>
      <c r="B449" s="12" t="s">
        <v>478</v>
      </c>
      <c r="C449" s="12">
        <v>186</v>
      </c>
      <c r="D449" s="12">
        <v>2.4300000000000002</v>
      </c>
      <c r="E449" s="12" t="s">
        <v>487</v>
      </c>
      <c r="F449" s="13">
        <v>42045</v>
      </c>
      <c r="G449" s="12">
        <v>52.4</v>
      </c>
      <c r="H449" s="12">
        <v>2.5</v>
      </c>
      <c r="I449" s="13">
        <v>42066</v>
      </c>
      <c r="J449" s="12">
        <v>59</v>
      </c>
      <c r="K449" s="12">
        <v>4.5</v>
      </c>
      <c r="L449" s="12">
        <v>21</v>
      </c>
      <c r="M449" s="12">
        <v>6.6000000000000014</v>
      </c>
      <c r="N449" s="12">
        <v>2</v>
      </c>
      <c r="O449" s="17">
        <v>51.03</v>
      </c>
      <c r="P449" s="17"/>
      <c r="Q449" s="17">
        <v>314.28571428571433</v>
      </c>
      <c r="R449" s="14">
        <v>26.912598714285714</v>
      </c>
      <c r="S449" s="12">
        <v>7</v>
      </c>
      <c r="T449" s="12">
        <v>-0.5</v>
      </c>
      <c r="U449" s="14">
        <v>17.010000000000002</v>
      </c>
      <c r="V449" s="17">
        <v>-71.428571428571431</v>
      </c>
      <c r="W449" s="14">
        <v>7.896884428571429</v>
      </c>
      <c r="X449">
        <f t="shared" si="12"/>
        <v>18.02675</v>
      </c>
      <c r="Y449">
        <f t="shared" si="13"/>
        <v>8.3248632381725152</v>
      </c>
    </row>
    <row r="450" spans="1:25">
      <c r="A450" s="12" t="s">
        <v>335</v>
      </c>
      <c r="B450" s="12" t="s">
        <v>478</v>
      </c>
      <c r="C450" s="12">
        <v>186</v>
      </c>
      <c r="D450" s="12">
        <v>2.4300000000000002</v>
      </c>
      <c r="E450" s="12" t="s">
        <v>488</v>
      </c>
      <c r="F450" s="13">
        <v>42045</v>
      </c>
      <c r="G450" s="12">
        <v>57.2</v>
      </c>
      <c r="H450" s="12">
        <v>3</v>
      </c>
      <c r="I450" s="13">
        <v>42066</v>
      </c>
      <c r="J450" s="12">
        <v>58</v>
      </c>
      <c r="K450" s="12">
        <v>3.5</v>
      </c>
      <c r="L450" s="12">
        <v>21</v>
      </c>
      <c r="M450" s="12">
        <v>0.79999999999999716</v>
      </c>
      <c r="N450" s="12">
        <v>0.5</v>
      </c>
      <c r="O450" s="17">
        <v>51.03</v>
      </c>
      <c r="P450" s="17"/>
      <c r="Q450" s="17">
        <v>38.09523809523796</v>
      </c>
      <c r="R450" s="14">
        <v>13.61767923809523</v>
      </c>
      <c r="S450" s="12">
        <v>7</v>
      </c>
      <c r="T450" s="12">
        <v>-2.5</v>
      </c>
      <c r="U450" s="14">
        <v>17.010000000000002</v>
      </c>
      <c r="V450" s="17">
        <v>-357.14285714285717</v>
      </c>
      <c r="W450" s="14">
        <v>-5.8675588571428587</v>
      </c>
      <c r="X450">
        <f t="shared" si="12"/>
        <v>15.952499999999999</v>
      </c>
      <c r="Y450">
        <f t="shared" si="13"/>
        <v>-5.4738147759398501</v>
      </c>
    </row>
    <row r="451" spans="1:25">
      <c r="A451" s="12" t="s">
        <v>335</v>
      </c>
      <c r="B451" s="12" t="s">
        <v>478</v>
      </c>
      <c r="C451" s="12">
        <v>186</v>
      </c>
      <c r="D451" s="12">
        <v>2.4300000000000002</v>
      </c>
      <c r="E451" s="12" t="s">
        <v>489</v>
      </c>
      <c r="F451" s="13">
        <v>42045</v>
      </c>
      <c r="G451" s="12">
        <v>53.6</v>
      </c>
      <c r="H451" s="12">
        <v>2.5</v>
      </c>
      <c r="I451" s="13">
        <v>42066</v>
      </c>
      <c r="J451" s="12">
        <v>54.5</v>
      </c>
      <c r="K451" s="12">
        <v>3.5</v>
      </c>
      <c r="L451" s="12">
        <v>21</v>
      </c>
      <c r="M451" s="12">
        <v>0.89999999999999858</v>
      </c>
      <c r="N451" s="12">
        <v>1</v>
      </c>
      <c r="O451" s="17">
        <v>51.03</v>
      </c>
      <c r="P451" s="17"/>
      <c r="Q451" s="17">
        <v>42.85714285714279</v>
      </c>
      <c r="R451" s="14">
        <v>13.252171642857139</v>
      </c>
      <c r="S451" s="12">
        <v>7</v>
      </c>
      <c r="T451" s="12">
        <v>-0.5</v>
      </c>
      <c r="U451" s="14">
        <v>17.010000000000002</v>
      </c>
      <c r="V451" s="17">
        <v>-71.428571428571431</v>
      </c>
      <c r="W451" s="14">
        <v>7.6178859285714289</v>
      </c>
      <c r="X451">
        <f t="shared" ref="X451:X514" si="14">IF(H451&gt;0,-4.1485*H451 + 28.398,17.1)</f>
        <v>18.02675</v>
      </c>
      <c r="Y451">
        <f t="shared" ref="Y451:Y514" si="15">W451*X451/17.1</f>
        <v>8.0307441615716382</v>
      </c>
    </row>
    <row r="452" spans="1:25">
      <c r="A452" s="12" t="s">
        <v>335</v>
      </c>
      <c r="B452" s="12" t="s">
        <v>478</v>
      </c>
      <c r="C452" s="12">
        <v>186</v>
      </c>
      <c r="D452" s="12">
        <v>2.4300000000000002</v>
      </c>
      <c r="E452" s="12" t="s">
        <v>490</v>
      </c>
      <c r="F452" s="13">
        <v>42045</v>
      </c>
      <c r="G452" s="12">
        <v>56</v>
      </c>
      <c r="H452" s="12">
        <v>3</v>
      </c>
      <c r="I452" s="13">
        <v>42066</v>
      </c>
      <c r="J452" s="12">
        <v>55.5</v>
      </c>
      <c r="K452" s="12">
        <v>3.5</v>
      </c>
      <c r="L452" s="12">
        <v>21</v>
      </c>
      <c r="M452" s="12">
        <v>-0.5</v>
      </c>
      <c r="N452" s="12">
        <v>0.5</v>
      </c>
      <c r="O452" s="17">
        <v>51.03</v>
      </c>
      <c r="P452" s="17"/>
      <c r="Q452" s="17">
        <v>-23.809523809523807</v>
      </c>
      <c r="R452" s="14">
        <v>10.252957976190475</v>
      </c>
      <c r="S452" s="12">
        <v>7</v>
      </c>
      <c r="T452" s="12">
        <v>-1</v>
      </c>
      <c r="U452" s="14">
        <v>17.010000000000002</v>
      </c>
      <c r="V452" s="17">
        <v>-142.85714285714286</v>
      </c>
      <c r="W452" s="14">
        <v>4.3839103571428568</v>
      </c>
      <c r="X452">
        <f t="shared" si="14"/>
        <v>15.952499999999999</v>
      </c>
      <c r="Y452">
        <f t="shared" si="15"/>
        <v>4.0897268989661644</v>
      </c>
    </row>
    <row r="453" spans="1:25">
      <c r="A453" s="12" t="s">
        <v>335</v>
      </c>
      <c r="B453" s="12" t="s">
        <v>478</v>
      </c>
      <c r="C453" s="12">
        <v>186</v>
      </c>
      <c r="D453" s="12">
        <v>2.4300000000000002</v>
      </c>
      <c r="E453" s="12" t="s">
        <v>491</v>
      </c>
      <c r="F453" s="13">
        <v>42045</v>
      </c>
      <c r="G453" s="12">
        <v>53.8</v>
      </c>
      <c r="H453" s="12">
        <v>3.5</v>
      </c>
      <c r="I453" s="13">
        <v>42066</v>
      </c>
      <c r="J453" s="12">
        <v>57.5</v>
      </c>
      <c r="K453" s="12">
        <v>4.5</v>
      </c>
      <c r="L453" s="12">
        <v>21</v>
      </c>
      <c r="M453" s="12">
        <v>3.7000000000000028</v>
      </c>
      <c r="N453" s="12">
        <v>1</v>
      </c>
      <c r="O453" s="17">
        <v>51.03</v>
      </c>
      <c r="P453" s="17"/>
      <c r="Q453" s="17">
        <v>176.19047619047632</v>
      </c>
      <c r="R453" s="14">
        <v>20.096048976190481</v>
      </c>
      <c r="S453" s="12">
        <v>7</v>
      </c>
      <c r="T453" s="12">
        <v>-1</v>
      </c>
      <c r="U453" s="14">
        <v>17.010000000000002</v>
      </c>
      <c r="V453" s="17">
        <v>-142.85714285714286</v>
      </c>
      <c r="W453" s="14">
        <v>4.3670013571428568</v>
      </c>
      <c r="X453">
        <f t="shared" si="14"/>
        <v>13.878249999999998</v>
      </c>
      <c r="Y453">
        <f t="shared" si="15"/>
        <v>3.544230209635546</v>
      </c>
    </row>
    <row r="454" spans="1:25">
      <c r="A454" s="12" t="s">
        <v>335</v>
      </c>
      <c r="B454" s="12" t="s">
        <v>478</v>
      </c>
      <c r="C454" s="12">
        <v>186</v>
      </c>
      <c r="D454" s="12">
        <v>2.4300000000000002</v>
      </c>
      <c r="E454" s="12" t="s">
        <v>492</v>
      </c>
      <c r="F454" s="13">
        <v>42045</v>
      </c>
      <c r="G454" s="12">
        <v>52.2</v>
      </c>
      <c r="H454" s="12">
        <v>3.5</v>
      </c>
      <c r="I454" s="13">
        <v>42066</v>
      </c>
      <c r="J454" s="12">
        <v>54.5</v>
      </c>
      <c r="K454" s="12">
        <v>5</v>
      </c>
      <c r="L454" s="12">
        <v>21</v>
      </c>
      <c r="M454" s="12">
        <v>2.2999999999999972</v>
      </c>
      <c r="N454" s="12">
        <v>1.5</v>
      </c>
      <c r="O454" s="17">
        <v>51.03</v>
      </c>
      <c r="P454" s="17"/>
      <c r="Q454" s="17">
        <v>109.52380952380939</v>
      </c>
      <c r="R454" s="14">
        <v>16.420475309523802</v>
      </c>
      <c r="S454" s="12">
        <v>7</v>
      </c>
      <c r="T454" s="12">
        <v>-2.5</v>
      </c>
      <c r="U454" s="14">
        <v>17.010000000000002</v>
      </c>
      <c r="V454" s="17">
        <v>-357.14285714285717</v>
      </c>
      <c r="W454" s="14">
        <v>-6.5861913571428587</v>
      </c>
      <c r="X454">
        <f t="shared" si="14"/>
        <v>13.878249999999998</v>
      </c>
      <c r="Y454">
        <f t="shared" si="15"/>
        <v>-5.3453105381443189</v>
      </c>
    </row>
    <row r="455" spans="1:25">
      <c r="A455" s="12" t="s">
        <v>335</v>
      </c>
      <c r="B455" s="12" t="s">
        <v>478</v>
      </c>
      <c r="C455" s="12">
        <v>186</v>
      </c>
      <c r="D455" s="12">
        <v>2.4300000000000002</v>
      </c>
      <c r="E455" s="12" t="s">
        <v>493</v>
      </c>
      <c r="F455" s="13">
        <v>42045</v>
      </c>
      <c r="G455" s="12">
        <v>58.2</v>
      </c>
      <c r="H455" s="12">
        <v>3.5</v>
      </c>
      <c r="I455" s="13">
        <v>42066</v>
      </c>
      <c r="J455" s="12">
        <v>60</v>
      </c>
      <c r="K455" s="12">
        <v>4</v>
      </c>
      <c r="L455" s="12">
        <v>21</v>
      </c>
      <c r="M455" s="12">
        <v>1.7999999999999972</v>
      </c>
      <c r="N455" s="12">
        <v>0.5</v>
      </c>
      <c r="O455" s="17">
        <v>51.03</v>
      </c>
      <c r="P455" s="17"/>
      <c r="Q455" s="17">
        <v>85.71428571428558</v>
      </c>
      <c r="R455" s="14">
        <v>16.218933285714279</v>
      </c>
      <c r="S455" s="12">
        <v>7</v>
      </c>
      <c r="T455" s="12">
        <v>-4</v>
      </c>
      <c r="U455" s="14">
        <v>17.010000000000002</v>
      </c>
      <c r="V455" s="17">
        <v>-571.42857142857144</v>
      </c>
      <c r="W455" s="14">
        <v>-16.178209571428567</v>
      </c>
      <c r="X455">
        <f t="shared" si="14"/>
        <v>13.878249999999998</v>
      </c>
      <c r="Y455">
        <f t="shared" si="15"/>
        <v>-13.130130817817454</v>
      </c>
    </row>
    <row r="456" spans="1:25">
      <c r="A456" s="12" t="s">
        <v>335</v>
      </c>
      <c r="B456" s="12" t="s">
        <v>478</v>
      </c>
      <c r="C456" s="12">
        <v>186</v>
      </c>
      <c r="D456" s="12">
        <v>2.4300000000000002</v>
      </c>
      <c r="E456" s="12" t="s">
        <v>494</v>
      </c>
      <c r="F456" s="13">
        <v>42045</v>
      </c>
      <c r="G456" s="12">
        <v>55.6</v>
      </c>
      <c r="H456" s="12">
        <v>3</v>
      </c>
      <c r="I456" s="13">
        <v>42066</v>
      </c>
      <c r="J456" s="12">
        <v>58.5</v>
      </c>
      <c r="K456" s="12">
        <v>4.5</v>
      </c>
      <c r="L456" s="12">
        <v>21</v>
      </c>
      <c r="M456" s="12">
        <v>2.8999999999999986</v>
      </c>
      <c r="N456" s="12">
        <v>1.5</v>
      </c>
      <c r="O456" s="17">
        <v>51.03</v>
      </c>
      <c r="P456" s="17"/>
      <c r="Q456" s="17">
        <v>138.09523809523802</v>
      </c>
      <c r="R456" s="14">
        <v>18.454679738095233</v>
      </c>
      <c r="S456" s="12">
        <v>7</v>
      </c>
      <c r="T456" s="12">
        <v>-3</v>
      </c>
      <c r="U456" s="14">
        <v>17.010000000000002</v>
      </c>
      <c r="V456" s="17">
        <v>-428.57142857142856</v>
      </c>
      <c r="W456" s="14">
        <v>-9.4819869285714269</v>
      </c>
      <c r="X456">
        <f t="shared" si="14"/>
        <v>15.952499999999999</v>
      </c>
      <c r="Y456">
        <f t="shared" si="15"/>
        <v>-8.8456957004699213</v>
      </c>
    </row>
    <row r="457" spans="1:25">
      <c r="A457" s="12" t="s">
        <v>335</v>
      </c>
      <c r="B457" s="12" t="s">
        <v>478</v>
      </c>
      <c r="C457" s="12">
        <v>186</v>
      </c>
      <c r="D457" s="12">
        <v>2.4300000000000002</v>
      </c>
      <c r="E457" s="12" t="s">
        <v>495</v>
      </c>
      <c r="F457" s="13">
        <v>42045</v>
      </c>
      <c r="G457" s="12">
        <v>56.4</v>
      </c>
      <c r="H457" s="12">
        <v>3</v>
      </c>
      <c r="I457" s="13">
        <v>42066</v>
      </c>
      <c r="J457" s="12">
        <v>55</v>
      </c>
      <c r="K457" s="12">
        <v>4</v>
      </c>
      <c r="L457" s="12">
        <v>21</v>
      </c>
      <c r="M457" s="12">
        <v>-1.3999999999999986</v>
      </c>
      <c r="N457" s="12">
        <v>1</v>
      </c>
      <c r="O457" s="17">
        <v>51.03</v>
      </c>
      <c r="P457" s="17"/>
      <c r="Q457" s="17">
        <v>-66.6666666666666</v>
      </c>
      <c r="R457" s="14">
        <v>8.131646333333336</v>
      </c>
      <c r="S457" s="12">
        <v>7</v>
      </c>
      <c r="T457" s="12">
        <v>-1</v>
      </c>
      <c r="U457" s="14">
        <v>17.010000000000002</v>
      </c>
      <c r="V457" s="17">
        <v>-142.85714285714286</v>
      </c>
      <c r="W457" s="14">
        <v>4.3754558571428577</v>
      </c>
      <c r="X457">
        <f t="shared" si="14"/>
        <v>15.952499999999999</v>
      </c>
      <c r="Y457">
        <f t="shared" si="15"/>
        <v>4.0818397404135336</v>
      </c>
    </row>
    <row r="458" spans="1:25">
      <c r="A458" s="12" t="s">
        <v>335</v>
      </c>
      <c r="B458" s="12" t="s">
        <v>478</v>
      </c>
      <c r="C458" s="12">
        <v>186</v>
      </c>
      <c r="D458" s="12">
        <v>2.4300000000000002</v>
      </c>
      <c r="E458" s="12" t="s">
        <v>496</v>
      </c>
      <c r="F458" s="13">
        <v>42045</v>
      </c>
      <c r="G458" s="12">
        <v>60</v>
      </c>
      <c r="H458" s="12">
        <v>3.5</v>
      </c>
      <c r="I458" s="13">
        <v>42066</v>
      </c>
      <c r="J458" s="12">
        <v>57.5</v>
      </c>
      <c r="K458" s="12">
        <v>4.5</v>
      </c>
      <c r="L458" s="12">
        <v>21</v>
      </c>
      <c r="M458" s="12">
        <v>-2.5</v>
      </c>
      <c r="N458" s="12">
        <v>1</v>
      </c>
      <c r="O458" s="17">
        <v>51.03</v>
      </c>
      <c r="P458" s="17"/>
      <c r="Q458" s="17">
        <v>-119.04761904761904</v>
      </c>
      <c r="R458" s="14">
        <v>6.0649898809523801</v>
      </c>
      <c r="S458" s="12">
        <v>7</v>
      </c>
      <c r="T458" s="12">
        <v>4.5</v>
      </c>
      <c r="U458" s="14">
        <v>17.010000000000002</v>
      </c>
      <c r="V458" s="17">
        <v>642.85714285714289</v>
      </c>
      <c r="W458" s="14">
        <v>43.626894642857138</v>
      </c>
      <c r="X458">
        <f t="shared" si="14"/>
        <v>13.878249999999998</v>
      </c>
      <c r="Y458">
        <f t="shared" si="15"/>
        <v>35.407307051300116</v>
      </c>
    </row>
    <row r="459" spans="1:25">
      <c r="A459" s="12" t="s">
        <v>335</v>
      </c>
      <c r="B459" s="12" t="s">
        <v>478</v>
      </c>
      <c r="C459" s="12">
        <v>186</v>
      </c>
      <c r="D459" s="12">
        <v>2.4300000000000002</v>
      </c>
      <c r="E459" s="12" t="s">
        <v>497</v>
      </c>
      <c r="F459" s="13">
        <v>42045</v>
      </c>
      <c r="G459" s="12">
        <v>55.8</v>
      </c>
      <c r="H459" s="12">
        <v>3</v>
      </c>
      <c r="I459" s="13">
        <v>42066</v>
      </c>
      <c r="J459" s="12">
        <v>60.5</v>
      </c>
      <c r="K459" s="12">
        <v>3.5</v>
      </c>
      <c r="L459" s="12">
        <v>21</v>
      </c>
      <c r="M459" s="12">
        <v>4.7000000000000028</v>
      </c>
      <c r="N459" s="12">
        <v>0.5</v>
      </c>
      <c r="O459" s="17">
        <v>51.03</v>
      </c>
      <c r="P459" s="17"/>
      <c r="Q459" s="17">
        <v>223.80952380952397</v>
      </c>
      <c r="R459" s="14">
        <v>22.866393023809529</v>
      </c>
      <c r="S459" s="12">
        <v>7</v>
      </c>
      <c r="T459" s="12">
        <v>0</v>
      </c>
      <c r="U459" s="14">
        <v>17.010000000000002</v>
      </c>
      <c r="V459" s="17">
        <v>0</v>
      </c>
      <c r="W459" s="14">
        <v>11.832583499999998</v>
      </c>
      <c r="X459">
        <f t="shared" si="14"/>
        <v>15.952499999999999</v>
      </c>
      <c r="Y459">
        <f t="shared" si="15"/>
        <v>11.038554870394734</v>
      </c>
    </row>
    <row r="460" spans="1:25">
      <c r="A460" s="12" t="s">
        <v>335</v>
      </c>
      <c r="B460" s="12" t="s">
        <v>478</v>
      </c>
      <c r="C460" s="12">
        <v>186</v>
      </c>
      <c r="D460" s="12">
        <v>2.4300000000000002</v>
      </c>
      <c r="E460" s="12" t="s">
        <v>498</v>
      </c>
      <c r="F460" s="13">
        <v>42045</v>
      </c>
      <c r="G460" s="12">
        <v>52.8</v>
      </c>
      <c r="H460" s="12">
        <v>3.5</v>
      </c>
      <c r="I460" s="13">
        <v>42066</v>
      </c>
      <c r="J460" s="12">
        <v>54.5</v>
      </c>
      <c r="K460" s="12">
        <v>4.5</v>
      </c>
      <c r="L460" s="12">
        <v>21</v>
      </c>
      <c r="M460" s="12">
        <v>1.7000000000000028</v>
      </c>
      <c r="N460" s="12">
        <v>1</v>
      </c>
      <c r="O460" s="17">
        <v>51.03</v>
      </c>
      <c r="P460" s="17"/>
      <c r="Q460" s="17">
        <v>80.952380952381077</v>
      </c>
      <c r="R460" s="14">
        <v>15.062630880952387</v>
      </c>
      <c r="S460" s="12">
        <v>7</v>
      </c>
      <c r="T460" s="12">
        <v>-1.5</v>
      </c>
      <c r="U460" s="14">
        <v>17.010000000000002</v>
      </c>
      <c r="V460" s="17">
        <v>-214.28571428571428</v>
      </c>
      <c r="W460" s="14">
        <v>0.50739278571428592</v>
      </c>
      <c r="X460">
        <f t="shared" si="14"/>
        <v>13.878249999999998</v>
      </c>
      <c r="Y460">
        <f t="shared" si="15"/>
        <v>0.41179672095551384</v>
      </c>
    </row>
    <row r="461" spans="1:25">
      <c r="A461" s="12" t="s">
        <v>335</v>
      </c>
      <c r="B461" s="12" t="s">
        <v>499</v>
      </c>
      <c r="C461" s="12">
        <v>133</v>
      </c>
      <c r="D461" s="12">
        <v>2.4700000000000002</v>
      </c>
      <c r="E461" s="12" t="s">
        <v>500</v>
      </c>
      <c r="F461" s="13">
        <v>42045</v>
      </c>
      <c r="G461" s="12">
        <v>58.4</v>
      </c>
      <c r="H461" s="12">
        <v>2.5</v>
      </c>
      <c r="I461" s="13">
        <v>42066</v>
      </c>
      <c r="J461" s="12">
        <v>62</v>
      </c>
      <c r="K461" s="12">
        <v>3</v>
      </c>
      <c r="L461" s="12">
        <v>21</v>
      </c>
      <c r="M461" s="12">
        <v>3.6000000000000014</v>
      </c>
      <c r="N461" s="12">
        <v>0.5</v>
      </c>
      <c r="O461" s="17">
        <v>51.870000000000005</v>
      </c>
      <c r="P461" s="17"/>
      <c r="Q461" s="17">
        <v>171.42857142857147</v>
      </c>
      <c r="R461" s="14">
        <v>20.630646571428574</v>
      </c>
      <c r="S461" s="12">
        <v>7</v>
      </c>
      <c r="T461" s="12">
        <v>-1</v>
      </c>
      <c r="U461" s="14">
        <v>17.290000000000003</v>
      </c>
      <c r="V461" s="17">
        <v>-142.85714285714286</v>
      </c>
      <c r="W461" s="14">
        <v>5.1363608571428587</v>
      </c>
      <c r="X461">
        <f t="shared" si="14"/>
        <v>18.02675</v>
      </c>
      <c r="Y461">
        <f t="shared" si="15"/>
        <v>5.4147305895614046</v>
      </c>
    </row>
    <row r="462" spans="1:25">
      <c r="A462" s="12" t="s">
        <v>335</v>
      </c>
      <c r="B462" s="12" t="s">
        <v>499</v>
      </c>
      <c r="C462" s="12">
        <v>133</v>
      </c>
      <c r="D462" s="12">
        <v>2.4700000000000002</v>
      </c>
      <c r="E462" s="12" t="s">
        <v>501</v>
      </c>
      <c r="F462" s="13">
        <v>42045</v>
      </c>
      <c r="G462" s="12">
        <v>52.6</v>
      </c>
      <c r="H462" s="12">
        <v>2.5</v>
      </c>
      <c r="I462" s="13">
        <v>42066</v>
      </c>
      <c r="J462" s="12">
        <v>56</v>
      </c>
      <c r="K462" s="12">
        <v>3.5</v>
      </c>
      <c r="L462" s="12">
        <v>21</v>
      </c>
      <c r="M462" s="12">
        <v>3.3999999999999986</v>
      </c>
      <c r="N462" s="12">
        <v>1</v>
      </c>
      <c r="O462" s="17">
        <v>51.870000000000005</v>
      </c>
      <c r="P462" s="17"/>
      <c r="Q462" s="17">
        <v>161.90476190476184</v>
      </c>
      <c r="R462" s="14">
        <v>19.163491761904758</v>
      </c>
      <c r="S462" s="12">
        <v>7</v>
      </c>
      <c r="T462" s="12">
        <v>-0.5</v>
      </c>
      <c r="U462" s="14">
        <v>17.290000000000003</v>
      </c>
      <c r="V462" s="17">
        <v>-71.428571428571431</v>
      </c>
      <c r="W462" s="14">
        <v>7.6601584285714281</v>
      </c>
      <c r="X462">
        <f t="shared" si="14"/>
        <v>18.02675</v>
      </c>
      <c r="Y462">
        <f t="shared" si="15"/>
        <v>8.0753076580263148</v>
      </c>
    </row>
    <row r="463" spans="1:25">
      <c r="A463" s="12" t="s">
        <v>335</v>
      </c>
      <c r="B463" s="12" t="s">
        <v>499</v>
      </c>
      <c r="C463" s="12">
        <v>133</v>
      </c>
      <c r="D463" s="12">
        <v>2.4700000000000002</v>
      </c>
      <c r="E463" s="12" t="s">
        <v>502</v>
      </c>
      <c r="F463" s="13">
        <v>42045</v>
      </c>
      <c r="G463" s="12">
        <v>53.6</v>
      </c>
      <c r="H463" s="12">
        <v>3</v>
      </c>
      <c r="I463" s="13">
        <v>42066</v>
      </c>
      <c r="J463" s="12">
        <v>53</v>
      </c>
      <c r="K463" s="12">
        <v>3</v>
      </c>
      <c r="L463" s="12">
        <v>21</v>
      </c>
      <c r="M463" s="12">
        <v>-0.60000000000000142</v>
      </c>
      <c r="N463" s="12">
        <v>0</v>
      </c>
      <c r="O463" s="17">
        <v>51.870000000000005</v>
      </c>
      <c r="P463" s="17"/>
      <c r="Q463" s="17">
        <v>-28.57142857142864</v>
      </c>
      <c r="R463" s="14">
        <v>9.6039255714285687</v>
      </c>
      <c r="S463" s="12">
        <v>7</v>
      </c>
      <c r="T463" s="12">
        <v>0.5</v>
      </c>
      <c r="U463" s="14">
        <v>17.290000000000003</v>
      </c>
      <c r="V463" s="17">
        <v>71.428571428571431</v>
      </c>
      <c r="W463" s="14">
        <v>14.53392557142857</v>
      </c>
      <c r="X463">
        <f t="shared" si="14"/>
        <v>15.952499999999999</v>
      </c>
      <c r="Y463">
        <f t="shared" si="15"/>
        <v>13.558622671240599</v>
      </c>
    </row>
    <row r="464" spans="1:25">
      <c r="A464" s="12" t="s">
        <v>335</v>
      </c>
      <c r="B464" s="12" t="s">
        <v>499</v>
      </c>
      <c r="C464" s="12">
        <v>133</v>
      </c>
      <c r="D464" s="12">
        <v>2.4700000000000002</v>
      </c>
      <c r="E464" s="12" t="s">
        <v>503</v>
      </c>
      <c r="F464" s="13">
        <v>42045</v>
      </c>
      <c r="G464" s="12">
        <v>55.6</v>
      </c>
      <c r="H464" s="12">
        <v>3</v>
      </c>
      <c r="I464" s="13">
        <v>42066</v>
      </c>
      <c r="J464" s="12">
        <v>62.5</v>
      </c>
      <c r="K464" s="12">
        <v>4.5</v>
      </c>
      <c r="L464" s="12">
        <v>21</v>
      </c>
      <c r="M464" s="12">
        <v>6.8999999999999986</v>
      </c>
      <c r="N464" s="12">
        <v>1.5</v>
      </c>
      <c r="O464" s="17">
        <v>51.870000000000005</v>
      </c>
      <c r="P464" s="17"/>
      <c r="Q464" s="17">
        <v>328.5714285714285</v>
      </c>
      <c r="R464" s="14">
        <v>28.183335928571424</v>
      </c>
      <c r="S464" s="12">
        <v>7</v>
      </c>
      <c r="T464" s="12">
        <v>2.5</v>
      </c>
      <c r="U464" s="14">
        <v>17.290000000000003</v>
      </c>
      <c r="V464" s="17">
        <v>357.14285714285717</v>
      </c>
      <c r="W464" s="14">
        <v>29.591907357142858</v>
      </c>
      <c r="X464">
        <f t="shared" si="14"/>
        <v>15.952499999999999</v>
      </c>
      <c r="Y464">
        <f t="shared" si="15"/>
        <v>27.60613462659774</v>
      </c>
    </row>
    <row r="465" spans="1:25">
      <c r="A465" s="12" t="s">
        <v>335</v>
      </c>
      <c r="B465" s="12" t="s">
        <v>499</v>
      </c>
      <c r="C465" s="12">
        <v>133</v>
      </c>
      <c r="D465" s="12">
        <v>2.4700000000000002</v>
      </c>
      <c r="E465" s="12" t="s">
        <v>504</v>
      </c>
      <c r="F465" s="13">
        <v>42045</v>
      </c>
      <c r="G465" s="12">
        <v>59.8</v>
      </c>
      <c r="H465" s="12">
        <v>4</v>
      </c>
      <c r="I465" s="13">
        <v>42066</v>
      </c>
      <c r="J465" s="12">
        <v>65</v>
      </c>
      <c r="K465" s="12">
        <v>4.5</v>
      </c>
      <c r="L465" s="12">
        <v>21</v>
      </c>
      <c r="M465" s="12">
        <v>5.2000000000000028</v>
      </c>
      <c r="N465" s="12">
        <v>0.5</v>
      </c>
      <c r="O465" s="17">
        <v>51.870000000000005</v>
      </c>
      <c r="P465" s="17"/>
      <c r="Q465" s="17">
        <v>247.61904761904776</v>
      </c>
      <c r="R465" s="14">
        <v>24.758835047619051</v>
      </c>
      <c r="S465" s="12">
        <v>7</v>
      </c>
      <c r="T465" s="12">
        <v>-1</v>
      </c>
      <c r="U465" s="14">
        <v>17.290000000000003</v>
      </c>
      <c r="V465" s="17">
        <v>-142.85714285714286</v>
      </c>
      <c r="W465" s="14">
        <v>5.5083588571428566</v>
      </c>
      <c r="X465">
        <f t="shared" si="14"/>
        <v>11.803999999999998</v>
      </c>
      <c r="Y465">
        <f t="shared" si="15"/>
        <v>3.8023782426733486</v>
      </c>
    </row>
    <row r="466" spans="1:25">
      <c r="A466" s="12" t="s">
        <v>335</v>
      </c>
      <c r="B466" s="12" t="s">
        <v>499</v>
      </c>
      <c r="C466" s="12">
        <v>133</v>
      </c>
      <c r="D466" s="12">
        <v>2.4700000000000002</v>
      </c>
      <c r="E466" s="12" t="s">
        <v>505</v>
      </c>
      <c r="F466" s="13">
        <v>42045</v>
      </c>
      <c r="G466" s="12">
        <v>53.8</v>
      </c>
      <c r="H466" s="12">
        <v>2.5</v>
      </c>
      <c r="I466" s="13">
        <v>42066</v>
      </c>
      <c r="J466" s="12">
        <v>60</v>
      </c>
      <c r="K466" s="12">
        <v>4.5</v>
      </c>
      <c r="L466" s="12">
        <v>21</v>
      </c>
      <c r="M466" s="12">
        <v>6.2000000000000028</v>
      </c>
      <c r="N466" s="12">
        <v>2</v>
      </c>
      <c r="O466" s="17">
        <v>51.870000000000005</v>
      </c>
      <c r="P466" s="17"/>
      <c r="Q466" s="17">
        <v>295.23809523809535</v>
      </c>
      <c r="R466" s="14">
        <v>26.176459095238098</v>
      </c>
      <c r="S466" s="12">
        <v>7</v>
      </c>
      <c r="T466" s="12">
        <v>1</v>
      </c>
      <c r="U466" s="14">
        <v>17.290000000000003</v>
      </c>
      <c r="V466" s="17">
        <v>142.85714285714286</v>
      </c>
      <c r="W466" s="14">
        <v>18.664078142857139</v>
      </c>
      <c r="X466">
        <f t="shared" si="14"/>
        <v>18.02675</v>
      </c>
      <c r="Y466">
        <f t="shared" si="15"/>
        <v>19.67559477554093</v>
      </c>
    </row>
    <row r="467" spans="1:25">
      <c r="A467" s="12" t="s">
        <v>335</v>
      </c>
      <c r="B467" s="12" t="s">
        <v>499</v>
      </c>
      <c r="C467" s="12">
        <v>133</v>
      </c>
      <c r="D467" s="12">
        <v>2.4700000000000002</v>
      </c>
      <c r="E467" s="12" t="s">
        <v>506</v>
      </c>
      <c r="F467" s="13">
        <v>42045</v>
      </c>
      <c r="G467" s="12">
        <v>55.4</v>
      </c>
      <c r="H467" s="12">
        <v>3.5</v>
      </c>
      <c r="I467" s="13">
        <v>42066</v>
      </c>
      <c r="J467" s="12">
        <v>59</v>
      </c>
      <c r="K467" s="12">
        <v>4.5</v>
      </c>
      <c r="L467" s="12">
        <v>21</v>
      </c>
      <c r="M467" s="12">
        <v>3.6000000000000014</v>
      </c>
      <c r="N467" s="12">
        <v>1</v>
      </c>
      <c r="O467" s="17">
        <v>51.870000000000005</v>
      </c>
      <c r="P467" s="17"/>
      <c r="Q467" s="17">
        <v>171.42857142857147</v>
      </c>
      <c r="R467" s="14">
        <v>20.123376571428572</v>
      </c>
      <c r="S467" s="12">
        <v>7</v>
      </c>
      <c r="T467" s="12">
        <v>1</v>
      </c>
      <c r="U467" s="14">
        <v>17.290000000000003</v>
      </c>
      <c r="V467" s="17">
        <v>142.85714285714286</v>
      </c>
      <c r="W467" s="14">
        <v>18.714805142857141</v>
      </c>
      <c r="X467">
        <f t="shared" si="14"/>
        <v>13.878249999999998</v>
      </c>
      <c r="Y467">
        <f t="shared" si="15"/>
        <v>15.188815466307432</v>
      </c>
    </row>
    <row r="468" spans="1:25">
      <c r="A468" s="12" t="s">
        <v>335</v>
      </c>
      <c r="B468" s="12" t="s">
        <v>499</v>
      </c>
      <c r="C468" s="12">
        <v>133</v>
      </c>
      <c r="D468" s="12">
        <v>2.4700000000000002</v>
      </c>
      <c r="E468" s="12" t="s">
        <v>507</v>
      </c>
      <c r="F468" s="13">
        <v>42045</v>
      </c>
      <c r="G468" s="12">
        <v>57</v>
      </c>
      <c r="H468" s="12">
        <v>3.5</v>
      </c>
      <c r="I468" s="13">
        <v>42066</v>
      </c>
      <c r="J468" s="12">
        <v>57.5</v>
      </c>
      <c r="K468" s="12">
        <v>4.5</v>
      </c>
      <c r="L468" s="12">
        <v>21</v>
      </c>
      <c r="M468" s="12">
        <v>0.5</v>
      </c>
      <c r="N468" s="12">
        <v>1</v>
      </c>
      <c r="O468" s="17">
        <v>51.870000000000005</v>
      </c>
      <c r="P468" s="17"/>
      <c r="Q468" s="17">
        <v>23.809523809523807</v>
      </c>
      <c r="R468" s="14">
        <v>12.854212023809524</v>
      </c>
      <c r="S468" s="12">
        <v>7</v>
      </c>
      <c r="T468" s="12">
        <v>-0.5</v>
      </c>
      <c r="U468" s="14">
        <v>17.290000000000003</v>
      </c>
      <c r="V468" s="17">
        <v>-71.428571428571431</v>
      </c>
      <c r="W468" s="14">
        <v>8.1589739285714291</v>
      </c>
      <c r="X468">
        <f t="shared" si="14"/>
        <v>13.878249999999998</v>
      </c>
      <c r="Y468">
        <f t="shared" si="15"/>
        <v>6.6217707558009593</v>
      </c>
    </row>
    <row r="469" spans="1:25">
      <c r="A469" s="12" t="s">
        <v>335</v>
      </c>
      <c r="B469" s="12" t="s">
        <v>499</v>
      </c>
      <c r="C469" s="12">
        <v>133</v>
      </c>
      <c r="D469" s="12">
        <v>2.4700000000000002</v>
      </c>
      <c r="E469" s="12" t="s">
        <v>508</v>
      </c>
      <c r="F469" s="13">
        <v>42045</v>
      </c>
      <c r="G469" s="12">
        <v>58</v>
      </c>
      <c r="H469" s="12">
        <v>2.5</v>
      </c>
      <c r="I469" s="13">
        <v>42066</v>
      </c>
      <c r="J469" s="12">
        <v>60.5</v>
      </c>
      <c r="K469" s="12">
        <v>3</v>
      </c>
      <c r="L469" s="12">
        <v>21</v>
      </c>
      <c r="M469" s="12">
        <v>2.5</v>
      </c>
      <c r="N469" s="12">
        <v>0.5</v>
      </c>
      <c r="O469" s="17">
        <v>51.870000000000005</v>
      </c>
      <c r="P469" s="17"/>
      <c r="Q469" s="17">
        <v>119.04761904761904</v>
      </c>
      <c r="R469" s="14">
        <v>17.887630119047618</v>
      </c>
      <c r="S469" s="12">
        <v>7</v>
      </c>
      <c r="T469" s="12">
        <v>-1</v>
      </c>
      <c r="U469" s="14">
        <v>17.290000000000003</v>
      </c>
      <c r="V469" s="17">
        <v>-142.85714285714286</v>
      </c>
      <c r="W469" s="14">
        <v>4.9757253571428572</v>
      </c>
      <c r="X469">
        <f t="shared" si="14"/>
        <v>18.02675</v>
      </c>
      <c r="Y469">
        <f t="shared" si="15"/>
        <v>5.2453893030336252</v>
      </c>
    </row>
    <row r="470" spans="1:25">
      <c r="A470" s="12" t="s">
        <v>335</v>
      </c>
      <c r="B470" s="12" t="s">
        <v>499</v>
      </c>
      <c r="C470" s="12">
        <v>133</v>
      </c>
      <c r="D470" s="12">
        <v>2.4700000000000002</v>
      </c>
      <c r="E470" s="12" t="s">
        <v>509</v>
      </c>
      <c r="F470" s="13">
        <v>42045</v>
      </c>
      <c r="G470" s="12">
        <v>57.6</v>
      </c>
      <c r="H470" s="12">
        <v>3</v>
      </c>
      <c r="I470" s="13">
        <v>42066</v>
      </c>
      <c r="J470" s="12">
        <v>58.5</v>
      </c>
      <c r="K470" s="12">
        <v>4.5</v>
      </c>
      <c r="L470" s="12">
        <v>21</v>
      </c>
      <c r="M470" s="12">
        <v>0.89999999999999858</v>
      </c>
      <c r="N470" s="12">
        <v>1.5</v>
      </c>
      <c r="O470" s="17">
        <v>51.870000000000005</v>
      </c>
      <c r="P470" s="17"/>
      <c r="Q470" s="17">
        <v>42.85714285714279</v>
      </c>
      <c r="R470" s="14">
        <v>13.928531642857138</v>
      </c>
      <c r="S470" s="12">
        <v>7</v>
      </c>
      <c r="T470" s="12">
        <v>-1</v>
      </c>
      <c r="U470" s="14">
        <v>17.290000000000003</v>
      </c>
      <c r="V470" s="17">
        <v>-142.85714285714286</v>
      </c>
      <c r="W470" s="14">
        <v>4.7728173571428565</v>
      </c>
      <c r="X470">
        <f t="shared" si="14"/>
        <v>15.952499999999999</v>
      </c>
      <c r="Y470">
        <f t="shared" si="15"/>
        <v>4.4525361923872167</v>
      </c>
    </row>
    <row r="471" spans="1:25">
      <c r="A471" s="12" t="s">
        <v>335</v>
      </c>
      <c r="B471" s="12" t="s">
        <v>499</v>
      </c>
      <c r="C471" s="12">
        <v>133</v>
      </c>
      <c r="D471" s="12">
        <v>2.4700000000000002</v>
      </c>
      <c r="E471" s="12" t="s">
        <v>510</v>
      </c>
      <c r="F471" s="13">
        <v>42045</v>
      </c>
      <c r="G471" s="12">
        <v>55.4</v>
      </c>
      <c r="H471" s="12">
        <v>3</v>
      </c>
      <c r="I471" s="13">
        <v>42066</v>
      </c>
      <c r="J471" s="12">
        <v>56.5</v>
      </c>
      <c r="K471" s="12">
        <v>4</v>
      </c>
      <c r="L471" s="12">
        <v>21</v>
      </c>
      <c r="M471" s="12">
        <v>1.1000000000000014</v>
      </c>
      <c r="N471" s="12">
        <v>1</v>
      </c>
      <c r="O471" s="17">
        <v>51.870000000000005</v>
      </c>
      <c r="P471" s="17"/>
      <c r="Q471" s="17">
        <v>52.380952380952451</v>
      </c>
      <c r="R471" s="14">
        <v>14.042966452380956</v>
      </c>
      <c r="S471" s="12">
        <v>7</v>
      </c>
      <c r="T471" s="12">
        <v>2</v>
      </c>
      <c r="U471" s="14">
        <v>17.290000000000003</v>
      </c>
      <c r="V471" s="17">
        <v>285.71428571428572</v>
      </c>
      <c r="W471" s="14">
        <v>25.546299785714282</v>
      </c>
      <c r="X471">
        <f t="shared" si="14"/>
        <v>15.952499999999999</v>
      </c>
      <c r="Y471">
        <f t="shared" si="15"/>
        <v>23.832008615883453</v>
      </c>
    </row>
    <row r="472" spans="1:25">
      <c r="A472" s="12" t="s">
        <v>335</v>
      </c>
      <c r="B472" s="12" t="s">
        <v>499</v>
      </c>
      <c r="C472" s="12">
        <v>133</v>
      </c>
      <c r="D472" s="12">
        <v>2.4700000000000002</v>
      </c>
      <c r="E472" s="12" t="s">
        <v>511</v>
      </c>
      <c r="F472" s="13">
        <v>42045</v>
      </c>
      <c r="G472" s="12">
        <v>58</v>
      </c>
      <c r="H472" s="12">
        <v>3</v>
      </c>
      <c r="I472" s="13">
        <v>42066</v>
      </c>
      <c r="J472" s="12">
        <v>60.5</v>
      </c>
      <c r="K472" s="12">
        <v>4</v>
      </c>
      <c r="L472" s="12">
        <v>21</v>
      </c>
      <c r="M472" s="12">
        <v>2.5</v>
      </c>
      <c r="N472" s="12">
        <v>1</v>
      </c>
      <c r="O472" s="17">
        <v>51.870000000000005</v>
      </c>
      <c r="P472" s="17"/>
      <c r="Q472" s="17">
        <v>119.04761904761904</v>
      </c>
      <c r="R472" s="14">
        <v>17.887630119047618</v>
      </c>
      <c r="S472" s="12">
        <v>7</v>
      </c>
      <c r="T472" s="12">
        <v>-0.5</v>
      </c>
      <c r="U472" s="14">
        <v>17.290000000000003</v>
      </c>
      <c r="V472" s="17">
        <v>-71.428571428571431</v>
      </c>
      <c r="W472" s="14">
        <v>8.4971539285714286</v>
      </c>
      <c r="X472">
        <f t="shared" si="14"/>
        <v>15.952499999999999</v>
      </c>
      <c r="Y472">
        <f t="shared" si="15"/>
        <v>7.9269501781015022</v>
      </c>
    </row>
    <row r="473" spans="1:25">
      <c r="A473" s="12" t="s">
        <v>335</v>
      </c>
      <c r="B473" s="12" t="s">
        <v>499</v>
      </c>
      <c r="C473" s="12">
        <v>133</v>
      </c>
      <c r="D473" s="12">
        <v>2.4700000000000002</v>
      </c>
      <c r="E473" s="12" t="s">
        <v>512</v>
      </c>
      <c r="F473" s="13">
        <v>42045</v>
      </c>
      <c r="G473" s="12">
        <v>52.2</v>
      </c>
      <c r="H473" s="12">
        <v>2.5</v>
      </c>
      <c r="I473" s="13">
        <v>42066</v>
      </c>
      <c r="J473" s="12">
        <v>59.5</v>
      </c>
      <c r="K473" s="12">
        <v>3.5</v>
      </c>
      <c r="L473" s="12">
        <v>21</v>
      </c>
      <c r="M473" s="12">
        <v>7.2999999999999972</v>
      </c>
      <c r="N473" s="12">
        <v>1</v>
      </c>
      <c r="O473" s="17">
        <v>51.870000000000005</v>
      </c>
      <c r="P473" s="17"/>
      <c r="Q473" s="17">
        <v>347.61904761904748</v>
      </c>
      <c r="R473" s="14">
        <v>28.581295547619042</v>
      </c>
      <c r="S473" s="12">
        <v>7</v>
      </c>
      <c r="T473" s="12">
        <v>2</v>
      </c>
      <c r="U473" s="14">
        <v>17.290000000000003</v>
      </c>
      <c r="V473" s="17">
        <v>285.71428571428572</v>
      </c>
      <c r="W473" s="14">
        <v>25.529390785714284</v>
      </c>
      <c r="X473">
        <f t="shared" si="14"/>
        <v>18.02675</v>
      </c>
      <c r="Y473">
        <f t="shared" si="15"/>
        <v>26.912979260021928</v>
      </c>
    </row>
    <row r="474" spans="1:25">
      <c r="A474" s="12" t="s">
        <v>335</v>
      </c>
      <c r="B474" s="12" t="s">
        <v>499</v>
      </c>
      <c r="C474" s="12">
        <v>133</v>
      </c>
      <c r="D474" s="12">
        <v>2.4700000000000002</v>
      </c>
      <c r="E474" s="12" t="s">
        <v>513</v>
      </c>
      <c r="F474" s="13">
        <v>42045</v>
      </c>
      <c r="G474" s="12">
        <v>53.6</v>
      </c>
      <c r="H474" s="12">
        <v>3</v>
      </c>
      <c r="I474" s="13">
        <v>42066</v>
      </c>
      <c r="J474" s="12">
        <v>57</v>
      </c>
      <c r="K474" s="12">
        <v>3.5</v>
      </c>
      <c r="L474" s="12">
        <v>21</v>
      </c>
      <c r="M474" s="12">
        <v>3.3999999999999986</v>
      </c>
      <c r="N474" s="12">
        <v>0.5</v>
      </c>
      <c r="O474" s="17">
        <v>51.870000000000005</v>
      </c>
      <c r="P474" s="17"/>
      <c r="Q474" s="17">
        <v>161.90476190476184</v>
      </c>
      <c r="R474" s="14">
        <v>19.332581761904756</v>
      </c>
      <c r="S474" s="12">
        <v>7</v>
      </c>
      <c r="T474" s="12">
        <v>-0.5</v>
      </c>
      <c r="U474" s="14">
        <v>17.290000000000003</v>
      </c>
      <c r="V474" s="17">
        <v>-71.428571428571431</v>
      </c>
      <c r="W474" s="14">
        <v>7.8292484285714288</v>
      </c>
      <c r="X474">
        <f t="shared" si="14"/>
        <v>15.952499999999999</v>
      </c>
      <c r="Y474">
        <f t="shared" si="15"/>
        <v>7.3038646524436084</v>
      </c>
    </row>
    <row r="475" spans="1:25">
      <c r="A475" s="12" t="s">
        <v>335</v>
      </c>
      <c r="B475" s="12" t="s">
        <v>499</v>
      </c>
      <c r="C475" s="12">
        <v>133</v>
      </c>
      <c r="D475" s="12">
        <v>2.4700000000000002</v>
      </c>
      <c r="E475" s="12" t="s">
        <v>514</v>
      </c>
      <c r="F475" s="13">
        <v>42045</v>
      </c>
      <c r="G475" s="12">
        <v>60</v>
      </c>
      <c r="H475" s="12">
        <v>3.5</v>
      </c>
      <c r="I475" s="13">
        <v>42066</v>
      </c>
      <c r="J475" s="12">
        <v>64</v>
      </c>
      <c r="K475" s="12">
        <v>4.5</v>
      </c>
      <c r="L475" s="12">
        <v>21</v>
      </c>
      <c r="M475" s="12">
        <v>4</v>
      </c>
      <c r="N475" s="12">
        <v>1</v>
      </c>
      <c r="O475" s="17">
        <v>51.870000000000005</v>
      </c>
      <c r="P475" s="17"/>
      <c r="Q475" s="17">
        <v>190.47619047619045</v>
      </c>
      <c r="R475" s="14">
        <v>21.874056190476189</v>
      </c>
      <c r="S475" s="12">
        <v>7</v>
      </c>
      <c r="T475" s="12">
        <v>2.5</v>
      </c>
      <c r="U475" s="14">
        <v>17.290000000000003</v>
      </c>
      <c r="V475" s="17">
        <v>357.14285714285717</v>
      </c>
      <c r="W475" s="14">
        <v>30.090722857142858</v>
      </c>
      <c r="X475">
        <f t="shared" si="14"/>
        <v>13.878249999999998</v>
      </c>
      <c r="Y475">
        <f t="shared" si="15"/>
        <v>24.421437104803669</v>
      </c>
    </row>
    <row r="476" spans="1:25">
      <c r="A476" s="12" t="s">
        <v>335</v>
      </c>
      <c r="B476" s="12" t="s">
        <v>499</v>
      </c>
      <c r="C476" s="12">
        <v>133</v>
      </c>
      <c r="D476" s="12">
        <v>2.4700000000000002</v>
      </c>
      <c r="E476" s="12" t="s">
        <v>515</v>
      </c>
      <c r="F476" s="13">
        <v>42045</v>
      </c>
      <c r="G476" s="12">
        <v>52.6</v>
      </c>
      <c r="H476" s="12">
        <v>2.5</v>
      </c>
      <c r="I476" s="13">
        <v>42066</v>
      </c>
      <c r="J476" s="12">
        <v>54.5</v>
      </c>
      <c r="K476" s="12">
        <v>3.2</v>
      </c>
      <c r="L476" s="12">
        <v>21</v>
      </c>
      <c r="M476" s="12">
        <v>1.8999999999999986</v>
      </c>
      <c r="N476" s="12">
        <v>0.70000000000000018</v>
      </c>
      <c r="O476" s="17">
        <v>51.870000000000005</v>
      </c>
      <c r="P476" s="17"/>
      <c r="Q476" s="17">
        <v>90.476190476190411</v>
      </c>
      <c r="R476" s="14">
        <v>15.515245690476185</v>
      </c>
      <c r="S476" s="12">
        <v>7</v>
      </c>
      <c r="T476" s="12">
        <v>1</v>
      </c>
      <c r="U476" s="14">
        <v>17.290000000000003</v>
      </c>
      <c r="V476" s="17">
        <v>142.85714285714286</v>
      </c>
      <c r="W476" s="14">
        <v>18.09762664285714</v>
      </c>
      <c r="X476">
        <f t="shared" si="14"/>
        <v>18.02675</v>
      </c>
      <c r="Y476">
        <f t="shared" si="15"/>
        <v>19.078443923048241</v>
      </c>
    </row>
    <row r="477" spans="1:25">
      <c r="A477" s="12" t="s">
        <v>335</v>
      </c>
      <c r="B477" s="12" t="s">
        <v>499</v>
      </c>
      <c r="C477" s="12">
        <v>133</v>
      </c>
      <c r="D477" s="12">
        <v>2.4700000000000002</v>
      </c>
      <c r="E477" s="12" t="s">
        <v>516</v>
      </c>
      <c r="F477" s="13">
        <v>42045</v>
      </c>
      <c r="G477" s="12">
        <v>57.2</v>
      </c>
      <c r="H477" s="12">
        <v>3</v>
      </c>
      <c r="I477" s="13">
        <v>42066</v>
      </c>
      <c r="J477" s="12">
        <v>61</v>
      </c>
      <c r="K477" s="12">
        <v>3.5</v>
      </c>
      <c r="L477" s="12">
        <v>21</v>
      </c>
      <c r="M477" s="12">
        <v>3.7999999999999972</v>
      </c>
      <c r="N477" s="12">
        <v>0.5</v>
      </c>
      <c r="O477" s="17">
        <v>51.870000000000005</v>
      </c>
      <c r="P477" s="17"/>
      <c r="Q477" s="17">
        <v>180.95238095238082</v>
      </c>
      <c r="R477" s="14">
        <v>20.914171380952375</v>
      </c>
      <c r="S477" s="12">
        <v>7</v>
      </c>
      <c r="T477" s="12">
        <v>-3</v>
      </c>
      <c r="U477" s="14">
        <v>17.290000000000003</v>
      </c>
      <c r="V477" s="17">
        <v>-428.57142857142856</v>
      </c>
      <c r="W477" s="14">
        <v>-9.1353524285714265</v>
      </c>
      <c r="X477">
        <f t="shared" si="14"/>
        <v>15.952499999999999</v>
      </c>
      <c r="Y477">
        <f t="shared" si="15"/>
        <v>-8.5223221998120273</v>
      </c>
    </row>
    <row r="478" spans="1:25">
      <c r="A478" s="12" t="s">
        <v>335</v>
      </c>
      <c r="B478" s="12" t="s">
        <v>499</v>
      </c>
      <c r="C478" s="12">
        <v>133</v>
      </c>
      <c r="D478" s="12">
        <v>2.4700000000000002</v>
      </c>
      <c r="E478" s="12" t="s">
        <v>517</v>
      </c>
      <c r="F478" s="13">
        <v>42045</v>
      </c>
      <c r="G478" s="12">
        <v>57.2</v>
      </c>
      <c r="H478" s="12">
        <v>3.5</v>
      </c>
      <c r="I478" s="13">
        <v>42066</v>
      </c>
      <c r="J478" s="12">
        <v>59</v>
      </c>
      <c r="K478" s="12">
        <v>4</v>
      </c>
      <c r="L478" s="12">
        <v>21</v>
      </c>
      <c r="M478" s="12">
        <v>1.7999999999999972</v>
      </c>
      <c r="N478" s="12">
        <v>0.5</v>
      </c>
      <c r="O478" s="17">
        <v>51.870000000000005</v>
      </c>
      <c r="P478" s="17"/>
      <c r="Q478" s="17">
        <v>85.71428571428558</v>
      </c>
      <c r="R478" s="14">
        <v>16.049843285714278</v>
      </c>
      <c r="S478" s="12">
        <v>7</v>
      </c>
      <c r="T478" s="12">
        <v>-1</v>
      </c>
      <c r="U478" s="14">
        <v>17.290000000000003</v>
      </c>
      <c r="V478" s="17">
        <v>-142.85714285714286</v>
      </c>
      <c r="W478" s="14">
        <v>4.7812718571428574</v>
      </c>
      <c r="X478">
        <f t="shared" si="14"/>
        <v>13.878249999999998</v>
      </c>
      <c r="Y478">
        <f t="shared" si="15"/>
        <v>3.880449482537593</v>
      </c>
    </row>
    <row r="479" spans="1:25">
      <c r="A479" s="12" t="s">
        <v>335</v>
      </c>
      <c r="B479" s="12" t="s">
        <v>499</v>
      </c>
      <c r="C479" s="12">
        <v>133</v>
      </c>
      <c r="D479" s="12">
        <v>2.4700000000000002</v>
      </c>
      <c r="E479" s="12" t="s">
        <v>518</v>
      </c>
      <c r="F479" s="13">
        <v>42045</v>
      </c>
      <c r="G479" s="12">
        <v>54.6</v>
      </c>
      <c r="H479" s="12">
        <v>3</v>
      </c>
      <c r="I479" s="13">
        <v>42066</v>
      </c>
      <c r="J479" s="12">
        <v>57</v>
      </c>
      <c r="K479" s="12">
        <v>4.5</v>
      </c>
      <c r="L479" s="12">
        <v>21</v>
      </c>
      <c r="M479" s="12">
        <v>2.3999999999999986</v>
      </c>
      <c r="N479" s="12">
        <v>1.5</v>
      </c>
      <c r="O479" s="17">
        <v>51.870000000000005</v>
      </c>
      <c r="P479" s="17"/>
      <c r="Q479" s="17">
        <v>114.28571428571421</v>
      </c>
      <c r="R479" s="14">
        <v>17.069507714285709</v>
      </c>
      <c r="S479" s="12">
        <v>7</v>
      </c>
      <c r="T479" s="12">
        <v>1.5</v>
      </c>
      <c r="U479" s="14">
        <v>17.290000000000003</v>
      </c>
      <c r="V479" s="17">
        <v>214.28571428571428</v>
      </c>
      <c r="W479" s="14">
        <v>21.999507714285713</v>
      </c>
      <c r="X479">
        <f t="shared" si="14"/>
        <v>15.952499999999999</v>
      </c>
      <c r="Y479">
        <f t="shared" si="15"/>
        <v>20.523224959774431</v>
      </c>
    </row>
    <row r="480" spans="1:25">
      <c r="A480" s="12" t="s">
        <v>335</v>
      </c>
      <c r="B480" s="12" t="s">
        <v>499</v>
      </c>
      <c r="C480" s="12">
        <v>133</v>
      </c>
      <c r="D480" s="12">
        <v>2.4700000000000002</v>
      </c>
      <c r="E480" s="12" t="s">
        <v>519</v>
      </c>
      <c r="F480" s="13">
        <v>42045</v>
      </c>
      <c r="G480" s="12">
        <v>55.2</v>
      </c>
      <c r="H480" s="12">
        <v>3</v>
      </c>
      <c r="I480" s="13">
        <v>42066</v>
      </c>
      <c r="J480" s="12">
        <v>52</v>
      </c>
      <c r="K480" s="12">
        <v>4</v>
      </c>
      <c r="L480" s="12">
        <v>21</v>
      </c>
      <c r="M480" s="12">
        <v>-3.2000000000000028</v>
      </c>
      <c r="N480" s="12">
        <v>1</v>
      </c>
      <c r="O480" s="17">
        <v>51.870000000000005</v>
      </c>
      <c r="P480" s="17"/>
      <c r="Q480" s="17">
        <v>-152.38095238095249</v>
      </c>
      <c r="R480" s="14">
        <v>3.5508430476190416</v>
      </c>
      <c r="S480" s="12">
        <v>7</v>
      </c>
      <c r="T480" s="12">
        <v>-0.5</v>
      </c>
      <c r="U480" s="14">
        <v>17.290000000000003</v>
      </c>
      <c r="V480" s="17">
        <v>-71.428571428571431</v>
      </c>
      <c r="W480" s="14">
        <v>7.5417954285714295</v>
      </c>
      <c r="X480">
        <f t="shared" si="14"/>
        <v>15.952499999999999</v>
      </c>
      <c r="Y480">
        <f t="shared" si="15"/>
        <v>7.0357012616541352</v>
      </c>
    </row>
    <row r="481" spans="1:25">
      <c r="A481" s="12" t="s">
        <v>299</v>
      </c>
      <c r="B481" s="12" t="s">
        <v>300</v>
      </c>
      <c r="C481" s="12">
        <v>14</v>
      </c>
      <c r="D481" s="12">
        <v>1.98</v>
      </c>
      <c r="E481" s="12" t="s">
        <v>301</v>
      </c>
      <c r="F481" s="13">
        <v>39476</v>
      </c>
      <c r="G481" s="12">
        <v>54</v>
      </c>
      <c r="H481" s="12">
        <v>2.5</v>
      </c>
      <c r="I481" s="13">
        <v>39503</v>
      </c>
      <c r="J481" s="12">
        <v>60.6</v>
      </c>
      <c r="K481" s="12">
        <v>2.5</v>
      </c>
      <c r="L481" s="12">
        <v>27</v>
      </c>
      <c r="M481" s="12">
        <v>6.6000000000000014</v>
      </c>
      <c r="N481" s="12">
        <v>0</v>
      </c>
      <c r="O481" s="17">
        <v>53.46</v>
      </c>
      <c r="P481" s="17"/>
      <c r="Q481" s="17">
        <v>244.44444444444449</v>
      </c>
      <c r="R481" s="14">
        <v>23.739968111111111</v>
      </c>
      <c r="S481" s="12">
        <v>6</v>
      </c>
      <c r="T481" s="12">
        <v>2.3999999999999986</v>
      </c>
      <c r="U481" s="14">
        <v>11.879999999999999</v>
      </c>
      <c r="V481" s="17">
        <v>399.99999999999977</v>
      </c>
      <c r="W481" s="14">
        <v>31.408856999999987</v>
      </c>
      <c r="X481">
        <f t="shared" si="14"/>
        <v>18.02675</v>
      </c>
      <c r="Y481">
        <f t="shared" si="15"/>
        <v>33.11108847513156</v>
      </c>
    </row>
    <row r="482" spans="1:25">
      <c r="A482" s="12" t="s">
        <v>299</v>
      </c>
      <c r="B482" s="12" t="s">
        <v>300</v>
      </c>
      <c r="C482" s="12">
        <v>14</v>
      </c>
      <c r="D482" s="12">
        <v>1.98</v>
      </c>
      <c r="E482" s="12" t="s">
        <v>302</v>
      </c>
      <c r="F482" s="13">
        <v>39476</v>
      </c>
      <c r="G482" s="12">
        <v>56.6</v>
      </c>
      <c r="H482" s="12">
        <v>2.5</v>
      </c>
      <c r="I482" s="13">
        <v>39503</v>
      </c>
      <c r="J482" s="12">
        <v>62.2</v>
      </c>
      <c r="K482" s="12">
        <v>2.5</v>
      </c>
      <c r="L482" s="12">
        <v>27</v>
      </c>
      <c r="M482" s="12">
        <v>5.6000000000000014</v>
      </c>
      <c r="N482" s="12">
        <v>0</v>
      </c>
      <c r="O482" s="17">
        <v>53.46</v>
      </c>
      <c r="P482" s="17"/>
      <c r="Q482" s="17">
        <v>207.40740740740745</v>
      </c>
      <c r="R482" s="14">
        <v>22.269131185185188</v>
      </c>
      <c r="S482" s="12">
        <v>6</v>
      </c>
      <c r="T482" s="12">
        <v>0</v>
      </c>
      <c r="U482" s="14">
        <v>11.879999999999999</v>
      </c>
      <c r="V482" s="17">
        <v>0</v>
      </c>
      <c r="W482" s="14">
        <v>12.043946</v>
      </c>
      <c r="X482">
        <f t="shared" si="14"/>
        <v>18.02675</v>
      </c>
      <c r="Y482">
        <f t="shared" si="15"/>
        <v>12.696678570497076</v>
      </c>
    </row>
    <row r="483" spans="1:25">
      <c r="A483" s="12" t="s">
        <v>299</v>
      </c>
      <c r="B483" s="12" t="s">
        <v>300</v>
      </c>
      <c r="C483" s="12">
        <v>14</v>
      </c>
      <c r="D483" s="12">
        <v>1.98</v>
      </c>
      <c r="E483" s="12" t="s">
        <v>303</v>
      </c>
      <c r="F483" s="13">
        <v>39476</v>
      </c>
      <c r="G483" s="12">
        <v>56.6</v>
      </c>
      <c r="H483" s="12">
        <v>3.25</v>
      </c>
      <c r="I483" s="13">
        <v>39503</v>
      </c>
      <c r="J483" s="12">
        <v>62.8</v>
      </c>
      <c r="K483" s="12">
        <v>3.25</v>
      </c>
      <c r="L483" s="12">
        <v>27</v>
      </c>
      <c r="M483" s="12">
        <v>6.1999999999999957</v>
      </c>
      <c r="N483" s="12">
        <v>0</v>
      </c>
      <c r="O483" s="17">
        <v>53.46</v>
      </c>
      <c r="P483" s="17"/>
      <c r="Q483" s="17">
        <v>229.62962962962945</v>
      </c>
      <c r="R483" s="14">
        <v>23.415413740740732</v>
      </c>
      <c r="S483" s="12">
        <v>6</v>
      </c>
      <c r="T483" s="12">
        <v>3.1999999999999957</v>
      </c>
      <c r="U483" s="14">
        <v>11.879999999999999</v>
      </c>
      <c r="V483" s="17">
        <v>533.33333333333269</v>
      </c>
      <c r="W483" s="14">
        <v>38.388006333333294</v>
      </c>
      <c r="X483">
        <f t="shared" si="14"/>
        <v>14.915374999999999</v>
      </c>
      <c r="Y483">
        <f t="shared" si="15"/>
        <v>33.483714032984857</v>
      </c>
    </row>
    <row r="484" spans="1:25">
      <c r="A484" s="12" t="s">
        <v>299</v>
      </c>
      <c r="B484" s="12" t="s">
        <v>300</v>
      </c>
      <c r="C484" s="12">
        <v>14</v>
      </c>
      <c r="D484" s="12">
        <v>1.98</v>
      </c>
      <c r="E484" s="12" t="s">
        <v>304</v>
      </c>
      <c r="F484" s="13">
        <v>39476</v>
      </c>
      <c r="G484" s="12">
        <v>63.6</v>
      </c>
      <c r="H484" s="12">
        <v>3.25</v>
      </c>
      <c r="I484" s="13">
        <v>39503</v>
      </c>
      <c r="J484" s="12">
        <v>73.400000000000006</v>
      </c>
      <c r="K484" s="12">
        <v>3.25</v>
      </c>
      <c r="L484" s="12">
        <v>27</v>
      </c>
      <c r="M484" s="12">
        <v>9.8000000000000043</v>
      </c>
      <c r="N484" s="12">
        <v>0</v>
      </c>
      <c r="O484" s="17">
        <v>53.46</v>
      </c>
      <c r="P484" s="17"/>
      <c r="Q484" s="17">
        <v>362.9629629629631</v>
      </c>
      <c r="R484" s="14">
        <v>31.476739074074079</v>
      </c>
      <c r="S484" s="12">
        <v>6</v>
      </c>
      <c r="T484" s="12">
        <v>6.4000000000000057</v>
      </c>
      <c r="U484" s="14">
        <v>11.879999999999999</v>
      </c>
      <c r="V484" s="17">
        <v>1066.6666666666677</v>
      </c>
      <c r="W484" s="14">
        <v>66.169331666666722</v>
      </c>
      <c r="X484">
        <f t="shared" si="14"/>
        <v>14.915374999999999</v>
      </c>
      <c r="Y484">
        <f t="shared" si="15"/>
        <v>57.715812591094092</v>
      </c>
    </row>
    <row r="485" spans="1:25">
      <c r="A485" s="12" t="s">
        <v>299</v>
      </c>
      <c r="B485" s="12" t="s">
        <v>300</v>
      </c>
      <c r="C485" s="12">
        <v>14</v>
      </c>
      <c r="D485" s="12">
        <v>1.98</v>
      </c>
      <c r="E485" s="12" t="s">
        <v>305</v>
      </c>
      <c r="F485" s="13">
        <v>39476</v>
      </c>
      <c r="G485" s="12">
        <v>52.4</v>
      </c>
      <c r="H485" s="12">
        <v>2</v>
      </c>
      <c r="I485" s="13">
        <v>39503</v>
      </c>
      <c r="J485" s="12">
        <v>63</v>
      </c>
      <c r="K485" s="12">
        <v>2</v>
      </c>
      <c r="L485" s="12">
        <v>27</v>
      </c>
      <c r="M485" s="12">
        <v>10.600000000000001</v>
      </c>
      <c r="N485" s="12">
        <v>0</v>
      </c>
      <c r="O485" s="17">
        <v>53.46</v>
      </c>
      <c r="P485" s="17"/>
      <c r="Q485" s="17">
        <v>392.59259259259267</v>
      </c>
      <c r="R485" s="14">
        <v>31.111307814814815</v>
      </c>
      <c r="S485" s="12">
        <v>6</v>
      </c>
      <c r="T485" s="12">
        <v>7</v>
      </c>
      <c r="U485" s="14">
        <v>11.879999999999999</v>
      </c>
      <c r="V485" s="17">
        <v>1166.6666666666667</v>
      </c>
      <c r="W485" s="14">
        <v>69.273159666666672</v>
      </c>
      <c r="X485">
        <f t="shared" si="14"/>
        <v>20.100999999999999</v>
      </c>
      <c r="Y485">
        <f t="shared" si="15"/>
        <v>81.43039663506822</v>
      </c>
    </row>
    <row r="486" spans="1:25">
      <c r="A486" s="12" t="s">
        <v>299</v>
      </c>
      <c r="B486" s="12" t="s">
        <v>300</v>
      </c>
      <c r="C486" s="12">
        <v>14</v>
      </c>
      <c r="D486" s="12">
        <v>1.98</v>
      </c>
      <c r="E486" s="12" t="s">
        <v>306</v>
      </c>
      <c r="F486" s="13">
        <v>39476</v>
      </c>
      <c r="G486" s="12">
        <v>53.2</v>
      </c>
      <c r="H486" s="12">
        <v>2.5</v>
      </c>
      <c r="I486" s="13">
        <v>39503</v>
      </c>
      <c r="J486" s="12">
        <v>59.6</v>
      </c>
      <c r="K486" s="12">
        <v>2.5</v>
      </c>
      <c r="L486" s="12">
        <v>27</v>
      </c>
      <c r="M486" s="12">
        <v>6.3999999999999986</v>
      </c>
      <c r="N486" s="12">
        <v>0</v>
      </c>
      <c r="O486" s="17">
        <v>53.46</v>
      </c>
      <c r="P486" s="17"/>
      <c r="Q486" s="17">
        <v>237.03703703703698</v>
      </c>
      <c r="R486" s="14">
        <v>23.222601925925922</v>
      </c>
      <c r="S486" s="12">
        <v>6</v>
      </c>
      <c r="T486" s="12">
        <v>2</v>
      </c>
      <c r="U486" s="14">
        <v>11.879999999999999</v>
      </c>
      <c r="V486" s="17">
        <v>333.33333333333331</v>
      </c>
      <c r="W486" s="14">
        <v>27.97000933333333</v>
      </c>
      <c r="X486">
        <f t="shared" si="14"/>
        <v>18.02675</v>
      </c>
      <c r="Y486">
        <f t="shared" si="15"/>
        <v>29.485869342085763</v>
      </c>
    </row>
    <row r="487" spans="1:25">
      <c r="A487" s="12" t="s">
        <v>299</v>
      </c>
      <c r="B487" s="12" t="s">
        <v>300</v>
      </c>
      <c r="C487" s="12">
        <v>14</v>
      </c>
      <c r="D487" s="12">
        <v>1.98</v>
      </c>
      <c r="E487" s="12" t="s">
        <v>307</v>
      </c>
      <c r="F487" s="13">
        <v>39476</v>
      </c>
      <c r="G487" s="12">
        <v>60.2</v>
      </c>
      <c r="H487" s="12">
        <v>2.25</v>
      </c>
      <c r="I487" s="13">
        <v>39503</v>
      </c>
      <c r="J487" s="12">
        <v>67.599999999999994</v>
      </c>
      <c r="K487" s="12">
        <v>2.25</v>
      </c>
      <c r="L487" s="12">
        <v>27</v>
      </c>
      <c r="M487" s="12">
        <v>7.3999999999999915</v>
      </c>
      <c r="N487" s="12">
        <v>0</v>
      </c>
      <c r="O487" s="17">
        <v>53.46</v>
      </c>
      <c r="P487" s="17"/>
      <c r="Q487" s="17">
        <v>274.07407407407374</v>
      </c>
      <c r="R487" s="14">
        <v>26.316702851851836</v>
      </c>
      <c r="S487" s="12">
        <v>6</v>
      </c>
      <c r="T487" s="12">
        <v>1</v>
      </c>
      <c r="U487" s="14">
        <v>11.879999999999999</v>
      </c>
      <c r="V487" s="17">
        <v>166.66666666666666</v>
      </c>
      <c r="W487" s="14">
        <v>21.021517666666664</v>
      </c>
      <c r="X487">
        <f t="shared" si="14"/>
        <v>19.063874999999999</v>
      </c>
      <c r="Y487">
        <f t="shared" si="15"/>
        <v>23.435765210972214</v>
      </c>
    </row>
    <row r="488" spans="1:25">
      <c r="A488" s="12" t="s">
        <v>299</v>
      </c>
      <c r="B488" s="12" t="s">
        <v>300</v>
      </c>
      <c r="C488" s="12">
        <v>14</v>
      </c>
      <c r="D488" s="12">
        <v>1.98</v>
      </c>
      <c r="E488" s="12" t="s">
        <v>308</v>
      </c>
      <c r="F488" s="13">
        <v>39476</v>
      </c>
      <c r="G488" s="12">
        <v>60.2</v>
      </c>
      <c r="H488" s="12">
        <v>3</v>
      </c>
      <c r="I488" s="13">
        <v>39503</v>
      </c>
      <c r="J488" s="12">
        <v>69</v>
      </c>
      <c r="K488" s="12">
        <v>3</v>
      </c>
      <c r="L488" s="12">
        <v>27</v>
      </c>
      <c r="M488" s="12">
        <v>8.7999999999999972</v>
      </c>
      <c r="N488" s="12">
        <v>0</v>
      </c>
      <c r="O488" s="17">
        <v>53.46</v>
      </c>
      <c r="P488" s="17"/>
      <c r="Q488" s="17">
        <v>325.92592592592587</v>
      </c>
      <c r="R488" s="14">
        <v>28.991362148148141</v>
      </c>
      <c r="S488" s="12">
        <v>6</v>
      </c>
      <c r="T488" s="12">
        <v>2.4000000000000057</v>
      </c>
      <c r="U488" s="14">
        <v>11.879999999999999</v>
      </c>
      <c r="V488" s="17">
        <v>400.00000000000097</v>
      </c>
      <c r="W488" s="14">
        <v>32.643214000000043</v>
      </c>
      <c r="X488">
        <f t="shared" si="14"/>
        <v>15.952499999999999</v>
      </c>
      <c r="Y488">
        <f t="shared" si="15"/>
        <v>30.45268253421056</v>
      </c>
    </row>
    <row r="489" spans="1:25">
      <c r="A489" s="12" t="s">
        <v>299</v>
      </c>
      <c r="B489" s="12" t="s">
        <v>300</v>
      </c>
      <c r="C489" s="12">
        <v>14</v>
      </c>
      <c r="D489" s="12">
        <v>1.98</v>
      </c>
      <c r="E489" s="12" t="s">
        <v>309</v>
      </c>
      <c r="F489" s="13">
        <v>39476</v>
      </c>
      <c r="G489" s="12">
        <v>50.6</v>
      </c>
      <c r="H489" s="12">
        <v>1.75</v>
      </c>
      <c r="I489" s="13">
        <v>39503</v>
      </c>
      <c r="J489" s="12">
        <v>62.4</v>
      </c>
      <c r="K489" s="12">
        <v>2</v>
      </c>
      <c r="L489" s="12">
        <v>27</v>
      </c>
      <c r="M489" s="12">
        <v>11.799999999999997</v>
      </c>
      <c r="N489" s="12">
        <v>0.25</v>
      </c>
      <c r="O489" s="17">
        <v>53.46</v>
      </c>
      <c r="P489" s="17"/>
      <c r="Q489" s="17">
        <v>437.03703703703695</v>
      </c>
      <c r="R489" s="14">
        <v>33.099510925925919</v>
      </c>
      <c r="S489" s="12">
        <v>6</v>
      </c>
      <c r="T489" s="12">
        <v>2.1999999999999957</v>
      </c>
      <c r="U489" s="14">
        <v>11.879999999999999</v>
      </c>
      <c r="V489" s="17">
        <v>366.66666666666595</v>
      </c>
      <c r="W489" s="14">
        <v>29.630251666666631</v>
      </c>
      <c r="X489">
        <f t="shared" si="14"/>
        <v>21.138124999999999</v>
      </c>
      <c r="Y489">
        <f t="shared" si="15"/>
        <v>36.627366287219736</v>
      </c>
    </row>
    <row r="490" spans="1:25">
      <c r="A490" s="12" t="s">
        <v>299</v>
      </c>
      <c r="B490" s="12" t="s">
        <v>300</v>
      </c>
      <c r="C490" s="12">
        <v>14</v>
      </c>
      <c r="D490" s="12">
        <v>1.98</v>
      </c>
      <c r="E490" s="12" t="s">
        <v>310</v>
      </c>
      <c r="F490" s="13">
        <v>39476</v>
      </c>
      <c r="G490" s="12">
        <v>63.2</v>
      </c>
      <c r="H490" s="12">
        <v>2.5</v>
      </c>
      <c r="I490" s="13">
        <v>39503</v>
      </c>
      <c r="J490" s="12">
        <v>72</v>
      </c>
      <c r="K490" s="12">
        <v>2.5</v>
      </c>
      <c r="L490" s="12">
        <v>27</v>
      </c>
      <c r="M490" s="12">
        <v>8.7999999999999972</v>
      </c>
      <c r="N490" s="12">
        <v>0</v>
      </c>
      <c r="O490" s="17">
        <v>53.46</v>
      </c>
      <c r="P490" s="17"/>
      <c r="Q490" s="17">
        <v>325.92592592592587</v>
      </c>
      <c r="R490" s="14">
        <v>29.49863214814814</v>
      </c>
      <c r="S490" s="12">
        <v>6</v>
      </c>
      <c r="T490" s="12">
        <v>3</v>
      </c>
      <c r="U490" s="14">
        <v>11.879999999999999</v>
      </c>
      <c r="V490" s="17">
        <v>500</v>
      </c>
      <c r="W490" s="14">
        <v>38.080483999999998</v>
      </c>
      <c r="X490">
        <f t="shared" si="14"/>
        <v>18.02675</v>
      </c>
      <c r="Y490">
        <f t="shared" si="15"/>
        <v>40.144290347777769</v>
      </c>
    </row>
    <row r="491" spans="1:25">
      <c r="A491" s="12" t="s">
        <v>299</v>
      </c>
      <c r="B491" s="12" t="s">
        <v>300</v>
      </c>
      <c r="C491" s="12">
        <v>14</v>
      </c>
      <c r="D491" s="12">
        <v>1.98</v>
      </c>
      <c r="E491" s="12" t="s">
        <v>311</v>
      </c>
      <c r="F491" s="13">
        <v>39476</v>
      </c>
      <c r="G491" s="12">
        <v>57.2</v>
      </c>
      <c r="H491" s="12">
        <v>3.5</v>
      </c>
      <c r="I491" s="13">
        <v>39503</v>
      </c>
      <c r="J491" s="12">
        <v>68</v>
      </c>
      <c r="K491" s="12">
        <v>3.5</v>
      </c>
      <c r="L491" s="12">
        <v>27</v>
      </c>
      <c r="M491" s="12">
        <v>10.799999999999997</v>
      </c>
      <c r="N491" s="12">
        <v>0</v>
      </c>
      <c r="O491" s="17">
        <v>53.46</v>
      </c>
      <c r="P491" s="17"/>
      <c r="Q491" s="17">
        <v>399.99999999999989</v>
      </c>
      <c r="R491" s="14">
        <v>32.305033999999992</v>
      </c>
      <c r="S491" s="12">
        <v>6</v>
      </c>
      <c r="T491" s="12">
        <v>-0.40000000000000568</v>
      </c>
      <c r="U491" s="14">
        <v>11.879999999999999</v>
      </c>
      <c r="V491" s="17">
        <v>-66.666666666667609</v>
      </c>
      <c r="W491" s="14">
        <v>9.298367333333287</v>
      </c>
      <c r="X491">
        <f t="shared" si="14"/>
        <v>13.878249999999998</v>
      </c>
      <c r="Y491">
        <f t="shared" si="15"/>
        <v>7.5464951136744247</v>
      </c>
    </row>
    <row r="492" spans="1:25">
      <c r="A492" s="12" t="s">
        <v>299</v>
      </c>
      <c r="B492" s="12" t="s">
        <v>300</v>
      </c>
      <c r="C492" s="12">
        <v>14</v>
      </c>
      <c r="D492" s="12">
        <v>1.98</v>
      </c>
      <c r="E492" s="12" t="s">
        <v>312</v>
      </c>
      <c r="F492" s="13">
        <v>39476</v>
      </c>
      <c r="G492" s="12">
        <v>48.2</v>
      </c>
      <c r="H492" s="12">
        <v>2.25</v>
      </c>
      <c r="I492" s="13">
        <v>39503</v>
      </c>
      <c r="J492" s="12">
        <v>58</v>
      </c>
      <c r="K492" s="12">
        <v>2.25</v>
      </c>
      <c r="L492" s="12">
        <v>27</v>
      </c>
      <c r="M492" s="12">
        <v>9.7999999999999972</v>
      </c>
      <c r="N492" s="12">
        <v>0</v>
      </c>
      <c r="O492" s="17">
        <v>53.46</v>
      </c>
      <c r="P492" s="17"/>
      <c r="Q492" s="17">
        <v>362.96296296296288</v>
      </c>
      <c r="R492" s="14">
        <v>28.872753074074069</v>
      </c>
      <c r="S492" s="12">
        <v>6</v>
      </c>
      <c r="T492" s="12">
        <v>2</v>
      </c>
      <c r="U492" s="14">
        <v>11.879999999999999</v>
      </c>
      <c r="V492" s="17">
        <v>333.33333333333331</v>
      </c>
      <c r="W492" s="14">
        <v>27.41201233333333</v>
      </c>
      <c r="X492">
        <f t="shared" si="14"/>
        <v>19.063874999999999</v>
      </c>
      <c r="Y492">
        <f t="shared" si="15"/>
        <v>30.560185767317243</v>
      </c>
    </row>
    <row r="493" spans="1:25">
      <c r="A493" s="12" t="s">
        <v>299</v>
      </c>
      <c r="B493" s="12" t="s">
        <v>300</v>
      </c>
      <c r="C493" s="12">
        <v>14</v>
      </c>
      <c r="D493" s="12">
        <v>1.98</v>
      </c>
      <c r="E493" s="12" t="s">
        <v>313</v>
      </c>
      <c r="F493" s="13">
        <v>39476</v>
      </c>
      <c r="G493" s="12">
        <v>66.400000000000006</v>
      </c>
      <c r="H493" s="12">
        <v>2.5</v>
      </c>
      <c r="I493" s="13">
        <v>39503</v>
      </c>
      <c r="J493" s="12">
        <v>76.2</v>
      </c>
      <c r="K493" s="12">
        <v>2.5</v>
      </c>
      <c r="L493" s="12">
        <v>27</v>
      </c>
      <c r="M493" s="12">
        <v>9.7999999999999972</v>
      </c>
      <c r="N493" s="12">
        <v>0</v>
      </c>
      <c r="O493" s="17">
        <v>53.46</v>
      </c>
      <c r="P493" s="17"/>
      <c r="Q493" s="17">
        <v>362.96296296296288</v>
      </c>
      <c r="R493" s="14">
        <v>31.95019107407407</v>
      </c>
      <c r="S493" s="12">
        <v>6</v>
      </c>
      <c r="T493" s="12">
        <v>3.2000000000000028</v>
      </c>
      <c r="U493" s="14">
        <v>11.879999999999999</v>
      </c>
      <c r="V493" s="17">
        <v>533.33333333333383</v>
      </c>
      <c r="W493" s="14">
        <v>40.349450333333358</v>
      </c>
      <c r="X493">
        <f t="shared" si="14"/>
        <v>18.02675</v>
      </c>
      <c r="Y493">
        <f t="shared" si="15"/>
        <v>42.536225368211525</v>
      </c>
    </row>
    <row r="494" spans="1:25">
      <c r="A494" s="12" t="s">
        <v>299</v>
      </c>
      <c r="B494" s="12" t="s">
        <v>300</v>
      </c>
      <c r="C494" s="12">
        <v>14</v>
      </c>
      <c r="D494" s="12">
        <v>1.98</v>
      </c>
      <c r="E494" s="12" t="s">
        <v>314</v>
      </c>
      <c r="F494" s="13">
        <v>39476</v>
      </c>
      <c r="G494" s="12">
        <v>48.4</v>
      </c>
      <c r="H494" s="12">
        <v>2</v>
      </c>
      <c r="I494" s="13">
        <v>39503</v>
      </c>
      <c r="J494" s="12">
        <v>53.8</v>
      </c>
      <c r="K494" s="12">
        <v>2</v>
      </c>
      <c r="L494" s="12">
        <v>27</v>
      </c>
      <c r="M494" s="12">
        <v>5.3999999999999986</v>
      </c>
      <c r="N494" s="12">
        <v>0</v>
      </c>
      <c r="O494" s="17">
        <v>53.46</v>
      </c>
      <c r="P494" s="17"/>
      <c r="Q494" s="17">
        <v>199.99999999999994</v>
      </c>
      <c r="R494" s="14">
        <v>20.500498999999998</v>
      </c>
      <c r="S494" s="12">
        <v>6</v>
      </c>
      <c r="T494" s="12">
        <v>1.3999999999999986</v>
      </c>
      <c r="U494" s="14">
        <v>11.879999999999999</v>
      </c>
      <c r="V494" s="17">
        <v>233.33333333333309</v>
      </c>
      <c r="W494" s="14">
        <v>22.143832333333322</v>
      </c>
      <c r="X494">
        <f t="shared" si="14"/>
        <v>20.100999999999999</v>
      </c>
      <c r="Y494">
        <f t="shared" si="15"/>
        <v>26.030010159785558</v>
      </c>
    </row>
    <row r="495" spans="1:25">
      <c r="A495" s="12" t="s">
        <v>299</v>
      </c>
      <c r="B495" s="12" t="s">
        <v>300</v>
      </c>
      <c r="C495" s="12">
        <v>14</v>
      </c>
      <c r="D495" s="12">
        <v>1.98</v>
      </c>
      <c r="E495" s="12" t="s">
        <v>315</v>
      </c>
      <c r="F495" s="13">
        <v>39476</v>
      </c>
      <c r="G495" s="12">
        <v>53</v>
      </c>
      <c r="H495" s="12">
        <v>2</v>
      </c>
      <c r="I495" s="13">
        <v>39503</v>
      </c>
      <c r="J495" s="12">
        <v>62</v>
      </c>
      <c r="K495" s="12">
        <v>2</v>
      </c>
      <c r="L495" s="12">
        <v>27</v>
      </c>
      <c r="M495" s="12">
        <v>9</v>
      </c>
      <c r="N495" s="12">
        <v>0</v>
      </c>
      <c r="O495" s="17">
        <v>53.46</v>
      </c>
      <c r="P495" s="17"/>
      <c r="Q495" s="17">
        <v>333.33333333333331</v>
      </c>
      <c r="R495" s="14">
        <v>28.156008333333329</v>
      </c>
      <c r="S495" s="12">
        <v>6</v>
      </c>
      <c r="T495" s="12">
        <v>1</v>
      </c>
      <c r="U495" s="14">
        <v>11.879999999999999</v>
      </c>
      <c r="V495" s="17">
        <v>166.66666666666666</v>
      </c>
      <c r="W495" s="14">
        <v>19.939341666666664</v>
      </c>
      <c r="X495">
        <f t="shared" si="14"/>
        <v>20.100999999999999</v>
      </c>
      <c r="Y495">
        <f t="shared" si="15"/>
        <v>23.438637826998043</v>
      </c>
    </row>
    <row r="496" spans="1:25">
      <c r="A496" s="12" t="s">
        <v>299</v>
      </c>
      <c r="B496" s="12" t="s">
        <v>300</v>
      </c>
      <c r="C496" s="12">
        <v>14</v>
      </c>
      <c r="D496" s="12">
        <v>1.98</v>
      </c>
      <c r="E496" s="12" t="s">
        <v>316</v>
      </c>
      <c r="F496" s="13">
        <v>39476</v>
      </c>
      <c r="G496" s="12">
        <v>60</v>
      </c>
      <c r="H496" s="12">
        <v>2</v>
      </c>
      <c r="I496" s="13">
        <v>39503</v>
      </c>
      <c r="J496" s="12">
        <v>68.2</v>
      </c>
      <c r="K496" s="12">
        <v>2</v>
      </c>
      <c r="L496" s="12">
        <v>27</v>
      </c>
      <c r="M496" s="12">
        <v>8.2000000000000028</v>
      </c>
      <c r="N496" s="12">
        <v>0</v>
      </c>
      <c r="O496" s="17">
        <v>53.46</v>
      </c>
      <c r="P496" s="17"/>
      <c r="Q496" s="17">
        <v>303.70370370370381</v>
      </c>
      <c r="R496" s="14">
        <v>27.811261592592594</v>
      </c>
      <c r="S496" s="12">
        <v>6</v>
      </c>
      <c r="T496" s="12">
        <v>3.2000000000000028</v>
      </c>
      <c r="U496" s="14">
        <v>11.879999999999999</v>
      </c>
      <c r="V496" s="17">
        <v>533.33333333333383</v>
      </c>
      <c r="W496" s="14">
        <v>39.132002333333354</v>
      </c>
      <c r="X496">
        <f t="shared" si="14"/>
        <v>20.100999999999999</v>
      </c>
      <c r="Y496">
        <f t="shared" si="15"/>
        <v>45.9995543217739</v>
      </c>
    </row>
    <row r="497" spans="1:25">
      <c r="A497" s="12" t="s">
        <v>299</v>
      </c>
      <c r="B497" s="12" t="s">
        <v>300</v>
      </c>
      <c r="C497" s="12">
        <v>14</v>
      </c>
      <c r="D497" s="12">
        <v>1.98</v>
      </c>
      <c r="E497" s="12" t="s">
        <v>317</v>
      </c>
      <c r="F497" s="13">
        <v>39476</v>
      </c>
      <c r="G497" s="12">
        <v>64.2</v>
      </c>
      <c r="H497" s="12">
        <v>3</v>
      </c>
      <c r="I497" s="13">
        <v>39503</v>
      </c>
      <c r="J497" s="12">
        <v>74.2</v>
      </c>
      <c r="K497" s="12">
        <v>3</v>
      </c>
      <c r="L497" s="12">
        <v>27</v>
      </c>
      <c r="M497" s="12">
        <v>10</v>
      </c>
      <c r="N497" s="12">
        <v>0</v>
      </c>
      <c r="O497" s="17">
        <v>53.46</v>
      </c>
      <c r="P497" s="17"/>
      <c r="Q497" s="17">
        <v>370.37037037037032</v>
      </c>
      <c r="R497" s="14">
        <v>31.960287259259253</v>
      </c>
      <c r="S497" s="12">
        <v>6</v>
      </c>
      <c r="T497" s="12">
        <v>6.2000000000000028</v>
      </c>
      <c r="U497" s="14">
        <v>11.879999999999999</v>
      </c>
      <c r="V497" s="17">
        <v>1033.3333333333339</v>
      </c>
      <c r="W497" s="14">
        <v>64.644361333333364</v>
      </c>
      <c r="X497">
        <f t="shared" si="14"/>
        <v>15.952499999999999</v>
      </c>
      <c r="Y497">
        <f t="shared" si="15"/>
        <v>60.306384454385991</v>
      </c>
    </row>
    <row r="498" spans="1:25">
      <c r="A498" s="12" t="s">
        <v>299</v>
      </c>
      <c r="B498" s="12" t="s">
        <v>300</v>
      </c>
      <c r="C498" s="12">
        <v>14</v>
      </c>
      <c r="D498" s="12">
        <v>1.98</v>
      </c>
      <c r="E498" s="12" t="s">
        <v>318</v>
      </c>
      <c r="F498" s="13">
        <v>39476</v>
      </c>
      <c r="G498" s="12">
        <v>56.4</v>
      </c>
      <c r="H498" s="12">
        <v>2.5</v>
      </c>
      <c r="I498" s="13">
        <v>39503</v>
      </c>
      <c r="J498" s="12">
        <v>65.599999999999994</v>
      </c>
      <c r="K498" s="12">
        <v>2.5</v>
      </c>
      <c r="L498" s="12">
        <v>27</v>
      </c>
      <c r="M498" s="12">
        <v>9.1999999999999957</v>
      </c>
      <c r="N498" s="12">
        <v>0</v>
      </c>
      <c r="O498" s="17">
        <v>53.46</v>
      </c>
      <c r="P498" s="17"/>
      <c r="Q498" s="17">
        <v>340.74074074074059</v>
      </c>
      <c r="R498" s="14">
        <v>29.113008518518509</v>
      </c>
      <c r="S498" s="12">
        <v>6</v>
      </c>
      <c r="T498" s="12">
        <v>3.7999999999999972</v>
      </c>
      <c r="U498" s="14">
        <v>11.879999999999999</v>
      </c>
      <c r="V498" s="17">
        <v>633.3333333333328</v>
      </c>
      <c r="W498" s="14">
        <v>43.537823333333307</v>
      </c>
      <c r="X498">
        <f t="shared" si="14"/>
        <v>18.02675</v>
      </c>
      <c r="Y498">
        <f t="shared" si="15"/>
        <v>45.897395132992173</v>
      </c>
    </row>
    <row r="499" spans="1:25">
      <c r="A499" s="12" t="s">
        <v>299</v>
      </c>
      <c r="B499" s="12" t="s">
        <v>300</v>
      </c>
      <c r="C499" s="12">
        <v>14</v>
      </c>
      <c r="D499" s="12">
        <v>1.98</v>
      </c>
      <c r="E499" s="12" t="s">
        <v>319</v>
      </c>
      <c r="F499" s="13">
        <v>39476</v>
      </c>
      <c r="G499" s="12">
        <v>64</v>
      </c>
      <c r="H499" s="12">
        <v>3</v>
      </c>
      <c r="I499" s="13">
        <v>39503</v>
      </c>
      <c r="J499" s="12">
        <v>76.599999999999994</v>
      </c>
      <c r="K499" s="12">
        <v>3</v>
      </c>
      <c r="L499" s="12">
        <v>27</v>
      </c>
      <c r="M499" s="12">
        <v>12.599999999999994</v>
      </c>
      <c r="N499" s="12">
        <v>0</v>
      </c>
      <c r="O499" s="17">
        <v>53.46</v>
      </c>
      <c r="P499" s="17"/>
      <c r="Q499" s="17">
        <v>466.66666666666646</v>
      </c>
      <c r="R499" s="14">
        <v>36.89369366666665</v>
      </c>
      <c r="S499" s="12">
        <v>6</v>
      </c>
      <c r="T499" s="12">
        <v>7.7999999999999972</v>
      </c>
      <c r="U499" s="14">
        <v>11.879999999999999</v>
      </c>
      <c r="V499" s="17">
        <v>1299.9999999999995</v>
      </c>
      <c r="W499" s="14">
        <v>77.977026999999978</v>
      </c>
      <c r="X499">
        <f t="shared" si="14"/>
        <v>15.952499999999999</v>
      </c>
      <c r="Y499">
        <f t="shared" si="15"/>
        <v>72.744358082894706</v>
      </c>
    </row>
    <row r="500" spans="1:25">
      <c r="A500" s="12" t="s">
        <v>299</v>
      </c>
      <c r="B500" s="12" t="s">
        <v>300</v>
      </c>
      <c r="C500" s="12">
        <v>14</v>
      </c>
      <c r="D500" s="12">
        <v>1.98</v>
      </c>
      <c r="E500" s="12" t="s">
        <v>320</v>
      </c>
      <c r="F500" s="13">
        <v>39476</v>
      </c>
      <c r="G500" s="12">
        <v>54</v>
      </c>
      <c r="H500" s="12">
        <v>2.5</v>
      </c>
      <c r="I500" s="13">
        <v>39503</v>
      </c>
      <c r="J500" s="12">
        <v>60.2</v>
      </c>
      <c r="K500" s="12">
        <v>2.5</v>
      </c>
      <c r="L500" s="12">
        <v>27</v>
      </c>
      <c r="M500" s="12">
        <v>6.2000000000000028</v>
      </c>
      <c r="N500" s="12">
        <v>0</v>
      </c>
      <c r="O500" s="17">
        <v>53.46</v>
      </c>
      <c r="P500" s="17"/>
      <c r="Q500" s="17">
        <v>229.62962962962973</v>
      </c>
      <c r="R500" s="14">
        <v>22.975779740740748</v>
      </c>
      <c r="S500" s="12">
        <v>6</v>
      </c>
      <c r="T500" s="12">
        <v>3.6000000000000014</v>
      </c>
      <c r="U500" s="14">
        <v>11.879999999999999</v>
      </c>
      <c r="V500" s="17">
        <v>600.00000000000023</v>
      </c>
      <c r="W500" s="14">
        <v>41.235039000000008</v>
      </c>
      <c r="X500">
        <f t="shared" si="14"/>
        <v>18.02675</v>
      </c>
      <c r="Y500">
        <f t="shared" si="15"/>
        <v>43.469809315394741</v>
      </c>
    </row>
    <row r="501" spans="1:25">
      <c r="A501" s="12" t="s">
        <v>299</v>
      </c>
      <c r="B501" s="12" t="s">
        <v>300</v>
      </c>
      <c r="C501" s="12">
        <v>14</v>
      </c>
      <c r="D501" s="12">
        <v>1.98</v>
      </c>
      <c r="E501" s="12" t="s">
        <v>321</v>
      </c>
      <c r="F501" s="13">
        <v>39476</v>
      </c>
      <c r="G501" s="12">
        <v>59.2</v>
      </c>
      <c r="H501" s="12">
        <v>1.75</v>
      </c>
      <c r="I501" s="13">
        <v>39503</v>
      </c>
      <c r="J501" s="12">
        <v>70.2</v>
      </c>
      <c r="K501" s="12">
        <v>1.75</v>
      </c>
      <c r="L501" s="12">
        <v>27</v>
      </c>
      <c r="M501" s="12">
        <v>11</v>
      </c>
      <c r="N501" s="12">
        <v>0</v>
      </c>
      <c r="O501" s="17">
        <v>53.46</v>
      </c>
      <c r="P501" s="17"/>
      <c r="Q501" s="17">
        <v>407.40740740740739</v>
      </c>
      <c r="R501" s="14">
        <v>33.025308185185182</v>
      </c>
      <c r="S501" s="12">
        <v>6</v>
      </c>
      <c r="T501" s="12">
        <v>3.4000000000000057</v>
      </c>
      <c r="U501" s="14">
        <v>11.879999999999999</v>
      </c>
      <c r="V501" s="17">
        <v>566.66666666666765</v>
      </c>
      <c r="W501" s="14">
        <v>40.87678966666671</v>
      </c>
      <c r="X501">
        <f t="shared" si="14"/>
        <v>21.138124999999999</v>
      </c>
      <c r="Y501">
        <f t="shared" si="15"/>
        <v>50.529747928228609</v>
      </c>
    </row>
    <row r="502" spans="1:25">
      <c r="A502" s="12" t="s">
        <v>299</v>
      </c>
      <c r="B502" s="12" t="s">
        <v>300</v>
      </c>
      <c r="C502" s="12">
        <v>14</v>
      </c>
      <c r="D502" s="12">
        <v>1.98</v>
      </c>
      <c r="E502" s="12" t="s">
        <v>322</v>
      </c>
      <c r="F502" s="13">
        <v>39476</v>
      </c>
      <c r="G502" s="12">
        <v>57.8</v>
      </c>
      <c r="H502" s="12">
        <v>1.75</v>
      </c>
      <c r="I502" s="13">
        <v>39503</v>
      </c>
      <c r="J502" s="12">
        <v>64.2</v>
      </c>
      <c r="K502" s="12">
        <v>1.75</v>
      </c>
      <c r="L502" s="12">
        <v>27</v>
      </c>
      <c r="M502" s="12">
        <v>6.4000000000000057</v>
      </c>
      <c r="N502" s="12">
        <v>0</v>
      </c>
      <c r="O502" s="17">
        <v>53.46</v>
      </c>
      <c r="P502" s="17"/>
      <c r="Q502" s="17">
        <v>237.03703703703724</v>
      </c>
      <c r="R502" s="14">
        <v>24.000415925925935</v>
      </c>
      <c r="S502" s="12">
        <v>6</v>
      </c>
      <c r="T502" s="12">
        <v>2</v>
      </c>
      <c r="U502" s="14">
        <v>11.879999999999999</v>
      </c>
      <c r="V502" s="17">
        <v>333.33333333333331</v>
      </c>
      <c r="W502" s="14">
        <v>28.747823333333329</v>
      </c>
      <c r="X502">
        <f t="shared" si="14"/>
        <v>21.138124999999999</v>
      </c>
      <c r="Y502">
        <f t="shared" si="15"/>
        <v>35.53655456712962</v>
      </c>
    </row>
    <row r="503" spans="1:25">
      <c r="A503" s="12" t="s">
        <v>299</v>
      </c>
      <c r="B503" s="12" t="s">
        <v>300</v>
      </c>
      <c r="C503" s="12">
        <v>14</v>
      </c>
      <c r="D503" s="12">
        <v>1.98</v>
      </c>
      <c r="E503" s="12" t="s">
        <v>323</v>
      </c>
      <c r="F503" s="13">
        <v>39476</v>
      </c>
      <c r="G503" s="12">
        <v>56.2</v>
      </c>
      <c r="H503" s="12">
        <v>2.75</v>
      </c>
      <c r="I503" s="13">
        <v>39503</v>
      </c>
      <c r="J503" s="12">
        <v>68</v>
      </c>
      <c r="K503" s="12">
        <v>2.75</v>
      </c>
      <c r="L503" s="12">
        <v>27</v>
      </c>
      <c r="M503" s="12">
        <v>11.799999999999997</v>
      </c>
      <c r="N503" s="12">
        <v>0</v>
      </c>
      <c r="O503" s="17">
        <v>53.46</v>
      </c>
      <c r="P503" s="17"/>
      <c r="Q503" s="17">
        <v>437.03703703703695</v>
      </c>
      <c r="R503" s="14">
        <v>34.046414925925923</v>
      </c>
      <c r="S503" s="12">
        <v>6</v>
      </c>
      <c r="T503" s="12">
        <v>3.7999999999999972</v>
      </c>
      <c r="U503" s="14">
        <v>11.879999999999999</v>
      </c>
      <c r="V503" s="17">
        <v>633.3333333333328</v>
      </c>
      <c r="W503" s="14">
        <v>43.723822333333302</v>
      </c>
      <c r="X503">
        <f t="shared" si="14"/>
        <v>16.989624999999997</v>
      </c>
      <c r="Y503">
        <f t="shared" si="15"/>
        <v>43.441599123389331</v>
      </c>
    </row>
    <row r="504" spans="1:25">
      <c r="A504" s="12" t="s">
        <v>299</v>
      </c>
      <c r="B504" s="12" t="s">
        <v>300</v>
      </c>
      <c r="C504" s="12">
        <v>14</v>
      </c>
      <c r="D504" s="12">
        <v>1.98</v>
      </c>
      <c r="E504" s="12" t="s">
        <v>324</v>
      </c>
      <c r="F504" s="13">
        <v>39476</v>
      </c>
      <c r="G504" s="12">
        <v>58</v>
      </c>
      <c r="H504" s="12">
        <v>2.25</v>
      </c>
      <c r="I504" s="13">
        <v>39503</v>
      </c>
      <c r="J504" s="12">
        <v>66.400000000000006</v>
      </c>
      <c r="K504" s="12">
        <v>2.25</v>
      </c>
      <c r="L504" s="12">
        <v>27</v>
      </c>
      <c r="M504" s="12">
        <v>8.4000000000000057</v>
      </c>
      <c r="N504" s="12">
        <v>0</v>
      </c>
      <c r="O504" s="17">
        <v>53.46</v>
      </c>
      <c r="P504" s="17"/>
      <c r="Q504" s="17">
        <v>311.11111111111131</v>
      </c>
      <c r="R504" s="14">
        <v>27.855175777777788</v>
      </c>
      <c r="S504" s="12">
        <v>6</v>
      </c>
      <c r="T504" s="12">
        <v>-1.5999999999999943</v>
      </c>
      <c r="U504" s="14">
        <v>11.879999999999999</v>
      </c>
      <c r="V504" s="17">
        <v>-266.66666666666572</v>
      </c>
      <c r="W504" s="14">
        <v>-0.62926866666661851</v>
      </c>
      <c r="X504">
        <f t="shared" si="14"/>
        <v>19.063874999999999</v>
      </c>
      <c r="Y504">
        <f t="shared" si="15"/>
        <v>-0.70153796507304567</v>
      </c>
    </row>
    <row r="505" spans="1:25">
      <c r="A505" s="12" t="s">
        <v>299</v>
      </c>
      <c r="B505" s="12" t="s">
        <v>300</v>
      </c>
      <c r="C505" s="12">
        <v>14</v>
      </c>
      <c r="D505" s="12">
        <v>1.98</v>
      </c>
      <c r="E505" s="12" t="s">
        <v>325</v>
      </c>
      <c r="F505" s="13">
        <v>39476</v>
      </c>
      <c r="G505" s="12">
        <v>67</v>
      </c>
      <c r="H505" s="12">
        <v>2.25</v>
      </c>
      <c r="I505" s="13">
        <v>39503</v>
      </c>
      <c r="J505" s="12">
        <v>70.8</v>
      </c>
      <c r="K505" s="12">
        <v>2.25</v>
      </c>
      <c r="L505" s="12">
        <v>27</v>
      </c>
      <c r="M505" s="12">
        <v>3.7999999999999972</v>
      </c>
      <c r="N505" s="12">
        <v>0</v>
      </c>
      <c r="O505" s="17">
        <v>53.46</v>
      </c>
      <c r="P505" s="17"/>
      <c r="Q505" s="17">
        <v>140.74074074074065</v>
      </c>
      <c r="R505" s="14">
        <v>20.588819518518513</v>
      </c>
      <c r="S505" s="12">
        <v>6</v>
      </c>
      <c r="T505" s="12">
        <v>1.7999999999999972</v>
      </c>
      <c r="U505" s="14">
        <v>11.879999999999999</v>
      </c>
      <c r="V505" s="17">
        <v>299.99999999999955</v>
      </c>
      <c r="W505" s="14">
        <v>28.440300999999977</v>
      </c>
      <c r="X505">
        <f t="shared" si="14"/>
        <v>19.063874999999999</v>
      </c>
      <c r="Y505">
        <f t="shared" si="15"/>
        <v>31.706569779320144</v>
      </c>
    </row>
    <row r="506" spans="1:25">
      <c r="A506" s="12" t="s">
        <v>299</v>
      </c>
      <c r="B506" s="12" t="s">
        <v>300</v>
      </c>
      <c r="C506" s="12">
        <v>14</v>
      </c>
      <c r="D506" s="12">
        <v>1.98</v>
      </c>
      <c r="E506" s="12" t="s">
        <v>326</v>
      </c>
      <c r="F506" s="13">
        <v>39476</v>
      </c>
      <c r="G506" s="12">
        <v>70.599999999999994</v>
      </c>
      <c r="H506" s="12">
        <v>3</v>
      </c>
      <c r="I506" s="13">
        <v>39503</v>
      </c>
      <c r="J506" s="12">
        <v>82.6</v>
      </c>
      <c r="K506" s="12">
        <v>3</v>
      </c>
      <c r="L506" s="12">
        <v>27</v>
      </c>
      <c r="M506" s="12">
        <v>12</v>
      </c>
      <c r="N506" s="12">
        <v>0</v>
      </c>
      <c r="O506" s="17">
        <v>53.46</v>
      </c>
      <c r="P506" s="17"/>
      <c r="Q506" s="17">
        <v>444.4444444444444</v>
      </c>
      <c r="R506" s="14">
        <v>36.863405111111106</v>
      </c>
      <c r="S506" s="12">
        <v>6</v>
      </c>
      <c r="T506" s="12">
        <v>7.1999999999999886</v>
      </c>
      <c r="U506" s="14">
        <v>11.879999999999999</v>
      </c>
      <c r="V506" s="17">
        <v>1199.9999999999982</v>
      </c>
      <c r="W506" s="14">
        <v>74.112293999999906</v>
      </c>
      <c r="X506">
        <f t="shared" si="14"/>
        <v>15.952499999999999</v>
      </c>
      <c r="Y506">
        <f t="shared" si="15"/>
        <v>69.13896900789463</v>
      </c>
    </row>
    <row r="507" spans="1:25">
      <c r="A507" s="12" t="s">
        <v>299</v>
      </c>
      <c r="B507" s="12" t="s">
        <v>300</v>
      </c>
      <c r="C507" s="12">
        <v>14</v>
      </c>
      <c r="D507" s="12">
        <v>1.98</v>
      </c>
      <c r="E507" s="12" t="s">
        <v>327</v>
      </c>
      <c r="F507" s="13">
        <v>39476</v>
      </c>
      <c r="G507" s="12">
        <v>61.6</v>
      </c>
      <c r="H507" s="12">
        <v>2.5</v>
      </c>
      <c r="I507" s="13">
        <v>39503</v>
      </c>
      <c r="J507" s="12">
        <v>71.2</v>
      </c>
      <c r="K507" s="12">
        <v>2.5</v>
      </c>
      <c r="L507" s="12">
        <v>27</v>
      </c>
      <c r="M507" s="12">
        <v>9.6000000000000014</v>
      </c>
      <c r="N507" s="12">
        <v>0</v>
      </c>
      <c r="O507" s="17">
        <v>53.46</v>
      </c>
      <c r="P507" s="17"/>
      <c r="Q507" s="17">
        <v>355.5555555555556</v>
      </c>
      <c r="R507" s="14">
        <v>30.756464888888893</v>
      </c>
      <c r="S507" s="12">
        <v>6</v>
      </c>
      <c r="T507" s="12">
        <v>2.6000000000000085</v>
      </c>
      <c r="U507" s="14">
        <v>11.879999999999999</v>
      </c>
      <c r="V507" s="17">
        <v>433.33333333333474</v>
      </c>
      <c r="W507" s="14">
        <v>34.5909093333334</v>
      </c>
      <c r="X507">
        <f t="shared" si="14"/>
        <v>18.02675</v>
      </c>
      <c r="Y507">
        <f t="shared" si="15"/>
        <v>36.46559501898642</v>
      </c>
    </row>
    <row r="508" spans="1:25">
      <c r="A508" s="12" t="s">
        <v>299</v>
      </c>
      <c r="B508" s="12" t="s">
        <v>300</v>
      </c>
      <c r="C508" s="12">
        <v>14</v>
      </c>
      <c r="D508" s="12">
        <v>1.98</v>
      </c>
      <c r="E508" s="12" t="s">
        <v>328</v>
      </c>
      <c r="F508" s="13">
        <v>39476</v>
      </c>
      <c r="G508" s="12">
        <v>60</v>
      </c>
      <c r="H508" s="12">
        <v>2.5</v>
      </c>
      <c r="I508" s="13">
        <v>39503</v>
      </c>
      <c r="J508" s="12">
        <v>66.599999999999994</v>
      </c>
      <c r="K508" s="12">
        <v>2.5</v>
      </c>
      <c r="L508" s="12">
        <v>27</v>
      </c>
      <c r="M508" s="12">
        <v>6.5999999999999943</v>
      </c>
      <c r="N508" s="12">
        <v>0</v>
      </c>
      <c r="O508" s="17">
        <v>53.46</v>
      </c>
      <c r="P508" s="17"/>
      <c r="Q508" s="17">
        <v>244.44444444444423</v>
      </c>
      <c r="R508" s="14">
        <v>24.7545081111111</v>
      </c>
      <c r="S508" s="12">
        <v>6</v>
      </c>
      <c r="T508" s="12">
        <v>0.19999999999998863</v>
      </c>
      <c r="U508" s="14">
        <v>11.879999999999999</v>
      </c>
      <c r="V508" s="17">
        <v>33.333333333331439</v>
      </c>
      <c r="W508" s="14">
        <v>14.346730333333239</v>
      </c>
      <c r="X508">
        <f t="shared" si="14"/>
        <v>18.02675</v>
      </c>
      <c r="Y508">
        <f t="shared" si="15"/>
        <v>15.12426438809444</v>
      </c>
    </row>
    <row r="509" spans="1:25">
      <c r="A509" s="12" t="s">
        <v>299</v>
      </c>
      <c r="B509" s="12" t="s">
        <v>300</v>
      </c>
      <c r="C509" s="12">
        <v>14</v>
      </c>
      <c r="D509" s="12">
        <v>1.98</v>
      </c>
      <c r="E509" s="12" t="s">
        <v>329</v>
      </c>
      <c r="F509" s="13">
        <v>39476</v>
      </c>
      <c r="G509" s="12">
        <v>58</v>
      </c>
      <c r="H509" s="12">
        <v>3</v>
      </c>
      <c r="I509" s="13">
        <v>39503</v>
      </c>
      <c r="J509" s="12">
        <v>66.2</v>
      </c>
      <c r="K509" s="12">
        <v>3</v>
      </c>
      <c r="L509" s="12">
        <v>27</v>
      </c>
      <c r="M509" s="12">
        <v>8.2000000000000028</v>
      </c>
      <c r="N509" s="12">
        <v>0</v>
      </c>
      <c r="O509" s="17">
        <v>53.46</v>
      </c>
      <c r="P509" s="17"/>
      <c r="Q509" s="17">
        <v>303.70370370370381</v>
      </c>
      <c r="R509" s="14">
        <v>27.4730815925926</v>
      </c>
      <c r="S509" s="12">
        <v>6</v>
      </c>
      <c r="T509" s="12">
        <v>4.4000000000000057</v>
      </c>
      <c r="U509" s="14">
        <v>11.879999999999999</v>
      </c>
      <c r="V509" s="17">
        <v>733.33333333333428</v>
      </c>
      <c r="W509" s="14">
        <v>48.65382233333338</v>
      </c>
      <c r="X509">
        <f t="shared" si="14"/>
        <v>15.952499999999999</v>
      </c>
      <c r="Y509">
        <f t="shared" si="15"/>
        <v>45.38889478201758</v>
      </c>
    </row>
    <row r="510" spans="1:25">
      <c r="A510" s="12" t="s">
        <v>299</v>
      </c>
      <c r="B510" s="12" t="s">
        <v>300</v>
      </c>
      <c r="C510" s="12">
        <v>14</v>
      </c>
      <c r="D510" s="12">
        <v>1.98</v>
      </c>
      <c r="E510" s="12" t="s">
        <v>330</v>
      </c>
      <c r="F510" s="13">
        <v>39476</v>
      </c>
      <c r="G510" s="12">
        <v>55.2</v>
      </c>
      <c r="H510" s="12">
        <v>2.5</v>
      </c>
      <c r="I510" s="13">
        <v>39503</v>
      </c>
      <c r="J510" s="12">
        <v>61.8</v>
      </c>
      <c r="K510" s="12">
        <v>2.5</v>
      </c>
      <c r="L510" s="12">
        <v>27</v>
      </c>
      <c r="M510" s="12">
        <v>6.5999999999999943</v>
      </c>
      <c r="N510" s="12">
        <v>0</v>
      </c>
      <c r="O510" s="17">
        <v>53.46</v>
      </c>
      <c r="P510" s="17"/>
      <c r="Q510" s="17">
        <v>244.44444444444423</v>
      </c>
      <c r="R510" s="14">
        <v>23.942876111111097</v>
      </c>
      <c r="S510" s="12">
        <v>6</v>
      </c>
      <c r="T510" s="12">
        <v>1.3999999999999986</v>
      </c>
      <c r="U510" s="14">
        <v>11.879999999999999</v>
      </c>
      <c r="V510" s="17">
        <v>233.33333333333309</v>
      </c>
      <c r="W510" s="14">
        <v>23.395098333333323</v>
      </c>
      <c r="X510">
        <f t="shared" si="14"/>
        <v>18.02675</v>
      </c>
      <c r="Y510">
        <f t="shared" si="15"/>
        <v>24.663016893591603</v>
      </c>
    </row>
    <row r="511" spans="1:25">
      <c r="A511" s="12" t="s">
        <v>299</v>
      </c>
      <c r="B511" s="12" t="s">
        <v>300</v>
      </c>
      <c r="C511" s="12">
        <v>14</v>
      </c>
      <c r="D511" s="12">
        <v>1.98</v>
      </c>
      <c r="E511" s="12" t="s">
        <v>331</v>
      </c>
      <c r="F511" s="13">
        <v>39476</v>
      </c>
      <c r="G511" s="12">
        <v>60.6</v>
      </c>
      <c r="H511" s="12">
        <v>2</v>
      </c>
      <c r="I511" s="13">
        <v>39503</v>
      </c>
      <c r="J511" s="12">
        <v>66</v>
      </c>
      <c r="K511" s="12">
        <v>2</v>
      </c>
      <c r="L511" s="12">
        <v>27</v>
      </c>
      <c r="M511" s="12">
        <v>5.3999999999999986</v>
      </c>
      <c r="N511" s="12">
        <v>0</v>
      </c>
      <c r="O511" s="17">
        <v>53.46</v>
      </c>
      <c r="P511" s="17"/>
      <c r="Q511" s="17">
        <v>199.99999999999994</v>
      </c>
      <c r="R511" s="14">
        <v>22.563396999999995</v>
      </c>
      <c r="S511" s="12">
        <v>6</v>
      </c>
      <c r="T511" s="12">
        <v>2</v>
      </c>
      <c r="U511" s="14">
        <v>11.879999999999999</v>
      </c>
      <c r="V511" s="17">
        <v>333.33333333333331</v>
      </c>
      <c r="W511" s="14">
        <v>29.136730333333329</v>
      </c>
      <c r="X511">
        <f t="shared" si="14"/>
        <v>20.100999999999999</v>
      </c>
      <c r="Y511">
        <f t="shared" si="15"/>
        <v>34.250141311715389</v>
      </c>
    </row>
    <row r="512" spans="1:25">
      <c r="A512" s="12" t="s">
        <v>299</v>
      </c>
      <c r="B512" s="12" t="s">
        <v>300</v>
      </c>
      <c r="C512" s="12">
        <v>14</v>
      </c>
      <c r="D512" s="12">
        <v>1.98</v>
      </c>
      <c r="E512" s="12" t="s">
        <v>332</v>
      </c>
      <c r="F512" s="13">
        <v>39476</v>
      </c>
      <c r="G512" s="12">
        <v>64.400000000000006</v>
      </c>
      <c r="H512" s="12">
        <v>1.75</v>
      </c>
      <c r="I512" s="13">
        <v>39503</v>
      </c>
      <c r="J512" s="12">
        <v>71.8</v>
      </c>
      <c r="K512" s="12">
        <v>1.75</v>
      </c>
      <c r="L512" s="12">
        <v>27</v>
      </c>
      <c r="M512" s="12">
        <v>7.3999999999999915</v>
      </c>
      <c r="N512" s="12">
        <v>0</v>
      </c>
      <c r="O512" s="17">
        <v>53.46</v>
      </c>
      <c r="P512" s="17"/>
      <c r="Q512" s="17">
        <v>274.07407407407374</v>
      </c>
      <c r="R512" s="14">
        <v>27.026880851851836</v>
      </c>
      <c r="S512" s="12">
        <v>6</v>
      </c>
      <c r="T512" s="12">
        <v>6.2000000000000028</v>
      </c>
      <c r="U512" s="14">
        <v>11.879999999999999</v>
      </c>
      <c r="V512" s="17">
        <v>1033.3333333333339</v>
      </c>
      <c r="W512" s="14">
        <v>64.458362333333355</v>
      </c>
      <c r="X512">
        <f t="shared" si="14"/>
        <v>21.138124999999999</v>
      </c>
      <c r="Y512">
        <f t="shared" si="15"/>
        <v>79.680053818555081</v>
      </c>
    </row>
    <row r="513" spans="1:25">
      <c r="A513" s="12" t="s">
        <v>299</v>
      </c>
      <c r="B513" s="12" t="s">
        <v>300</v>
      </c>
      <c r="C513" s="12">
        <v>14</v>
      </c>
      <c r="D513" s="12">
        <v>1.98</v>
      </c>
      <c r="E513" s="12" t="s">
        <v>333</v>
      </c>
      <c r="F513" s="13">
        <v>39476</v>
      </c>
      <c r="G513" s="12">
        <v>54</v>
      </c>
      <c r="H513" s="12">
        <v>1.75</v>
      </c>
      <c r="I513" s="13">
        <v>39503</v>
      </c>
      <c r="J513" s="12">
        <v>62.2</v>
      </c>
      <c r="K513" s="12">
        <v>1.75</v>
      </c>
      <c r="L513" s="12">
        <v>27</v>
      </c>
      <c r="M513" s="12">
        <v>8.2000000000000028</v>
      </c>
      <c r="N513" s="12">
        <v>0</v>
      </c>
      <c r="O513" s="17">
        <v>53.46</v>
      </c>
      <c r="P513" s="17"/>
      <c r="Q513" s="17">
        <v>303.70370370370381</v>
      </c>
      <c r="R513" s="14">
        <v>26.796721592592597</v>
      </c>
      <c r="S513" s="12">
        <v>6</v>
      </c>
      <c r="T513" s="12">
        <v>1.8000000000000043</v>
      </c>
      <c r="U513" s="14">
        <v>11.879999999999999</v>
      </c>
      <c r="V513" s="17">
        <v>300.00000000000068</v>
      </c>
      <c r="W513" s="14">
        <v>26.61412900000003</v>
      </c>
      <c r="X513">
        <f t="shared" si="14"/>
        <v>21.138124999999999</v>
      </c>
      <c r="Y513">
        <f t="shared" si="15"/>
        <v>32.898993308077515</v>
      </c>
    </row>
    <row r="514" spans="1:25">
      <c r="A514" s="12" t="s">
        <v>299</v>
      </c>
      <c r="B514" s="12" t="s">
        <v>300</v>
      </c>
      <c r="C514" s="12">
        <v>14</v>
      </c>
      <c r="D514" s="12">
        <v>1.98</v>
      </c>
      <c r="E514" s="12" t="s">
        <v>334</v>
      </c>
      <c r="F514" s="13">
        <v>39476</v>
      </c>
      <c r="G514" s="12">
        <v>71</v>
      </c>
      <c r="H514" s="12">
        <v>2</v>
      </c>
      <c r="I514" s="13">
        <v>39503</v>
      </c>
      <c r="J514" s="12">
        <v>71.8</v>
      </c>
      <c r="K514" s="12">
        <v>2</v>
      </c>
      <c r="L514" s="12">
        <v>27</v>
      </c>
      <c r="M514" s="12">
        <v>0.79999999999999716</v>
      </c>
      <c r="N514" s="12">
        <v>0</v>
      </c>
      <c r="O514" s="17">
        <v>53.46</v>
      </c>
      <c r="P514" s="17"/>
      <c r="Q514" s="17">
        <v>29.629629629629523</v>
      </c>
      <c r="R514" s="14">
        <v>15.533766740740736</v>
      </c>
      <c r="S514" s="12">
        <v>6</v>
      </c>
      <c r="T514" s="12">
        <v>1.2000000000000028</v>
      </c>
      <c r="U514" s="14">
        <v>11.879999999999999</v>
      </c>
      <c r="V514" s="17">
        <v>200.00000000000048</v>
      </c>
      <c r="W514" s="14">
        <v>23.933026000000023</v>
      </c>
      <c r="X514">
        <f t="shared" si="14"/>
        <v>20.100999999999999</v>
      </c>
      <c r="Y514">
        <f t="shared" si="15"/>
        <v>28.133202083391836</v>
      </c>
    </row>
    <row r="515" spans="1:25">
      <c r="A515" s="12" t="s">
        <v>335</v>
      </c>
      <c r="B515" s="12" t="s">
        <v>336</v>
      </c>
      <c r="C515" s="12">
        <v>29</v>
      </c>
      <c r="D515" s="12">
        <v>3.96</v>
      </c>
      <c r="E515" s="12" t="s">
        <v>337</v>
      </c>
      <c r="F515" s="13">
        <v>39476</v>
      </c>
      <c r="G515" s="12">
        <v>50.8</v>
      </c>
      <c r="H515" s="12">
        <v>1.75</v>
      </c>
      <c r="I515" s="13">
        <v>39503</v>
      </c>
      <c r="J515" s="12">
        <v>54.2</v>
      </c>
      <c r="K515" s="12">
        <v>1.75</v>
      </c>
      <c r="L515" s="12">
        <v>27</v>
      </c>
      <c r="M515" s="12">
        <v>3.4000000000000057</v>
      </c>
      <c r="N515" s="12">
        <v>0</v>
      </c>
      <c r="O515" s="17">
        <v>106.92</v>
      </c>
      <c r="P515" s="17"/>
      <c r="Q515" s="17">
        <v>125.92592592592614</v>
      </c>
      <c r="R515" s="14">
        <v>17.085373148148157</v>
      </c>
      <c r="S515" s="12">
        <v>6</v>
      </c>
      <c r="T515" s="12">
        <v>0.80000000000000426</v>
      </c>
      <c r="U515" s="14">
        <v>23.759999999999998</v>
      </c>
      <c r="V515" s="17">
        <v>133.33333333333405</v>
      </c>
      <c r="W515" s="14">
        <v>17.450558333333369</v>
      </c>
      <c r="X515">
        <f t="shared" ref="X515:X578" si="16">IF(H515&gt;0,-4.1485*H515 + 28.398,17.1)</f>
        <v>21.138124999999999</v>
      </c>
      <c r="Y515">
        <f t="shared" ref="Y515:Y578" si="17">W515*X515/17.1</f>
        <v>21.571466863730546</v>
      </c>
    </row>
    <row r="516" spans="1:25">
      <c r="A516" s="12" t="s">
        <v>335</v>
      </c>
      <c r="B516" s="12" t="s">
        <v>336</v>
      </c>
      <c r="C516" s="12">
        <v>29</v>
      </c>
      <c r="D516" s="12">
        <v>3.96</v>
      </c>
      <c r="E516" s="12" t="s">
        <v>338</v>
      </c>
      <c r="F516" s="13">
        <v>39476</v>
      </c>
      <c r="G516" s="12">
        <v>59.6</v>
      </c>
      <c r="H516" s="12">
        <v>1.75</v>
      </c>
      <c r="I516" s="13">
        <v>39503</v>
      </c>
      <c r="J516" s="12">
        <v>63.4</v>
      </c>
      <c r="K516" s="12">
        <v>1.75</v>
      </c>
      <c r="L516" s="12">
        <v>27</v>
      </c>
      <c r="M516" s="12">
        <v>3.7999999999999972</v>
      </c>
      <c r="N516" s="12">
        <v>0</v>
      </c>
      <c r="O516" s="17">
        <v>106.92</v>
      </c>
      <c r="P516" s="17"/>
      <c r="Q516" s="17">
        <v>140.74074074074065</v>
      </c>
      <c r="R516" s="14">
        <v>19.337553518518511</v>
      </c>
      <c r="S516" s="12">
        <v>6</v>
      </c>
      <c r="T516" s="12">
        <v>1.1999999999999957</v>
      </c>
      <c r="U516" s="14">
        <v>23.759999999999998</v>
      </c>
      <c r="V516" s="17">
        <v>199.99999999999929</v>
      </c>
      <c r="W516" s="14">
        <v>22.259034999999962</v>
      </c>
      <c r="X516">
        <f t="shared" si="16"/>
        <v>21.138124999999999</v>
      </c>
      <c r="Y516">
        <f t="shared" si="17"/>
        <v>27.515454047331822</v>
      </c>
    </row>
    <row r="517" spans="1:25">
      <c r="A517" s="12" t="s">
        <v>335</v>
      </c>
      <c r="B517" s="12" t="s">
        <v>336</v>
      </c>
      <c r="C517" s="12">
        <v>29</v>
      </c>
      <c r="D517" s="12">
        <v>3.96</v>
      </c>
      <c r="E517" s="12" t="s">
        <v>339</v>
      </c>
      <c r="F517" s="13">
        <v>39476</v>
      </c>
      <c r="G517" s="12">
        <v>53.8</v>
      </c>
      <c r="H517" s="12">
        <v>2</v>
      </c>
      <c r="I517" s="13">
        <v>39503</v>
      </c>
      <c r="J517" s="12">
        <v>59</v>
      </c>
      <c r="K517" s="12">
        <v>2</v>
      </c>
      <c r="L517" s="12">
        <v>27</v>
      </c>
      <c r="M517" s="12">
        <v>5.2000000000000028</v>
      </c>
      <c r="N517" s="12">
        <v>0</v>
      </c>
      <c r="O517" s="17">
        <v>106.92</v>
      </c>
      <c r="P517" s="17"/>
      <c r="Q517" s="17">
        <v>192.59259259259269</v>
      </c>
      <c r="R517" s="14">
        <v>21.03149081481482</v>
      </c>
      <c r="S517" s="12">
        <v>6</v>
      </c>
      <c r="T517" s="12">
        <v>-4</v>
      </c>
      <c r="U517" s="14">
        <v>23.759999999999998</v>
      </c>
      <c r="V517" s="17">
        <v>-666.66666666666663</v>
      </c>
      <c r="W517" s="14">
        <v>-21.32999066666666</v>
      </c>
      <c r="X517">
        <f t="shared" si="16"/>
        <v>20.100999999999999</v>
      </c>
      <c r="Y517">
        <f t="shared" si="17"/>
        <v>-25.073341660272895</v>
      </c>
    </row>
    <row r="518" spans="1:25">
      <c r="A518" s="12" t="s">
        <v>335</v>
      </c>
      <c r="B518" s="12" t="s">
        <v>336</v>
      </c>
      <c r="C518" s="12">
        <v>29</v>
      </c>
      <c r="D518" s="12">
        <v>3.96</v>
      </c>
      <c r="E518" s="12" t="s">
        <v>340</v>
      </c>
      <c r="F518" s="13">
        <v>39476</v>
      </c>
      <c r="G518" s="12">
        <v>61.4</v>
      </c>
      <c r="H518" s="12">
        <v>2.5</v>
      </c>
      <c r="I518" s="13">
        <v>39503</v>
      </c>
      <c r="J518" s="12">
        <v>65.599999999999994</v>
      </c>
      <c r="K518" s="12">
        <v>2.5</v>
      </c>
      <c r="L518" s="12">
        <v>27</v>
      </c>
      <c r="M518" s="12">
        <v>4.1999999999999957</v>
      </c>
      <c r="N518" s="12">
        <v>0</v>
      </c>
      <c r="O518" s="17">
        <v>106.92</v>
      </c>
      <c r="P518" s="17"/>
      <c r="Q518" s="17">
        <v>155.5555555555554</v>
      </c>
      <c r="R518" s="14">
        <v>20.406103888888879</v>
      </c>
      <c r="S518" s="12">
        <v>6</v>
      </c>
      <c r="T518" s="12">
        <v>-0.60000000000000853</v>
      </c>
      <c r="U518" s="14">
        <v>23.759999999999998</v>
      </c>
      <c r="V518" s="17">
        <v>-100.00000000000142</v>
      </c>
      <c r="W518" s="14">
        <v>7.8072149999999292</v>
      </c>
      <c r="X518">
        <f t="shared" si="16"/>
        <v>18.02675</v>
      </c>
      <c r="Y518">
        <f t="shared" si="17"/>
        <v>8.2303340936402751</v>
      </c>
    </row>
    <row r="519" spans="1:25">
      <c r="A519" s="12" t="s">
        <v>335</v>
      </c>
      <c r="B519" s="12" t="s">
        <v>336</v>
      </c>
      <c r="C519" s="12">
        <v>29</v>
      </c>
      <c r="D519" s="12">
        <v>3.96</v>
      </c>
      <c r="E519" s="12" t="s">
        <v>341</v>
      </c>
      <c r="F519" s="13">
        <v>39476</v>
      </c>
      <c r="G519" s="12">
        <v>55</v>
      </c>
      <c r="H519" s="12">
        <v>1.5</v>
      </c>
      <c r="I519" s="13">
        <v>39503</v>
      </c>
      <c r="J519" s="12">
        <v>63.2</v>
      </c>
      <c r="K519" s="12">
        <v>1.5</v>
      </c>
      <c r="L519" s="12">
        <v>27</v>
      </c>
      <c r="M519" s="12">
        <v>8.2000000000000028</v>
      </c>
      <c r="N519" s="12">
        <v>0</v>
      </c>
      <c r="O519" s="17">
        <v>106.92</v>
      </c>
      <c r="P519" s="17"/>
      <c r="Q519" s="17">
        <v>303.70370370370381</v>
      </c>
      <c r="R519" s="14">
        <v>26.965811592592598</v>
      </c>
      <c r="S519" s="12">
        <v>6</v>
      </c>
      <c r="T519" s="12">
        <v>2.2000000000000028</v>
      </c>
      <c r="U519" s="14">
        <v>23.759999999999998</v>
      </c>
      <c r="V519" s="17">
        <v>366.66666666666714</v>
      </c>
      <c r="W519" s="14">
        <v>30.069885666666689</v>
      </c>
      <c r="X519">
        <f t="shared" si="16"/>
        <v>22.175249999999998</v>
      </c>
      <c r="Y519">
        <f t="shared" si="17"/>
        <v>38.994574978347977</v>
      </c>
    </row>
    <row r="520" spans="1:25">
      <c r="A520" s="12" t="s">
        <v>335</v>
      </c>
      <c r="B520" s="12" t="s">
        <v>336</v>
      </c>
      <c r="C520" s="12">
        <v>29</v>
      </c>
      <c r="D520" s="12">
        <v>3.96</v>
      </c>
      <c r="E520" s="12" t="s">
        <v>342</v>
      </c>
      <c r="F520" s="13">
        <v>39476</v>
      </c>
      <c r="G520" s="12">
        <v>61</v>
      </c>
      <c r="H520" s="12">
        <v>2.5</v>
      </c>
      <c r="I520" s="13">
        <v>39503</v>
      </c>
      <c r="J520" s="12">
        <v>62.4</v>
      </c>
      <c r="K520" s="12">
        <v>2.5</v>
      </c>
      <c r="L520" s="12">
        <v>27</v>
      </c>
      <c r="M520" s="12">
        <v>1.3999999999999986</v>
      </c>
      <c r="N520" s="12">
        <v>0</v>
      </c>
      <c r="O520" s="17">
        <v>106.92</v>
      </c>
      <c r="P520" s="17"/>
      <c r="Q520" s="17">
        <v>51.851851851851805</v>
      </c>
      <c r="R520" s="14">
        <v>14.989149296296294</v>
      </c>
      <c r="S520" s="12">
        <v>6</v>
      </c>
      <c r="T520" s="12">
        <v>-0.39999999999999858</v>
      </c>
      <c r="U520" s="14">
        <v>23.759999999999998</v>
      </c>
      <c r="V520" s="17">
        <v>-66.66666666666643</v>
      </c>
      <c r="W520" s="14">
        <v>9.1461863333333451</v>
      </c>
      <c r="X520">
        <f t="shared" si="16"/>
        <v>18.02675</v>
      </c>
      <c r="Y520">
        <f t="shared" si="17"/>
        <v>9.6418721920711619</v>
      </c>
    </row>
    <row r="521" spans="1:25">
      <c r="A521" s="12" t="s">
        <v>335</v>
      </c>
      <c r="B521" s="12" t="s">
        <v>336</v>
      </c>
      <c r="C521" s="12">
        <v>29</v>
      </c>
      <c r="D521" s="12">
        <v>3.96</v>
      </c>
      <c r="E521" s="12" t="s">
        <v>343</v>
      </c>
      <c r="F521" s="13">
        <v>39476</v>
      </c>
      <c r="G521" s="12">
        <v>51.6</v>
      </c>
      <c r="H521" s="12">
        <v>2.25</v>
      </c>
      <c r="I521" s="13">
        <v>39503</v>
      </c>
      <c r="J521" s="12">
        <v>55.2</v>
      </c>
      <c r="K521" s="12">
        <v>2.25</v>
      </c>
      <c r="L521" s="12">
        <v>27</v>
      </c>
      <c r="M521" s="12">
        <v>3.6000000000000014</v>
      </c>
      <c r="N521" s="12">
        <v>0</v>
      </c>
      <c r="O521" s="17">
        <v>106.92</v>
      </c>
      <c r="P521" s="17"/>
      <c r="Q521" s="17">
        <v>133.3333333333334</v>
      </c>
      <c r="R521" s="14">
        <v>17.602739333333336</v>
      </c>
      <c r="S521" s="12">
        <v>6</v>
      </c>
      <c r="T521" s="12">
        <v>-0.59999999999999432</v>
      </c>
      <c r="U521" s="14">
        <v>23.759999999999998</v>
      </c>
      <c r="V521" s="17">
        <v>-99.999999999999048</v>
      </c>
      <c r="W521" s="14">
        <v>6.0994060000000472</v>
      </c>
      <c r="X521">
        <f t="shared" si="16"/>
        <v>19.063874999999999</v>
      </c>
      <c r="Y521">
        <f t="shared" si="17"/>
        <v>6.7999013776754911</v>
      </c>
    </row>
    <row r="522" spans="1:25">
      <c r="A522" s="12" t="s">
        <v>335</v>
      </c>
      <c r="B522" s="12" t="s">
        <v>336</v>
      </c>
      <c r="C522" s="12">
        <v>29</v>
      </c>
      <c r="D522" s="12">
        <v>3.96</v>
      </c>
      <c r="E522" s="12" t="s">
        <v>344</v>
      </c>
      <c r="F522" s="13">
        <v>39476</v>
      </c>
      <c r="G522" s="12">
        <v>60.2</v>
      </c>
      <c r="H522" s="12">
        <v>1.75</v>
      </c>
      <c r="I522" s="13">
        <v>39503</v>
      </c>
      <c r="J522" s="12">
        <v>62.4</v>
      </c>
      <c r="K522" s="12">
        <v>1.75</v>
      </c>
      <c r="L522" s="12">
        <v>27</v>
      </c>
      <c r="M522" s="12">
        <v>2.1999999999999957</v>
      </c>
      <c r="N522" s="12">
        <v>0</v>
      </c>
      <c r="O522" s="17">
        <v>106.92</v>
      </c>
      <c r="P522" s="17"/>
      <c r="Q522" s="17">
        <v>81.481481481481325</v>
      </c>
      <c r="R522" s="14">
        <v>16.382254037037029</v>
      </c>
      <c r="S522" s="12">
        <v>6</v>
      </c>
      <c r="T522" s="12">
        <v>-1.8000000000000043</v>
      </c>
      <c r="U522" s="14">
        <v>23.759999999999998</v>
      </c>
      <c r="V522" s="17">
        <v>-300.00000000000068</v>
      </c>
      <c r="W522" s="14">
        <v>-2.4247830000000317</v>
      </c>
      <c r="X522">
        <f t="shared" si="16"/>
        <v>21.138124999999999</v>
      </c>
      <c r="Y522">
        <f t="shared" si="17"/>
        <v>-2.9973898334430209</v>
      </c>
    </row>
    <row r="523" spans="1:25">
      <c r="A523" s="12" t="s">
        <v>335</v>
      </c>
      <c r="B523" s="12" t="s">
        <v>336</v>
      </c>
      <c r="C523" s="12">
        <v>29</v>
      </c>
      <c r="D523" s="12">
        <v>3.96</v>
      </c>
      <c r="E523" s="12" t="s">
        <v>345</v>
      </c>
      <c r="F523" s="13">
        <v>39476</v>
      </c>
      <c r="G523" s="12">
        <v>51.6</v>
      </c>
      <c r="H523" s="12">
        <v>1.75</v>
      </c>
      <c r="I523" s="13">
        <v>39503</v>
      </c>
      <c r="J523" s="12">
        <v>52.4</v>
      </c>
      <c r="K523" s="12">
        <v>1.75</v>
      </c>
      <c r="L523" s="12">
        <v>27</v>
      </c>
      <c r="M523" s="12">
        <v>0.79999999999999716</v>
      </c>
      <c r="N523" s="12">
        <v>0</v>
      </c>
      <c r="O523" s="17">
        <v>106.92</v>
      </c>
      <c r="P523" s="17"/>
      <c r="Q523" s="17">
        <v>29.629629629629523</v>
      </c>
      <c r="R523" s="14">
        <v>12.253420740740735</v>
      </c>
      <c r="S523" s="12">
        <v>6</v>
      </c>
      <c r="T523" s="12">
        <v>-3.2000000000000028</v>
      </c>
      <c r="U523" s="14">
        <v>23.759999999999998</v>
      </c>
      <c r="V523" s="17">
        <v>-533.33333333333383</v>
      </c>
      <c r="W523" s="14">
        <v>-15.500653333333361</v>
      </c>
      <c r="X523">
        <f t="shared" si="16"/>
        <v>21.138124999999999</v>
      </c>
      <c r="Y523">
        <f t="shared" si="17"/>
        <v>-19.161096359161824</v>
      </c>
    </row>
    <row r="524" spans="1:25">
      <c r="A524" s="12" t="s">
        <v>335</v>
      </c>
      <c r="B524" s="12" t="s">
        <v>336</v>
      </c>
      <c r="C524" s="12">
        <v>29</v>
      </c>
      <c r="D524" s="12">
        <v>3.96</v>
      </c>
      <c r="E524" s="12" t="s">
        <v>346</v>
      </c>
      <c r="F524" s="13">
        <v>39476</v>
      </c>
      <c r="G524" s="12">
        <v>60.2</v>
      </c>
      <c r="H524" s="12">
        <v>1.75</v>
      </c>
      <c r="I524" s="13">
        <v>39503</v>
      </c>
      <c r="J524" s="12">
        <v>66</v>
      </c>
      <c r="K524" s="12">
        <v>1.75</v>
      </c>
      <c r="L524" s="12">
        <v>27</v>
      </c>
      <c r="M524" s="12">
        <v>5.7999999999999972</v>
      </c>
      <c r="N524" s="12">
        <v>0</v>
      </c>
      <c r="O524" s="17">
        <v>106.92</v>
      </c>
      <c r="P524" s="17"/>
      <c r="Q524" s="17">
        <v>214.8148148148147</v>
      </c>
      <c r="R524" s="14">
        <v>23.259949370370364</v>
      </c>
      <c r="S524" s="12">
        <v>6</v>
      </c>
      <c r="T524" s="12">
        <v>-3</v>
      </c>
      <c r="U524" s="14">
        <v>23.759999999999998</v>
      </c>
      <c r="V524" s="17">
        <v>-500</v>
      </c>
      <c r="W524" s="14">
        <v>-11.980421</v>
      </c>
      <c r="X524">
        <f t="shared" si="16"/>
        <v>21.138124999999999</v>
      </c>
      <c r="Y524">
        <f t="shared" si="17"/>
        <v>-14.809569394773389</v>
      </c>
    </row>
    <row r="525" spans="1:25">
      <c r="A525" s="12" t="s">
        <v>335</v>
      </c>
      <c r="B525" s="12" t="s">
        <v>336</v>
      </c>
      <c r="C525" s="12">
        <v>29</v>
      </c>
      <c r="D525" s="12">
        <v>3.96</v>
      </c>
      <c r="E525" s="12" t="s">
        <v>347</v>
      </c>
      <c r="F525" s="13">
        <v>39476</v>
      </c>
      <c r="G525" s="12">
        <v>54.6</v>
      </c>
      <c r="H525" s="12">
        <v>2.25</v>
      </c>
      <c r="I525" s="13">
        <v>39503</v>
      </c>
      <c r="J525" s="12">
        <v>57.4</v>
      </c>
      <c r="K525" s="12">
        <v>2.25</v>
      </c>
      <c r="L525" s="12">
        <v>27</v>
      </c>
      <c r="M525" s="12">
        <v>2.7999999999999972</v>
      </c>
      <c r="N525" s="12">
        <v>0</v>
      </c>
      <c r="O525" s="17">
        <v>106.92</v>
      </c>
      <c r="P525" s="17"/>
      <c r="Q525" s="17">
        <v>103.70370370370361</v>
      </c>
      <c r="R525" s="14">
        <v>16.581632592592587</v>
      </c>
      <c r="S525" s="12">
        <v>6</v>
      </c>
      <c r="T525" s="12">
        <v>0</v>
      </c>
      <c r="U525" s="14">
        <v>23.759999999999998</v>
      </c>
      <c r="V525" s="17">
        <v>0</v>
      </c>
      <c r="W525" s="14">
        <v>11.46904</v>
      </c>
      <c r="X525">
        <f t="shared" si="16"/>
        <v>19.063874999999999</v>
      </c>
      <c r="Y525">
        <f t="shared" si="17"/>
        <v>12.786219001754384</v>
      </c>
    </row>
    <row r="526" spans="1:25">
      <c r="A526" s="12" t="s">
        <v>335</v>
      </c>
      <c r="B526" s="12" t="s">
        <v>336</v>
      </c>
      <c r="C526" s="12">
        <v>29</v>
      </c>
      <c r="D526" s="12">
        <v>3.96</v>
      </c>
      <c r="E526" s="12" t="s">
        <v>348</v>
      </c>
      <c r="F526" s="13">
        <v>39476</v>
      </c>
      <c r="G526" s="12">
        <v>64.599999999999994</v>
      </c>
      <c r="H526" s="12">
        <v>2.5</v>
      </c>
      <c r="I526" s="13">
        <v>39503</v>
      </c>
      <c r="J526" s="12">
        <v>72.2</v>
      </c>
      <c r="K526" s="12">
        <v>2.5</v>
      </c>
      <c r="L526" s="12">
        <v>27</v>
      </c>
      <c r="M526" s="12">
        <v>7.6000000000000085</v>
      </c>
      <c r="N526" s="12">
        <v>0</v>
      </c>
      <c r="O526" s="17">
        <v>106.92</v>
      </c>
      <c r="P526" s="17"/>
      <c r="Q526" s="17">
        <v>281.48148148148175</v>
      </c>
      <c r="R526" s="14">
        <v>27.442793037037049</v>
      </c>
      <c r="S526" s="12">
        <v>6</v>
      </c>
      <c r="T526" s="12">
        <v>0.40000000000000568</v>
      </c>
      <c r="U526" s="14">
        <v>23.759999999999998</v>
      </c>
      <c r="V526" s="17">
        <v>66.666666666667609</v>
      </c>
      <c r="W526" s="14">
        <v>16.852422666666712</v>
      </c>
      <c r="X526">
        <f t="shared" si="16"/>
        <v>18.02675</v>
      </c>
      <c r="Y526">
        <f t="shared" si="17"/>
        <v>17.765754988674512</v>
      </c>
    </row>
    <row r="527" spans="1:25">
      <c r="A527" s="12" t="s">
        <v>335</v>
      </c>
      <c r="B527" s="12" t="s">
        <v>336</v>
      </c>
      <c r="C527" s="12">
        <v>29</v>
      </c>
      <c r="D527" s="12">
        <v>3.96</v>
      </c>
      <c r="E527" s="12" t="s">
        <v>349</v>
      </c>
      <c r="F527" s="13">
        <v>39476</v>
      </c>
      <c r="G527" s="12">
        <v>62.8</v>
      </c>
      <c r="H527" s="12">
        <v>2.5</v>
      </c>
      <c r="I527" s="13">
        <v>39503</v>
      </c>
      <c r="J527" s="12">
        <v>71</v>
      </c>
      <c r="K527" s="12">
        <v>2.5</v>
      </c>
      <c r="L527" s="12">
        <v>27</v>
      </c>
      <c r="M527" s="12">
        <v>8.2000000000000028</v>
      </c>
      <c r="N527" s="12">
        <v>0</v>
      </c>
      <c r="O527" s="17">
        <v>106.92</v>
      </c>
      <c r="P527" s="17"/>
      <c r="Q527" s="17">
        <v>303.70370370370381</v>
      </c>
      <c r="R527" s="14">
        <v>28.284713592592595</v>
      </c>
      <c r="S527" s="12">
        <v>6</v>
      </c>
      <c r="T527" s="12">
        <v>1</v>
      </c>
      <c r="U527" s="14">
        <v>23.759999999999998</v>
      </c>
      <c r="V527" s="17">
        <v>166.66666666666666</v>
      </c>
      <c r="W527" s="14">
        <v>21.528787666666666</v>
      </c>
      <c r="X527">
        <f t="shared" si="16"/>
        <v>18.02675</v>
      </c>
      <c r="Y527">
        <f t="shared" si="17"/>
        <v>22.695559828659842</v>
      </c>
    </row>
    <row r="528" spans="1:25">
      <c r="A528" s="12" t="s">
        <v>335</v>
      </c>
      <c r="B528" s="12" t="s">
        <v>336</v>
      </c>
      <c r="C528" s="12">
        <v>29</v>
      </c>
      <c r="D528" s="12">
        <v>3.96</v>
      </c>
      <c r="E528" s="12" t="s">
        <v>350</v>
      </c>
      <c r="F528" s="13">
        <v>39476</v>
      </c>
      <c r="G528" s="12">
        <v>50.2</v>
      </c>
      <c r="H528" s="12">
        <v>1.5</v>
      </c>
      <c r="I528" s="13">
        <v>39503</v>
      </c>
      <c r="J528" s="12">
        <v>54.6</v>
      </c>
      <c r="K528" s="12">
        <v>1.5</v>
      </c>
      <c r="L528" s="12">
        <v>27</v>
      </c>
      <c r="M528" s="12">
        <v>4.3999999999999986</v>
      </c>
      <c r="N528" s="12">
        <v>0</v>
      </c>
      <c r="O528" s="17">
        <v>106.92</v>
      </c>
      <c r="P528" s="17"/>
      <c r="Q528" s="17">
        <v>162.96296296296293</v>
      </c>
      <c r="R528" s="14">
        <v>18.894390074074074</v>
      </c>
      <c r="S528" s="12">
        <v>6</v>
      </c>
      <c r="T528" s="12">
        <v>-0.79999999999999716</v>
      </c>
      <c r="U528" s="14">
        <v>23.759999999999998</v>
      </c>
      <c r="V528" s="17">
        <v>-133.33333333333286</v>
      </c>
      <c r="W528" s="14">
        <v>4.2869826666666917</v>
      </c>
      <c r="X528">
        <f t="shared" si="16"/>
        <v>22.175249999999998</v>
      </c>
      <c r="Y528">
        <f t="shared" si="17"/>
        <v>5.5593516011111426</v>
      </c>
    </row>
    <row r="529" spans="1:25">
      <c r="A529" s="12" t="s">
        <v>335</v>
      </c>
      <c r="B529" s="12" t="s">
        <v>336</v>
      </c>
      <c r="C529" s="12">
        <v>29</v>
      </c>
      <c r="D529" s="12">
        <v>3.96</v>
      </c>
      <c r="E529" s="12" t="s">
        <v>351</v>
      </c>
      <c r="F529" s="13">
        <v>39476</v>
      </c>
      <c r="G529" s="12">
        <v>60.8</v>
      </c>
      <c r="H529" s="12">
        <v>2.25</v>
      </c>
      <c r="I529" s="13">
        <v>39503</v>
      </c>
      <c r="J529" s="12">
        <v>70.599999999999994</v>
      </c>
      <c r="K529" s="12">
        <v>2.25</v>
      </c>
      <c r="L529" s="12">
        <v>27</v>
      </c>
      <c r="M529" s="12">
        <v>9.7999999999999972</v>
      </c>
      <c r="N529" s="12">
        <v>0</v>
      </c>
      <c r="O529" s="17">
        <v>106.92</v>
      </c>
      <c r="P529" s="17"/>
      <c r="Q529" s="17">
        <v>362.96296296296288</v>
      </c>
      <c r="R529" s="14">
        <v>31.003287074074066</v>
      </c>
      <c r="S529" s="12">
        <v>6</v>
      </c>
      <c r="T529" s="12">
        <v>0.59999999999999432</v>
      </c>
      <c r="U529" s="14">
        <v>23.759999999999998</v>
      </c>
      <c r="V529" s="17">
        <v>99.999999999999048</v>
      </c>
      <c r="W529" s="14">
        <v>18.03921299999995</v>
      </c>
      <c r="X529">
        <f t="shared" si="16"/>
        <v>19.063874999999999</v>
      </c>
      <c r="Y529">
        <f t="shared" si="17"/>
        <v>20.110953317565734</v>
      </c>
    </row>
    <row r="530" spans="1:25">
      <c r="A530" s="12" t="s">
        <v>335</v>
      </c>
      <c r="B530" s="12" t="s">
        <v>336</v>
      </c>
      <c r="C530" s="12">
        <v>29</v>
      </c>
      <c r="D530" s="12">
        <v>3.96</v>
      </c>
      <c r="E530" s="12" t="s">
        <v>352</v>
      </c>
      <c r="F530" s="13">
        <v>39476</v>
      </c>
      <c r="G530" s="12">
        <v>57.6</v>
      </c>
      <c r="H530" s="12">
        <v>3</v>
      </c>
      <c r="I530" s="13">
        <v>39503</v>
      </c>
      <c r="J530" s="12">
        <v>64.8</v>
      </c>
      <c r="K530" s="12">
        <v>3</v>
      </c>
      <c r="L530" s="12">
        <v>27</v>
      </c>
      <c r="M530" s="12">
        <v>7.1999999999999957</v>
      </c>
      <c r="N530" s="12">
        <v>0</v>
      </c>
      <c r="O530" s="17">
        <v>106.92</v>
      </c>
      <c r="P530" s="17"/>
      <c r="Q530" s="17">
        <v>266.66666666666652</v>
      </c>
      <c r="R530" s="14">
        <v>25.494974666666657</v>
      </c>
      <c r="S530" s="12">
        <v>6</v>
      </c>
      <c r="T530" s="12">
        <v>-2.7999999999999972</v>
      </c>
      <c r="U530" s="14">
        <v>23.759999999999998</v>
      </c>
      <c r="V530" s="17">
        <v>-466.66666666666617</v>
      </c>
      <c r="W530" s="14">
        <v>-10.658358666666643</v>
      </c>
      <c r="X530">
        <f t="shared" si="16"/>
        <v>15.952499999999999</v>
      </c>
      <c r="Y530">
        <f t="shared" si="17"/>
        <v>-9.9431267035087494</v>
      </c>
    </row>
    <row r="531" spans="1:25">
      <c r="A531" s="12" t="s">
        <v>335</v>
      </c>
      <c r="B531" s="12" t="s">
        <v>336</v>
      </c>
      <c r="C531" s="12">
        <v>29</v>
      </c>
      <c r="D531" s="12">
        <v>3.96</v>
      </c>
      <c r="E531" s="12" t="s">
        <v>353</v>
      </c>
      <c r="F531" s="13">
        <v>39476</v>
      </c>
      <c r="G531" s="12">
        <v>68.8</v>
      </c>
      <c r="H531" s="12">
        <v>3.5</v>
      </c>
      <c r="I531" s="13">
        <v>39503</v>
      </c>
      <c r="J531" s="12">
        <v>70</v>
      </c>
      <c r="K531" s="12">
        <v>3.5</v>
      </c>
      <c r="L531" s="12">
        <v>27</v>
      </c>
      <c r="M531" s="12">
        <v>1.2000000000000028</v>
      </c>
      <c r="N531" s="12">
        <v>0</v>
      </c>
      <c r="O531" s="17">
        <v>106.92</v>
      </c>
      <c r="P531" s="17"/>
      <c r="Q531" s="17">
        <v>44.444444444444549</v>
      </c>
      <c r="R531" s="14">
        <v>15.925957111111117</v>
      </c>
      <c r="S531" s="12">
        <v>6</v>
      </c>
      <c r="T531" s="12">
        <v>-6</v>
      </c>
      <c r="U531" s="14">
        <v>23.759999999999998</v>
      </c>
      <c r="V531" s="17">
        <v>-1000</v>
      </c>
      <c r="W531" s="14">
        <v>-35.565153999999993</v>
      </c>
      <c r="X531">
        <f t="shared" si="16"/>
        <v>13.878249999999998</v>
      </c>
      <c r="Y531">
        <f t="shared" si="17"/>
        <v>-28.864450204707587</v>
      </c>
    </row>
    <row r="532" spans="1:25">
      <c r="A532" s="12" t="s">
        <v>335</v>
      </c>
      <c r="B532" s="12" t="s">
        <v>336</v>
      </c>
      <c r="C532" s="12">
        <v>29</v>
      </c>
      <c r="D532" s="12">
        <v>3.96</v>
      </c>
      <c r="E532" s="12" t="s">
        <v>354</v>
      </c>
      <c r="F532" s="13">
        <v>39476</v>
      </c>
      <c r="G532" s="12">
        <v>57.6</v>
      </c>
      <c r="H532" s="12">
        <v>2.25</v>
      </c>
      <c r="I532" s="13">
        <v>39503</v>
      </c>
      <c r="J532" s="12">
        <v>69.400000000000006</v>
      </c>
      <c r="K532" s="12">
        <v>2.25</v>
      </c>
      <c r="L532" s="12">
        <v>27</v>
      </c>
      <c r="M532" s="12">
        <v>11.800000000000004</v>
      </c>
      <c r="N532" s="12">
        <v>0</v>
      </c>
      <c r="O532" s="17">
        <v>106.92</v>
      </c>
      <c r="P532" s="17"/>
      <c r="Q532" s="17">
        <v>437.03703703703718</v>
      </c>
      <c r="R532" s="14">
        <v>34.283140925925935</v>
      </c>
      <c r="S532" s="12">
        <v>6</v>
      </c>
      <c r="T532" s="12">
        <v>2</v>
      </c>
      <c r="U532" s="14">
        <v>23.759999999999998</v>
      </c>
      <c r="V532" s="17">
        <v>333.33333333333331</v>
      </c>
      <c r="W532" s="14">
        <v>29.170548333333329</v>
      </c>
      <c r="X532">
        <f t="shared" si="16"/>
        <v>19.063874999999999</v>
      </c>
      <c r="Y532">
        <f t="shared" si="17"/>
        <v>32.520683456615487</v>
      </c>
    </row>
    <row r="533" spans="1:25">
      <c r="A533" s="12" t="s">
        <v>335</v>
      </c>
      <c r="B533" s="12" t="s">
        <v>336</v>
      </c>
      <c r="C533" s="12">
        <v>29</v>
      </c>
      <c r="D533" s="12">
        <v>3.96</v>
      </c>
      <c r="E533" s="12" t="s">
        <v>355</v>
      </c>
      <c r="F533" s="13">
        <v>39476</v>
      </c>
      <c r="G533" s="12">
        <v>55.4</v>
      </c>
      <c r="H533" s="12">
        <v>1.75</v>
      </c>
      <c r="I533" s="13">
        <v>39503</v>
      </c>
      <c r="J533" s="12">
        <v>63.6</v>
      </c>
      <c r="K533" s="12">
        <v>1.75</v>
      </c>
      <c r="L533" s="12">
        <v>27</v>
      </c>
      <c r="M533" s="12">
        <v>8.2000000000000028</v>
      </c>
      <c r="N533" s="12">
        <v>0</v>
      </c>
      <c r="O533" s="17">
        <v>106.92</v>
      </c>
      <c r="P533" s="17"/>
      <c r="Q533" s="17">
        <v>303.70370370370381</v>
      </c>
      <c r="R533" s="14">
        <v>27.033447592592598</v>
      </c>
      <c r="S533" s="12">
        <v>6</v>
      </c>
      <c r="T533" s="12">
        <v>2.2000000000000028</v>
      </c>
      <c r="U533" s="14">
        <v>23.759999999999998</v>
      </c>
      <c r="V533" s="17">
        <v>366.66666666666714</v>
      </c>
      <c r="W533" s="14">
        <v>30.137521666666689</v>
      </c>
      <c r="X533">
        <f t="shared" si="16"/>
        <v>21.138124999999999</v>
      </c>
      <c r="Y533">
        <f t="shared" si="17"/>
        <v>37.254426911123318</v>
      </c>
    </row>
    <row r="534" spans="1:25">
      <c r="A534" s="12" t="s">
        <v>335</v>
      </c>
      <c r="B534" s="12" t="s">
        <v>336</v>
      </c>
      <c r="C534" s="12">
        <v>29</v>
      </c>
      <c r="D534" s="12">
        <v>3.96</v>
      </c>
      <c r="E534" s="12" t="s">
        <v>356</v>
      </c>
      <c r="F534" s="13">
        <v>39476</v>
      </c>
      <c r="G534" s="12">
        <v>53.8</v>
      </c>
      <c r="H534" s="12">
        <v>2.25</v>
      </c>
      <c r="I534" s="13">
        <v>39503</v>
      </c>
      <c r="J534" s="12">
        <v>62.8</v>
      </c>
      <c r="K534" s="12">
        <v>2.25</v>
      </c>
      <c r="L534" s="12">
        <v>27</v>
      </c>
      <c r="M534" s="12">
        <v>9</v>
      </c>
      <c r="N534" s="12">
        <v>0</v>
      </c>
      <c r="O534" s="17">
        <v>106.92</v>
      </c>
      <c r="P534" s="17"/>
      <c r="Q534" s="17">
        <v>333.33333333333331</v>
      </c>
      <c r="R534" s="14">
        <v>28.291280333333329</v>
      </c>
      <c r="S534" s="12">
        <v>6</v>
      </c>
      <c r="T534" s="12">
        <v>1.7999999999999972</v>
      </c>
      <c r="U534" s="14">
        <v>23.759999999999998</v>
      </c>
      <c r="V534" s="17">
        <v>299.99999999999955</v>
      </c>
      <c r="W534" s="14">
        <v>26.647946999999974</v>
      </c>
      <c r="X534">
        <f t="shared" si="16"/>
        <v>19.063874999999999</v>
      </c>
      <c r="Y534">
        <f t="shared" si="17"/>
        <v>29.708370211381546</v>
      </c>
    </row>
    <row r="535" spans="1:25">
      <c r="A535" s="12" t="s">
        <v>335</v>
      </c>
      <c r="B535" s="12" t="s">
        <v>336</v>
      </c>
      <c r="C535" s="12">
        <v>29</v>
      </c>
      <c r="D535" s="12">
        <v>3.96</v>
      </c>
      <c r="E535" s="12" t="s">
        <v>357</v>
      </c>
      <c r="F535" s="13">
        <v>39476</v>
      </c>
      <c r="G535" s="12">
        <v>59.2</v>
      </c>
      <c r="H535" s="12">
        <v>2.25</v>
      </c>
      <c r="I535" s="13">
        <v>39503</v>
      </c>
      <c r="J535" s="12">
        <v>63.4</v>
      </c>
      <c r="K535" s="12">
        <v>1.75</v>
      </c>
      <c r="L535" s="12">
        <v>27</v>
      </c>
      <c r="M535" s="12">
        <v>4.1999999999999957</v>
      </c>
      <c r="N535" s="12">
        <v>-0.5</v>
      </c>
      <c r="O535" s="17">
        <v>106.92</v>
      </c>
      <c r="P535" s="17"/>
      <c r="Q535" s="17">
        <v>155.5555555555554</v>
      </c>
      <c r="R535" s="14">
        <v>20.034105888888881</v>
      </c>
      <c r="S535" s="12">
        <v>6</v>
      </c>
      <c r="T535" s="12">
        <v>-0.39999999999999858</v>
      </c>
      <c r="U535" s="14">
        <v>23.759999999999998</v>
      </c>
      <c r="V535" s="17">
        <v>-66.66666666666643</v>
      </c>
      <c r="W535" s="14">
        <v>9.0785503333333448</v>
      </c>
      <c r="X535">
        <f t="shared" si="16"/>
        <v>19.063874999999999</v>
      </c>
      <c r="Y535">
        <f t="shared" si="17"/>
        <v>10.121189984554105</v>
      </c>
    </row>
    <row r="536" spans="1:25">
      <c r="A536" s="12" t="s">
        <v>335</v>
      </c>
      <c r="B536" s="12" t="s">
        <v>336</v>
      </c>
      <c r="C536" s="12">
        <v>29</v>
      </c>
      <c r="D536" s="12">
        <v>3.96</v>
      </c>
      <c r="E536" s="12" t="s">
        <v>358</v>
      </c>
      <c r="F536" s="13">
        <v>39476</v>
      </c>
      <c r="G536" s="12">
        <v>58</v>
      </c>
      <c r="H536" s="12">
        <v>1.75</v>
      </c>
      <c r="I536" s="13">
        <v>39503</v>
      </c>
      <c r="J536" s="12">
        <v>69.599999999999994</v>
      </c>
      <c r="K536" s="12">
        <v>3</v>
      </c>
      <c r="L536" s="12">
        <v>27</v>
      </c>
      <c r="M536" s="12">
        <v>11.599999999999994</v>
      </c>
      <c r="N536" s="12">
        <v>1.25</v>
      </c>
      <c r="O536" s="17">
        <v>106.92</v>
      </c>
      <c r="P536" s="17"/>
      <c r="Q536" s="17">
        <v>429.62962962962939</v>
      </c>
      <c r="R536" s="14">
        <v>33.968682740740725</v>
      </c>
      <c r="S536" s="12">
        <v>6</v>
      </c>
      <c r="T536" s="12">
        <v>-2</v>
      </c>
      <c r="U536" s="14">
        <v>23.759999999999998</v>
      </c>
      <c r="V536" s="17">
        <v>-333.33333333333331</v>
      </c>
      <c r="W536" s="14">
        <v>-3.6453913333333308</v>
      </c>
      <c r="X536">
        <f t="shared" si="16"/>
        <v>21.138124999999999</v>
      </c>
      <c r="Y536">
        <f t="shared" si="17"/>
        <v>-4.5062419694688067</v>
      </c>
    </row>
    <row r="537" spans="1:25">
      <c r="A537" s="12" t="s">
        <v>335</v>
      </c>
      <c r="B537" s="12" t="s">
        <v>336</v>
      </c>
      <c r="C537" s="12">
        <v>29</v>
      </c>
      <c r="D537" s="12">
        <v>3.96</v>
      </c>
      <c r="E537" s="12" t="s">
        <v>359</v>
      </c>
      <c r="F537" s="13">
        <v>39476</v>
      </c>
      <c r="G537" s="12">
        <v>68</v>
      </c>
      <c r="H537" s="12">
        <v>3</v>
      </c>
      <c r="I537" s="13">
        <v>39503</v>
      </c>
      <c r="J537" s="12">
        <v>70.400000000000006</v>
      </c>
      <c r="K537" s="12">
        <v>3</v>
      </c>
      <c r="L537" s="12">
        <v>27</v>
      </c>
      <c r="M537" s="12">
        <v>2.4000000000000057</v>
      </c>
      <c r="N537" s="12">
        <v>0</v>
      </c>
      <c r="O537" s="17">
        <v>106.92</v>
      </c>
      <c r="P537" s="17"/>
      <c r="Q537" s="17">
        <v>88.888888888889099</v>
      </c>
      <c r="R537" s="14">
        <v>18.083250222222233</v>
      </c>
      <c r="S537" s="12">
        <v>6</v>
      </c>
      <c r="T537" s="12">
        <v>1.4000000000000057</v>
      </c>
      <c r="U537" s="14">
        <v>23.759999999999998</v>
      </c>
      <c r="V537" s="17">
        <v>233.33333333333428</v>
      </c>
      <c r="W537" s="14">
        <v>25.204361333333381</v>
      </c>
      <c r="X537">
        <f t="shared" si="16"/>
        <v>15.952499999999999</v>
      </c>
      <c r="Y537">
        <f t="shared" si="17"/>
        <v>23.513016033333376</v>
      </c>
    </row>
    <row r="538" spans="1:25">
      <c r="A538" s="12" t="s">
        <v>335</v>
      </c>
      <c r="B538" s="12" t="s">
        <v>336</v>
      </c>
      <c r="C538" s="12">
        <v>29</v>
      </c>
      <c r="D538" s="12">
        <v>3.96</v>
      </c>
      <c r="E538" s="12" t="s">
        <v>360</v>
      </c>
      <c r="F538" s="13">
        <v>39476</v>
      </c>
      <c r="G538" s="12">
        <v>64.599999999999994</v>
      </c>
      <c r="H538" s="12">
        <v>3</v>
      </c>
      <c r="I538" s="13">
        <v>39503</v>
      </c>
      <c r="J538" s="12">
        <v>62.8</v>
      </c>
      <c r="K538" s="12">
        <v>2.5</v>
      </c>
      <c r="L538" s="12">
        <v>27</v>
      </c>
      <c r="M538" s="12">
        <v>-1.7999999999999972</v>
      </c>
      <c r="N538" s="12">
        <v>-0.5</v>
      </c>
      <c r="O538" s="17">
        <v>106.92</v>
      </c>
      <c r="P538" s="17"/>
      <c r="Q538" s="17">
        <v>-66.666666666666558</v>
      </c>
      <c r="R538" s="14">
        <v>9.4843663333333375</v>
      </c>
      <c r="S538" s="12">
        <v>6</v>
      </c>
      <c r="T538" s="12">
        <v>-0.20000000000000284</v>
      </c>
      <c r="U538" s="14">
        <v>23.759999999999998</v>
      </c>
      <c r="V538" s="17">
        <v>-33.333333333333805</v>
      </c>
      <c r="W538" s="14">
        <v>11.127699666666643</v>
      </c>
      <c r="X538">
        <f t="shared" si="16"/>
        <v>15.952499999999999</v>
      </c>
      <c r="Y538">
        <f t="shared" si="17"/>
        <v>10.380972452192958</v>
      </c>
    </row>
    <row r="539" spans="1:25">
      <c r="A539" s="12" t="s">
        <v>335</v>
      </c>
      <c r="B539" s="12" t="s">
        <v>336</v>
      </c>
      <c r="C539" s="12">
        <v>29</v>
      </c>
      <c r="D539" s="12">
        <v>3.96</v>
      </c>
      <c r="E539" s="12" t="s">
        <v>361</v>
      </c>
      <c r="F539" s="13">
        <v>39476</v>
      </c>
      <c r="G539" s="12">
        <v>56</v>
      </c>
      <c r="H539" s="12">
        <v>2</v>
      </c>
      <c r="I539" s="13">
        <v>39503</v>
      </c>
      <c r="J539" s="12">
        <v>58.2</v>
      </c>
      <c r="K539" s="12">
        <v>2</v>
      </c>
      <c r="L539" s="12">
        <v>27</v>
      </c>
      <c r="M539" s="12">
        <v>2.2000000000000028</v>
      </c>
      <c r="N539" s="12">
        <v>0</v>
      </c>
      <c r="O539" s="17">
        <v>106.92</v>
      </c>
      <c r="P539" s="17"/>
      <c r="Q539" s="17">
        <v>81.48148148148158</v>
      </c>
      <c r="R539" s="14">
        <v>15.672076037037042</v>
      </c>
      <c r="S539" s="12">
        <v>6</v>
      </c>
      <c r="T539" s="12">
        <v>1</v>
      </c>
      <c r="U539" s="14">
        <v>23.759999999999998</v>
      </c>
      <c r="V539" s="17">
        <v>166.66666666666666</v>
      </c>
      <c r="W539" s="14">
        <v>19.871705666666664</v>
      </c>
      <c r="X539">
        <f t="shared" si="16"/>
        <v>20.100999999999999</v>
      </c>
      <c r="Y539">
        <f t="shared" si="17"/>
        <v>23.359131906764127</v>
      </c>
    </row>
    <row r="540" spans="1:25">
      <c r="A540" s="12" t="s">
        <v>335</v>
      </c>
      <c r="B540" s="12" t="s">
        <v>336</v>
      </c>
      <c r="C540" s="12">
        <v>29</v>
      </c>
      <c r="D540" s="12">
        <v>3.96</v>
      </c>
      <c r="E540" s="12" t="s">
        <v>362</v>
      </c>
      <c r="F540" s="13">
        <v>39476</v>
      </c>
      <c r="G540" s="12">
        <v>62.8</v>
      </c>
      <c r="H540" s="12">
        <v>2</v>
      </c>
      <c r="I540" s="13">
        <v>39503</v>
      </c>
      <c r="J540" s="12">
        <v>65</v>
      </c>
      <c r="K540" s="12">
        <v>2</v>
      </c>
      <c r="L540" s="12">
        <v>27</v>
      </c>
      <c r="M540" s="12">
        <v>2.2000000000000028</v>
      </c>
      <c r="N540" s="12">
        <v>0</v>
      </c>
      <c r="O540" s="17">
        <v>106.92</v>
      </c>
      <c r="P540" s="17"/>
      <c r="Q540" s="17">
        <v>81.48148148148158</v>
      </c>
      <c r="R540" s="14">
        <v>16.821888037037041</v>
      </c>
      <c r="S540" s="12">
        <v>6</v>
      </c>
      <c r="T540" s="12">
        <v>-1.2000000000000028</v>
      </c>
      <c r="U540" s="14">
        <v>23.759999999999998</v>
      </c>
      <c r="V540" s="17">
        <v>-200.00000000000048</v>
      </c>
      <c r="W540" s="14">
        <v>2.9448509999999768</v>
      </c>
      <c r="X540">
        <f t="shared" si="16"/>
        <v>20.100999999999999</v>
      </c>
      <c r="Y540">
        <f t="shared" si="17"/>
        <v>3.4616637398245338</v>
      </c>
    </row>
    <row r="541" spans="1:25">
      <c r="A541" s="12" t="s">
        <v>335</v>
      </c>
      <c r="B541" s="12" t="s">
        <v>336</v>
      </c>
      <c r="C541" s="12">
        <v>29</v>
      </c>
      <c r="D541" s="12">
        <v>3.96</v>
      </c>
      <c r="E541" s="12" t="s">
        <v>363</v>
      </c>
      <c r="F541" s="13">
        <v>39476</v>
      </c>
      <c r="G541" s="12">
        <v>59</v>
      </c>
      <c r="H541" s="12">
        <v>2.25</v>
      </c>
      <c r="I541" s="13">
        <v>39503</v>
      </c>
      <c r="J541" s="12">
        <v>64.400000000000006</v>
      </c>
      <c r="K541" s="12">
        <v>1.75</v>
      </c>
      <c r="L541" s="12">
        <v>27</v>
      </c>
      <c r="M541" s="12">
        <v>5.4000000000000057</v>
      </c>
      <c r="N541" s="12">
        <v>-0.5</v>
      </c>
      <c r="O541" s="17">
        <v>106.92</v>
      </c>
      <c r="P541" s="17"/>
      <c r="Q541" s="17">
        <v>200.0000000000002</v>
      </c>
      <c r="R541" s="14">
        <v>22.292853000000008</v>
      </c>
      <c r="S541" s="12">
        <v>6</v>
      </c>
      <c r="T541" s="12">
        <v>0</v>
      </c>
      <c r="U541" s="14">
        <v>23.759999999999998</v>
      </c>
      <c r="V541" s="17">
        <v>0</v>
      </c>
      <c r="W541" s="14">
        <v>12.432853</v>
      </c>
      <c r="X541">
        <f t="shared" si="16"/>
        <v>19.063874999999999</v>
      </c>
      <c r="Y541">
        <f t="shared" si="17"/>
        <v>13.860722543004385</v>
      </c>
    </row>
    <row r="542" spans="1:25">
      <c r="A542" s="12" t="s">
        <v>335</v>
      </c>
      <c r="B542" s="12" t="s">
        <v>336</v>
      </c>
      <c r="C542" s="12">
        <v>29</v>
      </c>
      <c r="D542" s="12">
        <v>3.96</v>
      </c>
      <c r="E542" s="12" t="s">
        <v>364</v>
      </c>
      <c r="F542" s="13">
        <v>39476</v>
      </c>
      <c r="G542" s="12">
        <v>56.4</v>
      </c>
      <c r="H542" s="12">
        <v>2</v>
      </c>
      <c r="I542" s="13">
        <v>39503</v>
      </c>
      <c r="J542" s="12">
        <v>67</v>
      </c>
      <c r="K542" s="12">
        <v>2</v>
      </c>
      <c r="L542" s="12">
        <v>27</v>
      </c>
      <c r="M542" s="12">
        <v>10.600000000000001</v>
      </c>
      <c r="N542" s="12">
        <v>0</v>
      </c>
      <c r="O542" s="17">
        <v>106.92</v>
      </c>
      <c r="P542" s="17"/>
      <c r="Q542" s="17">
        <v>392.59259259259267</v>
      </c>
      <c r="R542" s="14">
        <v>31.787667814814817</v>
      </c>
      <c r="S542" s="12">
        <v>6</v>
      </c>
      <c r="T542" s="12">
        <v>1.5999999999999943</v>
      </c>
      <c r="U542" s="14">
        <v>23.759999999999998</v>
      </c>
      <c r="V542" s="17">
        <v>266.66666666666572</v>
      </c>
      <c r="W542" s="14">
        <v>25.57951966666662</v>
      </c>
      <c r="X542">
        <f t="shared" si="16"/>
        <v>20.100999999999999</v>
      </c>
      <c r="Y542">
        <f t="shared" si="17"/>
        <v>30.068650574249453</v>
      </c>
    </row>
    <row r="543" spans="1:25">
      <c r="A543" s="12" t="s">
        <v>335</v>
      </c>
      <c r="B543" s="12" t="s">
        <v>336</v>
      </c>
      <c r="C543" s="12">
        <v>29</v>
      </c>
      <c r="D543" s="12">
        <v>3.96</v>
      </c>
      <c r="E543" s="12" t="s">
        <v>365</v>
      </c>
      <c r="F543" s="13">
        <v>39476</v>
      </c>
      <c r="G543" s="12">
        <v>58</v>
      </c>
      <c r="H543" s="12">
        <v>2.25</v>
      </c>
      <c r="I543" s="13">
        <v>39503</v>
      </c>
      <c r="J543" s="12">
        <v>63.2</v>
      </c>
      <c r="K543" s="12">
        <v>2.25</v>
      </c>
      <c r="L543" s="12">
        <v>27</v>
      </c>
      <c r="M543" s="12">
        <v>5.2000000000000028</v>
      </c>
      <c r="N543" s="12">
        <v>0</v>
      </c>
      <c r="O543" s="17">
        <v>106.92</v>
      </c>
      <c r="P543" s="17"/>
      <c r="Q543" s="17">
        <v>192.59259259259269</v>
      </c>
      <c r="R543" s="14">
        <v>21.741668814814819</v>
      </c>
      <c r="S543" s="12">
        <v>6</v>
      </c>
      <c r="T543" s="12">
        <v>1</v>
      </c>
      <c r="U543" s="14">
        <v>23.759999999999998</v>
      </c>
      <c r="V543" s="17">
        <v>166.66666666666666</v>
      </c>
      <c r="W543" s="14">
        <v>20.463520666666664</v>
      </c>
      <c r="X543">
        <f t="shared" si="16"/>
        <v>19.063874999999999</v>
      </c>
      <c r="Y543">
        <f t="shared" si="17"/>
        <v>22.813684213406429</v>
      </c>
    </row>
    <row r="544" spans="1:25">
      <c r="A544" s="12" t="s">
        <v>335</v>
      </c>
      <c r="B544" s="12" t="s">
        <v>336</v>
      </c>
      <c r="C544" s="12">
        <v>29</v>
      </c>
      <c r="D544" s="12">
        <v>3.96</v>
      </c>
      <c r="E544" s="12" t="s">
        <v>366</v>
      </c>
      <c r="F544" s="13">
        <v>39476</v>
      </c>
      <c r="G544" s="12">
        <v>56</v>
      </c>
      <c r="H544" s="12">
        <v>3</v>
      </c>
      <c r="I544" s="13">
        <v>39503</v>
      </c>
      <c r="J544" s="12">
        <v>65.2</v>
      </c>
      <c r="K544" s="12">
        <v>3</v>
      </c>
      <c r="L544" s="12">
        <v>27</v>
      </c>
      <c r="M544" s="12">
        <v>9.2000000000000028</v>
      </c>
      <c r="N544" s="12">
        <v>0</v>
      </c>
      <c r="O544" s="17">
        <v>106.92</v>
      </c>
      <c r="P544" s="17"/>
      <c r="Q544" s="17">
        <v>340.74074074074082</v>
      </c>
      <c r="R544" s="14">
        <v>29.045372518518523</v>
      </c>
      <c r="S544" s="12">
        <v>6</v>
      </c>
      <c r="T544" s="12">
        <v>-2.2000000000000028</v>
      </c>
      <c r="U544" s="14">
        <v>23.759999999999998</v>
      </c>
      <c r="V544" s="17">
        <v>-366.66666666666714</v>
      </c>
      <c r="W544" s="14">
        <v>-5.8298126666666903</v>
      </c>
      <c r="X544">
        <f t="shared" si="16"/>
        <v>15.952499999999999</v>
      </c>
      <c r="Y544">
        <f t="shared" si="17"/>
        <v>-5.4386015535087937</v>
      </c>
    </row>
    <row r="545" spans="1:25">
      <c r="A545" s="12" t="s">
        <v>335</v>
      </c>
      <c r="B545" s="12" t="s">
        <v>336</v>
      </c>
      <c r="C545" s="12">
        <v>29</v>
      </c>
      <c r="D545" s="12">
        <v>3.96</v>
      </c>
      <c r="E545" s="12" t="s">
        <v>367</v>
      </c>
      <c r="F545" s="13">
        <v>39476</v>
      </c>
      <c r="G545" s="12">
        <v>63.8</v>
      </c>
      <c r="H545" s="12">
        <v>1.75</v>
      </c>
      <c r="I545" s="13">
        <v>39503</v>
      </c>
      <c r="J545" s="12">
        <v>62</v>
      </c>
      <c r="K545" s="12">
        <v>1.75</v>
      </c>
      <c r="L545" s="12">
        <v>27</v>
      </c>
      <c r="M545" s="12">
        <v>-1.7999999999999972</v>
      </c>
      <c r="N545" s="12">
        <v>0</v>
      </c>
      <c r="O545" s="17">
        <v>106.92</v>
      </c>
      <c r="P545" s="17"/>
      <c r="Q545" s="17">
        <v>-66.666666666666558</v>
      </c>
      <c r="R545" s="14">
        <v>9.3490943333333369</v>
      </c>
      <c r="S545" s="12">
        <v>6</v>
      </c>
      <c r="T545" s="12">
        <v>-2.7999999999999972</v>
      </c>
      <c r="U545" s="14">
        <v>23.759999999999998</v>
      </c>
      <c r="V545" s="17">
        <v>-466.66666666666617</v>
      </c>
      <c r="W545" s="14">
        <v>-10.370905666666644</v>
      </c>
      <c r="X545">
        <f t="shared" si="16"/>
        <v>21.138124999999999</v>
      </c>
      <c r="Y545">
        <f t="shared" si="17"/>
        <v>-12.819970780421512</v>
      </c>
    </row>
    <row r="546" spans="1:25">
      <c r="A546" s="12" t="s">
        <v>335</v>
      </c>
      <c r="B546" s="12" t="s">
        <v>336</v>
      </c>
      <c r="C546" s="12">
        <v>29</v>
      </c>
      <c r="D546" s="12">
        <v>3.96</v>
      </c>
      <c r="E546" s="12" t="s">
        <v>368</v>
      </c>
      <c r="F546" s="13">
        <v>39476</v>
      </c>
      <c r="G546" s="12">
        <v>58.2</v>
      </c>
      <c r="H546" s="12">
        <v>1.75</v>
      </c>
      <c r="I546" s="13">
        <v>39503</v>
      </c>
      <c r="J546" s="12">
        <v>64.599999999999994</v>
      </c>
      <c r="K546" s="12">
        <v>1.75</v>
      </c>
      <c r="L546" s="12">
        <v>27</v>
      </c>
      <c r="M546" s="12">
        <v>6.3999999999999915</v>
      </c>
      <c r="N546" s="12">
        <v>0</v>
      </c>
      <c r="O546" s="17">
        <v>106.92</v>
      </c>
      <c r="P546" s="17"/>
      <c r="Q546" s="17">
        <v>237.03703703703673</v>
      </c>
      <c r="R546" s="14">
        <v>24.068051925925907</v>
      </c>
      <c r="S546" s="12">
        <v>6</v>
      </c>
      <c r="T546" s="12">
        <v>0.39999999999999147</v>
      </c>
      <c r="U546" s="14">
        <v>23.759999999999998</v>
      </c>
      <c r="V546" s="17">
        <v>66.66666666666525</v>
      </c>
      <c r="W546" s="14">
        <v>15.668792666666596</v>
      </c>
      <c r="X546">
        <f t="shared" si="16"/>
        <v>21.138124999999999</v>
      </c>
      <c r="Y546">
        <f t="shared" si="17"/>
        <v>19.368941402753318</v>
      </c>
    </row>
    <row r="547" spans="1:25">
      <c r="A547" s="12" t="s">
        <v>335</v>
      </c>
      <c r="B547" s="12" t="s">
        <v>336</v>
      </c>
      <c r="C547" s="12">
        <v>29</v>
      </c>
      <c r="D547" s="12">
        <v>3.96</v>
      </c>
      <c r="E547" s="12" t="s">
        <v>369</v>
      </c>
      <c r="F547" s="13">
        <v>39476</v>
      </c>
      <c r="G547" s="12">
        <v>51</v>
      </c>
      <c r="H547" s="12">
        <v>2</v>
      </c>
      <c r="I547" s="13">
        <v>39503</v>
      </c>
      <c r="J547" s="12">
        <v>53.2</v>
      </c>
      <c r="K547" s="12">
        <v>2</v>
      </c>
      <c r="L547" s="12">
        <v>27</v>
      </c>
      <c r="M547" s="12">
        <v>2.2000000000000028</v>
      </c>
      <c r="N547" s="12">
        <v>0</v>
      </c>
      <c r="O547" s="17">
        <v>106.92</v>
      </c>
      <c r="P547" s="17"/>
      <c r="Q547" s="17">
        <v>81.48148148148158</v>
      </c>
      <c r="R547" s="14">
        <v>14.826626037037041</v>
      </c>
      <c r="S547" s="12">
        <v>6</v>
      </c>
      <c r="T547" s="12">
        <v>-2</v>
      </c>
      <c r="U547" s="14">
        <v>23.759999999999998</v>
      </c>
      <c r="V547" s="17">
        <v>-333.33333333333331</v>
      </c>
      <c r="W547" s="14">
        <v>-5.623744333333331</v>
      </c>
      <c r="X547">
        <f t="shared" si="16"/>
        <v>20.100999999999999</v>
      </c>
      <c r="Y547">
        <f t="shared" si="17"/>
        <v>-6.6106950201364487</v>
      </c>
    </row>
    <row r="548" spans="1:25">
      <c r="A548" s="12" t="s">
        <v>335</v>
      </c>
      <c r="B548" s="12" t="s">
        <v>336</v>
      </c>
      <c r="C548" s="12">
        <v>29</v>
      </c>
      <c r="D548" s="12">
        <v>3.96</v>
      </c>
      <c r="E548" s="12" t="s">
        <v>370</v>
      </c>
      <c r="F548" s="13">
        <v>39476</v>
      </c>
      <c r="G548" s="12">
        <v>57.8</v>
      </c>
      <c r="H548" s="12">
        <v>2.25</v>
      </c>
      <c r="I548" s="13">
        <v>39503</v>
      </c>
      <c r="J548" s="12">
        <v>62</v>
      </c>
      <c r="K548" s="12">
        <v>2.25</v>
      </c>
      <c r="L548" s="12">
        <v>27</v>
      </c>
      <c r="M548" s="12">
        <v>4.2000000000000028</v>
      </c>
      <c r="N548" s="12">
        <v>0</v>
      </c>
      <c r="O548" s="17">
        <v>106.92</v>
      </c>
      <c r="P548" s="17"/>
      <c r="Q548" s="17">
        <v>155.55555555555566</v>
      </c>
      <c r="R548" s="14">
        <v>19.797379888888891</v>
      </c>
      <c r="S548" s="12">
        <v>6</v>
      </c>
      <c r="T548" s="12">
        <v>-1</v>
      </c>
      <c r="U548" s="14">
        <v>23.759999999999998</v>
      </c>
      <c r="V548" s="17">
        <v>-166.66666666666666</v>
      </c>
      <c r="W548" s="14">
        <v>3.9118243333333336</v>
      </c>
      <c r="X548">
        <f t="shared" si="16"/>
        <v>19.063874999999999</v>
      </c>
      <c r="Y548">
        <f t="shared" si="17"/>
        <v>4.3610836323172508</v>
      </c>
    </row>
    <row r="549" spans="1:25">
      <c r="A549" s="12" t="s">
        <v>520</v>
      </c>
      <c r="B549" s="12" t="s">
        <v>521</v>
      </c>
      <c r="C549" s="12">
        <v>110</v>
      </c>
      <c r="D549" s="12">
        <v>2.2000000000000002</v>
      </c>
      <c r="E549" s="12" t="s">
        <v>522</v>
      </c>
      <c r="F549" s="13">
        <v>42346</v>
      </c>
      <c r="G549" s="12">
        <v>60</v>
      </c>
      <c r="H549" s="12">
        <v>3.5</v>
      </c>
      <c r="I549" s="13">
        <v>42373</v>
      </c>
      <c r="J549" s="12">
        <v>60.5</v>
      </c>
      <c r="K549" s="12">
        <v>3</v>
      </c>
      <c r="L549" s="12">
        <v>27</v>
      </c>
      <c r="M549" s="12">
        <v>0.5</v>
      </c>
      <c r="N549" s="12">
        <v>-0.5</v>
      </c>
      <c r="O549" s="17">
        <v>59.400000000000006</v>
      </c>
      <c r="P549" s="17"/>
      <c r="Q549" s="17">
        <v>18.518518518518519</v>
      </c>
      <c r="R549" s="14">
        <v>13.100635462962963</v>
      </c>
      <c r="S549" s="12">
        <v>14</v>
      </c>
      <c r="T549" s="12">
        <v>-3.5</v>
      </c>
      <c r="U549" s="14">
        <v>30.800000000000004</v>
      </c>
      <c r="V549" s="17">
        <v>-250</v>
      </c>
      <c r="W549" s="14">
        <v>-0.1373274999999996</v>
      </c>
      <c r="X549">
        <f t="shared" si="16"/>
        <v>13.878249999999998</v>
      </c>
      <c r="Y549">
        <f t="shared" si="17"/>
        <v>-0.1114541156067248</v>
      </c>
    </row>
    <row r="550" spans="1:25">
      <c r="A550" s="12" t="s">
        <v>520</v>
      </c>
      <c r="B550" s="12" t="s">
        <v>521</v>
      </c>
      <c r="C550" s="12">
        <v>110</v>
      </c>
      <c r="D550" s="12">
        <v>2.2000000000000002</v>
      </c>
      <c r="E550" s="12" t="s">
        <v>523</v>
      </c>
      <c r="F550" s="13">
        <v>42346</v>
      </c>
      <c r="G550" s="12">
        <v>60</v>
      </c>
      <c r="H550" s="12">
        <v>3</v>
      </c>
      <c r="I550" s="13">
        <v>42373</v>
      </c>
      <c r="J550" s="12">
        <v>65</v>
      </c>
      <c r="K550" s="12">
        <v>3.5</v>
      </c>
      <c r="L550" s="12">
        <v>27</v>
      </c>
      <c r="M550" s="12">
        <v>5</v>
      </c>
      <c r="N550" s="12">
        <v>0.5</v>
      </c>
      <c r="O550" s="17">
        <v>59.400000000000006</v>
      </c>
      <c r="P550" s="17"/>
      <c r="Q550" s="17">
        <v>185.18518518518516</v>
      </c>
      <c r="R550" s="14">
        <v>21.697754629629628</v>
      </c>
      <c r="S550" s="12">
        <v>14</v>
      </c>
      <c r="T550" s="12">
        <v>1</v>
      </c>
      <c r="U550" s="14">
        <v>30.800000000000004</v>
      </c>
      <c r="V550" s="17">
        <v>71.428571428571431</v>
      </c>
      <c r="W550" s="14">
        <v>16.089553571428571</v>
      </c>
      <c r="X550">
        <f t="shared" si="16"/>
        <v>15.952499999999999</v>
      </c>
      <c r="Y550">
        <f t="shared" si="17"/>
        <v>15.00985984492481</v>
      </c>
    </row>
    <row r="551" spans="1:25">
      <c r="A551" s="12" t="s">
        <v>520</v>
      </c>
      <c r="B551" s="12" t="s">
        <v>521</v>
      </c>
      <c r="C551" s="12">
        <v>110</v>
      </c>
      <c r="D551" s="12">
        <v>2.2000000000000002</v>
      </c>
      <c r="E551" s="12" t="s">
        <v>524</v>
      </c>
      <c r="F551" s="13">
        <v>42346</v>
      </c>
      <c r="G551" s="12">
        <v>62.5</v>
      </c>
      <c r="H551" s="12">
        <v>3.5</v>
      </c>
      <c r="I551" s="13">
        <v>42373</v>
      </c>
      <c r="J551" s="12">
        <v>65</v>
      </c>
      <c r="K551" s="12">
        <v>3.5</v>
      </c>
      <c r="L551" s="12">
        <v>27</v>
      </c>
      <c r="M551" s="12">
        <v>2.5</v>
      </c>
      <c r="N551" s="12">
        <v>0</v>
      </c>
      <c r="O551" s="17">
        <v>59.400000000000006</v>
      </c>
      <c r="P551" s="17"/>
      <c r="Q551" s="17">
        <v>92.592592592592581</v>
      </c>
      <c r="R551" s="14">
        <v>17.344302314814815</v>
      </c>
      <c r="S551" s="12">
        <v>14</v>
      </c>
      <c r="T551" s="12">
        <v>-2</v>
      </c>
      <c r="U551" s="14">
        <v>30.800000000000004</v>
      </c>
      <c r="V551" s="17">
        <v>-142.85714285714286</v>
      </c>
      <c r="W551" s="14">
        <v>5.7366303571428583</v>
      </c>
      <c r="X551">
        <f t="shared" si="16"/>
        <v>13.878249999999998</v>
      </c>
      <c r="Y551">
        <f t="shared" si="17"/>
        <v>4.6558122955565997</v>
      </c>
    </row>
    <row r="552" spans="1:25">
      <c r="A552" s="12" t="s">
        <v>520</v>
      </c>
      <c r="B552" s="12" t="s">
        <v>521</v>
      </c>
      <c r="C552" s="12">
        <v>110</v>
      </c>
      <c r="D552" s="12">
        <v>2.2000000000000002</v>
      </c>
      <c r="E552" s="12" t="s">
        <v>525</v>
      </c>
      <c r="F552" s="13">
        <v>42346</v>
      </c>
      <c r="G552" s="12">
        <v>58</v>
      </c>
      <c r="H552" s="12">
        <v>3.5</v>
      </c>
      <c r="I552" s="13">
        <v>42373</v>
      </c>
      <c r="J552" s="12">
        <v>62.5</v>
      </c>
      <c r="K552" s="12">
        <v>3.5</v>
      </c>
      <c r="L552" s="12">
        <v>27</v>
      </c>
      <c r="M552" s="12">
        <v>4.5</v>
      </c>
      <c r="N552" s="12">
        <v>0</v>
      </c>
      <c r="O552" s="17">
        <v>59.400000000000006</v>
      </c>
      <c r="P552" s="17"/>
      <c r="Q552" s="17">
        <v>166.66666666666666</v>
      </c>
      <c r="R552" s="14">
        <v>20.404339166666666</v>
      </c>
      <c r="S552" s="12">
        <v>14</v>
      </c>
      <c r="T552" s="12">
        <v>0</v>
      </c>
      <c r="U552" s="14">
        <v>30.800000000000004</v>
      </c>
      <c r="V552" s="17">
        <v>0</v>
      </c>
      <c r="W552" s="14">
        <v>12.1876725</v>
      </c>
      <c r="X552">
        <f t="shared" si="16"/>
        <v>13.878249999999998</v>
      </c>
      <c r="Y552">
        <f t="shared" si="17"/>
        <v>9.8914366007675412</v>
      </c>
    </row>
    <row r="553" spans="1:25">
      <c r="A553" s="12" t="s">
        <v>520</v>
      </c>
      <c r="B553" s="12" t="s">
        <v>521</v>
      </c>
      <c r="C553" s="12">
        <v>110</v>
      </c>
      <c r="D553" s="12">
        <v>2.2000000000000002</v>
      </c>
      <c r="E553" s="12" t="s">
        <v>526</v>
      </c>
      <c r="F553" s="13">
        <v>42346</v>
      </c>
      <c r="G553" s="12">
        <v>57.5</v>
      </c>
      <c r="H553" s="12">
        <v>3</v>
      </c>
      <c r="I553" s="13">
        <v>42373</v>
      </c>
      <c r="J553" s="12">
        <v>63</v>
      </c>
      <c r="K553" s="12">
        <v>3.5</v>
      </c>
      <c r="L553" s="12">
        <v>27</v>
      </c>
      <c r="M553" s="12">
        <v>5.5</v>
      </c>
      <c r="N553" s="12">
        <v>0.5</v>
      </c>
      <c r="O553" s="17">
        <v>59.400000000000006</v>
      </c>
      <c r="P553" s="17"/>
      <c r="Q553" s="17">
        <v>203.7037037037037</v>
      </c>
      <c r="R553" s="14">
        <v>22.230265092592589</v>
      </c>
      <c r="S553" s="12">
        <v>14</v>
      </c>
      <c r="T553" s="12">
        <v>0.5</v>
      </c>
      <c r="U553" s="14">
        <v>30.800000000000004</v>
      </c>
      <c r="V553" s="17">
        <v>35.714285714285715</v>
      </c>
      <c r="W553" s="14">
        <v>13.948386785714286</v>
      </c>
      <c r="X553">
        <f t="shared" si="16"/>
        <v>15.952499999999999</v>
      </c>
      <c r="Y553">
        <f t="shared" si="17"/>
        <v>13.012376619830825</v>
      </c>
    </row>
    <row r="554" spans="1:25">
      <c r="A554" s="12" t="s">
        <v>520</v>
      </c>
      <c r="B554" s="12" t="s">
        <v>521</v>
      </c>
      <c r="C554" s="12">
        <v>110</v>
      </c>
      <c r="D554" s="12">
        <v>2.2000000000000002</v>
      </c>
      <c r="E554" s="12" t="s">
        <v>527</v>
      </c>
      <c r="F554" s="13">
        <v>42346</v>
      </c>
      <c r="G554" s="12">
        <v>59.5</v>
      </c>
      <c r="H554" s="12">
        <v>3</v>
      </c>
      <c r="I554" s="13">
        <v>42373</v>
      </c>
      <c r="J554" s="12">
        <v>58.5</v>
      </c>
      <c r="K554" s="12">
        <v>3.5</v>
      </c>
      <c r="L554" s="12">
        <v>27</v>
      </c>
      <c r="M554" s="12">
        <v>-1</v>
      </c>
      <c r="N554" s="12">
        <v>0.5</v>
      </c>
      <c r="O554" s="17">
        <v>59.400000000000006</v>
      </c>
      <c r="P554" s="17"/>
      <c r="Q554" s="17">
        <v>-37.037037037037038</v>
      </c>
      <c r="R554" s="14">
        <v>10.150384074074074</v>
      </c>
      <c r="S554" s="12">
        <v>14</v>
      </c>
      <c r="T554" s="12">
        <v>0.5</v>
      </c>
      <c r="U554" s="14">
        <v>30.800000000000004</v>
      </c>
      <c r="V554" s="17">
        <v>35.714285714285715</v>
      </c>
      <c r="W554" s="14">
        <v>13.737024285714286</v>
      </c>
      <c r="X554">
        <f t="shared" si="16"/>
        <v>15.952499999999999</v>
      </c>
      <c r="Y554">
        <f t="shared" si="17"/>
        <v>12.815197656015036</v>
      </c>
    </row>
    <row r="555" spans="1:25">
      <c r="A555" s="12" t="s">
        <v>520</v>
      </c>
      <c r="B555" s="12" t="s">
        <v>521</v>
      </c>
      <c r="C555" s="12">
        <v>110</v>
      </c>
      <c r="D555" s="12">
        <v>2.2000000000000002</v>
      </c>
      <c r="E555" s="12" t="s">
        <v>528</v>
      </c>
      <c r="F555" s="13">
        <v>42346</v>
      </c>
      <c r="G555" s="12">
        <v>62</v>
      </c>
      <c r="H555" s="12">
        <v>3</v>
      </c>
      <c r="I555" s="13">
        <v>42373</v>
      </c>
      <c r="J555" s="12">
        <v>64</v>
      </c>
      <c r="K555" s="12">
        <v>3</v>
      </c>
      <c r="L555" s="12">
        <v>27</v>
      </c>
      <c r="M555" s="12">
        <v>2</v>
      </c>
      <c r="N555" s="12">
        <v>0</v>
      </c>
      <c r="O555" s="17">
        <v>59.400000000000006</v>
      </c>
      <c r="P555" s="17"/>
      <c r="Q555" s="17">
        <v>74.074074074074076</v>
      </c>
      <c r="R555" s="14">
        <v>16.304521851851852</v>
      </c>
      <c r="S555" s="12">
        <v>14</v>
      </c>
      <c r="T555" s="12">
        <v>-4</v>
      </c>
      <c r="U555" s="14">
        <v>30.800000000000004</v>
      </c>
      <c r="V555" s="17">
        <v>-285.71428571428572</v>
      </c>
      <c r="W555" s="14">
        <v>-1.4330442857142849</v>
      </c>
      <c r="X555">
        <f t="shared" si="16"/>
        <v>15.952499999999999</v>
      </c>
      <c r="Y555">
        <f t="shared" si="17"/>
        <v>-1.3368794718045103</v>
      </c>
    </row>
    <row r="556" spans="1:25">
      <c r="A556" s="12" t="s">
        <v>520</v>
      </c>
      <c r="B556" s="12" t="s">
        <v>521</v>
      </c>
      <c r="C556" s="12">
        <v>110</v>
      </c>
      <c r="D556" s="12">
        <v>2.2000000000000002</v>
      </c>
      <c r="E556" s="12" t="s">
        <v>529</v>
      </c>
      <c r="F556" s="13">
        <v>42346</v>
      </c>
      <c r="G556" s="12">
        <v>58.5</v>
      </c>
      <c r="H556" s="12">
        <v>3</v>
      </c>
      <c r="I556" s="13">
        <v>42373</v>
      </c>
      <c r="J556" s="12">
        <v>60</v>
      </c>
      <c r="K556" s="12">
        <v>2.5</v>
      </c>
      <c r="L556" s="12">
        <v>27</v>
      </c>
      <c r="M556" s="12">
        <v>1.5</v>
      </c>
      <c r="N556" s="12">
        <v>-0.5</v>
      </c>
      <c r="O556" s="17">
        <v>59.400000000000006</v>
      </c>
      <c r="P556" s="17"/>
      <c r="Q556" s="17">
        <v>55.55555555555555</v>
      </c>
      <c r="R556" s="14">
        <v>14.757471388888888</v>
      </c>
      <c r="S556" s="12">
        <v>14</v>
      </c>
      <c r="T556" s="12">
        <v>-2.5</v>
      </c>
      <c r="U556" s="14">
        <v>30.800000000000004</v>
      </c>
      <c r="V556" s="17">
        <v>-178.57142857142858</v>
      </c>
      <c r="W556" s="14">
        <v>3.2150110714285702</v>
      </c>
      <c r="X556">
        <f t="shared" si="16"/>
        <v>15.952499999999999</v>
      </c>
      <c r="Y556">
        <f t="shared" si="17"/>
        <v>2.9992669074248108</v>
      </c>
    </row>
    <row r="557" spans="1:25">
      <c r="A557" s="12" t="s">
        <v>520</v>
      </c>
      <c r="B557" s="12" t="s">
        <v>521</v>
      </c>
      <c r="C557" s="12">
        <v>110</v>
      </c>
      <c r="D557" s="12">
        <v>2.2000000000000002</v>
      </c>
      <c r="E557" s="12" t="s">
        <v>530</v>
      </c>
      <c r="F557" s="13">
        <v>42346</v>
      </c>
      <c r="G557" s="12">
        <v>59</v>
      </c>
      <c r="H557" s="12">
        <v>3</v>
      </c>
      <c r="I557" s="13">
        <v>42373</v>
      </c>
      <c r="J557" s="12">
        <v>60.5</v>
      </c>
      <c r="K557" s="12">
        <v>3</v>
      </c>
      <c r="L557" s="12">
        <v>27</v>
      </c>
      <c r="M557" s="12">
        <v>1.5</v>
      </c>
      <c r="N557" s="12">
        <v>0</v>
      </c>
      <c r="O557" s="17">
        <v>59.400000000000006</v>
      </c>
      <c r="P557" s="17"/>
      <c r="Q557" s="17">
        <v>55.55555555555555</v>
      </c>
      <c r="R557" s="14">
        <v>14.842016388888888</v>
      </c>
      <c r="S557" s="12">
        <v>14</v>
      </c>
      <c r="T557" s="12">
        <v>-2</v>
      </c>
      <c r="U557" s="14">
        <v>30.800000000000004</v>
      </c>
      <c r="V557" s="17">
        <v>-142.85714285714286</v>
      </c>
      <c r="W557" s="14">
        <v>5.0602703571428576</v>
      </c>
      <c r="X557">
        <f t="shared" si="16"/>
        <v>15.952499999999999</v>
      </c>
      <c r="Y557">
        <f t="shared" si="17"/>
        <v>4.7206995831766907</v>
      </c>
    </row>
    <row r="558" spans="1:25">
      <c r="A558" s="12" t="s">
        <v>520</v>
      </c>
      <c r="B558" s="12" t="s">
        <v>521</v>
      </c>
      <c r="C558" s="12">
        <v>110</v>
      </c>
      <c r="D558" s="12">
        <v>2.2000000000000002</v>
      </c>
      <c r="E558" s="12" t="s">
        <v>531</v>
      </c>
      <c r="F558" s="13">
        <v>42346</v>
      </c>
      <c r="G558" s="12">
        <v>57</v>
      </c>
      <c r="H558" s="12">
        <v>3</v>
      </c>
      <c r="I558" s="13">
        <v>42373</v>
      </c>
      <c r="J558" s="12">
        <v>58</v>
      </c>
      <c r="K558" s="12">
        <v>3</v>
      </c>
      <c r="L558" s="12">
        <v>27</v>
      </c>
      <c r="M558" s="12">
        <v>1</v>
      </c>
      <c r="N558" s="12">
        <v>0</v>
      </c>
      <c r="O558" s="17">
        <v>59.400000000000006</v>
      </c>
      <c r="P558" s="17"/>
      <c r="Q558" s="17">
        <v>37.037037037037038</v>
      </c>
      <c r="R558" s="14">
        <v>13.548600925925925</v>
      </c>
      <c r="S558" s="12">
        <v>14</v>
      </c>
      <c r="T558" s="12">
        <v>-4.5</v>
      </c>
      <c r="U558" s="14">
        <v>30.800000000000004</v>
      </c>
      <c r="V558" s="17">
        <v>-321.42857142857144</v>
      </c>
      <c r="W558" s="14">
        <v>-4.1237535714285727</v>
      </c>
      <c r="X558">
        <f t="shared" si="16"/>
        <v>15.952499999999999</v>
      </c>
      <c r="Y558">
        <f t="shared" si="17"/>
        <v>-3.8470280028195489</v>
      </c>
    </row>
    <row r="559" spans="1:25">
      <c r="A559" s="12" t="s">
        <v>520</v>
      </c>
      <c r="B559" s="12" t="s">
        <v>521</v>
      </c>
      <c r="C559" s="12">
        <v>110</v>
      </c>
      <c r="D559" s="12">
        <v>2.2000000000000002</v>
      </c>
      <c r="E559" s="12" t="s">
        <v>532</v>
      </c>
      <c r="F559" s="13">
        <v>42346</v>
      </c>
      <c r="G559" s="12">
        <v>60.5</v>
      </c>
      <c r="H559" s="12">
        <v>3</v>
      </c>
      <c r="I559" s="13">
        <v>42373</v>
      </c>
      <c r="J559" s="12">
        <v>64</v>
      </c>
      <c r="K559" s="12">
        <v>3</v>
      </c>
      <c r="L559" s="12">
        <v>27</v>
      </c>
      <c r="M559" s="12">
        <v>3.5</v>
      </c>
      <c r="N559" s="12">
        <v>0</v>
      </c>
      <c r="O559" s="17">
        <v>59.400000000000006</v>
      </c>
      <c r="P559" s="17"/>
      <c r="Q559" s="17">
        <v>129.62962962962962</v>
      </c>
      <c r="R559" s="14">
        <v>18.916593240740738</v>
      </c>
      <c r="S559" s="12">
        <v>14</v>
      </c>
      <c r="T559" s="12">
        <v>0.5</v>
      </c>
      <c r="U559" s="14">
        <v>30.800000000000004</v>
      </c>
      <c r="V559" s="17">
        <v>35.714285714285715</v>
      </c>
      <c r="W559" s="14">
        <v>14.286566785714285</v>
      </c>
      <c r="X559">
        <f t="shared" si="16"/>
        <v>15.952499999999999</v>
      </c>
      <c r="Y559">
        <f t="shared" si="17"/>
        <v>13.327862961936088</v>
      </c>
    </row>
    <row r="560" spans="1:25">
      <c r="A560" s="12" t="s">
        <v>520</v>
      </c>
      <c r="B560" s="12" t="s">
        <v>521</v>
      </c>
      <c r="C560" s="12">
        <v>110</v>
      </c>
      <c r="D560" s="12">
        <v>2.2000000000000002</v>
      </c>
      <c r="E560" s="12" t="s">
        <v>533</v>
      </c>
      <c r="F560" s="13">
        <v>42346</v>
      </c>
      <c r="G560" s="12">
        <v>60.5</v>
      </c>
      <c r="H560" s="12">
        <v>3</v>
      </c>
      <c r="I560" s="13">
        <v>42373</v>
      </c>
      <c r="J560" s="12">
        <v>62</v>
      </c>
      <c r="K560" s="12">
        <v>3</v>
      </c>
      <c r="L560" s="12">
        <v>27</v>
      </c>
      <c r="M560" s="12">
        <v>1.5</v>
      </c>
      <c r="N560" s="12">
        <v>0</v>
      </c>
      <c r="O560" s="17">
        <v>59.400000000000006</v>
      </c>
      <c r="P560" s="17"/>
      <c r="Q560" s="17">
        <v>55.55555555555555</v>
      </c>
      <c r="R560" s="14">
        <v>15.095651388888887</v>
      </c>
      <c r="S560" s="12">
        <v>14</v>
      </c>
      <c r="T560" s="12">
        <v>-5</v>
      </c>
      <c r="U560" s="14">
        <v>30.800000000000004</v>
      </c>
      <c r="V560" s="17">
        <v>-357.14285714285717</v>
      </c>
      <c r="W560" s="14">
        <v>-5.2503803571428591</v>
      </c>
      <c r="X560">
        <f t="shared" si="16"/>
        <v>15.952499999999999</v>
      </c>
      <c r="Y560">
        <f t="shared" si="17"/>
        <v>-4.8980522015977455</v>
      </c>
    </row>
    <row r="561" spans="1:25">
      <c r="A561" s="12" t="s">
        <v>520</v>
      </c>
      <c r="B561" s="12" t="s">
        <v>521</v>
      </c>
      <c r="C561" s="12">
        <v>110</v>
      </c>
      <c r="D561" s="12">
        <v>2.2000000000000002</v>
      </c>
      <c r="E561" s="12" t="s">
        <v>534</v>
      </c>
      <c r="F561" s="13">
        <v>42346</v>
      </c>
      <c r="G561" s="12">
        <v>59.5</v>
      </c>
      <c r="H561" s="12">
        <v>2.5</v>
      </c>
      <c r="I561" s="13">
        <v>42373</v>
      </c>
      <c r="J561" s="12">
        <v>62.5</v>
      </c>
      <c r="K561" s="12">
        <v>3.5</v>
      </c>
      <c r="L561" s="12">
        <v>27</v>
      </c>
      <c r="M561" s="12">
        <v>3</v>
      </c>
      <c r="N561" s="12">
        <v>1</v>
      </c>
      <c r="O561" s="17">
        <v>59.400000000000006</v>
      </c>
      <c r="P561" s="17"/>
      <c r="Q561" s="17">
        <v>111.1111111111111</v>
      </c>
      <c r="R561" s="14">
        <v>17.792267777777777</v>
      </c>
      <c r="S561" s="12">
        <v>14</v>
      </c>
      <c r="T561" s="12">
        <v>3.5</v>
      </c>
      <c r="U561" s="14">
        <v>30.800000000000004</v>
      </c>
      <c r="V561" s="17">
        <v>250</v>
      </c>
      <c r="W561" s="14">
        <v>24.639489999999999</v>
      </c>
      <c r="X561">
        <f t="shared" si="16"/>
        <v>18.02675</v>
      </c>
      <c r="Y561">
        <f t="shared" si="17"/>
        <v>25.974849494590639</v>
      </c>
    </row>
    <row r="562" spans="1:25">
      <c r="A562" s="12" t="s">
        <v>520</v>
      </c>
      <c r="B562" s="12" t="s">
        <v>521</v>
      </c>
      <c r="C562" s="12">
        <v>110</v>
      </c>
      <c r="D562" s="12">
        <v>2.2000000000000002</v>
      </c>
      <c r="E562" s="12" t="s">
        <v>535</v>
      </c>
      <c r="F562" s="13">
        <v>42346</v>
      </c>
      <c r="G562" s="12">
        <v>58</v>
      </c>
      <c r="H562" s="12">
        <v>3</v>
      </c>
      <c r="I562" s="13">
        <v>42373</v>
      </c>
      <c r="J562" s="12">
        <v>57.5</v>
      </c>
      <c r="K562" s="12">
        <v>2.75</v>
      </c>
      <c r="L562" s="12">
        <v>27</v>
      </c>
      <c r="M562" s="12">
        <v>-0.5</v>
      </c>
      <c r="N562" s="12">
        <v>-0.25</v>
      </c>
      <c r="O562" s="17">
        <v>59.400000000000006</v>
      </c>
      <c r="P562" s="17"/>
      <c r="Q562" s="17">
        <v>-18.518518518518519</v>
      </c>
      <c r="R562" s="14">
        <v>10.851984537037037</v>
      </c>
      <c r="S562" s="12">
        <v>14</v>
      </c>
      <c r="T562" s="12">
        <v>-3</v>
      </c>
      <c r="U562" s="14">
        <v>30.800000000000004</v>
      </c>
      <c r="V562" s="17">
        <v>-214.28571428571428</v>
      </c>
      <c r="W562" s="14">
        <v>1.2006617857142867</v>
      </c>
      <c r="X562">
        <f t="shared" si="16"/>
        <v>15.952499999999999</v>
      </c>
      <c r="Y562">
        <f t="shared" si="17"/>
        <v>1.1200910606203016</v>
      </c>
    </row>
    <row r="563" spans="1:25">
      <c r="A563" s="12" t="s">
        <v>520</v>
      </c>
      <c r="B563" s="12" t="s">
        <v>521</v>
      </c>
      <c r="C563" s="12">
        <v>110</v>
      </c>
      <c r="D563" s="12">
        <v>2.2000000000000002</v>
      </c>
      <c r="E563" s="12" t="s">
        <v>536</v>
      </c>
      <c r="F563" s="13">
        <v>42346</v>
      </c>
      <c r="G563" s="12">
        <v>63.5</v>
      </c>
      <c r="H563" s="12">
        <v>3</v>
      </c>
      <c r="I563" s="13">
        <v>42373</v>
      </c>
      <c r="J563" s="12">
        <v>69</v>
      </c>
      <c r="K563" s="12">
        <v>3</v>
      </c>
      <c r="L563" s="12">
        <v>27</v>
      </c>
      <c r="M563" s="12">
        <v>5.5</v>
      </c>
      <c r="N563" s="12">
        <v>0</v>
      </c>
      <c r="O563" s="17">
        <v>59.400000000000006</v>
      </c>
      <c r="P563" s="17"/>
      <c r="Q563" s="17">
        <v>203.7037037037037</v>
      </c>
      <c r="R563" s="14">
        <v>23.244805092592593</v>
      </c>
      <c r="S563" s="12">
        <v>14</v>
      </c>
      <c r="T563" s="12">
        <v>0</v>
      </c>
      <c r="U563" s="14">
        <v>30.800000000000004</v>
      </c>
      <c r="V563" s="17">
        <v>0</v>
      </c>
      <c r="W563" s="14">
        <v>13.2022125</v>
      </c>
      <c r="X563">
        <f t="shared" si="16"/>
        <v>15.952499999999999</v>
      </c>
      <c r="Y563">
        <f t="shared" si="17"/>
        <v>12.316274555921051</v>
      </c>
    </row>
    <row r="564" spans="1:25">
      <c r="A564" s="12" t="s">
        <v>520</v>
      </c>
      <c r="B564" s="12" t="s">
        <v>521</v>
      </c>
      <c r="C564" s="12">
        <v>110</v>
      </c>
      <c r="D564" s="12">
        <v>2.2000000000000002</v>
      </c>
      <c r="E564" s="12" t="s">
        <v>537</v>
      </c>
      <c r="F564" s="13">
        <v>42346</v>
      </c>
      <c r="G564" s="12">
        <v>60.5</v>
      </c>
      <c r="H564" s="12">
        <v>3</v>
      </c>
      <c r="I564" s="13">
        <v>42373</v>
      </c>
      <c r="J564" s="12">
        <v>64</v>
      </c>
      <c r="K564" s="12">
        <v>3</v>
      </c>
      <c r="L564" s="12">
        <v>27</v>
      </c>
      <c r="M564" s="12">
        <v>3.5</v>
      </c>
      <c r="N564" s="12">
        <v>0</v>
      </c>
      <c r="O564" s="17">
        <v>59.400000000000006</v>
      </c>
      <c r="P564" s="17"/>
      <c r="Q564" s="17">
        <v>129.62962962962962</v>
      </c>
      <c r="R564" s="14">
        <v>18.916593240740738</v>
      </c>
      <c r="S564" s="12">
        <v>14</v>
      </c>
      <c r="T564" s="12">
        <v>-2</v>
      </c>
      <c r="U564" s="14">
        <v>30.800000000000004</v>
      </c>
      <c r="V564" s="17">
        <v>-142.85714285714286</v>
      </c>
      <c r="W564" s="14">
        <v>5.4829953571428574</v>
      </c>
      <c r="X564">
        <f t="shared" si="16"/>
        <v>15.952499999999999</v>
      </c>
      <c r="Y564">
        <f t="shared" si="17"/>
        <v>5.1150575108082705</v>
      </c>
    </row>
    <row r="565" spans="1:25">
      <c r="A565" s="12" t="s">
        <v>520</v>
      </c>
      <c r="B565" s="12" t="s">
        <v>521</v>
      </c>
      <c r="C565" s="12">
        <v>110</v>
      </c>
      <c r="D565" s="12">
        <v>2.2000000000000002</v>
      </c>
      <c r="E565" s="12" t="s">
        <v>538</v>
      </c>
      <c r="F565" s="13">
        <v>42346</v>
      </c>
      <c r="G565" s="12">
        <v>58.5</v>
      </c>
      <c r="H565" s="12">
        <v>3</v>
      </c>
      <c r="I565" s="13">
        <v>42373</v>
      </c>
      <c r="J565" s="12">
        <v>65.5</v>
      </c>
      <c r="K565" s="12">
        <v>3</v>
      </c>
      <c r="L565" s="12">
        <v>27</v>
      </c>
      <c r="M565" s="12">
        <v>7</v>
      </c>
      <c r="N565" s="12">
        <v>0</v>
      </c>
      <c r="O565" s="17">
        <v>59.400000000000006</v>
      </c>
      <c r="P565" s="17"/>
      <c r="Q565" s="17">
        <v>259.25925925925924</v>
      </c>
      <c r="R565" s="14">
        <v>25.265061481481482</v>
      </c>
      <c r="S565" s="12">
        <v>14</v>
      </c>
      <c r="T565" s="12">
        <v>1</v>
      </c>
      <c r="U565" s="14">
        <v>30.800000000000004</v>
      </c>
      <c r="V565" s="17">
        <v>71.428571428571431</v>
      </c>
      <c r="W565" s="14">
        <v>16.005008571428569</v>
      </c>
      <c r="X565">
        <f t="shared" si="16"/>
        <v>15.952499999999999</v>
      </c>
      <c r="Y565">
        <f t="shared" si="17"/>
        <v>14.930988259398491</v>
      </c>
    </row>
    <row r="566" spans="1:25">
      <c r="A566" s="12" t="s">
        <v>520</v>
      </c>
      <c r="B566" s="12" t="s">
        <v>521</v>
      </c>
      <c r="C566" s="12">
        <v>110</v>
      </c>
      <c r="D566" s="12">
        <v>2.2000000000000002</v>
      </c>
      <c r="E566" s="12" t="s">
        <v>539</v>
      </c>
      <c r="F566" s="13">
        <v>42346</v>
      </c>
      <c r="G566" s="12">
        <v>60</v>
      </c>
      <c r="H566" s="12">
        <v>3</v>
      </c>
      <c r="I566" s="13">
        <v>42373</v>
      </c>
      <c r="J566" s="12">
        <v>68.5</v>
      </c>
      <c r="K566" s="12">
        <v>3</v>
      </c>
      <c r="L566" s="12">
        <v>27</v>
      </c>
      <c r="M566" s="12">
        <v>8.5</v>
      </c>
      <c r="N566" s="12">
        <v>0</v>
      </c>
      <c r="O566" s="17">
        <v>59.400000000000006</v>
      </c>
      <c r="P566" s="17"/>
      <c r="Q566" s="17">
        <v>314.81481481481484</v>
      </c>
      <c r="R566" s="14">
        <v>28.384402870370369</v>
      </c>
      <c r="S566" s="12">
        <v>14</v>
      </c>
      <c r="T566" s="12">
        <v>3.5</v>
      </c>
      <c r="U566" s="14">
        <v>30.800000000000004</v>
      </c>
      <c r="V566" s="17">
        <v>250</v>
      </c>
      <c r="W566" s="14">
        <v>25.189032499999996</v>
      </c>
      <c r="X566">
        <f t="shared" si="16"/>
        <v>15.952499999999999</v>
      </c>
      <c r="Y566">
        <f t="shared" si="17"/>
        <v>23.498715845394731</v>
      </c>
    </row>
    <row r="567" spans="1:25">
      <c r="A567" s="12" t="s">
        <v>520</v>
      </c>
      <c r="B567" s="12" t="s">
        <v>521</v>
      </c>
      <c r="C567" s="12">
        <v>110</v>
      </c>
      <c r="D567" s="12">
        <v>2.2000000000000002</v>
      </c>
      <c r="E567" s="12" t="s">
        <v>540</v>
      </c>
      <c r="F567" s="13">
        <v>42346</v>
      </c>
      <c r="G567" s="12">
        <v>59.5</v>
      </c>
      <c r="H567" s="12">
        <v>3</v>
      </c>
      <c r="I567" s="13">
        <v>42373</v>
      </c>
      <c r="J567" s="12">
        <v>64</v>
      </c>
      <c r="K567" s="12">
        <v>3</v>
      </c>
      <c r="L567" s="12">
        <v>27</v>
      </c>
      <c r="M567" s="12">
        <v>4.5</v>
      </c>
      <c r="N567" s="12">
        <v>0</v>
      </c>
      <c r="O567" s="17">
        <v>59.400000000000006</v>
      </c>
      <c r="P567" s="17"/>
      <c r="Q567" s="17">
        <v>166.66666666666666</v>
      </c>
      <c r="R567" s="14">
        <v>20.657974166666662</v>
      </c>
      <c r="S567" s="12">
        <v>14</v>
      </c>
      <c r="T567" s="12">
        <v>-1.5</v>
      </c>
      <c r="U567" s="14">
        <v>30.800000000000004</v>
      </c>
      <c r="V567" s="17">
        <v>-107.14285714285714</v>
      </c>
      <c r="W567" s="14">
        <v>7.1591646428571423</v>
      </c>
      <c r="X567">
        <f t="shared" si="16"/>
        <v>15.952499999999999</v>
      </c>
      <c r="Y567">
        <f t="shared" si="17"/>
        <v>6.6787470155075166</v>
      </c>
    </row>
    <row r="568" spans="1:25">
      <c r="A568" s="12" t="s">
        <v>520</v>
      </c>
      <c r="B568" s="12" t="s">
        <v>521</v>
      </c>
      <c r="C568" s="12">
        <v>110</v>
      </c>
      <c r="D568" s="12">
        <v>2.2000000000000002</v>
      </c>
      <c r="E568" s="12" t="s">
        <v>541</v>
      </c>
      <c r="F568" s="13">
        <v>42346</v>
      </c>
      <c r="G568" s="12">
        <v>62</v>
      </c>
      <c r="H568" s="12">
        <v>3</v>
      </c>
      <c r="I568" s="13">
        <v>42373</v>
      </c>
      <c r="J568" s="12">
        <v>67.5</v>
      </c>
      <c r="K568" s="12">
        <v>3.5</v>
      </c>
      <c r="L568" s="12">
        <v>27</v>
      </c>
      <c r="M568" s="12">
        <v>5.5</v>
      </c>
      <c r="N568" s="12">
        <v>0.5</v>
      </c>
      <c r="O568" s="17">
        <v>59.400000000000006</v>
      </c>
      <c r="P568" s="17"/>
      <c r="Q568" s="17">
        <v>203.7037037037037</v>
      </c>
      <c r="R568" s="14">
        <v>22.99117009259259</v>
      </c>
      <c r="S568" s="12">
        <v>14</v>
      </c>
      <c r="T568" s="12">
        <v>-0.5</v>
      </c>
      <c r="U568" s="14">
        <v>30.800000000000004</v>
      </c>
      <c r="V568" s="17">
        <v>-35.714285714285715</v>
      </c>
      <c r="W568" s="14">
        <v>11.187863214285713</v>
      </c>
      <c r="X568">
        <f t="shared" si="16"/>
        <v>15.952499999999999</v>
      </c>
      <c r="Y568">
        <f t="shared" si="17"/>
        <v>10.437098709116539</v>
      </c>
    </row>
    <row r="569" spans="1:25">
      <c r="A569" s="12" t="s">
        <v>520</v>
      </c>
      <c r="B569" s="12" t="s">
        <v>521</v>
      </c>
      <c r="C569" s="12">
        <v>110</v>
      </c>
      <c r="D569" s="12">
        <v>2.2000000000000002</v>
      </c>
      <c r="E569" s="12" t="s">
        <v>542</v>
      </c>
      <c r="F569" s="13">
        <v>42346</v>
      </c>
      <c r="G569" s="12">
        <v>60.5</v>
      </c>
      <c r="H569" s="12">
        <v>3</v>
      </c>
      <c r="I569" s="13">
        <v>42373</v>
      </c>
      <c r="J569" s="12">
        <v>66.5</v>
      </c>
      <c r="K569" s="12">
        <v>3</v>
      </c>
      <c r="L569" s="12">
        <v>27</v>
      </c>
      <c r="M569" s="12">
        <v>6</v>
      </c>
      <c r="N569" s="12">
        <v>0</v>
      </c>
      <c r="O569" s="17">
        <v>59.400000000000006</v>
      </c>
      <c r="P569" s="17"/>
      <c r="Q569" s="17">
        <v>222.2222222222222</v>
      </c>
      <c r="R569" s="14">
        <v>23.692770555555555</v>
      </c>
      <c r="S569" s="12">
        <v>14</v>
      </c>
      <c r="T569" s="12">
        <v>0.5</v>
      </c>
      <c r="U569" s="14">
        <v>30.800000000000004</v>
      </c>
      <c r="V569" s="17">
        <v>35.714285714285715</v>
      </c>
      <c r="W569" s="14">
        <v>14.497929285714285</v>
      </c>
      <c r="X569">
        <f t="shared" si="16"/>
        <v>15.952499999999999</v>
      </c>
      <c r="Y569">
        <f t="shared" si="17"/>
        <v>13.525041925751877</v>
      </c>
    </row>
    <row r="570" spans="1:25">
      <c r="A570" s="12" t="s">
        <v>520</v>
      </c>
      <c r="B570" s="12" t="s">
        <v>521</v>
      </c>
      <c r="C570" s="12">
        <v>110</v>
      </c>
      <c r="D570" s="12">
        <v>2.2000000000000002</v>
      </c>
      <c r="E570" s="12" t="s">
        <v>543</v>
      </c>
      <c r="F570" s="13">
        <v>42346</v>
      </c>
      <c r="G570" s="12">
        <v>62.5</v>
      </c>
      <c r="H570" s="12">
        <v>3</v>
      </c>
      <c r="I570" s="13">
        <v>42373</v>
      </c>
      <c r="J570" s="12">
        <v>63</v>
      </c>
      <c r="K570" s="12">
        <v>3</v>
      </c>
      <c r="L570" s="12">
        <v>27</v>
      </c>
      <c r="M570" s="12">
        <v>0.5</v>
      </c>
      <c r="N570" s="12">
        <v>0</v>
      </c>
      <c r="O570" s="17">
        <v>59.400000000000006</v>
      </c>
      <c r="P570" s="17"/>
      <c r="Q570" s="17">
        <v>18.518518518518519</v>
      </c>
      <c r="R570" s="14">
        <v>13.523360462962962</v>
      </c>
      <c r="S570" s="12">
        <v>14</v>
      </c>
      <c r="T570" s="12">
        <v>-4</v>
      </c>
      <c r="U570" s="14">
        <v>30.800000000000004</v>
      </c>
      <c r="V570" s="17">
        <v>-285.71428571428572</v>
      </c>
      <c r="W570" s="14">
        <v>-1.4753167857142842</v>
      </c>
      <c r="X570">
        <f t="shared" si="16"/>
        <v>15.952499999999999</v>
      </c>
      <c r="Y570">
        <f t="shared" si="17"/>
        <v>-1.3763152645676675</v>
      </c>
    </row>
    <row r="571" spans="1:25">
      <c r="A571" s="12" t="s">
        <v>520</v>
      </c>
      <c r="B571" s="12" t="s">
        <v>521</v>
      </c>
      <c r="C571" s="12">
        <v>110</v>
      </c>
      <c r="D571" s="12">
        <v>2.2000000000000002</v>
      </c>
      <c r="E571" s="12" t="s">
        <v>544</v>
      </c>
      <c r="F571" s="13">
        <v>42346</v>
      </c>
      <c r="G571" s="12">
        <v>60.5</v>
      </c>
      <c r="H571" s="12">
        <v>3</v>
      </c>
      <c r="I571" s="13">
        <v>42373</v>
      </c>
      <c r="J571" s="12">
        <v>64.5</v>
      </c>
      <c r="K571" s="12">
        <v>3</v>
      </c>
      <c r="L571" s="12">
        <v>27</v>
      </c>
      <c r="M571" s="12">
        <v>4</v>
      </c>
      <c r="N571" s="12">
        <v>0</v>
      </c>
      <c r="O571" s="17">
        <v>59.400000000000006</v>
      </c>
      <c r="P571" s="17"/>
      <c r="Q571" s="17">
        <v>148.14814814814815</v>
      </c>
      <c r="R571" s="14">
        <v>19.871828703703702</v>
      </c>
      <c r="S571" s="12">
        <v>14</v>
      </c>
      <c r="T571" s="12">
        <v>-2</v>
      </c>
      <c r="U571" s="14">
        <v>30.800000000000004</v>
      </c>
      <c r="V571" s="17">
        <v>-142.85714285714286</v>
      </c>
      <c r="W571" s="14">
        <v>5.5252678571428584</v>
      </c>
      <c r="X571">
        <f t="shared" si="16"/>
        <v>15.952499999999999</v>
      </c>
      <c r="Y571">
        <f t="shared" si="17"/>
        <v>5.1544933035714289</v>
      </c>
    </row>
    <row r="572" spans="1:25">
      <c r="A572" s="12" t="s">
        <v>520</v>
      </c>
      <c r="B572" s="12" t="s">
        <v>521</v>
      </c>
      <c r="C572" s="12">
        <v>110</v>
      </c>
      <c r="D572" s="12">
        <v>2.2000000000000002</v>
      </c>
      <c r="E572" s="12" t="s">
        <v>545</v>
      </c>
      <c r="F572" s="13">
        <v>42346</v>
      </c>
      <c r="G572" s="12">
        <v>60</v>
      </c>
      <c r="H572" s="12">
        <v>3</v>
      </c>
      <c r="I572" s="13">
        <v>42373</v>
      </c>
      <c r="J572" s="12">
        <v>66</v>
      </c>
      <c r="K572" s="12">
        <v>3</v>
      </c>
      <c r="L572" s="12">
        <v>27</v>
      </c>
      <c r="M572" s="12">
        <v>6</v>
      </c>
      <c r="N572" s="12">
        <v>0</v>
      </c>
      <c r="O572" s="17">
        <v>59.400000000000006</v>
      </c>
      <c r="P572" s="17"/>
      <c r="Q572" s="17">
        <v>222.2222222222222</v>
      </c>
      <c r="R572" s="14">
        <v>23.608225555555553</v>
      </c>
      <c r="S572" s="12">
        <v>14</v>
      </c>
      <c r="T572" s="12">
        <v>5</v>
      </c>
      <c r="U572" s="14">
        <v>30.800000000000004</v>
      </c>
      <c r="V572" s="17">
        <v>357.14285714285717</v>
      </c>
      <c r="W572" s="14">
        <v>30.259812857142855</v>
      </c>
      <c r="X572">
        <f t="shared" si="16"/>
        <v>15.952499999999999</v>
      </c>
      <c r="Y572">
        <f t="shared" si="17"/>
        <v>28.229220152255632</v>
      </c>
    </row>
    <row r="573" spans="1:25">
      <c r="A573" s="12" t="s">
        <v>520</v>
      </c>
      <c r="B573" s="12" t="s">
        <v>521</v>
      </c>
      <c r="C573" s="12">
        <v>110</v>
      </c>
      <c r="D573" s="12">
        <v>2.2000000000000002</v>
      </c>
      <c r="E573" s="12" t="s">
        <v>546</v>
      </c>
      <c r="F573" s="13">
        <v>42346</v>
      </c>
      <c r="G573" s="12">
        <v>59</v>
      </c>
      <c r="H573" s="12">
        <v>3</v>
      </c>
      <c r="I573" s="13">
        <v>42373</v>
      </c>
      <c r="J573" s="12">
        <v>60</v>
      </c>
      <c r="K573" s="12">
        <v>3</v>
      </c>
      <c r="L573" s="12">
        <v>27</v>
      </c>
      <c r="M573" s="12">
        <v>1</v>
      </c>
      <c r="N573" s="12">
        <v>0</v>
      </c>
      <c r="O573" s="17">
        <v>59.400000000000006</v>
      </c>
      <c r="P573" s="17"/>
      <c r="Q573" s="17">
        <v>37.037037037037038</v>
      </c>
      <c r="R573" s="14">
        <v>13.886780925925926</v>
      </c>
      <c r="S573" s="12">
        <v>14</v>
      </c>
      <c r="T573" s="12">
        <v>-2.5</v>
      </c>
      <c r="U573" s="14">
        <v>30.800000000000004</v>
      </c>
      <c r="V573" s="17">
        <v>-178.57142857142858</v>
      </c>
      <c r="W573" s="14">
        <v>3.2572835714285713</v>
      </c>
      <c r="X573">
        <f t="shared" si="16"/>
        <v>15.952499999999999</v>
      </c>
      <c r="Y573">
        <f t="shared" si="17"/>
        <v>3.0387027001879692</v>
      </c>
    </row>
    <row r="574" spans="1:25">
      <c r="A574" s="12" t="s">
        <v>520</v>
      </c>
      <c r="B574" s="12" t="s">
        <v>521</v>
      </c>
      <c r="C574" s="12">
        <v>110</v>
      </c>
      <c r="D574" s="12">
        <v>2.2000000000000002</v>
      </c>
      <c r="E574" s="12" t="s">
        <v>547</v>
      </c>
      <c r="F574" s="13">
        <v>42346</v>
      </c>
      <c r="G574" s="12">
        <v>63.5</v>
      </c>
      <c r="H574" s="12">
        <v>3.5</v>
      </c>
      <c r="I574" s="13">
        <v>42373</v>
      </c>
      <c r="J574" s="12">
        <v>67</v>
      </c>
      <c r="K574" s="12">
        <v>3.5</v>
      </c>
      <c r="L574" s="12">
        <v>27</v>
      </c>
      <c r="M574" s="12">
        <v>3.5</v>
      </c>
      <c r="N574" s="12">
        <v>0</v>
      </c>
      <c r="O574" s="17">
        <v>59.400000000000006</v>
      </c>
      <c r="P574" s="17"/>
      <c r="Q574" s="17">
        <v>129.62962962962962</v>
      </c>
      <c r="R574" s="14">
        <v>19.42386324074074</v>
      </c>
      <c r="S574" s="12">
        <v>14</v>
      </c>
      <c r="T574" s="12">
        <v>-4</v>
      </c>
      <c r="U574" s="14">
        <v>30.800000000000004</v>
      </c>
      <c r="V574" s="17">
        <v>-285.71428571428572</v>
      </c>
      <c r="W574" s="14">
        <v>-1.0525917857142844</v>
      </c>
      <c r="X574">
        <f t="shared" si="16"/>
        <v>13.878249999999998</v>
      </c>
      <c r="Y574">
        <f t="shared" si="17"/>
        <v>-0.85427672222744233</v>
      </c>
    </row>
    <row r="575" spans="1:25">
      <c r="A575" s="12" t="s">
        <v>520</v>
      </c>
      <c r="B575" s="12" t="s">
        <v>521</v>
      </c>
      <c r="C575" s="12">
        <v>110</v>
      </c>
      <c r="D575" s="12">
        <v>2.2000000000000002</v>
      </c>
      <c r="E575" s="12" t="s">
        <v>548</v>
      </c>
      <c r="F575" s="13">
        <v>42346</v>
      </c>
      <c r="G575" s="12">
        <v>59.5</v>
      </c>
      <c r="H575" s="12">
        <v>3</v>
      </c>
      <c r="I575" s="13">
        <v>42373</v>
      </c>
      <c r="J575" s="12">
        <v>61</v>
      </c>
      <c r="K575" s="12">
        <v>3</v>
      </c>
      <c r="L575" s="12">
        <v>27</v>
      </c>
      <c r="M575" s="12">
        <v>1.5</v>
      </c>
      <c r="N575" s="12">
        <v>0</v>
      </c>
      <c r="O575" s="17">
        <v>59.400000000000006</v>
      </c>
      <c r="P575" s="17"/>
      <c r="Q575" s="17">
        <v>55.55555555555555</v>
      </c>
      <c r="R575" s="14">
        <v>14.926561388888889</v>
      </c>
      <c r="S575" s="12">
        <v>14</v>
      </c>
      <c r="T575" s="12">
        <v>-4.5</v>
      </c>
      <c r="U575" s="14">
        <v>30.800000000000004</v>
      </c>
      <c r="V575" s="17">
        <v>-321.42857142857144</v>
      </c>
      <c r="W575" s="14">
        <v>-3.6587560714285718</v>
      </c>
      <c r="X575">
        <f t="shared" si="16"/>
        <v>15.952499999999999</v>
      </c>
      <c r="Y575">
        <f t="shared" si="17"/>
        <v>-3.4132342824248116</v>
      </c>
    </row>
    <row r="576" spans="1:25">
      <c r="A576" s="12" t="s">
        <v>520</v>
      </c>
      <c r="B576" s="12" t="s">
        <v>521</v>
      </c>
      <c r="C576" s="12">
        <v>110</v>
      </c>
      <c r="D576" s="12">
        <v>2.2000000000000002</v>
      </c>
      <c r="E576" s="12" t="s">
        <v>549</v>
      </c>
      <c r="F576" s="13">
        <v>42346</v>
      </c>
      <c r="G576" s="12">
        <v>58.5</v>
      </c>
      <c r="H576" s="12">
        <v>3.5</v>
      </c>
      <c r="I576" s="13">
        <v>42373</v>
      </c>
      <c r="J576" s="12">
        <v>57</v>
      </c>
      <c r="K576" s="12">
        <v>3</v>
      </c>
      <c r="L576" s="12">
        <v>27</v>
      </c>
      <c r="M576" s="12">
        <v>-1.5</v>
      </c>
      <c r="N576" s="12">
        <v>-0.5</v>
      </c>
      <c r="O576" s="17">
        <v>59.400000000000006</v>
      </c>
      <c r="P576" s="17"/>
      <c r="Q576" s="17">
        <v>-55.55555555555555</v>
      </c>
      <c r="R576" s="14">
        <v>9.026058611111111</v>
      </c>
      <c r="S576" s="12">
        <v>14</v>
      </c>
      <c r="T576" s="12">
        <v>-2.5</v>
      </c>
      <c r="U576" s="14">
        <v>30.800000000000004</v>
      </c>
      <c r="V576" s="17">
        <v>-178.57142857142858</v>
      </c>
      <c r="W576" s="14">
        <v>2.9613760714285711</v>
      </c>
      <c r="X576">
        <f t="shared" si="16"/>
        <v>13.878249999999998</v>
      </c>
      <c r="Y576">
        <f t="shared" si="17"/>
        <v>2.4034337697838337</v>
      </c>
    </row>
    <row r="577" spans="1:25">
      <c r="A577" s="12" t="s">
        <v>520</v>
      </c>
      <c r="B577" s="12" t="s">
        <v>521</v>
      </c>
      <c r="C577" s="12">
        <v>110</v>
      </c>
      <c r="D577" s="12">
        <v>2.2000000000000002</v>
      </c>
      <c r="E577" s="12" t="s">
        <v>550</v>
      </c>
      <c r="F577" s="13">
        <v>42346</v>
      </c>
      <c r="G577" s="12">
        <v>64.5</v>
      </c>
      <c r="H577" s="12">
        <v>3.5</v>
      </c>
      <c r="I577" s="13">
        <v>42373</v>
      </c>
      <c r="J577" s="12">
        <v>69</v>
      </c>
      <c r="K577" s="12">
        <v>4</v>
      </c>
      <c r="L577" s="12">
        <v>27</v>
      </c>
      <c r="M577" s="12">
        <v>4.5</v>
      </c>
      <c r="N577" s="12">
        <v>0.5</v>
      </c>
      <c r="O577" s="17">
        <v>59.400000000000006</v>
      </c>
      <c r="P577" s="17"/>
      <c r="Q577" s="17">
        <v>166.66666666666666</v>
      </c>
      <c r="R577" s="14">
        <v>21.503424166666665</v>
      </c>
      <c r="S577" s="12">
        <v>14</v>
      </c>
      <c r="T577" s="12">
        <v>-1</v>
      </c>
      <c r="U577" s="14">
        <v>30.800000000000004</v>
      </c>
      <c r="V577" s="17">
        <v>-71.428571428571431</v>
      </c>
      <c r="W577" s="14">
        <v>9.7653289285714298</v>
      </c>
      <c r="X577">
        <f t="shared" si="16"/>
        <v>13.878249999999998</v>
      </c>
      <c r="Y577">
        <f t="shared" si="17"/>
        <v>7.9254781405231816</v>
      </c>
    </row>
    <row r="578" spans="1:25">
      <c r="A578" s="12" t="s">
        <v>520</v>
      </c>
      <c r="B578" s="12" t="s">
        <v>521</v>
      </c>
      <c r="C578" s="12">
        <v>110</v>
      </c>
      <c r="D578" s="12">
        <v>2.2000000000000002</v>
      </c>
      <c r="E578" s="12" t="s">
        <v>551</v>
      </c>
      <c r="F578" s="13">
        <v>42346</v>
      </c>
      <c r="G578" s="12">
        <v>57</v>
      </c>
      <c r="H578" s="12">
        <v>3.5</v>
      </c>
      <c r="I578" s="13">
        <v>42373</v>
      </c>
      <c r="J578" s="12">
        <v>60.5</v>
      </c>
      <c r="K578" s="12">
        <v>3</v>
      </c>
      <c r="L578" s="12">
        <v>27</v>
      </c>
      <c r="M578" s="12">
        <v>3.5</v>
      </c>
      <c r="N578" s="12">
        <v>-0.5</v>
      </c>
      <c r="O578" s="17">
        <v>59.400000000000006</v>
      </c>
      <c r="P578" s="17"/>
      <c r="Q578" s="17">
        <v>129.62962962962962</v>
      </c>
      <c r="R578" s="14">
        <v>18.324778240740738</v>
      </c>
      <c r="S578" s="12">
        <v>14</v>
      </c>
      <c r="T578" s="12">
        <v>0</v>
      </c>
      <c r="U578" s="14">
        <v>30.800000000000004</v>
      </c>
      <c r="V578" s="17">
        <v>0</v>
      </c>
      <c r="W578" s="14">
        <v>11.934037499999999</v>
      </c>
      <c r="X578">
        <f t="shared" si="16"/>
        <v>13.878249999999998</v>
      </c>
      <c r="Y578">
        <f t="shared" si="17"/>
        <v>9.6855880663377167</v>
      </c>
    </row>
    <row r="579" spans="1:25">
      <c r="A579" s="12" t="s">
        <v>235</v>
      </c>
      <c r="B579" s="12" t="s">
        <v>236</v>
      </c>
      <c r="C579" s="12">
        <v>43</v>
      </c>
      <c r="D579" s="12">
        <v>2.16</v>
      </c>
      <c r="E579" s="12" t="s">
        <v>237</v>
      </c>
      <c r="F579" s="13">
        <v>42402</v>
      </c>
      <c r="G579" s="12">
        <v>65</v>
      </c>
      <c r="H579" s="12">
        <v>2.5</v>
      </c>
      <c r="I579" s="13">
        <v>42430</v>
      </c>
      <c r="J579" s="12">
        <v>69</v>
      </c>
      <c r="K579" s="12">
        <v>2.75</v>
      </c>
      <c r="L579" s="12">
        <v>28</v>
      </c>
      <c r="M579" s="12">
        <v>4</v>
      </c>
      <c r="N579" s="12">
        <v>0.25</v>
      </c>
      <c r="O579" s="17">
        <v>60.480000000000004</v>
      </c>
      <c r="P579" s="17"/>
      <c r="Q579" s="17">
        <v>142.85714285714286</v>
      </c>
      <c r="R579" s="14">
        <v>20.37188714285714</v>
      </c>
      <c r="S579" s="12">
        <v>13</v>
      </c>
      <c r="T579" s="12">
        <v>1</v>
      </c>
      <c r="U579" s="14">
        <v>28.080000000000002</v>
      </c>
      <c r="V579" s="17">
        <v>76.923076923076934</v>
      </c>
      <c r="W579" s="14">
        <v>17.121337692307691</v>
      </c>
      <c r="X579">
        <f t="shared" ref="X579:X642" si="18">IF(H579&gt;0,-4.1485*H579 + 28.398,17.1)</f>
        <v>18.02675</v>
      </c>
      <c r="Y579">
        <f t="shared" ref="Y579:Y642" si="19">W579*X579/17.1</f>
        <v>18.049244107883485</v>
      </c>
    </row>
    <row r="580" spans="1:25">
      <c r="A580" s="12" t="s">
        <v>235</v>
      </c>
      <c r="B580" s="12" t="s">
        <v>236</v>
      </c>
      <c r="C580" s="12">
        <v>43</v>
      </c>
      <c r="D580" s="12">
        <v>2.16</v>
      </c>
      <c r="E580" s="12" t="s">
        <v>238</v>
      </c>
      <c r="F580" s="13">
        <v>42402</v>
      </c>
      <c r="G580" s="12">
        <v>54.5</v>
      </c>
      <c r="H580" s="12">
        <v>2.5</v>
      </c>
      <c r="I580" s="13">
        <v>42430</v>
      </c>
      <c r="J580" s="12">
        <v>57.5</v>
      </c>
      <c r="K580" s="12">
        <v>2.75</v>
      </c>
      <c r="L580" s="12">
        <v>28</v>
      </c>
      <c r="M580" s="12">
        <v>3</v>
      </c>
      <c r="N580" s="12">
        <v>0.25</v>
      </c>
      <c r="O580" s="17">
        <v>60.480000000000004</v>
      </c>
      <c r="P580" s="17"/>
      <c r="Q580" s="17">
        <v>107.14285714285714</v>
      </c>
      <c r="R580" s="14">
        <v>16.751182857142858</v>
      </c>
      <c r="S580" s="12">
        <v>13</v>
      </c>
      <c r="T580" s="12">
        <v>-2</v>
      </c>
      <c r="U580" s="14">
        <v>28.080000000000002</v>
      </c>
      <c r="V580" s="17">
        <v>-153.84615384615387</v>
      </c>
      <c r="W580" s="14">
        <v>3.8844246153846154</v>
      </c>
      <c r="X580">
        <f t="shared" si="18"/>
        <v>18.02675</v>
      </c>
      <c r="Y580">
        <f t="shared" si="19"/>
        <v>4.0949445283850654</v>
      </c>
    </row>
    <row r="581" spans="1:25">
      <c r="A581" s="12" t="s">
        <v>235</v>
      </c>
      <c r="B581" s="12" t="s">
        <v>236</v>
      </c>
      <c r="C581" s="12">
        <v>43</v>
      </c>
      <c r="D581" s="12">
        <v>2.16</v>
      </c>
      <c r="E581" s="12" t="s">
        <v>239</v>
      </c>
      <c r="F581" s="13">
        <v>42402</v>
      </c>
      <c r="G581" s="12">
        <v>59.5</v>
      </c>
      <c r="H581" s="12">
        <v>3</v>
      </c>
      <c r="I581" s="13">
        <v>42430</v>
      </c>
      <c r="J581" s="12">
        <v>60</v>
      </c>
      <c r="K581" s="12">
        <v>2.5</v>
      </c>
      <c r="L581" s="12">
        <v>28</v>
      </c>
      <c r="M581" s="12">
        <v>0.5</v>
      </c>
      <c r="N581" s="12">
        <v>-0.5</v>
      </c>
      <c r="O581" s="17">
        <v>60.480000000000004</v>
      </c>
      <c r="P581" s="17"/>
      <c r="Q581" s="17">
        <v>17.857142857142858</v>
      </c>
      <c r="R581" s="14">
        <v>12.983484642857142</v>
      </c>
      <c r="S581" s="12">
        <v>13</v>
      </c>
      <c r="T581" s="12">
        <v>0</v>
      </c>
      <c r="U581" s="14">
        <v>28.080000000000002</v>
      </c>
      <c r="V581" s="17">
        <v>0</v>
      </c>
      <c r="W581" s="14">
        <v>12.103127499999999</v>
      </c>
      <c r="X581">
        <f t="shared" si="18"/>
        <v>15.952499999999999</v>
      </c>
      <c r="Y581">
        <f t="shared" si="19"/>
        <v>11.290943944078945</v>
      </c>
    </row>
    <row r="582" spans="1:25">
      <c r="A582" s="12" t="s">
        <v>235</v>
      </c>
      <c r="B582" s="12" t="s">
        <v>236</v>
      </c>
      <c r="C582" s="12">
        <v>43</v>
      </c>
      <c r="D582" s="12">
        <v>2.16</v>
      </c>
      <c r="E582" s="12" t="s">
        <v>240</v>
      </c>
      <c r="F582" s="13">
        <v>42402</v>
      </c>
      <c r="G582" s="12">
        <v>62.5</v>
      </c>
      <c r="H582" s="12">
        <v>3</v>
      </c>
      <c r="I582" s="13">
        <v>42430</v>
      </c>
      <c r="J582" s="12">
        <v>66</v>
      </c>
      <c r="K582" s="12">
        <v>3</v>
      </c>
      <c r="L582" s="12">
        <v>28</v>
      </c>
      <c r="M582" s="12">
        <v>3.5</v>
      </c>
      <c r="N582" s="12">
        <v>0</v>
      </c>
      <c r="O582" s="17">
        <v>60.480000000000004</v>
      </c>
      <c r="P582" s="17"/>
      <c r="Q582" s="17">
        <v>125</v>
      </c>
      <c r="R582" s="14">
        <v>19.026532499999998</v>
      </c>
      <c r="S582" s="12">
        <v>13</v>
      </c>
      <c r="T582" s="12">
        <v>-1</v>
      </c>
      <c r="U582" s="14">
        <v>28.080000000000002</v>
      </c>
      <c r="V582" s="17">
        <v>-76.923076923076934</v>
      </c>
      <c r="W582" s="14">
        <v>9.0717248076923056</v>
      </c>
      <c r="X582">
        <f t="shared" si="18"/>
        <v>15.952499999999999</v>
      </c>
      <c r="Y582">
        <f t="shared" si="19"/>
        <v>8.4629643271761097</v>
      </c>
    </row>
    <row r="583" spans="1:25">
      <c r="A583" s="12" t="s">
        <v>235</v>
      </c>
      <c r="B583" s="12" t="s">
        <v>236</v>
      </c>
      <c r="C583" s="12">
        <v>43</v>
      </c>
      <c r="D583" s="12">
        <v>2.16</v>
      </c>
      <c r="E583" s="12" t="s">
        <v>241</v>
      </c>
      <c r="F583" s="13">
        <v>42402</v>
      </c>
      <c r="G583" s="12">
        <v>56</v>
      </c>
      <c r="H583" s="12">
        <v>2.5</v>
      </c>
      <c r="I583" s="13">
        <v>42430</v>
      </c>
      <c r="J583" s="12">
        <v>60</v>
      </c>
      <c r="K583" s="12">
        <v>3</v>
      </c>
      <c r="L583" s="12">
        <v>28</v>
      </c>
      <c r="M583" s="12">
        <v>4</v>
      </c>
      <c r="N583" s="12">
        <v>0.5</v>
      </c>
      <c r="O583" s="17">
        <v>60.480000000000004</v>
      </c>
      <c r="P583" s="17"/>
      <c r="Q583" s="17">
        <v>142.85714285714286</v>
      </c>
      <c r="R583" s="14">
        <v>18.850077142857142</v>
      </c>
      <c r="S583" s="12">
        <v>13</v>
      </c>
      <c r="T583" s="12">
        <v>3</v>
      </c>
      <c r="U583" s="14">
        <v>28.080000000000002</v>
      </c>
      <c r="V583" s="17">
        <v>230.76923076923077</v>
      </c>
      <c r="W583" s="14">
        <v>23.184143076923078</v>
      </c>
      <c r="X583">
        <f t="shared" si="18"/>
        <v>18.02675</v>
      </c>
      <c r="Y583">
        <f t="shared" si="19"/>
        <v>24.440628725843453</v>
      </c>
    </row>
    <row r="584" spans="1:25">
      <c r="A584" s="12" t="s">
        <v>235</v>
      </c>
      <c r="B584" s="12" t="s">
        <v>236</v>
      </c>
      <c r="C584" s="12">
        <v>43</v>
      </c>
      <c r="D584" s="12">
        <v>2.16</v>
      </c>
      <c r="E584" s="12" t="s">
        <v>242</v>
      </c>
      <c r="F584" s="13">
        <v>42402</v>
      </c>
      <c r="G584" s="12">
        <v>63</v>
      </c>
      <c r="H584" s="12">
        <v>3</v>
      </c>
      <c r="I584" s="13">
        <v>42430</v>
      </c>
      <c r="J584" s="12">
        <v>65</v>
      </c>
      <c r="K584" s="12">
        <v>3</v>
      </c>
      <c r="L584" s="12">
        <v>28</v>
      </c>
      <c r="M584" s="12">
        <v>2</v>
      </c>
      <c r="N584" s="12">
        <v>0</v>
      </c>
      <c r="O584" s="17">
        <v>60.480000000000004</v>
      </c>
      <c r="P584" s="17"/>
      <c r="Q584" s="17">
        <v>71.428571428571431</v>
      </c>
      <c r="R584" s="14">
        <v>16.34318857142857</v>
      </c>
      <c r="S584" s="12">
        <v>13</v>
      </c>
      <c r="T584" s="12">
        <v>0.5</v>
      </c>
      <c r="U584" s="14">
        <v>28.080000000000002</v>
      </c>
      <c r="V584" s="17">
        <v>38.461538461538467</v>
      </c>
      <c r="W584" s="14">
        <v>14.717913846153845</v>
      </c>
      <c r="X584">
        <f t="shared" si="18"/>
        <v>15.952499999999999</v>
      </c>
      <c r="Y584">
        <f t="shared" si="19"/>
        <v>13.730264364372466</v>
      </c>
    </row>
    <row r="585" spans="1:25">
      <c r="A585" s="12" t="s">
        <v>235</v>
      </c>
      <c r="B585" s="12" t="s">
        <v>236</v>
      </c>
      <c r="C585" s="12">
        <v>43</v>
      </c>
      <c r="D585" s="12">
        <v>2.16</v>
      </c>
      <c r="E585" s="12" t="s">
        <v>243</v>
      </c>
      <c r="F585" s="13">
        <v>42402</v>
      </c>
      <c r="G585" s="12">
        <v>57.5</v>
      </c>
      <c r="H585" s="12">
        <v>2.5</v>
      </c>
      <c r="I585" s="13">
        <v>42430</v>
      </c>
      <c r="J585" s="12">
        <v>61</v>
      </c>
      <c r="K585" s="12">
        <v>3</v>
      </c>
      <c r="L585" s="12">
        <v>28</v>
      </c>
      <c r="M585" s="12">
        <v>3.5</v>
      </c>
      <c r="N585" s="12">
        <v>0.5</v>
      </c>
      <c r="O585" s="17">
        <v>60.480000000000004</v>
      </c>
      <c r="P585" s="17"/>
      <c r="Q585" s="17">
        <v>125</v>
      </c>
      <c r="R585" s="14">
        <v>18.181082499999999</v>
      </c>
      <c r="S585" s="12">
        <v>13</v>
      </c>
      <c r="T585" s="12">
        <v>3</v>
      </c>
      <c r="U585" s="14">
        <v>28.080000000000002</v>
      </c>
      <c r="V585" s="17">
        <v>230.76923076923077</v>
      </c>
      <c r="W585" s="14">
        <v>23.395505576923078</v>
      </c>
      <c r="X585">
        <f t="shared" si="18"/>
        <v>18.02675</v>
      </c>
      <c r="Y585">
        <f t="shared" si="19"/>
        <v>24.663446208116845</v>
      </c>
    </row>
    <row r="586" spans="1:25">
      <c r="A586" s="12" t="s">
        <v>235</v>
      </c>
      <c r="B586" s="12" t="s">
        <v>236</v>
      </c>
      <c r="C586" s="12">
        <v>43</v>
      </c>
      <c r="D586" s="12">
        <v>2.16</v>
      </c>
      <c r="E586" s="12" t="s">
        <v>244</v>
      </c>
      <c r="F586" s="13">
        <v>42402</v>
      </c>
      <c r="G586" s="12">
        <v>60.5</v>
      </c>
      <c r="H586" s="12">
        <v>3</v>
      </c>
      <c r="I586" s="13">
        <v>42430</v>
      </c>
      <c r="J586" s="12">
        <v>62</v>
      </c>
      <c r="K586" s="12">
        <v>2.75</v>
      </c>
      <c r="L586" s="12">
        <v>28</v>
      </c>
      <c r="M586" s="12">
        <v>1.5</v>
      </c>
      <c r="N586" s="12">
        <v>-0.25</v>
      </c>
      <c r="O586" s="17">
        <v>60.480000000000004</v>
      </c>
      <c r="P586" s="17"/>
      <c r="Q586" s="17">
        <v>53.571428571428569</v>
      </c>
      <c r="R586" s="14">
        <v>14.997833928571428</v>
      </c>
      <c r="S586" s="12">
        <v>13</v>
      </c>
      <c r="T586" s="12">
        <v>-1</v>
      </c>
      <c r="U586" s="14">
        <v>28.080000000000002</v>
      </c>
      <c r="V586" s="17">
        <v>-76.923076923076934</v>
      </c>
      <c r="W586" s="14">
        <v>8.5644548076923073</v>
      </c>
      <c r="X586">
        <f t="shared" si="18"/>
        <v>15.952499999999999</v>
      </c>
      <c r="Y586">
        <f t="shared" si="19"/>
        <v>7.9897348140182176</v>
      </c>
    </row>
    <row r="587" spans="1:25">
      <c r="A587" s="12" t="s">
        <v>235</v>
      </c>
      <c r="B587" s="12" t="s">
        <v>236</v>
      </c>
      <c r="C587" s="12">
        <v>43</v>
      </c>
      <c r="D587" s="12">
        <v>2.16</v>
      </c>
      <c r="E587" s="12" t="s">
        <v>245</v>
      </c>
      <c r="F587" s="13">
        <v>42402</v>
      </c>
      <c r="G587" s="12">
        <v>61.5</v>
      </c>
      <c r="H587" s="12">
        <v>2.5</v>
      </c>
      <c r="I587" s="13">
        <v>42430</v>
      </c>
      <c r="J587" s="12">
        <v>69</v>
      </c>
      <c r="K587" s="12">
        <v>3.25</v>
      </c>
      <c r="L587" s="12">
        <v>28</v>
      </c>
      <c r="M587" s="12">
        <v>7.5</v>
      </c>
      <c r="N587" s="12">
        <v>0.75</v>
      </c>
      <c r="O587" s="17">
        <v>60.480000000000004</v>
      </c>
      <c r="P587" s="17"/>
      <c r="Q587" s="17">
        <v>267.85714285714283</v>
      </c>
      <c r="R587" s="14">
        <v>26.238479642857143</v>
      </c>
      <c r="S587" s="12">
        <v>13</v>
      </c>
      <c r="T587" s="12">
        <v>3</v>
      </c>
      <c r="U587" s="14">
        <v>28.080000000000002</v>
      </c>
      <c r="V587" s="17">
        <v>230.76923076923077</v>
      </c>
      <c r="W587" s="14">
        <v>24.410045576923075</v>
      </c>
      <c r="X587">
        <f t="shared" si="18"/>
        <v>18.02675</v>
      </c>
      <c r="Y587">
        <f t="shared" si="19"/>
        <v>25.732970123029123</v>
      </c>
    </row>
    <row r="588" spans="1:25">
      <c r="A588" s="12" t="s">
        <v>235</v>
      </c>
      <c r="B588" s="12" t="s">
        <v>236</v>
      </c>
      <c r="C588" s="12">
        <v>43</v>
      </c>
      <c r="D588" s="12">
        <v>2.16</v>
      </c>
      <c r="E588" s="12" t="s">
        <v>246</v>
      </c>
      <c r="F588" s="13">
        <v>42402</v>
      </c>
      <c r="G588" s="12">
        <v>65</v>
      </c>
      <c r="H588" s="12">
        <v>2.5</v>
      </c>
      <c r="I588" s="13">
        <v>42430</v>
      </c>
      <c r="J588" s="12">
        <v>70.5</v>
      </c>
      <c r="K588" s="12">
        <v>3.25</v>
      </c>
      <c r="L588" s="12">
        <v>28</v>
      </c>
      <c r="M588" s="12">
        <v>5.5</v>
      </c>
      <c r="N588" s="12">
        <v>0.75</v>
      </c>
      <c r="O588" s="17">
        <v>60.480000000000004</v>
      </c>
      <c r="P588" s="17"/>
      <c r="Q588" s="17">
        <v>196.42857142857142</v>
      </c>
      <c r="R588" s="14">
        <v>23.139776071428571</v>
      </c>
      <c r="S588" s="12">
        <v>13</v>
      </c>
      <c r="T588" s="12">
        <v>3</v>
      </c>
      <c r="U588" s="14">
        <v>28.080000000000002</v>
      </c>
      <c r="V588" s="17">
        <v>230.76923076923077</v>
      </c>
      <c r="W588" s="14">
        <v>24.832770576923075</v>
      </c>
      <c r="X588">
        <f t="shared" si="18"/>
        <v>18.02675</v>
      </c>
      <c r="Y588">
        <f t="shared" si="19"/>
        <v>26.178605087575907</v>
      </c>
    </row>
    <row r="589" spans="1:25">
      <c r="A589" s="12" t="s">
        <v>235</v>
      </c>
      <c r="B589" s="12" t="s">
        <v>236</v>
      </c>
      <c r="C589" s="12">
        <v>43</v>
      </c>
      <c r="D589" s="12">
        <v>2.16</v>
      </c>
      <c r="E589" s="12" t="s">
        <v>247</v>
      </c>
      <c r="F589" s="13">
        <v>42402</v>
      </c>
      <c r="G589" s="12">
        <v>65</v>
      </c>
      <c r="H589" s="12">
        <v>3</v>
      </c>
      <c r="I589" s="13">
        <v>42430</v>
      </c>
      <c r="J589" s="12">
        <v>69</v>
      </c>
      <c r="K589" s="12">
        <v>3.25</v>
      </c>
      <c r="L589" s="12">
        <v>28</v>
      </c>
      <c r="M589" s="12">
        <v>4</v>
      </c>
      <c r="N589" s="12">
        <v>0.25</v>
      </c>
      <c r="O589" s="17">
        <v>60.480000000000004</v>
      </c>
      <c r="P589" s="17"/>
      <c r="Q589" s="17">
        <v>142.85714285714286</v>
      </c>
      <c r="R589" s="14">
        <v>20.37188714285714</v>
      </c>
      <c r="S589" s="12">
        <v>13</v>
      </c>
      <c r="T589" s="12">
        <v>3</v>
      </c>
      <c r="U589" s="14">
        <v>28.080000000000002</v>
      </c>
      <c r="V589" s="17">
        <v>230.76923076923077</v>
      </c>
      <c r="W589" s="14">
        <v>24.705953076923077</v>
      </c>
      <c r="X589">
        <f t="shared" si="18"/>
        <v>15.952499999999999</v>
      </c>
      <c r="Y589">
        <f t="shared" si="19"/>
        <v>23.048053594129552</v>
      </c>
    </row>
    <row r="590" spans="1:25">
      <c r="A590" s="12" t="s">
        <v>235</v>
      </c>
      <c r="B590" s="12" t="s">
        <v>236</v>
      </c>
      <c r="C590" s="12">
        <v>43</v>
      </c>
      <c r="D590" s="12">
        <v>2.16</v>
      </c>
      <c r="E590" s="12" t="s">
        <v>248</v>
      </c>
      <c r="F590" s="13">
        <v>42402</v>
      </c>
      <c r="G590" s="12">
        <v>60</v>
      </c>
      <c r="H590" s="12">
        <v>3</v>
      </c>
      <c r="I590" s="13">
        <v>42430</v>
      </c>
      <c r="J590" s="12">
        <v>62.5</v>
      </c>
      <c r="K590" s="12">
        <v>3</v>
      </c>
      <c r="L590" s="12">
        <v>28</v>
      </c>
      <c r="M590" s="12">
        <v>2.5</v>
      </c>
      <c r="N590" s="12">
        <v>0</v>
      </c>
      <c r="O590" s="17">
        <v>60.480000000000004</v>
      </c>
      <c r="P590" s="17"/>
      <c r="Q590" s="17">
        <v>89.285714285714292</v>
      </c>
      <c r="R590" s="14">
        <v>16.758548214285714</v>
      </c>
      <c r="S590" s="12">
        <v>13</v>
      </c>
      <c r="T590" s="12">
        <v>-0.5</v>
      </c>
      <c r="U590" s="14">
        <v>28.080000000000002</v>
      </c>
      <c r="V590" s="17">
        <v>-38.461538461538467</v>
      </c>
      <c r="W590" s="14">
        <v>10.460608653846153</v>
      </c>
      <c r="X590">
        <f t="shared" si="18"/>
        <v>15.952499999999999</v>
      </c>
      <c r="Y590">
        <f t="shared" si="19"/>
        <v>9.7586467573380542</v>
      </c>
    </row>
    <row r="591" spans="1:25">
      <c r="A591" s="12" t="s">
        <v>235</v>
      </c>
      <c r="B591" s="12" t="s">
        <v>236</v>
      </c>
      <c r="C591" s="12">
        <v>43</v>
      </c>
      <c r="D591" s="12">
        <v>2.16</v>
      </c>
      <c r="E591" s="12" t="s">
        <v>249</v>
      </c>
      <c r="F591" s="13">
        <v>42402</v>
      </c>
      <c r="G591" s="12">
        <v>64</v>
      </c>
      <c r="H591" s="12">
        <v>3</v>
      </c>
      <c r="I591" s="13">
        <v>42430</v>
      </c>
      <c r="J591" s="12">
        <v>68</v>
      </c>
      <c r="K591" s="12">
        <v>3.25</v>
      </c>
      <c r="L591" s="12">
        <v>28</v>
      </c>
      <c r="M591" s="12">
        <v>4</v>
      </c>
      <c r="N591" s="12">
        <v>0.25</v>
      </c>
      <c r="O591" s="17">
        <v>60.480000000000004</v>
      </c>
      <c r="P591" s="17"/>
      <c r="Q591" s="17">
        <v>142.85714285714286</v>
      </c>
      <c r="R591" s="14">
        <v>20.20279714285714</v>
      </c>
      <c r="S591" s="12">
        <v>13</v>
      </c>
      <c r="T591" s="12">
        <v>2</v>
      </c>
      <c r="U591" s="14">
        <v>28.080000000000002</v>
      </c>
      <c r="V591" s="17">
        <v>153.84615384615387</v>
      </c>
      <c r="W591" s="14">
        <v>20.744555384615381</v>
      </c>
      <c r="X591">
        <f t="shared" si="18"/>
        <v>15.952499999999999</v>
      </c>
      <c r="Y591">
        <f t="shared" si="19"/>
        <v>19.35248653643724</v>
      </c>
    </row>
    <row r="592" spans="1:25">
      <c r="A592" s="12" t="s">
        <v>235</v>
      </c>
      <c r="B592" s="12" t="s">
        <v>236</v>
      </c>
      <c r="C592" s="12">
        <v>43</v>
      </c>
      <c r="D592" s="12">
        <v>2.16</v>
      </c>
      <c r="E592" s="12" t="s">
        <v>250</v>
      </c>
      <c r="F592" s="13">
        <v>42402</v>
      </c>
      <c r="G592" s="12">
        <v>61.5</v>
      </c>
      <c r="H592" s="12">
        <v>2.5</v>
      </c>
      <c r="I592" s="13">
        <v>42430</v>
      </c>
      <c r="J592" s="12">
        <v>67</v>
      </c>
      <c r="K592" s="12">
        <v>3</v>
      </c>
      <c r="L592" s="12">
        <v>28</v>
      </c>
      <c r="M592" s="12">
        <v>5.5</v>
      </c>
      <c r="N592" s="12">
        <v>0.5</v>
      </c>
      <c r="O592" s="17">
        <v>60.480000000000004</v>
      </c>
      <c r="P592" s="17"/>
      <c r="Q592" s="17">
        <v>196.42857142857142</v>
      </c>
      <c r="R592" s="14">
        <v>22.547961071428567</v>
      </c>
      <c r="S592" s="12">
        <v>13</v>
      </c>
      <c r="T592" s="12">
        <v>5</v>
      </c>
      <c r="U592" s="14">
        <v>28.080000000000002</v>
      </c>
      <c r="V592" s="17">
        <v>384.61538461538464</v>
      </c>
      <c r="W592" s="14">
        <v>31.82557096153846</v>
      </c>
      <c r="X592">
        <f t="shared" si="18"/>
        <v>18.02675</v>
      </c>
      <c r="Y592">
        <f t="shared" si="19"/>
        <v>33.550386627538799</v>
      </c>
    </row>
    <row r="593" spans="1:25">
      <c r="A593" s="12" t="s">
        <v>235</v>
      </c>
      <c r="B593" s="12" t="s">
        <v>236</v>
      </c>
      <c r="C593" s="12">
        <v>43</v>
      </c>
      <c r="D593" s="12">
        <v>2.16</v>
      </c>
      <c r="E593" s="12" t="s">
        <v>251</v>
      </c>
      <c r="F593" s="13">
        <v>42402</v>
      </c>
      <c r="G593" s="12">
        <v>63</v>
      </c>
      <c r="H593" s="12">
        <v>3</v>
      </c>
      <c r="I593" s="13">
        <v>42430</v>
      </c>
      <c r="J593" s="12">
        <v>66</v>
      </c>
      <c r="K593" s="12">
        <v>3.25</v>
      </c>
      <c r="L593" s="12">
        <v>28</v>
      </c>
      <c r="M593" s="12">
        <v>3</v>
      </c>
      <c r="N593" s="12">
        <v>0.25</v>
      </c>
      <c r="O593" s="17">
        <v>60.480000000000004</v>
      </c>
      <c r="P593" s="17"/>
      <c r="Q593" s="17">
        <v>107.14285714285714</v>
      </c>
      <c r="R593" s="14">
        <v>18.188447857142855</v>
      </c>
      <c r="S593" s="12">
        <v>13</v>
      </c>
      <c r="T593" s="12">
        <v>1.5</v>
      </c>
      <c r="U593" s="14">
        <v>28.080000000000002</v>
      </c>
      <c r="V593" s="17">
        <v>115.38461538461539</v>
      </c>
      <c r="W593" s="14">
        <v>18.594766538461538</v>
      </c>
      <c r="X593">
        <f t="shared" si="18"/>
        <v>15.952499999999999</v>
      </c>
      <c r="Y593">
        <f t="shared" si="19"/>
        <v>17.34695983653846</v>
      </c>
    </row>
    <row r="594" spans="1:25">
      <c r="A594" s="12" t="s">
        <v>235</v>
      </c>
      <c r="B594" s="12" t="s">
        <v>236</v>
      </c>
      <c r="C594" s="12">
        <v>43</v>
      </c>
      <c r="D594" s="12">
        <v>2.16</v>
      </c>
      <c r="E594" s="12" t="s">
        <v>252</v>
      </c>
      <c r="F594" s="13">
        <v>42402</v>
      </c>
      <c r="G594" s="12">
        <v>63</v>
      </c>
      <c r="H594" s="12">
        <v>3</v>
      </c>
      <c r="I594" s="13">
        <v>42430</v>
      </c>
      <c r="J594" s="12">
        <v>68</v>
      </c>
      <c r="K594" s="12">
        <v>2.75</v>
      </c>
      <c r="L594" s="12">
        <v>28</v>
      </c>
      <c r="M594" s="12">
        <v>5</v>
      </c>
      <c r="N594" s="12">
        <v>-0.25</v>
      </c>
      <c r="O594" s="17">
        <v>60.480000000000004</v>
      </c>
      <c r="P594" s="17"/>
      <c r="Q594" s="17">
        <v>178.57142857142858</v>
      </c>
      <c r="R594" s="14">
        <v>21.878966428571427</v>
      </c>
      <c r="S594" s="12">
        <v>13</v>
      </c>
      <c r="T594" s="12">
        <v>2.5</v>
      </c>
      <c r="U594" s="14">
        <v>28.080000000000002</v>
      </c>
      <c r="V594" s="17">
        <v>192.30769230769232</v>
      </c>
      <c r="W594" s="14">
        <v>22.556164230769227</v>
      </c>
      <c r="X594">
        <f t="shared" si="18"/>
        <v>15.952499999999999</v>
      </c>
      <c r="Y594">
        <f t="shared" si="19"/>
        <v>21.042526894230761</v>
      </c>
    </row>
    <row r="595" spans="1:25">
      <c r="A595" s="12" t="s">
        <v>235</v>
      </c>
      <c r="B595" s="12" t="s">
        <v>236</v>
      </c>
      <c r="C595" s="12">
        <v>43</v>
      </c>
      <c r="D595" s="12">
        <v>2.16</v>
      </c>
      <c r="E595" s="12" t="s">
        <v>253</v>
      </c>
      <c r="F595" s="13">
        <v>42402</v>
      </c>
      <c r="G595" s="12">
        <v>60</v>
      </c>
      <c r="H595" s="12">
        <v>2.5</v>
      </c>
      <c r="I595" s="13">
        <v>42430</v>
      </c>
      <c r="J595" s="12">
        <v>65</v>
      </c>
      <c r="K595" s="12">
        <v>2.75</v>
      </c>
      <c r="L595" s="12">
        <v>28</v>
      </c>
      <c r="M595" s="12">
        <v>5</v>
      </c>
      <c r="N595" s="12">
        <v>0.25</v>
      </c>
      <c r="O595" s="17">
        <v>60.480000000000004</v>
      </c>
      <c r="P595" s="17"/>
      <c r="Q595" s="17">
        <v>178.57142857142858</v>
      </c>
      <c r="R595" s="14">
        <v>21.371696428571429</v>
      </c>
      <c r="S595" s="12">
        <v>13</v>
      </c>
      <c r="T595" s="12">
        <v>-0.5</v>
      </c>
      <c r="U595" s="14">
        <v>28.080000000000002</v>
      </c>
      <c r="V595" s="17">
        <v>-38.461538461538467</v>
      </c>
      <c r="W595" s="14">
        <v>10.671971153846155</v>
      </c>
      <c r="X595">
        <f t="shared" si="18"/>
        <v>18.02675</v>
      </c>
      <c r="Y595">
        <f t="shared" si="19"/>
        <v>11.250348303952991</v>
      </c>
    </row>
    <row r="596" spans="1:25">
      <c r="A596" s="12" t="s">
        <v>235</v>
      </c>
      <c r="B596" s="12" t="s">
        <v>236</v>
      </c>
      <c r="C596" s="12">
        <v>43</v>
      </c>
      <c r="D596" s="12">
        <v>2.16</v>
      </c>
      <c r="E596" s="12" t="s">
        <v>254</v>
      </c>
      <c r="F596" s="13">
        <v>42402</v>
      </c>
      <c r="G596" s="12">
        <v>58.5</v>
      </c>
      <c r="H596" s="12">
        <v>2.5</v>
      </c>
      <c r="I596" s="13">
        <v>42430</v>
      </c>
      <c r="J596" s="12">
        <v>61</v>
      </c>
      <c r="K596" s="12">
        <v>2.5</v>
      </c>
      <c r="L596" s="12">
        <v>28</v>
      </c>
      <c r="M596" s="12">
        <v>2.5</v>
      </c>
      <c r="N596" s="12">
        <v>0</v>
      </c>
      <c r="O596" s="17">
        <v>60.480000000000004</v>
      </c>
      <c r="P596" s="17"/>
      <c r="Q596" s="17">
        <v>89.285714285714292</v>
      </c>
      <c r="R596" s="14">
        <v>16.504913214285715</v>
      </c>
      <c r="S596" s="12">
        <v>13</v>
      </c>
      <c r="T596" s="12">
        <v>2</v>
      </c>
      <c r="U596" s="14">
        <v>28.080000000000002</v>
      </c>
      <c r="V596" s="17">
        <v>153.84615384615387</v>
      </c>
      <c r="W596" s="14">
        <v>19.687742884615382</v>
      </c>
      <c r="X596">
        <f t="shared" si="18"/>
        <v>18.02675</v>
      </c>
      <c r="Y596">
        <f t="shared" si="19"/>
        <v>20.754737955862005</v>
      </c>
    </row>
    <row r="597" spans="1:25">
      <c r="A597" s="12" t="s">
        <v>235</v>
      </c>
      <c r="B597" s="12" t="s">
        <v>236</v>
      </c>
      <c r="C597" s="12">
        <v>43</v>
      </c>
      <c r="D597" s="12">
        <v>2.16</v>
      </c>
      <c r="E597" s="12" t="s">
        <v>255</v>
      </c>
      <c r="F597" s="13">
        <v>42402</v>
      </c>
      <c r="G597" s="12">
        <v>65</v>
      </c>
      <c r="H597" s="12">
        <v>2.5</v>
      </c>
      <c r="I597" s="13">
        <v>42430</v>
      </c>
      <c r="J597" s="12">
        <v>69.5</v>
      </c>
      <c r="K597" s="12">
        <v>3</v>
      </c>
      <c r="L597" s="12">
        <v>28</v>
      </c>
      <c r="M597" s="12">
        <v>4.5</v>
      </c>
      <c r="N597" s="12">
        <v>0.5</v>
      </c>
      <c r="O597" s="17">
        <v>60.480000000000004</v>
      </c>
      <c r="P597" s="17"/>
      <c r="Q597" s="17">
        <v>160.71428571428572</v>
      </c>
      <c r="R597" s="14">
        <v>21.294516785714286</v>
      </c>
      <c r="S597" s="12">
        <v>13</v>
      </c>
      <c r="T597" s="12">
        <v>0.5</v>
      </c>
      <c r="U597" s="14">
        <v>28.080000000000002</v>
      </c>
      <c r="V597" s="17">
        <v>38.461538461538467</v>
      </c>
      <c r="W597" s="14">
        <v>15.267456346153844</v>
      </c>
      <c r="X597">
        <f t="shared" si="18"/>
        <v>18.02675</v>
      </c>
      <c r="Y597">
        <f t="shared" si="19"/>
        <v>16.094889981756072</v>
      </c>
    </row>
    <row r="598" spans="1:25">
      <c r="A598" s="12" t="s">
        <v>235</v>
      </c>
      <c r="B598" s="12" t="s">
        <v>236</v>
      </c>
      <c r="C598" s="12">
        <v>43</v>
      </c>
      <c r="D598" s="12">
        <v>2.16</v>
      </c>
      <c r="E598" s="12" t="s">
        <v>256</v>
      </c>
      <c r="F598" s="13">
        <v>42402</v>
      </c>
      <c r="G598" s="12">
        <v>63</v>
      </c>
      <c r="H598" s="12">
        <v>2.5</v>
      </c>
      <c r="I598" s="13">
        <v>42430</v>
      </c>
      <c r="J598" s="12">
        <v>68</v>
      </c>
      <c r="K598" s="12">
        <v>3</v>
      </c>
      <c r="L598" s="12">
        <v>28</v>
      </c>
      <c r="M598" s="12">
        <v>5</v>
      </c>
      <c r="N598" s="12">
        <v>0.5</v>
      </c>
      <c r="O598" s="17">
        <v>60.480000000000004</v>
      </c>
      <c r="P598" s="17"/>
      <c r="Q598" s="17">
        <v>178.57142857142858</v>
      </c>
      <c r="R598" s="14">
        <v>21.878966428571427</v>
      </c>
      <c r="S598" s="12">
        <v>13</v>
      </c>
      <c r="T598" s="12">
        <v>1.5</v>
      </c>
      <c r="U598" s="14">
        <v>28.080000000000002</v>
      </c>
      <c r="V598" s="17">
        <v>115.38461538461539</v>
      </c>
      <c r="W598" s="14">
        <v>18.763856538461539</v>
      </c>
      <c r="X598">
        <f t="shared" si="18"/>
        <v>18.02675</v>
      </c>
      <c r="Y598">
        <f t="shared" si="19"/>
        <v>19.780780751737513</v>
      </c>
    </row>
    <row r="599" spans="1:25">
      <c r="A599" s="12" t="s">
        <v>235</v>
      </c>
      <c r="B599" s="12" t="s">
        <v>236</v>
      </c>
      <c r="C599" s="12">
        <v>43</v>
      </c>
      <c r="D599" s="12">
        <v>2.16</v>
      </c>
      <c r="E599" s="12" t="s">
        <v>257</v>
      </c>
      <c r="F599" s="13">
        <v>42402</v>
      </c>
      <c r="G599" s="12">
        <v>57</v>
      </c>
      <c r="H599" s="12">
        <v>2.5</v>
      </c>
      <c r="I599" s="13">
        <v>42430</v>
      </c>
      <c r="J599" s="12">
        <v>61</v>
      </c>
      <c r="K599" s="12">
        <v>2.75</v>
      </c>
      <c r="L599" s="12">
        <v>28</v>
      </c>
      <c r="M599" s="12">
        <v>4</v>
      </c>
      <c r="N599" s="12">
        <v>0.25</v>
      </c>
      <c r="O599" s="17">
        <v>60.480000000000004</v>
      </c>
      <c r="P599" s="17"/>
      <c r="Q599" s="17">
        <v>142.85714285714286</v>
      </c>
      <c r="R599" s="14">
        <v>19.019167142857142</v>
      </c>
      <c r="S599" s="12">
        <v>13</v>
      </c>
      <c r="T599" s="12">
        <v>1</v>
      </c>
      <c r="U599" s="14">
        <v>28.080000000000002</v>
      </c>
      <c r="V599" s="17">
        <v>76.923076923076934</v>
      </c>
      <c r="W599" s="14">
        <v>15.768617692307693</v>
      </c>
      <c r="X599">
        <f t="shared" si="18"/>
        <v>18.02675</v>
      </c>
      <c r="Y599">
        <f t="shared" si="19"/>
        <v>16.623212221333784</v>
      </c>
    </row>
    <row r="600" spans="1:25">
      <c r="A600" s="12" t="s">
        <v>235</v>
      </c>
      <c r="B600" s="12" t="s">
        <v>236</v>
      </c>
      <c r="C600" s="12">
        <v>43</v>
      </c>
      <c r="D600" s="12">
        <v>2.16</v>
      </c>
      <c r="E600" s="12" t="s">
        <v>258</v>
      </c>
      <c r="F600" s="13">
        <v>42402</v>
      </c>
      <c r="G600" s="12">
        <v>60</v>
      </c>
      <c r="H600" s="12">
        <v>2.5</v>
      </c>
      <c r="I600" s="13">
        <v>42430</v>
      </c>
      <c r="J600" s="12">
        <v>61</v>
      </c>
      <c r="K600" s="12">
        <v>2.5</v>
      </c>
      <c r="L600" s="12">
        <v>28</v>
      </c>
      <c r="M600" s="12">
        <v>1</v>
      </c>
      <c r="N600" s="12">
        <v>0</v>
      </c>
      <c r="O600" s="17">
        <v>60.480000000000004</v>
      </c>
      <c r="P600" s="17"/>
      <c r="Q600" s="17">
        <v>35.714285714285715</v>
      </c>
      <c r="R600" s="14">
        <v>13.990659285714285</v>
      </c>
      <c r="S600" s="12">
        <v>13</v>
      </c>
      <c r="T600" s="12">
        <v>1</v>
      </c>
      <c r="U600" s="14">
        <v>28.080000000000002</v>
      </c>
      <c r="V600" s="17">
        <v>76.923076923076934</v>
      </c>
      <c r="W600" s="14">
        <v>16.022252692307692</v>
      </c>
      <c r="X600">
        <f t="shared" si="18"/>
        <v>18.02675</v>
      </c>
      <c r="Y600">
        <f t="shared" si="19"/>
        <v>16.890593200061851</v>
      </c>
    </row>
    <row r="601" spans="1:25">
      <c r="A601" s="12" t="s">
        <v>235</v>
      </c>
      <c r="B601" s="12" t="s">
        <v>236</v>
      </c>
      <c r="C601" s="12">
        <v>43</v>
      </c>
      <c r="D601" s="12">
        <v>2.16</v>
      </c>
      <c r="E601" s="12" t="s">
        <v>259</v>
      </c>
      <c r="F601" s="13">
        <v>42402</v>
      </c>
      <c r="G601" s="12">
        <v>64</v>
      </c>
      <c r="H601" s="12">
        <v>3</v>
      </c>
      <c r="I601" s="13">
        <v>42430</v>
      </c>
      <c r="J601" s="12">
        <v>66.5</v>
      </c>
      <c r="K601" s="12">
        <v>3</v>
      </c>
      <c r="L601" s="12">
        <v>28</v>
      </c>
      <c r="M601" s="12">
        <v>2.5</v>
      </c>
      <c r="N601" s="12">
        <v>0</v>
      </c>
      <c r="O601" s="17">
        <v>60.480000000000004</v>
      </c>
      <c r="P601" s="17"/>
      <c r="Q601" s="17">
        <v>89.285714285714292</v>
      </c>
      <c r="R601" s="14">
        <v>17.434908214285713</v>
      </c>
      <c r="S601" s="12">
        <v>13</v>
      </c>
      <c r="T601" s="12">
        <v>0</v>
      </c>
      <c r="U601" s="14">
        <v>28.080000000000002</v>
      </c>
      <c r="V601" s="17">
        <v>0</v>
      </c>
      <c r="W601" s="14">
        <v>13.033122499999999</v>
      </c>
      <c r="X601">
        <f t="shared" si="18"/>
        <v>15.952499999999999</v>
      </c>
      <c r="Y601">
        <f t="shared" si="19"/>
        <v>12.158531384868418</v>
      </c>
    </row>
    <row r="602" spans="1:25">
      <c r="A602" s="12" t="s">
        <v>235</v>
      </c>
      <c r="B602" s="12" t="s">
        <v>236</v>
      </c>
      <c r="C602" s="12">
        <v>43</v>
      </c>
      <c r="D602" s="12">
        <v>2.16</v>
      </c>
      <c r="E602" s="12" t="s">
        <v>260</v>
      </c>
      <c r="F602" s="13">
        <v>42402</v>
      </c>
      <c r="G602" s="12">
        <v>62</v>
      </c>
      <c r="H602" s="12">
        <v>2.5</v>
      </c>
      <c r="I602" s="13">
        <v>42430</v>
      </c>
      <c r="J602" s="12">
        <v>66</v>
      </c>
      <c r="K602" s="12">
        <v>3</v>
      </c>
      <c r="L602" s="12">
        <v>28</v>
      </c>
      <c r="M602" s="12">
        <v>4</v>
      </c>
      <c r="N602" s="12">
        <v>0.5</v>
      </c>
      <c r="O602" s="17">
        <v>60.480000000000004</v>
      </c>
      <c r="P602" s="17"/>
      <c r="Q602" s="17">
        <v>142.85714285714286</v>
      </c>
      <c r="R602" s="14">
        <v>19.864617142857142</v>
      </c>
      <c r="S602" s="12">
        <v>13</v>
      </c>
      <c r="T602" s="12">
        <v>0.5</v>
      </c>
      <c r="U602" s="14">
        <v>28.080000000000002</v>
      </c>
      <c r="V602" s="17">
        <v>38.461538461538467</v>
      </c>
      <c r="W602" s="14">
        <v>14.717913846153845</v>
      </c>
      <c r="X602">
        <f t="shared" si="18"/>
        <v>18.02675</v>
      </c>
      <c r="Y602">
        <f t="shared" si="19"/>
        <v>15.515564527845253</v>
      </c>
    </row>
    <row r="603" spans="1:25">
      <c r="A603" s="12" t="s">
        <v>235</v>
      </c>
      <c r="B603" s="12" t="s">
        <v>236</v>
      </c>
      <c r="C603" s="12">
        <v>43</v>
      </c>
      <c r="D603" s="12">
        <v>2.16</v>
      </c>
      <c r="E603" s="12" t="s">
        <v>261</v>
      </c>
      <c r="F603" s="13">
        <v>42402</v>
      </c>
      <c r="G603" s="12">
        <v>55</v>
      </c>
      <c r="H603" s="12">
        <v>2.5</v>
      </c>
      <c r="I603" s="13">
        <v>42430</v>
      </c>
      <c r="J603" s="12">
        <v>57</v>
      </c>
      <c r="K603" s="12">
        <v>2.75</v>
      </c>
      <c r="L603" s="12">
        <v>28</v>
      </c>
      <c r="M603" s="12">
        <v>2</v>
      </c>
      <c r="N603" s="12">
        <v>0.25</v>
      </c>
      <c r="O603" s="17">
        <v>60.480000000000004</v>
      </c>
      <c r="P603" s="17"/>
      <c r="Q603" s="17">
        <v>71.428571428571431</v>
      </c>
      <c r="R603" s="14">
        <v>14.99046857142857</v>
      </c>
      <c r="S603" s="12">
        <v>13</v>
      </c>
      <c r="T603" s="12">
        <v>-1.5</v>
      </c>
      <c r="U603" s="14">
        <v>28.080000000000002</v>
      </c>
      <c r="V603" s="17">
        <v>-115.38461538461539</v>
      </c>
      <c r="W603" s="14">
        <v>5.780578461538461</v>
      </c>
      <c r="X603">
        <f t="shared" si="18"/>
        <v>18.02675</v>
      </c>
      <c r="Y603">
        <f t="shared" si="19"/>
        <v>6.0938621509671602</v>
      </c>
    </row>
    <row r="604" spans="1:25">
      <c r="A604" s="12" t="s">
        <v>235</v>
      </c>
      <c r="B604" s="12" t="s">
        <v>236</v>
      </c>
      <c r="C604" s="12">
        <v>43</v>
      </c>
      <c r="D604" s="12">
        <v>2.16</v>
      </c>
      <c r="E604" s="12" t="s">
        <v>262</v>
      </c>
      <c r="F604" s="13">
        <v>42402</v>
      </c>
      <c r="G604" s="12">
        <v>64</v>
      </c>
      <c r="H604" s="12">
        <v>3</v>
      </c>
      <c r="I604" s="13">
        <v>42430</v>
      </c>
      <c r="J604" s="12">
        <v>67.5</v>
      </c>
      <c r="K604" s="12">
        <v>3.25</v>
      </c>
      <c r="L604" s="12">
        <v>28</v>
      </c>
      <c r="M604" s="12">
        <v>3.5</v>
      </c>
      <c r="N604" s="12">
        <v>0.25</v>
      </c>
      <c r="O604" s="17">
        <v>60.480000000000004</v>
      </c>
      <c r="P604" s="17"/>
      <c r="Q604" s="17">
        <v>125</v>
      </c>
      <c r="R604" s="14">
        <v>19.280167499999997</v>
      </c>
      <c r="S604" s="12">
        <v>13</v>
      </c>
      <c r="T604" s="12">
        <v>2</v>
      </c>
      <c r="U604" s="14">
        <v>28.080000000000002</v>
      </c>
      <c r="V604" s="17">
        <v>153.84615384615387</v>
      </c>
      <c r="W604" s="14">
        <v>20.702282884615386</v>
      </c>
      <c r="X604">
        <f t="shared" si="18"/>
        <v>15.952499999999999</v>
      </c>
      <c r="Y604">
        <f t="shared" si="19"/>
        <v>19.313050743674086</v>
      </c>
    </row>
    <row r="605" spans="1:25">
      <c r="A605" s="12" t="s">
        <v>235</v>
      </c>
      <c r="B605" s="12" t="s">
        <v>236</v>
      </c>
      <c r="C605" s="12">
        <v>43</v>
      </c>
      <c r="D605" s="12">
        <v>2.16</v>
      </c>
      <c r="E605" s="12" t="s">
        <v>263</v>
      </c>
      <c r="F605" s="13">
        <v>42402</v>
      </c>
      <c r="G605" s="12">
        <v>59</v>
      </c>
      <c r="H605" s="12">
        <v>2.5</v>
      </c>
      <c r="I605" s="13">
        <v>42430</v>
      </c>
      <c r="J605" s="12">
        <v>62.5</v>
      </c>
      <c r="K605" s="12">
        <v>3</v>
      </c>
      <c r="L605" s="12">
        <v>28</v>
      </c>
      <c r="M605" s="12">
        <v>3.5</v>
      </c>
      <c r="N605" s="12">
        <v>0.5</v>
      </c>
      <c r="O605" s="17">
        <v>60.480000000000004</v>
      </c>
      <c r="P605" s="17"/>
      <c r="Q605" s="17">
        <v>125</v>
      </c>
      <c r="R605" s="14">
        <v>18.434717499999998</v>
      </c>
      <c r="S605" s="12">
        <v>13</v>
      </c>
      <c r="T605" s="12">
        <v>-0.5</v>
      </c>
      <c r="U605" s="14">
        <v>28.080000000000002</v>
      </c>
      <c r="V605" s="17">
        <v>-38.461538461538467</v>
      </c>
      <c r="W605" s="14">
        <v>10.376063653846154</v>
      </c>
      <c r="X605">
        <f t="shared" si="18"/>
        <v>18.02675</v>
      </c>
      <c r="Y605">
        <f t="shared" si="19"/>
        <v>10.938403828770243</v>
      </c>
    </row>
    <row r="606" spans="1:25">
      <c r="A606" s="12" t="s">
        <v>235</v>
      </c>
      <c r="B606" s="12" t="s">
        <v>236</v>
      </c>
      <c r="C606" s="12">
        <v>43</v>
      </c>
      <c r="D606" s="12">
        <v>2.16</v>
      </c>
      <c r="E606" s="12" t="s">
        <v>264</v>
      </c>
      <c r="F606" s="13">
        <v>42402</v>
      </c>
      <c r="G606" s="12">
        <v>64.5</v>
      </c>
      <c r="H606" s="12">
        <v>2.5</v>
      </c>
      <c r="I606" s="13">
        <v>42430</v>
      </c>
      <c r="J606" s="12">
        <v>66.5</v>
      </c>
      <c r="K606" s="12">
        <v>3</v>
      </c>
      <c r="L606" s="12">
        <v>28</v>
      </c>
      <c r="M606" s="12">
        <v>2</v>
      </c>
      <c r="N606" s="12">
        <v>0.5</v>
      </c>
      <c r="O606" s="17">
        <v>60.480000000000004</v>
      </c>
      <c r="P606" s="17"/>
      <c r="Q606" s="17">
        <v>71.428571428571431</v>
      </c>
      <c r="R606" s="14">
        <v>16.596823571428569</v>
      </c>
      <c r="S606" s="12">
        <v>13</v>
      </c>
      <c r="T606" s="12">
        <v>-0.5</v>
      </c>
      <c r="U606" s="14">
        <v>28.080000000000002</v>
      </c>
      <c r="V606" s="17">
        <v>-38.461538461538467</v>
      </c>
      <c r="W606" s="14">
        <v>11.179241153846153</v>
      </c>
      <c r="X606">
        <f t="shared" si="18"/>
        <v>18.02675</v>
      </c>
      <c r="Y606">
        <f t="shared" si="19"/>
        <v>11.785110261409129</v>
      </c>
    </row>
    <row r="607" spans="1:25">
      <c r="A607" s="12" t="s">
        <v>235</v>
      </c>
      <c r="B607" s="12" t="s">
        <v>236</v>
      </c>
      <c r="C607" s="12">
        <v>43</v>
      </c>
      <c r="D607" s="12">
        <v>2.16</v>
      </c>
      <c r="E607" s="12" t="s">
        <v>265</v>
      </c>
      <c r="F607" s="13">
        <v>42402</v>
      </c>
      <c r="G607" s="12">
        <v>56</v>
      </c>
      <c r="H607" s="12">
        <v>2.5</v>
      </c>
      <c r="I607" s="13">
        <v>42430</v>
      </c>
      <c r="J607" s="12">
        <v>61</v>
      </c>
      <c r="K607" s="12">
        <v>3</v>
      </c>
      <c r="L607" s="12">
        <v>28</v>
      </c>
      <c r="M607" s="12">
        <v>5</v>
      </c>
      <c r="N607" s="12">
        <v>0.5</v>
      </c>
      <c r="O607" s="17">
        <v>60.480000000000004</v>
      </c>
      <c r="P607" s="17"/>
      <c r="Q607" s="17">
        <v>178.57142857142858</v>
      </c>
      <c r="R607" s="14">
        <v>20.69533642857143</v>
      </c>
      <c r="S607" s="12">
        <v>13</v>
      </c>
      <c r="T607" s="12">
        <v>0.5</v>
      </c>
      <c r="U607" s="14">
        <v>28.080000000000002</v>
      </c>
      <c r="V607" s="17">
        <v>38.461538461538467</v>
      </c>
      <c r="W607" s="14">
        <v>13.787918846153845</v>
      </c>
      <c r="X607">
        <f t="shared" si="18"/>
        <v>18.02675</v>
      </c>
      <c r="Y607">
        <f t="shared" si="19"/>
        <v>14.535167605842327</v>
      </c>
    </row>
    <row r="608" spans="1:25">
      <c r="A608" s="12" t="s">
        <v>235</v>
      </c>
      <c r="B608" s="12" t="s">
        <v>236</v>
      </c>
      <c r="C608" s="12">
        <v>43</v>
      </c>
      <c r="D608" s="12">
        <v>2.16</v>
      </c>
      <c r="E608" s="12" t="s">
        <v>266</v>
      </c>
      <c r="F608" s="13">
        <v>42402</v>
      </c>
      <c r="G608" s="12">
        <v>65</v>
      </c>
      <c r="H608" s="12">
        <v>3</v>
      </c>
      <c r="I608" s="13">
        <v>42430</v>
      </c>
      <c r="J608" s="12">
        <v>67.5</v>
      </c>
      <c r="K608" s="12">
        <v>3</v>
      </c>
      <c r="L608" s="12">
        <v>28</v>
      </c>
      <c r="M608" s="12">
        <v>2.5</v>
      </c>
      <c r="N608" s="12">
        <v>0</v>
      </c>
      <c r="O608" s="17">
        <v>60.480000000000004</v>
      </c>
      <c r="P608" s="17"/>
      <c r="Q608" s="17">
        <v>89.285714285714292</v>
      </c>
      <c r="R608" s="14">
        <v>17.603998214285713</v>
      </c>
      <c r="S608" s="12">
        <v>13</v>
      </c>
      <c r="T608" s="12">
        <v>-0.5</v>
      </c>
      <c r="U608" s="14">
        <v>28.080000000000002</v>
      </c>
      <c r="V608" s="17">
        <v>-38.461538461538467</v>
      </c>
      <c r="W608" s="14">
        <v>11.306058653846154</v>
      </c>
      <c r="X608">
        <f t="shared" si="18"/>
        <v>15.952499999999999</v>
      </c>
      <c r="Y608">
        <f t="shared" si="19"/>
        <v>10.547362612601214</v>
      </c>
    </row>
    <row r="609" spans="1:25">
      <c r="A609" s="12" t="s">
        <v>267</v>
      </c>
      <c r="B609" s="12" t="s">
        <v>268</v>
      </c>
      <c r="C609" s="12">
        <v>46</v>
      </c>
      <c r="D609" s="12">
        <v>3.16</v>
      </c>
      <c r="E609" s="12" t="s">
        <v>269</v>
      </c>
      <c r="F609" s="13">
        <v>42374</v>
      </c>
      <c r="G609" s="12">
        <v>74</v>
      </c>
      <c r="H609" s="12">
        <v>4</v>
      </c>
      <c r="I609" s="13">
        <v>42402</v>
      </c>
      <c r="J609" s="12">
        <v>74</v>
      </c>
      <c r="K609" s="12">
        <v>3</v>
      </c>
      <c r="L609" s="12">
        <v>28</v>
      </c>
      <c r="M609" s="12">
        <v>0</v>
      </c>
      <c r="N609" s="12">
        <v>-1</v>
      </c>
      <c r="O609" s="17">
        <v>88.48</v>
      </c>
      <c r="P609" s="17"/>
      <c r="Q609" s="17">
        <v>0</v>
      </c>
      <c r="R609" s="14">
        <v>14.512659999999999</v>
      </c>
      <c r="S609" s="12">
        <v>14</v>
      </c>
      <c r="T609" s="12">
        <v>-4</v>
      </c>
      <c r="U609" s="14">
        <v>44.24</v>
      </c>
      <c r="V609" s="17">
        <v>-285.71428571428572</v>
      </c>
      <c r="W609" s="14">
        <v>0.42694571428571493</v>
      </c>
      <c r="X609">
        <f t="shared" si="18"/>
        <v>11.803999999999998</v>
      </c>
      <c r="Y609">
        <f t="shared" si="19"/>
        <v>0.29471738078529697</v>
      </c>
    </row>
    <row r="610" spans="1:25">
      <c r="A610" s="12" t="s">
        <v>267</v>
      </c>
      <c r="B610" s="12" t="s">
        <v>268</v>
      </c>
      <c r="C610" s="12">
        <v>46</v>
      </c>
      <c r="D610" s="12">
        <v>3.16</v>
      </c>
      <c r="E610" s="12" t="s">
        <v>270</v>
      </c>
      <c r="F610" s="13">
        <v>42374</v>
      </c>
      <c r="G610" s="12">
        <v>78</v>
      </c>
      <c r="H610" s="12">
        <v>5</v>
      </c>
      <c r="I610" s="13">
        <v>42402</v>
      </c>
      <c r="J610" s="12">
        <v>74</v>
      </c>
      <c r="K610" s="12">
        <v>4</v>
      </c>
      <c r="L610" s="12">
        <v>28</v>
      </c>
      <c r="M610" s="12">
        <v>-4</v>
      </c>
      <c r="N610" s="12">
        <v>-1</v>
      </c>
      <c r="O610" s="17">
        <v>88.48</v>
      </c>
      <c r="P610" s="17"/>
      <c r="Q610" s="17">
        <v>-142.85714285714286</v>
      </c>
      <c r="R610" s="14">
        <v>7.807982857142858</v>
      </c>
      <c r="S610" s="12">
        <v>14</v>
      </c>
      <c r="T610" s="12">
        <v>-3</v>
      </c>
      <c r="U610" s="14">
        <v>44.24</v>
      </c>
      <c r="V610" s="17">
        <v>-214.28571428571428</v>
      </c>
      <c r="W610" s="14">
        <v>4.2865542857142866</v>
      </c>
      <c r="X610">
        <f t="shared" si="18"/>
        <v>7.6555</v>
      </c>
      <c r="Y610">
        <f t="shared" si="19"/>
        <v>1.9190477388471183</v>
      </c>
    </row>
    <row r="611" spans="1:25">
      <c r="A611" s="12" t="s">
        <v>267</v>
      </c>
      <c r="B611" s="12" t="s">
        <v>268</v>
      </c>
      <c r="C611" s="12">
        <v>46</v>
      </c>
      <c r="D611" s="12">
        <v>3.16</v>
      </c>
      <c r="E611" s="12" t="s">
        <v>271</v>
      </c>
      <c r="F611" s="13">
        <v>42374</v>
      </c>
      <c r="G611" s="12">
        <v>74.5</v>
      </c>
      <c r="H611" s="12">
        <v>5</v>
      </c>
      <c r="I611" s="13">
        <v>42402</v>
      </c>
      <c r="J611" s="12">
        <v>69.5</v>
      </c>
      <c r="K611" s="12">
        <v>3</v>
      </c>
      <c r="L611" s="12">
        <v>28</v>
      </c>
      <c r="M611" s="12">
        <v>-5</v>
      </c>
      <c r="N611" s="12">
        <v>-2</v>
      </c>
      <c r="O611" s="17">
        <v>88.48</v>
      </c>
      <c r="P611" s="17"/>
      <c r="Q611" s="17">
        <v>-178.57142857142858</v>
      </c>
      <c r="R611" s="14">
        <v>5.3709085714285703</v>
      </c>
      <c r="S611" s="12">
        <v>14</v>
      </c>
      <c r="T611" s="12">
        <v>-4.5</v>
      </c>
      <c r="U611" s="14">
        <v>44.24</v>
      </c>
      <c r="V611" s="17">
        <v>-321.42857142857144</v>
      </c>
      <c r="W611" s="14">
        <v>-1.6719485714285724</v>
      </c>
      <c r="X611">
        <f t="shared" si="18"/>
        <v>7.6555</v>
      </c>
      <c r="Y611">
        <f t="shared" si="19"/>
        <v>-0.74851475371762788</v>
      </c>
    </row>
    <row r="612" spans="1:25">
      <c r="A612" s="12" t="s">
        <v>267</v>
      </c>
      <c r="B612" s="12" t="s">
        <v>268</v>
      </c>
      <c r="C612" s="12">
        <v>46</v>
      </c>
      <c r="D612" s="12">
        <v>3.16</v>
      </c>
      <c r="E612" s="12" t="s">
        <v>272</v>
      </c>
      <c r="F612" s="13">
        <v>42374</v>
      </c>
      <c r="G612" s="12">
        <v>76.5</v>
      </c>
      <c r="H612" s="12">
        <v>4</v>
      </c>
      <c r="I612" s="13">
        <v>42402</v>
      </c>
      <c r="J612" s="12">
        <v>74.5</v>
      </c>
      <c r="K612" s="12">
        <v>4</v>
      </c>
      <c r="L612" s="12">
        <v>28</v>
      </c>
      <c r="M612" s="12">
        <v>-2</v>
      </c>
      <c r="N612" s="12">
        <v>0</v>
      </c>
      <c r="O612" s="17">
        <v>88.48</v>
      </c>
      <c r="P612" s="17"/>
      <c r="Q612" s="17">
        <v>-71.428571428571431</v>
      </c>
      <c r="R612" s="14">
        <v>11.244866428571429</v>
      </c>
      <c r="S612" s="12">
        <v>14</v>
      </c>
      <c r="T612" s="12">
        <v>-3.5</v>
      </c>
      <c r="U612" s="14">
        <v>44.24</v>
      </c>
      <c r="V612" s="17">
        <v>-250</v>
      </c>
      <c r="W612" s="14">
        <v>2.4412950000000002</v>
      </c>
      <c r="X612">
        <f t="shared" si="18"/>
        <v>11.803999999999998</v>
      </c>
      <c r="Y612">
        <f t="shared" si="19"/>
        <v>1.6852073789473683</v>
      </c>
    </row>
    <row r="613" spans="1:25">
      <c r="A613" s="12" t="s">
        <v>267</v>
      </c>
      <c r="B613" s="12" t="s">
        <v>268</v>
      </c>
      <c r="C613" s="12">
        <v>46</v>
      </c>
      <c r="D613" s="12">
        <v>3.16</v>
      </c>
      <c r="E613" s="12" t="s">
        <v>273</v>
      </c>
      <c r="F613" s="13">
        <v>42374</v>
      </c>
      <c r="G613" s="12">
        <v>75.5</v>
      </c>
      <c r="H613" s="12">
        <v>3</v>
      </c>
      <c r="I613" s="13">
        <v>42402</v>
      </c>
      <c r="J613" s="12">
        <v>71.5</v>
      </c>
      <c r="K613" s="12">
        <v>3</v>
      </c>
      <c r="L613" s="12">
        <v>28</v>
      </c>
      <c r="M613" s="12">
        <v>-4</v>
      </c>
      <c r="N613" s="12">
        <v>0</v>
      </c>
      <c r="O613" s="17">
        <v>88.48</v>
      </c>
      <c r="P613" s="17"/>
      <c r="Q613" s="17">
        <v>-142.85714285714286</v>
      </c>
      <c r="R613" s="14">
        <v>7.3852578571428582</v>
      </c>
      <c r="S613" s="12">
        <v>14</v>
      </c>
      <c r="T613" s="12">
        <v>-3.5</v>
      </c>
      <c r="U613" s="14">
        <v>44.24</v>
      </c>
      <c r="V613" s="17">
        <v>-250</v>
      </c>
      <c r="W613" s="14">
        <v>2.1031150000000007</v>
      </c>
      <c r="X613">
        <f t="shared" si="18"/>
        <v>15.952499999999999</v>
      </c>
      <c r="Y613">
        <f t="shared" si="19"/>
        <v>1.9619849144736847</v>
      </c>
    </row>
    <row r="614" spans="1:25">
      <c r="A614" s="12" t="s">
        <v>267</v>
      </c>
      <c r="B614" s="12" t="s">
        <v>268</v>
      </c>
      <c r="C614" s="12">
        <v>46</v>
      </c>
      <c r="D614" s="12">
        <v>3.16</v>
      </c>
      <c r="E614" s="12" t="s">
        <v>274</v>
      </c>
      <c r="F614" s="13">
        <v>42374</v>
      </c>
      <c r="G614" s="12">
        <v>78</v>
      </c>
      <c r="H614" s="12">
        <v>3</v>
      </c>
      <c r="I614" s="13">
        <v>42402</v>
      </c>
      <c r="J614" s="12">
        <v>78</v>
      </c>
      <c r="K614" s="12">
        <v>3</v>
      </c>
      <c r="L614" s="12">
        <v>28</v>
      </c>
      <c r="M614" s="12">
        <v>0</v>
      </c>
      <c r="N614" s="12">
        <v>0</v>
      </c>
      <c r="O614" s="17">
        <v>88.48</v>
      </c>
      <c r="P614" s="17"/>
      <c r="Q614" s="17">
        <v>0</v>
      </c>
      <c r="R614" s="14">
        <v>15.189019999999999</v>
      </c>
      <c r="S614" s="12">
        <v>14</v>
      </c>
      <c r="T614" s="12">
        <v>-3</v>
      </c>
      <c r="U614" s="14">
        <v>44.24</v>
      </c>
      <c r="V614" s="17">
        <v>-214.28571428571428</v>
      </c>
      <c r="W614" s="14">
        <v>4.6247342857142861</v>
      </c>
      <c r="X614">
        <f t="shared" si="18"/>
        <v>15.952499999999999</v>
      </c>
      <c r="Y614">
        <f t="shared" si="19"/>
        <v>4.3143902744360894</v>
      </c>
    </row>
    <row r="615" spans="1:25">
      <c r="A615" s="12" t="s">
        <v>267</v>
      </c>
      <c r="B615" s="12" t="s">
        <v>268</v>
      </c>
      <c r="C615" s="12">
        <v>46</v>
      </c>
      <c r="D615" s="12">
        <v>3.16</v>
      </c>
      <c r="E615" s="12" t="s">
        <v>275</v>
      </c>
      <c r="F615" s="13">
        <v>42374</v>
      </c>
      <c r="G615" s="12">
        <v>77.5</v>
      </c>
      <c r="H615" s="12">
        <v>3</v>
      </c>
      <c r="I615" s="13">
        <v>42402</v>
      </c>
      <c r="J615" s="12">
        <v>73.5</v>
      </c>
      <c r="K615" s="12">
        <v>4</v>
      </c>
      <c r="L615" s="12">
        <v>28</v>
      </c>
      <c r="M615" s="12">
        <v>-4</v>
      </c>
      <c r="N615" s="12">
        <v>1</v>
      </c>
      <c r="O615" s="17">
        <v>88.48</v>
      </c>
      <c r="P615" s="17"/>
      <c r="Q615" s="17">
        <v>-142.85714285714286</v>
      </c>
      <c r="R615" s="14">
        <v>7.7234378571428577</v>
      </c>
      <c r="S615" s="12">
        <v>14</v>
      </c>
      <c r="T615" s="12">
        <v>-4</v>
      </c>
      <c r="U615" s="14">
        <v>44.24</v>
      </c>
      <c r="V615" s="17">
        <v>-285.71428571428572</v>
      </c>
      <c r="W615" s="14">
        <v>0.68058071428571587</v>
      </c>
      <c r="X615">
        <f t="shared" si="18"/>
        <v>15.952499999999999</v>
      </c>
      <c r="Y615">
        <f t="shared" si="19"/>
        <v>0.63491016635338482</v>
      </c>
    </row>
    <row r="616" spans="1:25">
      <c r="A616" s="12" t="s">
        <v>267</v>
      </c>
      <c r="B616" s="12" t="s">
        <v>268</v>
      </c>
      <c r="C616" s="12">
        <v>46</v>
      </c>
      <c r="D616" s="12">
        <v>3.16</v>
      </c>
      <c r="E616" s="12" t="s">
        <v>276</v>
      </c>
      <c r="F616" s="13">
        <v>42374</v>
      </c>
      <c r="G616" s="12">
        <v>72.5</v>
      </c>
      <c r="H616" s="12">
        <v>4</v>
      </c>
      <c r="I616" s="13">
        <v>42402</v>
      </c>
      <c r="J616" s="12">
        <v>70</v>
      </c>
      <c r="K616" s="12">
        <v>4</v>
      </c>
      <c r="L616" s="12">
        <v>28</v>
      </c>
      <c r="M616" s="12">
        <v>-2.5</v>
      </c>
      <c r="N616" s="12">
        <v>0</v>
      </c>
      <c r="O616" s="17">
        <v>88.48</v>
      </c>
      <c r="P616" s="17"/>
      <c r="Q616" s="17">
        <v>-89.285714285714292</v>
      </c>
      <c r="R616" s="14">
        <v>9.645876785714286</v>
      </c>
      <c r="S616" s="12">
        <v>14</v>
      </c>
      <c r="T616" s="12">
        <v>-3</v>
      </c>
      <c r="U616" s="14">
        <v>44.24</v>
      </c>
      <c r="V616" s="17">
        <v>-214.28571428571428</v>
      </c>
      <c r="W616" s="14">
        <v>3.4833767857142863</v>
      </c>
      <c r="X616">
        <f t="shared" si="18"/>
        <v>11.803999999999998</v>
      </c>
      <c r="Y616">
        <f t="shared" si="19"/>
        <v>2.4045485133667501</v>
      </c>
    </row>
    <row r="617" spans="1:25">
      <c r="A617" s="12" t="s">
        <v>267</v>
      </c>
      <c r="B617" s="12" t="s">
        <v>268</v>
      </c>
      <c r="C617" s="12">
        <v>46</v>
      </c>
      <c r="D617" s="12">
        <v>3.16</v>
      </c>
      <c r="E617" s="12" t="s">
        <v>277</v>
      </c>
      <c r="F617" s="13">
        <v>42374</v>
      </c>
      <c r="G617" s="12">
        <v>77.5</v>
      </c>
      <c r="H617" s="12">
        <v>4</v>
      </c>
      <c r="I617" s="13">
        <v>42402</v>
      </c>
      <c r="J617" s="12">
        <v>73.5</v>
      </c>
      <c r="K617" s="12">
        <v>4</v>
      </c>
      <c r="L617" s="12">
        <v>28</v>
      </c>
      <c r="M617" s="12">
        <v>-4</v>
      </c>
      <c r="N617" s="12">
        <v>0</v>
      </c>
      <c r="O617" s="17">
        <v>88.48</v>
      </c>
      <c r="P617" s="17"/>
      <c r="Q617" s="17">
        <v>-142.85714285714286</v>
      </c>
      <c r="R617" s="14">
        <v>7.7234378571428577</v>
      </c>
      <c r="S617" s="12">
        <v>14</v>
      </c>
      <c r="T617" s="12">
        <v>-3.5</v>
      </c>
      <c r="U617" s="14">
        <v>44.24</v>
      </c>
      <c r="V617" s="17">
        <v>-250</v>
      </c>
      <c r="W617" s="14">
        <v>2.4412950000000002</v>
      </c>
      <c r="X617">
        <f t="shared" si="18"/>
        <v>11.803999999999998</v>
      </c>
      <c r="Y617">
        <f t="shared" si="19"/>
        <v>1.6852073789473683</v>
      </c>
    </row>
    <row r="618" spans="1:25">
      <c r="A618" s="12" t="s">
        <v>267</v>
      </c>
      <c r="B618" s="12" t="s">
        <v>268</v>
      </c>
      <c r="C618" s="12">
        <v>46</v>
      </c>
      <c r="D618" s="12">
        <v>3.16</v>
      </c>
      <c r="E618" s="12" t="s">
        <v>278</v>
      </c>
      <c r="F618" s="13">
        <v>42374</v>
      </c>
      <c r="G618" s="12">
        <v>76</v>
      </c>
      <c r="H618" s="12">
        <v>3</v>
      </c>
      <c r="I618" s="13">
        <v>42402</v>
      </c>
      <c r="J618" s="12">
        <v>70.5</v>
      </c>
      <c r="K618" s="12">
        <v>3</v>
      </c>
      <c r="L618" s="12">
        <v>28</v>
      </c>
      <c r="M618" s="12">
        <v>-5.5</v>
      </c>
      <c r="N618" s="12">
        <v>0</v>
      </c>
      <c r="O618" s="17">
        <v>88.48</v>
      </c>
      <c r="P618" s="17"/>
      <c r="Q618" s="17">
        <v>-196.42857142857142</v>
      </c>
      <c r="R618" s="14">
        <v>4.7019139285714289</v>
      </c>
      <c r="S618" s="12">
        <v>14</v>
      </c>
      <c r="T618" s="12">
        <v>-2.5</v>
      </c>
      <c r="U618" s="14">
        <v>44.24</v>
      </c>
      <c r="V618" s="17">
        <v>-178.57142857142858</v>
      </c>
      <c r="W618" s="14">
        <v>5.5822710714285702</v>
      </c>
      <c r="X618">
        <f t="shared" si="18"/>
        <v>15.952499999999999</v>
      </c>
      <c r="Y618">
        <f t="shared" si="19"/>
        <v>5.2076713021616516</v>
      </c>
    </row>
    <row r="619" spans="1:25">
      <c r="A619" s="12" t="s">
        <v>267</v>
      </c>
      <c r="B619" s="12" t="s">
        <v>268</v>
      </c>
      <c r="C619" s="12">
        <v>46</v>
      </c>
      <c r="D619" s="12">
        <v>3.16</v>
      </c>
      <c r="E619" s="12" t="s">
        <v>279</v>
      </c>
      <c r="F619" s="13">
        <v>42374</v>
      </c>
      <c r="G619" s="12">
        <v>73</v>
      </c>
      <c r="H619" s="12">
        <v>3</v>
      </c>
      <c r="I619" s="13">
        <v>42402</v>
      </c>
      <c r="J619" s="12">
        <v>69.5</v>
      </c>
      <c r="K619" s="12">
        <v>3</v>
      </c>
      <c r="L619" s="12">
        <v>28</v>
      </c>
      <c r="M619" s="12">
        <v>-3.5</v>
      </c>
      <c r="N619" s="12">
        <v>0</v>
      </c>
      <c r="O619" s="17">
        <v>88.48</v>
      </c>
      <c r="P619" s="17"/>
      <c r="Q619" s="17">
        <v>-125</v>
      </c>
      <c r="R619" s="14">
        <v>7.8851624999999999</v>
      </c>
      <c r="S619" s="12">
        <v>14</v>
      </c>
      <c r="T619" s="12">
        <v>-3</v>
      </c>
      <c r="U619" s="14">
        <v>44.24</v>
      </c>
      <c r="V619" s="17">
        <v>-214.28571428571428</v>
      </c>
      <c r="W619" s="14">
        <v>3.4833767857142863</v>
      </c>
      <c r="X619">
        <f t="shared" si="18"/>
        <v>15.952499999999999</v>
      </c>
      <c r="Y619">
        <f t="shared" si="19"/>
        <v>3.2496238698308271</v>
      </c>
    </row>
    <row r="620" spans="1:25">
      <c r="A620" s="12" t="s">
        <v>267</v>
      </c>
      <c r="B620" s="12" t="s">
        <v>268</v>
      </c>
      <c r="C620" s="12">
        <v>46</v>
      </c>
      <c r="D620" s="12">
        <v>3.16</v>
      </c>
      <c r="E620" s="12" t="s">
        <v>280</v>
      </c>
      <c r="F620" s="13">
        <v>42374</v>
      </c>
      <c r="G620" s="12">
        <v>77</v>
      </c>
      <c r="H620" s="12">
        <v>4</v>
      </c>
      <c r="I620" s="13">
        <v>42402</v>
      </c>
      <c r="J620" s="12">
        <v>72.5</v>
      </c>
      <c r="K620" s="12">
        <v>4</v>
      </c>
      <c r="L620" s="12">
        <v>28</v>
      </c>
      <c r="M620" s="12">
        <v>-4.5</v>
      </c>
      <c r="N620" s="12">
        <v>0</v>
      </c>
      <c r="O620" s="17">
        <v>88.48</v>
      </c>
      <c r="P620" s="17"/>
      <c r="Q620" s="17">
        <v>-160.71428571428572</v>
      </c>
      <c r="R620" s="14">
        <v>6.7162632142857142</v>
      </c>
      <c r="S620" s="12">
        <v>14</v>
      </c>
      <c r="T620" s="12">
        <v>-2.5</v>
      </c>
      <c r="U620" s="14">
        <v>44.24</v>
      </c>
      <c r="V620" s="17">
        <v>-178.57142857142858</v>
      </c>
      <c r="W620" s="14">
        <v>5.8359060714285711</v>
      </c>
      <c r="X620">
        <f t="shared" si="18"/>
        <v>11.803999999999998</v>
      </c>
      <c r="Y620">
        <f t="shared" si="19"/>
        <v>4.0284815945697572</v>
      </c>
    </row>
    <row r="621" spans="1:25">
      <c r="A621" s="12" t="s">
        <v>267</v>
      </c>
      <c r="B621" s="12" t="s">
        <v>268</v>
      </c>
      <c r="C621" s="12">
        <v>46</v>
      </c>
      <c r="D621" s="12">
        <v>3.16</v>
      </c>
      <c r="E621" s="12" t="s">
        <v>281</v>
      </c>
      <c r="F621" s="13">
        <v>42374</v>
      </c>
      <c r="G621" s="12">
        <v>72.5</v>
      </c>
      <c r="H621" s="12">
        <v>3</v>
      </c>
      <c r="I621" s="13">
        <v>42402</v>
      </c>
      <c r="J621" s="12">
        <v>68.5</v>
      </c>
      <c r="K621" s="12">
        <v>3</v>
      </c>
      <c r="L621" s="12">
        <v>28</v>
      </c>
      <c r="M621" s="12">
        <v>-4</v>
      </c>
      <c r="N621" s="12">
        <v>0</v>
      </c>
      <c r="O621" s="17">
        <v>88.48</v>
      </c>
      <c r="P621" s="17"/>
      <c r="Q621" s="17">
        <v>-142.85714285714286</v>
      </c>
      <c r="R621" s="14">
        <v>6.8779878571428581</v>
      </c>
      <c r="S621" s="12">
        <v>14</v>
      </c>
      <c r="T621" s="12">
        <v>-3</v>
      </c>
      <c r="U621" s="14">
        <v>44.24</v>
      </c>
      <c r="V621" s="17">
        <v>-214.28571428571428</v>
      </c>
      <c r="W621" s="14">
        <v>3.3565592857142867</v>
      </c>
      <c r="X621">
        <f t="shared" si="18"/>
        <v>15.952499999999999</v>
      </c>
      <c r="Y621">
        <f t="shared" si="19"/>
        <v>3.1313164915413538</v>
      </c>
    </row>
    <row r="622" spans="1:25">
      <c r="A622" s="12" t="s">
        <v>267</v>
      </c>
      <c r="B622" s="12" t="s">
        <v>268</v>
      </c>
      <c r="C622" s="12">
        <v>46</v>
      </c>
      <c r="D622" s="12">
        <v>3.16</v>
      </c>
      <c r="E622" s="12" t="s">
        <v>282</v>
      </c>
      <c r="F622" s="13">
        <v>42374</v>
      </c>
      <c r="G622" s="12">
        <v>73.5</v>
      </c>
      <c r="H622" s="12">
        <v>5</v>
      </c>
      <c r="I622" s="13">
        <v>42402</v>
      </c>
      <c r="J622" s="12">
        <v>67.5</v>
      </c>
      <c r="K622" s="12">
        <v>3</v>
      </c>
      <c r="L622" s="12">
        <v>28</v>
      </c>
      <c r="M622" s="12">
        <v>-6</v>
      </c>
      <c r="N622" s="12">
        <v>-2</v>
      </c>
      <c r="O622" s="17">
        <v>88.48</v>
      </c>
      <c r="P622" s="17"/>
      <c r="Q622" s="17">
        <v>-214.28571428571428</v>
      </c>
      <c r="R622" s="14">
        <v>3.3565592857142867</v>
      </c>
      <c r="S622" s="12">
        <v>14</v>
      </c>
      <c r="T622" s="12">
        <v>-4</v>
      </c>
      <c r="U622" s="14">
        <v>44.24</v>
      </c>
      <c r="V622" s="17">
        <v>-285.71428571428572</v>
      </c>
      <c r="W622" s="14">
        <v>-0.16486928571428372</v>
      </c>
      <c r="X622">
        <f t="shared" si="18"/>
        <v>7.6555</v>
      </c>
      <c r="Y622">
        <f t="shared" si="19"/>
        <v>-7.3810340162906357E-2</v>
      </c>
    </row>
    <row r="623" spans="1:25">
      <c r="A623" s="12" t="s">
        <v>267</v>
      </c>
      <c r="B623" s="12" t="s">
        <v>268</v>
      </c>
      <c r="C623" s="12">
        <v>46</v>
      </c>
      <c r="D623" s="12">
        <v>3.16</v>
      </c>
      <c r="E623" s="12" t="s">
        <v>283</v>
      </c>
      <c r="F623" s="13">
        <v>42374</v>
      </c>
      <c r="G623" s="12">
        <v>74</v>
      </c>
      <c r="H623" s="12">
        <v>5</v>
      </c>
      <c r="I623" s="13">
        <v>42402</v>
      </c>
      <c r="J623" s="12">
        <v>70</v>
      </c>
      <c r="K623" s="12">
        <v>5</v>
      </c>
      <c r="L623" s="12">
        <v>28</v>
      </c>
      <c r="M623" s="12">
        <v>-4</v>
      </c>
      <c r="N623" s="12">
        <v>0</v>
      </c>
      <c r="O623" s="17">
        <v>88.48</v>
      </c>
      <c r="P623" s="17"/>
      <c r="Q623" s="17">
        <v>-142.85714285714286</v>
      </c>
      <c r="R623" s="14">
        <v>7.1316228571428573</v>
      </c>
      <c r="S623" s="12">
        <v>14</v>
      </c>
      <c r="T623" s="12">
        <v>-2</v>
      </c>
      <c r="U623" s="14">
        <v>44.24</v>
      </c>
      <c r="V623" s="17">
        <v>-142.85714285714286</v>
      </c>
      <c r="W623" s="14">
        <v>7.1316228571428573</v>
      </c>
      <c r="X623">
        <f t="shared" si="18"/>
        <v>7.6555</v>
      </c>
      <c r="Y623">
        <f t="shared" si="19"/>
        <v>3.1927566539682539</v>
      </c>
    </row>
    <row r="624" spans="1:25">
      <c r="A624" s="12" t="s">
        <v>267</v>
      </c>
      <c r="B624" s="12" t="s">
        <v>268</v>
      </c>
      <c r="C624" s="12">
        <v>46</v>
      </c>
      <c r="D624" s="12">
        <v>3.16</v>
      </c>
      <c r="E624" s="12" t="s">
        <v>284</v>
      </c>
      <c r="F624" s="13">
        <v>42374</v>
      </c>
      <c r="G624" s="12">
        <v>75</v>
      </c>
      <c r="H624" s="12">
        <v>4</v>
      </c>
      <c r="I624" s="13">
        <v>42402</v>
      </c>
      <c r="J624" s="12">
        <v>69.5</v>
      </c>
      <c r="K624" s="12">
        <v>3</v>
      </c>
      <c r="L624" s="12">
        <v>28</v>
      </c>
      <c r="M624" s="12">
        <v>-5.5</v>
      </c>
      <c r="N624" s="12">
        <v>-1</v>
      </c>
      <c r="O624" s="17">
        <v>88.48</v>
      </c>
      <c r="P624" s="17"/>
      <c r="Q624" s="17">
        <v>-196.42857142857142</v>
      </c>
      <c r="R624" s="14">
        <v>4.53282392857143</v>
      </c>
      <c r="S624" s="12">
        <v>14</v>
      </c>
      <c r="T624" s="12">
        <v>-2.5</v>
      </c>
      <c r="U624" s="14">
        <v>44.24</v>
      </c>
      <c r="V624" s="17">
        <v>-178.57142857142858</v>
      </c>
      <c r="W624" s="14">
        <v>5.4131810714285713</v>
      </c>
      <c r="X624">
        <f t="shared" si="18"/>
        <v>11.803999999999998</v>
      </c>
      <c r="Y624">
        <f t="shared" si="19"/>
        <v>3.7366777407685876</v>
      </c>
    </row>
    <row r="625" spans="1:25">
      <c r="A625" s="12" t="s">
        <v>267</v>
      </c>
      <c r="B625" s="12" t="s">
        <v>268</v>
      </c>
      <c r="C625" s="12">
        <v>46</v>
      </c>
      <c r="D625" s="12">
        <v>3.16</v>
      </c>
      <c r="E625" s="12" t="s">
        <v>285</v>
      </c>
      <c r="F625" s="13">
        <v>42374</v>
      </c>
      <c r="G625" s="12">
        <v>75</v>
      </c>
      <c r="H625" s="12">
        <v>3</v>
      </c>
      <c r="I625" s="13">
        <v>42402</v>
      </c>
      <c r="J625" s="12">
        <v>69.5</v>
      </c>
      <c r="K625" s="12">
        <v>3</v>
      </c>
      <c r="L625" s="12">
        <v>28</v>
      </c>
      <c r="M625" s="12">
        <v>-5.5</v>
      </c>
      <c r="N625" s="12">
        <v>0</v>
      </c>
      <c r="O625" s="17">
        <v>88.48</v>
      </c>
      <c r="P625" s="17"/>
      <c r="Q625" s="17">
        <v>-196.42857142857142</v>
      </c>
      <c r="R625" s="14">
        <v>4.53282392857143</v>
      </c>
      <c r="S625" s="12">
        <v>14</v>
      </c>
      <c r="T625" s="12">
        <v>-3.5</v>
      </c>
      <c r="U625" s="14">
        <v>44.24</v>
      </c>
      <c r="V625" s="17">
        <v>-250</v>
      </c>
      <c r="W625" s="14">
        <v>1.8917525000000008</v>
      </c>
      <c r="X625">
        <f t="shared" si="18"/>
        <v>15.952499999999999</v>
      </c>
      <c r="Y625">
        <f t="shared" si="19"/>
        <v>1.7648059506578953</v>
      </c>
    </row>
    <row r="626" spans="1:25">
      <c r="A626" s="12" t="s">
        <v>267</v>
      </c>
      <c r="B626" s="12" t="s">
        <v>268</v>
      </c>
      <c r="C626" s="12">
        <v>46</v>
      </c>
      <c r="D626" s="12">
        <v>3.16</v>
      </c>
      <c r="E626" s="12" t="s">
        <v>286</v>
      </c>
      <c r="F626" s="13">
        <v>42374</v>
      </c>
      <c r="G626" s="12">
        <v>74.5</v>
      </c>
      <c r="H626" s="12">
        <v>4</v>
      </c>
      <c r="I626" s="13">
        <v>42402</v>
      </c>
      <c r="J626" s="12">
        <v>72.5</v>
      </c>
      <c r="K626" s="12">
        <v>4</v>
      </c>
      <c r="L626" s="12">
        <v>28</v>
      </c>
      <c r="M626" s="12">
        <v>-2</v>
      </c>
      <c r="N626" s="12">
        <v>0</v>
      </c>
      <c r="O626" s="17">
        <v>88.48</v>
      </c>
      <c r="P626" s="17"/>
      <c r="Q626" s="17">
        <v>-71.428571428571431</v>
      </c>
      <c r="R626" s="14">
        <v>10.90668642857143</v>
      </c>
      <c r="S626" s="12">
        <v>14</v>
      </c>
      <c r="T626" s="12">
        <v>-1.5</v>
      </c>
      <c r="U626" s="14">
        <v>44.24</v>
      </c>
      <c r="V626" s="17">
        <v>-107.14285714285714</v>
      </c>
      <c r="W626" s="14">
        <v>9.1459721428571434</v>
      </c>
      <c r="X626">
        <f t="shared" si="18"/>
        <v>11.803999999999998</v>
      </c>
      <c r="Y626">
        <f t="shared" si="19"/>
        <v>6.3133950394319118</v>
      </c>
    </row>
    <row r="627" spans="1:25">
      <c r="A627" s="12" t="s">
        <v>267</v>
      </c>
      <c r="B627" s="12" t="s">
        <v>268</v>
      </c>
      <c r="C627" s="12">
        <v>46</v>
      </c>
      <c r="D627" s="12">
        <v>3.16</v>
      </c>
      <c r="E627" s="12" t="s">
        <v>287</v>
      </c>
      <c r="F627" s="13">
        <v>42374</v>
      </c>
      <c r="G627" s="12">
        <v>78</v>
      </c>
      <c r="H627" s="12">
        <v>4</v>
      </c>
      <c r="I627" s="13">
        <v>42402</v>
      </c>
      <c r="J627" s="12">
        <v>75</v>
      </c>
      <c r="K627" s="12">
        <v>3.5</v>
      </c>
      <c r="L627" s="12">
        <v>28</v>
      </c>
      <c r="M627" s="12">
        <v>-3</v>
      </c>
      <c r="N627" s="12">
        <v>-0.5</v>
      </c>
      <c r="O627" s="17">
        <v>88.48</v>
      </c>
      <c r="P627" s="17"/>
      <c r="Q627" s="17">
        <v>-107.14285714285714</v>
      </c>
      <c r="R627" s="14">
        <v>9.6532421428571435</v>
      </c>
      <c r="S627" s="12">
        <v>14</v>
      </c>
      <c r="T627" s="12">
        <v>-1</v>
      </c>
      <c r="U627" s="14">
        <v>44.24</v>
      </c>
      <c r="V627" s="17">
        <v>-71.428571428571431</v>
      </c>
      <c r="W627" s="14">
        <v>11.41395642857143</v>
      </c>
      <c r="X627">
        <f t="shared" si="18"/>
        <v>11.803999999999998</v>
      </c>
      <c r="Y627">
        <f t="shared" si="19"/>
        <v>7.8789673498746851</v>
      </c>
    </row>
    <row r="628" spans="1:25">
      <c r="A628" s="12" t="s">
        <v>267</v>
      </c>
      <c r="B628" s="12" t="s">
        <v>268</v>
      </c>
      <c r="C628" s="12">
        <v>46</v>
      </c>
      <c r="D628" s="12">
        <v>3.16</v>
      </c>
      <c r="E628" s="12" t="s">
        <v>288</v>
      </c>
      <c r="F628" s="13">
        <v>42374</v>
      </c>
      <c r="G628" s="12">
        <v>74</v>
      </c>
      <c r="H628" s="12">
        <v>3</v>
      </c>
      <c r="I628" s="13">
        <v>42402</v>
      </c>
      <c r="J628" s="12">
        <v>72.5</v>
      </c>
      <c r="K628" s="12">
        <v>3.5</v>
      </c>
      <c r="L628" s="12">
        <v>28</v>
      </c>
      <c r="M628" s="12">
        <v>-1.5</v>
      </c>
      <c r="N628" s="12">
        <v>0.5</v>
      </c>
      <c r="O628" s="17">
        <v>88.48</v>
      </c>
      <c r="P628" s="17"/>
      <c r="Q628" s="17">
        <v>-53.571428571428569</v>
      </c>
      <c r="R628" s="14">
        <v>11.74477107142857</v>
      </c>
      <c r="S628" s="12">
        <v>14</v>
      </c>
      <c r="T628" s="12">
        <v>-2</v>
      </c>
      <c r="U628" s="14">
        <v>44.24</v>
      </c>
      <c r="V628" s="17">
        <v>-142.85714285714286</v>
      </c>
      <c r="W628" s="14">
        <v>7.3429853571428572</v>
      </c>
      <c r="X628">
        <f t="shared" si="18"/>
        <v>15.952499999999999</v>
      </c>
      <c r="Y628">
        <f t="shared" si="19"/>
        <v>6.850232392387217</v>
      </c>
    </row>
    <row r="629" spans="1:25">
      <c r="A629" s="12" t="s">
        <v>267</v>
      </c>
      <c r="B629" s="12" t="s">
        <v>268</v>
      </c>
      <c r="C629" s="12">
        <v>46</v>
      </c>
      <c r="D629" s="12">
        <v>3.16</v>
      </c>
      <c r="E629" s="12" t="s">
        <v>289</v>
      </c>
      <c r="F629" s="13">
        <v>42374</v>
      </c>
      <c r="G629" s="12">
        <v>73.5</v>
      </c>
      <c r="H629" s="12">
        <v>5</v>
      </c>
      <c r="I629" s="13">
        <v>42402</v>
      </c>
      <c r="J629" s="12">
        <v>67.5</v>
      </c>
      <c r="K629" s="12">
        <v>3</v>
      </c>
      <c r="L629" s="12">
        <v>28</v>
      </c>
      <c r="M629" s="12">
        <v>-6</v>
      </c>
      <c r="N629" s="12">
        <v>-2</v>
      </c>
      <c r="O629" s="17">
        <v>88.48</v>
      </c>
      <c r="P629" s="17"/>
      <c r="Q629" s="17">
        <v>-214.28571428571428</v>
      </c>
      <c r="R629" s="14">
        <v>3.3565592857142867</v>
      </c>
      <c r="S629" s="12">
        <v>14</v>
      </c>
      <c r="T629" s="12">
        <v>-3</v>
      </c>
      <c r="U629" s="14">
        <v>44.24</v>
      </c>
      <c r="V629" s="17">
        <v>-214.28571428571428</v>
      </c>
      <c r="W629" s="14">
        <v>3.3565592857142867</v>
      </c>
      <c r="X629">
        <f t="shared" si="18"/>
        <v>7.6555</v>
      </c>
      <c r="Y629">
        <f t="shared" si="19"/>
        <v>1.5026982229114456</v>
      </c>
    </row>
    <row r="630" spans="1:25">
      <c r="A630" s="12" t="s">
        <v>267</v>
      </c>
      <c r="B630" s="12" t="s">
        <v>268</v>
      </c>
      <c r="C630" s="12">
        <v>46</v>
      </c>
      <c r="D630" s="12">
        <v>3.16</v>
      </c>
      <c r="E630" s="12" t="s">
        <v>290</v>
      </c>
      <c r="F630" s="13">
        <v>42374</v>
      </c>
      <c r="G630" s="12">
        <v>77.5</v>
      </c>
      <c r="H630" s="12">
        <v>5</v>
      </c>
      <c r="I630" s="13">
        <v>42402</v>
      </c>
      <c r="J630" s="12">
        <v>75.5</v>
      </c>
      <c r="K630" s="12">
        <v>5</v>
      </c>
      <c r="L630" s="12">
        <v>28</v>
      </c>
      <c r="M630" s="12">
        <v>-2</v>
      </c>
      <c r="N630" s="12">
        <v>0</v>
      </c>
      <c r="O630" s="17">
        <v>88.48</v>
      </c>
      <c r="P630" s="17"/>
      <c r="Q630" s="17">
        <v>-71.428571428571431</v>
      </c>
      <c r="R630" s="14">
        <v>11.41395642857143</v>
      </c>
      <c r="S630" s="12">
        <v>14</v>
      </c>
      <c r="T630" s="12">
        <v>-3</v>
      </c>
      <c r="U630" s="14">
        <v>44.24</v>
      </c>
      <c r="V630" s="17">
        <v>-214.28571428571428</v>
      </c>
      <c r="W630" s="14">
        <v>4.371099285714287</v>
      </c>
      <c r="X630">
        <f t="shared" si="18"/>
        <v>7.6555</v>
      </c>
      <c r="Y630">
        <f t="shared" si="19"/>
        <v>1.9568976948412704</v>
      </c>
    </row>
    <row r="631" spans="1:25">
      <c r="A631" s="12" t="s">
        <v>267</v>
      </c>
      <c r="B631" s="12" t="s">
        <v>268</v>
      </c>
      <c r="C631" s="12">
        <v>46</v>
      </c>
      <c r="D631" s="12">
        <v>3.16</v>
      </c>
      <c r="E631" s="12" t="s">
        <v>291</v>
      </c>
      <c r="F631" s="13">
        <v>42374</v>
      </c>
      <c r="G631" s="12">
        <v>75</v>
      </c>
      <c r="H631" s="12">
        <v>3</v>
      </c>
      <c r="I631" s="13">
        <v>42402</v>
      </c>
      <c r="J631" s="12">
        <v>73</v>
      </c>
      <c r="K631" s="12">
        <v>3</v>
      </c>
      <c r="L631" s="12">
        <v>28</v>
      </c>
      <c r="M631" s="12">
        <v>-2</v>
      </c>
      <c r="N631" s="12">
        <v>0</v>
      </c>
      <c r="O631" s="17">
        <v>88.48</v>
      </c>
      <c r="P631" s="17"/>
      <c r="Q631" s="17">
        <v>-71.428571428571431</v>
      </c>
      <c r="R631" s="14">
        <v>10.991231428571428</v>
      </c>
      <c r="S631" s="12">
        <v>14</v>
      </c>
      <c r="T631" s="12">
        <v>-1</v>
      </c>
      <c r="U631" s="14">
        <v>44.24</v>
      </c>
      <c r="V631" s="17">
        <v>-71.428571428571431</v>
      </c>
      <c r="W631" s="14">
        <v>10.991231428571428</v>
      </c>
      <c r="X631">
        <f t="shared" si="18"/>
        <v>15.952499999999999</v>
      </c>
      <c r="Y631">
        <f t="shared" si="19"/>
        <v>10.253661951127818</v>
      </c>
    </row>
    <row r="632" spans="1:25">
      <c r="A632" s="12" t="s">
        <v>267</v>
      </c>
      <c r="B632" s="12" t="s">
        <v>268</v>
      </c>
      <c r="C632" s="12">
        <v>46</v>
      </c>
      <c r="D632" s="12">
        <v>3.16</v>
      </c>
      <c r="E632" s="12" t="s">
        <v>292</v>
      </c>
      <c r="F632" s="13">
        <v>42374</v>
      </c>
      <c r="G632" s="12">
        <v>78</v>
      </c>
      <c r="H632" s="12">
        <v>5</v>
      </c>
      <c r="I632" s="13">
        <v>42402</v>
      </c>
      <c r="J632" s="12">
        <v>73</v>
      </c>
      <c r="K632" s="12">
        <v>3.5</v>
      </c>
      <c r="L632" s="12">
        <v>28</v>
      </c>
      <c r="M632" s="12">
        <v>-5</v>
      </c>
      <c r="N632" s="12">
        <v>-1.5</v>
      </c>
      <c r="O632" s="17">
        <v>88.48</v>
      </c>
      <c r="P632" s="17"/>
      <c r="Q632" s="17">
        <v>-178.57142857142858</v>
      </c>
      <c r="R632" s="14">
        <v>5.9627235714285707</v>
      </c>
      <c r="S632" s="12">
        <v>14</v>
      </c>
      <c r="T632" s="12">
        <v>-3.5</v>
      </c>
      <c r="U632" s="14">
        <v>44.24</v>
      </c>
      <c r="V632" s="17">
        <v>-250</v>
      </c>
      <c r="W632" s="14">
        <v>2.4412950000000002</v>
      </c>
      <c r="X632">
        <f t="shared" si="18"/>
        <v>7.6555</v>
      </c>
      <c r="Y632">
        <f t="shared" si="19"/>
        <v>1.0929435013157893</v>
      </c>
    </row>
    <row r="633" spans="1:25">
      <c r="A633" s="12" t="s">
        <v>267</v>
      </c>
      <c r="B633" s="12" t="s">
        <v>268</v>
      </c>
      <c r="C633" s="12">
        <v>46</v>
      </c>
      <c r="D633" s="12">
        <v>3.16</v>
      </c>
      <c r="E633" s="12" t="s">
        <v>293</v>
      </c>
      <c r="F633" s="13">
        <v>42374</v>
      </c>
      <c r="G633" s="12">
        <v>72</v>
      </c>
      <c r="H633" s="12">
        <v>5</v>
      </c>
      <c r="I633" s="13">
        <v>42402</v>
      </c>
      <c r="J633" s="12">
        <v>69</v>
      </c>
      <c r="K633" s="12">
        <v>4</v>
      </c>
      <c r="L633" s="12">
        <v>28</v>
      </c>
      <c r="M633" s="12">
        <v>-3</v>
      </c>
      <c r="N633" s="12">
        <v>-1</v>
      </c>
      <c r="O633" s="17">
        <v>88.48</v>
      </c>
      <c r="P633" s="17"/>
      <c r="Q633" s="17">
        <v>-107.14285714285714</v>
      </c>
      <c r="R633" s="14">
        <v>8.6387021428571433</v>
      </c>
      <c r="S633" s="12">
        <v>14</v>
      </c>
      <c r="T633" s="12">
        <v>-2.5</v>
      </c>
      <c r="U633" s="14">
        <v>44.24</v>
      </c>
      <c r="V633" s="17">
        <v>-178.57142857142858</v>
      </c>
      <c r="W633" s="14">
        <v>5.1172735714285711</v>
      </c>
      <c r="X633">
        <f t="shared" si="18"/>
        <v>7.6555</v>
      </c>
      <c r="Y633">
        <f t="shared" si="19"/>
        <v>2.290952504448621</v>
      </c>
    </row>
    <row r="634" spans="1:25">
      <c r="A634" s="12" t="s">
        <v>267</v>
      </c>
      <c r="B634" s="12" t="s">
        <v>268</v>
      </c>
      <c r="C634" s="12">
        <v>46</v>
      </c>
      <c r="D634" s="12">
        <v>3.16</v>
      </c>
      <c r="E634" s="12" t="s">
        <v>294</v>
      </c>
      <c r="F634" s="13">
        <v>42374</v>
      </c>
      <c r="G634" s="12">
        <v>78</v>
      </c>
      <c r="H634" s="12">
        <v>3</v>
      </c>
      <c r="I634" s="13">
        <v>42402</v>
      </c>
      <c r="J634" s="12">
        <v>73.5</v>
      </c>
      <c r="K634" s="12">
        <v>3</v>
      </c>
      <c r="L634" s="12">
        <v>28</v>
      </c>
      <c r="M634" s="12">
        <v>-4.5</v>
      </c>
      <c r="N634" s="12">
        <v>0</v>
      </c>
      <c r="O634" s="17">
        <v>88.48</v>
      </c>
      <c r="P634" s="17"/>
      <c r="Q634" s="17">
        <v>-160.71428571428572</v>
      </c>
      <c r="R634" s="14">
        <v>6.885353214285713</v>
      </c>
      <c r="S634" s="12">
        <v>14</v>
      </c>
      <c r="T634" s="12">
        <v>-3.5</v>
      </c>
      <c r="U634" s="14">
        <v>44.24</v>
      </c>
      <c r="V634" s="17">
        <v>-250</v>
      </c>
      <c r="W634" s="14">
        <v>2.4835674999999995</v>
      </c>
      <c r="X634">
        <f t="shared" si="18"/>
        <v>15.952499999999999</v>
      </c>
      <c r="Y634">
        <f t="shared" si="19"/>
        <v>2.3169070493421047</v>
      </c>
    </row>
    <row r="635" spans="1:25">
      <c r="A635" s="12" t="s">
        <v>267</v>
      </c>
      <c r="B635" s="12" t="s">
        <v>268</v>
      </c>
      <c r="C635" s="12">
        <v>46</v>
      </c>
      <c r="D635" s="12">
        <v>3.16</v>
      </c>
      <c r="E635" s="12" t="s">
        <v>295</v>
      </c>
      <c r="F635" s="13">
        <v>42374</v>
      </c>
      <c r="G635" s="12">
        <v>75</v>
      </c>
      <c r="H635" s="12">
        <v>5</v>
      </c>
      <c r="I635" s="13">
        <v>42402</v>
      </c>
      <c r="J635" s="12">
        <v>73</v>
      </c>
      <c r="K635" s="12">
        <v>4</v>
      </c>
      <c r="L635" s="12">
        <v>28</v>
      </c>
      <c r="M635" s="12">
        <v>-2</v>
      </c>
      <c r="N635" s="12">
        <v>-1</v>
      </c>
      <c r="O635" s="17">
        <v>88.48</v>
      </c>
      <c r="P635" s="17"/>
      <c r="Q635" s="17">
        <v>-71.428571428571431</v>
      </c>
      <c r="R635" s="14">
        <v>10.991231428571428</v>
      </c>
      <c r="S635" s="12">
        <v>14</v>
      </c>
      <c r="T635" s="12">
        <v>-3</v>
      </c>
      <c r="U635" s="14">
        <v>44.24</v>
      </c>
      <c r="V635" s="17">
        <v>-214.28571428571428</v>
      </c>
      <c r="W635" s="14">
        <v>3.9483742857142854</v>
      </c>
      <c r="X635">
        <f t="shared" si="18"/>
        <v>7.6555</v>
      </c>
      <c r="Y635">
        <f t="shared" si="19"/>
        <v>1.7676479148705093</v>
      </c>
    </row>
    <row r="636" spans="1:25">
      <c r="A636" s="12" t="s">
        <v>267</v>
      </c>
      <c r="B636" s="12" t="s">
        <v>268</v>
      </c>
      <c r="C636" s="12">
        <v>46</v>
      </c>
      <c r="D636" s="12">
        <v>3.16</v>
      </c>
      <c r="E636" s="12" t="s">
        <v>296</v>
      </c>
      <c r="F636" s="13">
        <v>42374</v>
      </c>
      <c r="G636" s="12">
        <v>73</v>
      </c>
      <c r="H636" s="12">
        <v>3</v>
      </c>
      <c r="I636" s="13">
        <v>42402</v>
      </c>
      <c r="J636" s="12">
        <v>71</v>
      </c>
      <c r="K636" s="12">
        <v>3.5</v>
      </c>
      <c r="L636" s="12">
        <v>28</v>
      </c>
      <c r="M636" s="12">
        <v>-2</v>
      </c>
      <c r="N636" s="12">
        <v>0.5</v>
      </c>
      <c r="O636" s="17">
        <v>88.48</v>
      </c>
      <c r="P636" s="17"/>
      <c r="Q636" s="17">
        <v>-71.428571428571431</v>
      </c>
      <c r="R636" s="14">
        <v>10.653051428571429</v>
      </c>
      <c r="S636" s="12">
        <v>14</v>
      </c>
      <c r="T636" s="12">
        <v>-4</v>
      </c>
      <c r="U636" s="14">
        <v>44.24</v>
      </c>
      <c r="V636" s="17">
        <v>-285.71428571428572</v>
      </c>
      <c r="W636" s="14">
        <v>8.8765714285715447E-2</v>
      </c>
      <c r="X636">
        <f t="shared" si="18"/>
        <v>15.952499999999999</v>
      </c>
      <c r="Y636">
        <f t="shared" si="19"/>
        <v>8.2809067669173994E-2</v>
      </c>
    </row>
    <row r="637" spans="1:25">
      <c r="A637" s="12" t="s">
        <v>267</v>
      </c>
      <c r="B637" s="12" t="s">
        <v>268</v>
      </c>
      <c r="C637" s="12">
        <v>46</v>
      </c>
      <c r="D637" s="12">
        <v>3.16</v>
      </c>
      <c r="E637" s="12" t="s">
        <v>297</v>
      </c>
      <c r="F637" s="13">
        <v>42374</v>
      </c>
      <c r="G637" s="12">
        <v>77.5</v>
      </c>
      <c r="H637" s="12">
        <v>5</v>
      </c>
      <c r="I637" s="13">
        <v>42402</v>
      </c>
      <c r="J637" s="12">
        <v>73.5</v>
      </c>
      <c r="K637" s="12">
        <v>3</v>
      </c>
      <c r="L637" s="12">
        <v>28</v>
      </c>
      <c r="M637" s="12">
        <v>-4</v>
      </c>
      <c r="N637" s="12">
        <v>-2</v>
      </c>
      <c r="O637" s="17">
        <v>88.48</v>
      </c>
      <c r="P637" s="17"/>
      <c r="Q637" s="17">
        <v>-142.85714285714286</v>
      </c>
      <c r="R637" s="14">
        <v>7.7234378571428577</v>
      </c>
      <c r="S637" s="12">
        <v>14</v>
      </c>
      <c r="T637" s="12">
        <v>-2.5</v>
      </c>
      <c r="U637" s="14">
        <v>44.24</v>
      </c>
      <c r="V637" s="17">
        <v>-178.57142857142858</v>
      </c>
      <c r="W637" s="14">
        <v>5.9627235714285707</v>
      </c>
      <c r="X637">
        <f t="shared" si="18"/>
        <v>7.6555</v>
      </c>
      <c r="Y637">
        <f t="shared" si="19"/>
        <v>2.6694520643901414</v>
      </c>
    </row>
    <row r="638" spans="1:25">
      <c r="A638" s="12" t="s">
        <v>267</v>
      </c>
      <c r="B638" s="12" t="s">
        <v>268</v>
      </c>
      <c r="C638" s="12">
        <v>46</v>
      </c>
      <c r="D638" s="12">
        <v>3.16</v>
      </c>
      <c r="E638" s="12" t="s">
        <v>298</v>
      </c>
      <c r="F638" s="13">
        <v>42374</v>
      </c>
      <c r="G638" s="12">
        <v>75.5</v>
      </c>
      <c r="H638" s="12">
        <v>5</v>
      </c>
      <c r="I638" s="13">
        <v>42402</v>
      </c>
      <c r="J638" s="12">
        <v>74.5</v>
      </c>
      <c r="K638" s="12">
        <v>4.5</v>
      </c>
      <c r="L638" s="12">
        <v>28</v>
      </c>
      <c r="M638" s="12">
        <v>-1</v>
      </c>
      <c r="N638" s="12">
        <v>-0.5</v>
      </c>
      <c r="O638" s="17">
        <v>88.48</v>
      </c>
      <c r="P638" s="17"/>
      <c r="Q638" s="17">
        <v>-35.714285714285715</v>
      </c>
      <c r="R638" s="14">
        <v>12.921035714285713</v>
      </c>
      <c r="S638" s="12">
        <v>14</v>
      </c>
      <c r="T638" s="12">
        <v>-4</v>
      </c>
      <c r="U638" s="14">
        <v>44.24</v>
      </c>
      <c r="V638" s="17">
        <v>-285.71428571428572</v>
      </c>
      <c r="W638" s="14">
        <v>0.59603571428571556</v>
      </c>
      <c r="X638">
        <f t="shared" si="18"/>
        <v>7.6555</v>
      </c>
      <c r="Y638">
        <f t="shared" si="19"/>
        <v>0.26683926378446171</v>
      </c>
    </row>
    <row r="639" spans="1:25">
      <c r="A639" s="12" t="s">
        <v>335</v>
      </c>
      <c r="B639" s="12" t="s">
        <v>478</v>
      </c>
      <c r="C639" s="12">
        <v>186</v>
      </c>
      <c r="D639" s="12">
        <v>2.4300000000000002</v>
      </c>
      <c r="E639" s="12" t="s">
        <v>479</v>
      </c>
      <c r="F639" s="13">
        <v>42045</v>
      </c>
      <c r="G639" s="12">
        <v>54.6</v>
      </c>
      <c r="H639" s="12">
        <v>3</v>
      </c>
      <c r="I639" s="13">
        <v>42073</v>
      </c>
      <c r="J639" s="12">
        <v>56.8</v>
      </c>
      <c r="K639" s="12">
        <v>3</v>
      </c>
      <c r="L639" s="12">
        <v>28</v>
      </c>
      <c r="M639" s="12">
        <v>2.1999999999999957</v>
      </c>
      <c r="N639" s="12">
        <v>0</v>
      </c>
      <c r="O639" s="17">
        <v>68.040000000000006</v>
      </c>
      <c r="P639" s="17"/>
      <c r="Q639" s="17">
        <v>78.571428571428413</v>
      </c>
      <c r="R639" s="14">
        <v>15.29188442857142</v>
      </c>
      <c r="S639" s="12">
        <v>7</v>
      </c>
      <c r="T639" s="12">
        <v>0.79999999999999716</v>
      </c>
      <c r="U639" s="14">
        <v>17.010000000000002</v>
      </c>
      <c r="V639" s="17">
        <v>114.28571428571388</v>
      </c>
      <c r="W639" s="14">
        <v>17.052598714285693</v>
      </c>
      <c r="X639">
        <f t="shared" si="18"/>
        <v>15.952499999999999</v>
      </c>
      <c r="Y639">
        <f t="shared" si="19"/>
        <v>15.908279590037573</v>
      </c>
    </row>
    <row r="640" spans="1:25">
      <c r="A640" s="12" t="s">
        <v>335</v>
      </c>
      <c r="B640" s="12" t="s">
        <v>478</v>
      </c>
      <c r="C640" s="12">
        <v>186</v>
      </c>
      <c r="D640" s="12">
        <v>2.4300000000000002</v>
      </c>
      <c r="E640" s="12" t="s">
        <v>480</v>
      </c>
      <c r="F640" s="13">
        <v>42045</v>
      </c>
      <c r="G640" s="12">
        <v>56.8</v>
      </c>
      <c r="H640" s="12">
        <v>3.5</v>
      </c>
      <c r="I640" s="13">
        <v>42073</v>
      </c>
      <c r="J640" s="12">
        <v>54.8</v>
      </c>
      <c r="K640" s="12">
        <v>3.5</v>
      </c>
      <c r="L640" s="12">
        <v>28</v>
      </c>
      <c r="M640" s="12">
        <v>-2</v>
      </c>
      <c r="N640" s="12">
        <v>0</v>
      </c>
      <c r="O640" s="17">
        <v>68.040000000000006</v>
      </c>
      <c r="P640" s="17"/>
      <c r="Q640" s="17">
        <v>-71.428571428571431</v>
      </c>
      <c r="R640" s="14">
        <v>7.9137934285714291</v>
      </c>
      <c r="S640" s="12">
        <v>7</v>
      </c>
      <c r="T640" s="12">
        <v>-0.70000000000000284</v>
      </c>
      <c r="U640" s="14">
        <v>17.010000000000002</v>
      </c>
      <c r="V640" s="17">
        <v>-100.00000000000041</v>
      </c>
      <c r="W640" s="14">
        <v>6.5052219999999794</v>
      </c>
      <c r="X640">
        <f t="shared" si="18"/>
        <v>13.878249999999998</v>
      </c>
      <c r="Y640">
        <f t="shared" si="19"/>
        <v>5.2795963287426728</v>
      </c>
    </row>
    <row r="641" spans="1:25">
      <c r="A641" s="12" t="s">
        <v>335</v>
      </c>
      <c r="B641" s="12" t="s">
        <v>478</v>
      </c>
      <c r="C641" s="12">
        <v>186</v>
      </c>
      <c r="D641" s="12">
        <v>2.4300000000000002</v>
      </c>
      <c r="E641" s="12" t="s">
        <v>481</v>
      </c>
      <c r="F641" s="13">
        <v>42045</v>
      </c>
      <c r="G641" s="12">
        <v>54.6</v>
      </c>
      <c r="H641" s="12">
        <v>2.5</v>
      </c>
      <c r="I641" s="13">
        <v>42073</v>
      </c>
      <c r="J641" s="12">
        <v>57.8</v>
      </c>
      <c r="K641" s="12">
        <v>2.5</v>
      </c>
      <c r="L641" s="12">
        <v>28</v>
      </c>
      <c r="M641" s="12">
        <v>3.1999999999999957</v>
      </c>
      <c r="N641" s="12">
        <v>0</v>
      </c>
      <c r="O641" s="17">
        <v>68.040000000000006</v>
      </c>
      <c r="P641" s="17"/>
      <c r="Q641" s="17">
        <v>114.28571428571414</v>
      </c>
      <c r="R641" s="14">
        <v>17.137143714285706</v>
      </c>
      <c r="S641" s="12">
        <v>7</v>
      </c>
      <c r="T641" s="12">
        <v>0.29999999999999716</v>
      </c>
      <c r="U641" s="14">
        <v>17.010000000000002</v>
      </c>
      <c r="V641" s="17">
        <v>42.857142857142449</v>
      </c>
      <c r="W641" s="14">
        <v>13.615715142857123</v>
      </c>
      <c r="X641">
        <f t="shared" si="18"/>
        <v>18.02675</v>
      </c>
      <c r="Y641">
        <f t="shared" si="19"/>
        <v>14.353631166754365</v>
      </c>
    </row>
    <row r="642" spans="1:25">
      <c r="A642" s="12" t="s">
        <v>335</v>
      </c>
      <c r="B642" s="12" t="s">
        <v>478</v>
      </c>
      <c r="C642" s="12">
        <v>186</v>
      </c>
      <c r="D642" s="12">
        <v>2.4300000000000002</v>
      </c>
      <c r="E642" s="12" t="s">
        <v>482</v>
      </c>
      <c r="F642" s="13">
        <v>42045</v>
      </c>
      <c r="G642" s="12">
        <v>57.6</v>
      </c>
      <c r="H642" s="12">
        <v>4</v>
      </c>
      <c r="I642" s="13">
        <v>42073</v>
      </c>
      <c r="J642" s="12">
        <v>60</v>
      </c>
      <c r="K642" s="12">
        <v>4</v>
      </c>
      <c r="L642" s="12">
        <v>28</v>
      </c>
      <c r="M642" s="12">
        <v>2.3999999999999986</v>
      </c>
      <c r="N642" s="12">
        <v>0</v>
      </c>
      <c r="O642" s="17">
        <v>68.040000000000006</v>
      </c>
      <c r="P642" s="17"/>
      <c r="Q642" s="17">
        <v>85.714285714285666</v>
      </c>
      <c r="R642" s="14">
        <v>16.168206285714284</v>
      </c>
      <c r="S642" s="12">
        <v>7</v>
      </c>
      <c r="T642" s="12">
        <v>-1</v>
      </c>
      <c r="U642" s="14">
        <v>17.010000000000002</v>
      </c>
      <c r="V642" s="17">
        <v>-142.85714285714286</v>
      </c>
      <c r="W642" s="14">
        <v>4.8996348571428578</v>
      </c>
      <c r="X642">
        <f t="shared" si="18"/>
        <v>11.803999999999998</v>
      </c>
      <c r="Y642">
        <f t="shared" si="19"/>
        <v>3.3821806931996656</v>
      </c>
    </row>
    <row r="643" spans="1:25">
      <c r="A643" s="12" t="s">
        <v>335</v>
      </c>
      <c r="B643" s="12" t="s">
        <v>478</v>
      </c>
      <c r="C643" s="12">
        <v>186</v>
      </c>
      <c r="D643" s="12">
        <v>2.4300000000000002</v>
      </c>
      <c r="E643" s="12" t="s">
        <v>483</v>
      </c>
      <c r="F643" s="13">
        <v>42045</v>
      </c>
      <c r="G643" s="12">
        <v>58.4</v>
      </c>
      <c r="H643" s="12">
        <v>2.5</v>
      </c>
      <c r="I643" s="13">
        <v>42073</v>
      </c>
      <c r="J643" s="12">
        <v>59.6</v>
      </c>
      <c r="K643" s="12">
        <v>3.5</v>
      </c>
      <c r="L643" s="12">
        <v>28</v>
      </c>
      <c r="M643" s="12">
        <v>1.2000000000000028</v>
      </c>
      <c r="N643" s="12">
        <v>1</v>
      </c>
      <c r="O643" s="17">
        <v>68.040000000000006</v>
      </c>
      <c r="P643" s="17"/>
      <c r="Q643" s="17">
        <v>42.857142857142961</v>
      </c>
      <c r="R643" s="14">
        <v>14.089167142857148</v>
      </c>
      <c r="S643" s="12">
        <v>7</v>
      </c>
      <c r="T643" s="12">
        <v>2.1000000000000014</v>
      </c>
      <c r="U643" s="14">
        <v>17.010000000000002</v>
      </c>
      <c r="V643" s="17">
        <v>300.00000000000023</v>
      </c>
      <c r="W643" s="14">
        <v>26.766310000000011</v>
      </c>
      <c r="X643">
        <f t="shared" ref="X643:X706" si="20">IF(H643&gt;0,-4.1485*H643 + 28.398,17.1)</f>
        <v>18.02675</v>
      </c>
      <c r="Y643">
        <f t="shared" ref="Y643:Y706" si="21">W643*X643/17.1</f>
        <v>28.216934432309948</v>
      </c>
    </row>
    <row r="644" spans="1:25">
      <c r="A644" s="12" t="s">
        <v>335</v>
      </c>
      <c r="B644" s="12" t="s">
        <v>478</v>
      </c>
      <c r="C644" s="12">
        <v>186</v>
      </c>
      <c r="D644" s="12">
        <v>2.4300000000000002</v>
      </c>
      <c r="E644" s="12" t="s">
        <v>484</v>
      </c>
      <c r="F644" s="13">
        <v>42045</v>
      </c>
      <c r="G644" s="12">
        <v>56</v>
      </c>
      <c r="H644" s="12">
        <v>3</v>
      </c>
      <c r="I644" s="13">
        <v>42073</v>
      </c>
      <c r="J644" s="12">
        <v>55.7</v>
      </c>
      <c r="K644" s="12">
        <v>3</v>
      </c>
      <c r="L644" s="12">
        <v>28</v>
      </c>
      <c r="M644" s="12">
        <v>-0.29999999999999716</v>
      </c>
      <c r="N644" s="12">
        <v>0</v>
      </c>
      <c r="O644" s="17">
        <v>68.040000000000006</v>
      </c>
      <c r="P644" s="17"/>
      <c r="Q644" s="17">
        <v>-10.714285714285612</v>
      </c>
      <c r="R644" s="14">
        <v>10.91546221428572</v>
      </c>
      <c r="S644" s="12">
        <v>7</v>
      </c>
      <c r="T644" s="12">
        <v>-1.2999999999999972</v>
      </c>
      <c r="U644" s="14">
        <v>17.010000000000002</v>
      </c>
      <c r="V644" s="17">
        <v>-185.7142857142853</v>
      </c>
      <c r="W644" s="14">
        <v>2.2879622142857361</v>
      </c>
      <c r="X644">
        <f t="shared" si="20"/>
        <v>15.952499999999999</v>
      </c>
      <c r="Y644">
        <f t="shared" si="21"/>
        <v>2.134427907800772</v>
      </c>
    </row>
    <row r="645" spans="1:25">
      <c r="A645" s="12" t="s">
        <v>335</v>
      </c>
      <c r="B645" s="12" t="s">
        <v>478</v>
      </c>
      <c r="C645" s="12">
        <v>186</v>
      </c>
      <c r="D645" s="12">
        <v>2.4300000000000002</v>
      </c>
      <c r="E645" s="12" t="s">
        <v>485</v>
      </c>
      <c r="F645" s="13">
        <v>42045</v>
      </c>
      <c r="G645" s="12">
        <v>56.8</v>
      </c>
      <c r="H645" s="12">
        <v>3.5</v>
      </c>
      <c r="I645" s="13">
        <v>42073</v>
      </c>
      <c r="J645" s="12">
        <v>54.8</v>
      </c>
      <c r="K645" s="12">
        <v>3.5</v>
      </c>
      <c r="L645" s="12">
        <v>28</v>
      </c>
      <c r="M645" s="12">
        <v>-2</v>
      </c>
      <c r="N645" s="12">
        <v>0</v>
      </c>
      <c r="O645" s="17">
        <v>68.040000000000006</v>
      </c>
      <c r="P645" s="17"/>
      <c r="Q645" s="17">
        <v>-71.428571428571431</v>
      </c>
      <c r="R645" s="14">
        <v>7.9137934285714291</v>
      </c>
      <c r="S645" s="12">
        <v>7</v>
      </c>
      <c r="T645" s="12">
        <v>-5.7000000000000028</v>
      </c>
      <c r="U645" s="14">
        <v>17.010000000000002</v>
      </c>
      <c r="V645" s="17">
        <v>-814.28571428571468</v>
      </c>
      <c r="W645" s="14">
        <v>-28.709063714285737</v>
      </c>
      <c r="X645">
        <f t="shared" si="20"/>
        <v>13.878249999999998</v>
      </c>
      <c r="Y645">
        <f t="shared" si="21"/>
        <v>-23.300091432326663</v>
      </c>
    </row>
    <row r="646" spans="1:25">
      <c r="A646" s="12" t="s">
        <v>335</v>
      </c>
      <c r="B646" s="12" t="s">
        <v>478</v>
      </c>
      <c r="C646" s="12">
        <v>186</v>
      </c>
      <c r="D646" s="12">
        <v>2.4300000000000002</v>
      </c>
      <c r="E646" s="12" t="s">
        <v>486</v>
      </c>
      <c r="F646" s="13">
        <v>42045</v>
      </c>
      <c r="G646" s="12">
        <v>57.8</v>
      </c>
      <c r="H646" s="12">
        <v>3</v>
      </c>
      <c r="I646" s="13">
        <v>42073</v>
      </c>
      <c r="J646" s="12">
        <v>60.6</v>
      </c>
      <c r="K646" s="12">
        <v>4</v>
      </c>
      <c r="L646" s="12">
        <v>28</v>
      </c>
      <c r="M646" s="12">
        <v>2.8000000000000043</v>
      </c>
      <c r="N646" s="12">
        <v>1</v>
      </c>
      <c r="O646" s="17">
        <v>68.040000000000006</v>
      </c>
      <c r="P646" s="17"/>
      <c r="Q646" s="17">
        <v>100.00000000000016</v>
      </c>
      <c r="R646" s="14">
        <v>16.940128000000009</v>
      </c>
      <c r="S646" s="12">
        <v>7</v>
      </c>
      <c r="T646" s="12">
        <v>2.1000000000000014</v>
      </c>
      <c r="U646" s="14">
        <v>17.010000000000002</v>
      </c>
      <c r="V646" s="17">
        <v>300.00000000000023</v>
      </c>
      <c r="W646" s="14">
        <v>26.800128000000008</v>
      </c>
      <c r="X646">
        <f t="shared" si="20"/>
        <v>15.952499999999999</v>
      </c>
      <c r="Y646">
        <f t="shared" si="21"/>
        <v>25.001698357894742</v>
      </c>
    </row>
    <row r="647" spans="1:25">
      <c r="A647" s="12" t="s">
        <v>335</v>
      </c>
      <c r="B647" s="12" t="s">
        <v>478</v>
      </c>
      <c r="C647" s="12">
        <v>186</v>
      </c>
      <c r="D647" s="12">
        <v>2.4300000000000002</v>
      </c>
      <c r="E647" s="12" t="s">
        <v>487</v>
      </c>
      <c r="F647" s="13">
        <v>42045</v>
      </c>
      <c r="G647" s="12">
        <v>52.4</v>
      </c>
      <c r="H647" s="12">
        <v>2.5</v>
      </c>
      <c r="I647" s="13">
        <v>42073</v>
      </c>
      <c r="J647" s="12">
        <v>59.4</v>
      </c>
      <c r="K647" s="12">
        <v>3.5</v>
      </c>
      <c r="L647" s="12">
        <v>28</v>
      </c>
      <c r="M647" s="12">
        <v>7</v>
      </c>
      <c r="N647" s="12">
        <v>1</v>
      </c>
      <c r="O647" s="17">
        <v>68.040000000000006</v>
      </c>
      <c r="P647" s="17"/>
      <c r="Q647" s="17">
        <v>250</v>
      </c>
      <c r="R647" s="14">
        <v>23.777130999999997</v>
      </c>
      <c r="S647" s="12">
        <v>7</v>
      </c>
      <c r="T647" s="12">
        <v>0.39999999999999858</v>
      </c>
      <c r="U647" s="14">
        <v>17.010000000000002</v>
      </c>
      <c r="V647" s="17">
        <v>57.14285714285694</v>
      </c>
      <c r="W647" s="14">
        <v>14.269273857142846</v>
      </c>
      <c r="X647">
        <f t="shared" si="20"/>
        <v>18.02675</v>
      </c>
      <c r="Y647">
        <f t="shared" si="21"/>
        <v>15.042610087967823</v>
      </c>
    </row>
    <row r="648" spans="1:25">
      <c r="A648" s="12" t="s">
        <v>335</v>
      </c>
      <c r="B648" s="12" t="s">
        <v>478</v>
      </c>
      <c r="C648" s="12">
        <v>186</v>
      </c>
      <c r="D648" s="12">
        <v>2.4300000000000002</v>
      </c>
      <c r="E648" s="12" t="s">
        <v>488</v>
      </c>
      <c r="F648" s="13">
        <v>42045</v>
      </c>
      <c r="G648" s="12">
        <v>57.2</v>
      </c>
      <c r="H648" s="12">
        <v>3</v>
      </c>
      <c r="I648" s="13">
        <v>42073</v>
      </c>
      <c r="J648" s="12">
        <v>60.2</v>
      </c>
      <c r="K648" s="12">
        <v>4</v>
      </c>
      <c r="L648" s="12">
        <v>28</v>
      </c>
      <c r="M648" s="12">
        <v>3</v>
      </c>
      <c r="N648" s="12">
        <v>1</v>
      </c>
      <c r="O648" s="17">
        <v>68.040000000000006</v>
      </c>
      <c r="P648" s="17"/>
      <c r="Q648" s="17">
        <v>107.14285714285714</v>
      </c>
      <c r="R648" s="14">
        <v>17.207725857142854</v>
      </c>
      <c r="S648" s="12">
        <v>7</v>
      </c>
      <c r="T648" s="12">
        <v>2.2000000000000028</v>
      </c>
      <c r="U648" s="14">
        <v>17.010000000000002</v>
      </c>
      <c r="V648" s="17">
        <v>314.28571428571468</v>
      </c>
      <c r="W648" s="14">
        <v>27.419868714285734</v>
      </c>
      <c r="X648">
        <f t="shared" si="20"/>
        <v>15.952499999999999</v>
      </c>
      <c r="Y648">
        <f t="shared" si="21"/>
        <v>25.579851208458663</v>
      </c>
    </row>
    <row r="649" spans="1:25">
      <c r="A649" s="12" t="s">
        <v>335</v>
      </c>
      <c r="B649" s="12" t="s">
        <v>478</v>
      </c>
      <c r="C649" s="12">
        <v>186</v>
      </c>
      <c r="D649" s="12">
        <v>2.4300000000000002</v>
      </c>
      <c r="E649" s="12" t="s">
        <v>489</v>
      </c>
      <c r="F649" s="13">
        <v>42045</v>
      </c>
      <c r="G649" s="12">
        <v>53.6</v>
      </c>
      <c r="H649" s="12">
        <v>2.5</v>
      </c>
      <c r="I649" s="13">
        <v>42073</v>
      </c>
      <c r="J649" s="12">
        <v>55.6</v>
      </c>
      <c r="K649" s="12">
        <v>3.5</v>
      </c>
      <c r="L649" s="12">
        <v>28</v>
      </c>
      <c r="M649" s="12">
        <v>2</v>
      </c>
      <c r="N649" s="12">
        <v>1</v>
      </c>
      <c r="O649" s="17">
        <v>68.040000000000006</v>
      </c>
      <c r="P649" s="17"/>
      <c r="Q649" s="17">
        <v>71.428571428571431</v>
      </c>
      <c r="R649" s="14">
        <v>14.753742571428571</v>
      </c>
      <c r="S649" s="12">
        <v>7</v>
      </c>
      <c r="T649" s="12">
        <v>1.1000000000000014</v>
      </c>
      <c r="U649" s="14">
        <v>17.010000000000002</v>
      </c>
      <c r="V649" s="17">
        <v>157.14285714285734</v>
      </c>
      <c r="W649" s="14">
        <v>18.979456857142868</v>
      </c>
      <c r="X649">
        <f t="shared" si="20"/>
        <v>18.02675</v>
      </c>
      <c r="Y649">
        <f t="shared" si="21"/>
        <v>20.008065725116971</v>
      </c>
    </row>
    <row r="650" spans="1:25">
      <c r="A650" s="12" t="s">
        <v>335</v>
      </c>
      <c r="B650" s="12" t="s">
        <v>478</v>
      </c>
      <c r="C650" s="12">
        <v>186</v>
      </c>
      <c r="D650" s="12">
        <v>2.4300000000000002</v>
      </c>
      <c r="E650" s="12" t="s">
        <v>490</v>
      </c>
      <c r="F650" s="13">
        <v>42045</v>
      </c>
      <c r="G650" s="12">
        <v>56</v>
      </c>
      <c r="H650" s="12">
        <v>3</v>
      </c>
      <c r="I650" s="13">
        <v>42073</v>
      </c>
      <c r="J650" s="12">
        <v>56.8</v>
      </c>
      <c r="K650" s="12">
        <v>3</v>
      </c>
      <c r="L650" s="12">
        <v>28</v>
      </c>
      <c r="M650" s="12">
        <v>0.79999999999999716</v>
      </c>
      <c r="N650" s="12">
        <v>0</v>
      </c>
      <c r="O650" s="17">
        <v>68.040000000000006</v>
      </c>
      <c r="P650" s="17"/>
      <c r="Q650" s="17">
        <v>28.57142857142847</v>
      </c>
      <c r="R650" s="14">
        <v>12.945247428571424</v>
      </c>
      <c r="S650" s="12">
        <v>7</v>
      </c>
      <c r="T650" s="12">
        <v>1.2999999999999972</v>
      </c>
      <c r="U650" s="14">
        <v>17.010000000000002</v>
      </c>
      <c r="V650" s="17">
        <v>185.7142857142853</v>
      </c>
      <c r="W650" s="14">
        <v>20.692390285714264</v>
      </c>
      <c r="X650">
        <f t="shared" si="20"/>
        <v>15.952499999999999</v>
      </c>
      <c r="Y650">
        <f t="shared" si="21"/>
        <v>19.30382199022554</v>
      </c>
    </row>
    <row r="651" spans="1:25">
      <c r="A651" s="12" t="s">
        <v>335</v>
      </c>
      <c r="B651" s="12" t="s">
        <v>478</v>
      </c>
      <c r="C651" s="12">
        <v>186</v>
      </c>
      <c r="D651" s="12">
        <v>2.4300000000000002</v>
      </c>
      <c r="E651" s="12" t="s">
        <v>491</v>
      </c>
      <c r="F651" s="13">
        <v>42045</v>
      </c>
      <c r="G651" s="12">
        <v>53.8</v>
      </c>
      <c r="H651" s="12">
        <v>3.5</v>
      </c>
      <c r="I651" s="13">
        <v>42073</v>
      </c>
      <c r="J651" s="12">
        <v>55</v>
      </c>
      <c r="K651" s="12">
        <v>4</v>
      </c>
      <c r="L651" s="12">
        <v>28</v>
      </c>
      <c r="M651" s="12">
        <v>1.2000000000000028</v>
      </c>
      <c r="N651" s="12">
        <v>0.5</v>
      </c>
      <c r="O651" s="17">
        <v>68.040000000000006</v>
      </c>
      <c r="P651" s="17"/>
      <c r="Q651" s="17">
        <v>42.857142857142961</v>
      </c>
      <c r="R651" s="14">
        <v>13.311353142857147</v>
      </c>
      <c r="S651" s="12">
        <v>7</v>
      </c>
      <c r="T651" s="12">
        <v>-2.5</v>
      </c>
      <c r="U651" s="14">
        <v>17.010000000000002</v>
      </c>
      <c r="V651" s="17">
        <v>-357.14285714285717</v>
      </c>
      <c r="W651" s="14">
        <v>-6.408646857142859</v>
      </c>
      <c r="X651">
        <f t="shared" si="20"/>
        <v>13.878249999999998</v>
      </c>
      <c r="Y651">
        <f t="shared" si="21"/>
        <v>-5.2012165640434427</v>
      </c>
    </row>
    <row r="652" spans="1:25">
      <c r="A652" s="12" t="s">
        <v>335</v>
      </c>
      <c r="B652" s="12" t="s">
        <v>478</v>
      </c>
      <c r="C652" s="12">
        <v>186</v>
      </c>
      <c r="D652" s="12">
        <v>2.4300000000000002</v>
      </c>
      <c r="E652" s="12" t="s">
        <v>492</v>
      </c>
      <c r="F652" s="13">
        <v>42045</v>
      </c>
      <c r="G652" s="12">
        <v>52.2</v>
      </c>
      <c r="H652" s="12">
        <v>3.5</v>
      </c>
      <c r="I652" s="13">
        <v>42073</v>
      </c>
      <c r="J652" s="12">
        <v>54.8</v>
      </c>
      <c r="K652" s="12">
        <v>4</v>
      </c>
      <c r="L652" s="12">
        <v>28</v>
      </c>
      <c r="M652" s="12">
        <v>2.5999999999999943</v>
      </c>
      <c r="N652" s="12">
        <v>0.5</v>
      </c>
      <c r="O652" s="17">
        <v>68.040000000000006</v>
      </c>
      <c r="P652" s="17"/>
      <c r="Q652" s="17">
        <v>92.857142857142648</v>
      </c>
      <c r="R652" s="14">
        <v>15.624172142857132</v>
      </c>
      <c r="S652" s="12">
        <v>7</v>
      </c>
      <c r="T652" s="12">
        <v>0.29999999999999716</v>
      </c>
      <c r="U652" s="14">
        <v>17.010000000000002</v>
      </c>
      <c r="V652" s="17">
        <v>42.857142857142449</v>
      </c>
      <c r="W652" s="14">
        <v>13.159172142857123</v>
      </c>
      <c r="X652">
        <f t="shared" si="20"/>
        <v>13.878249999999998</v>
      </c>
      <c r="Y652">
        <f t="shared" si="21"/>
        <v>10.679899461497474</v>
      </c>
    </row>
    <row r="653" spans="1:25">
      <c r="A653" s="12" t="s">
        <v>335</v>
      </c>
      <c r="B653" s="12" t="s">
        <v>478</v>
      </c>
      <c r="C653" s="12">
        <v>186</v>
      </c>
      <c r="D653" s="12">
        <v>2.4300000000000002</v>
      </c>
      <c r="E653" s="12" t="s">
        <v>493</v>
      </c>
      <c r="F653" s="13">
        <v>42045</v>
      </c>
      <c r="G653" s="12">
        <v>58.2</v>
      </c>
      <c r="H653" s="12">
        <v>3.5</v>
      </c>
      <c r="I653" s="13">
        <v>42073</v>
      </c>
      <c r="J653" s="12">
        <v>61</v>
      </c>
      <c r="K653" s="12">
        <v>4</v>
      </c>
      <c r="L653" s="12">
        <v>28</v>
      </c>
      <c r="M653" s="12">
        <v>2.7999999999999972</v>
      </c>
      <c r="N653" s="12">
        <v>0.5</v>
      </c>
      <c r="O653" s="17">
        <v>68.040000000000006</v>
      </c>
      <c r="P653" s="17"/>
      <c r="Q653" s="17">
        <v>99.999999999999901</v>
      </c>
      <c r="R653" s="14">
        <v>17.007763999999995</v>
      </c>
      <c r="S653" s="12">
        <v>7</v>
      </c>
      <c r="T653" s="12">
        <v>1</v>
      </c>
      <c r="U653" s="14">
        <v>17.010000000000002</v>
      </c>
      <c r="V653" s="17">
        <v>142.85714285714286</v>
      </c>
      <c r="W653" s="14">
        <v>19.120621142857143</v>
      </c>
      <c r="X653">
        <f t="shared" si="20"/>
        <v>13.878249999999998</v>
      </c>
      <c r="Y653">
        <f t="shared" si="21"/>
        <v>15.518173121395153</v>
      </c>
    </row>
    <row r="654" spans="1:25">
      <c r="A654" s="12" t="s">
        <v>335</v>
      </c>
      <c r="B654" s="12" t="s">
        <v>478</v>
      </c>
      <c r="C654" s="12">
        <v>186</v>
      </c>
      <c r="D654" s="12">
        <v>2.4300000000000002</v>
      </c>
      <c r="E654" s="12" t="s">
        <v>494</v>
      </c>
      <c r="F654" s="13">
        <v>42045</v>
      </c>
      <c r="G654" s="12">
        <v>55.6</v>
      </c>
      <c r="H654" s="12">
        <v>3</v>
      </c>
      <c r="I654" s="13">
        <v>42073</v>
      </c>
      <c r="J654" s="12">
        <v>58.8</v>
      </c>
      <c r="K654" s="12">
        <v>3.5</v>
      </c>
      <c r="L654" s="12">
        <v>28</v>
      </c>
      <c r="M654" s="12">
        <v>3.1999999999999957</v>
      </c>
      <c r="N654" s="12">
        <v>0.5</v>
      </c>
      <c r="O654" s="17">
        <v>68.040000000000006</v>
      </c>
      <c r="P654" s="17"/>
      <c r="Q654" s="17">
        <v>114.28571428571414</v>
      </c>
      <c r="R654" s="14">
        <v>17.306233714285707</v>
      </c>
      <c r="S654" s="12">
        <v>7</v>
      </c>
      <c r="T654" s="12">
        <v>0.29999999999999716</v>
      </c>
      <c r="U654" s="14">
        <v>17.010000000000002</v>
      </c>
      <c r="V654" s="17">
        <v>42.857142857142449</v>
      </c>
      <c r="W654" s="14">
        <v>13.784805142857124</v>
      </c>
      <c r="X654">
        <f t="shared" si="20"/>
        <v>15.952499999999999</v>
      </c>
      <c r="Y654">
        <f t="shared" si="21"/>
        <v>12.859772166165394</v>
      </c>
    </row>
    <row r="655" spans="1:25">
      <c r="A655" s="12" t="s">
        <v>335</v>
      </c>
      <c r="B655" s="12" t="s">
        <v>478</v>
      </c>
      <c r="C655" s="12">
        <v>186</v>
      </c>
      <c r="D655" s="12">
        <v>2.4300000000000002</v>
      </c>
      <c r="E655" s="12" t="s">
        <v>495</v>
      </c>
      <c r="F655" s="13">
        <v>42045</v>
      </c>
      <c r="G655" s="12">
        <v>56.4</v>
      </c>
      <c r="H655" s="12">
        <v>3</v>
      </c>
      <c r="I655" s="13">
        <v>42073</v>
      </c>
      <c r="J655" s="12">
        <v>56.8</v>
      </c>
      <c r="K655" s="12">
        <v>3.5</v>
      </c>
      <c r="L655" s="12">
        <v>28</v>
      </c>
      <c r="M655" s="12">
        <v>0.39999999999999858</v>
      </c>
      <c r="N655" s="12">
        <v>0.5</v>
      </c>
      <c r="O655" s="17">
        <v>68.040000000000006</v>
      </c>
      <c r="P655" s="17"/>
      <c r="Q655" s="17">
        <v>14.285714285714235</v>
      </c>
      <c r="R655" s="14">
        <v>12.27477971428571</v>
      </c>
      <c r="S655" s="12">
        <v>7</v>
      </c>
      <c r="T655" s="12">
        <v>1.7999999999999972</v>
      </c>
      <c r="U655" s="14">
        <v>17.010000000000002</v>
      </c>
      <c r="V655" s="17">
        <v>257.14285714285671</v>
      </c>
      <c r="W655" s="14">
        <v>24.247636857142837</v>
      </c>
      <c r="X655">
        <f t="shared" si="20"/>
        <v>15.952499999999999</v>
      </c>
      <c r="Y655">
        <f t="shared" si="21"/>
        <v>22.620492804887196</v>
      </c>
    </row>
    <row r="656" spans="1:25">
      <c r="A656" s="12" t="s">
        <v>335</v>
      </c>
      <c r="B656" s="12" t="s">
        <v>478</v>
      </c>
      <c r="C656" s="12">
        <v>186</v>
      </c>
      <c r="D656" s="12">
        <v>2.4300000000000002</v>
      </c>
      <c r="E656" s="12" t="s">
        <v>496</v>
      </c>
      <c r="F656" s="13">
        <v>42045</v>
      </c>
      <c r="G656" s="12">
        <v>60</v>
      </c>
      <c r="H656" s="12">
        <v>3.5</v>
      </c>
      <c r="I656" s="13">
        <v>42073</v>
      </c>
      <c r="J656" s="12">
        <v>58.6</v>
      </c>
      <c r="K656" s="12">
        <v>2.5</v>
      </c>
      <c r="L656" s="12">
        <v>28</v>
      </c>
      <c r="M656" s="12">
        <v>-1.3999999999999986</v>
      </c>
      <c r="N656" s="12">
        <v>-1</v>
      </c>
      <c r="O656" s="17">
        <v>68.040000000000006</v>
      </c>
      <c r="P656" s="17"/>
      <c r="Q656" s="17">
        <v>-49.99999999999995</v>
      </c>
      <c r="R656" s="14">
        <v>9.5620370000000001</v>
      </c>
      <c r="S656" s="12">
        <v>7</v>
      </c>
      <c r="T656" s="12">
        <v>1.1000000000000014</v>
      </c>
      <c r="U656" s="14">
        <v>17.010000000000002</v>
      </c>
      <c r="V656" s="17">
        <v>157.14285714285734</v>
      </c>
      <c r="W656" s="14">
        <v>19.774179857142865</v>
      </c>
      <c r="X656">
        <f t="shared" si="20"/>
        <v>13.878249999999998</v>
      </c>
      <c r="Y656">
        <f t="shared" si="21"/>
        <v>16.048597169730577</v>
      </c>
    </row>
    <row r="657" spans="1:25">
      <c r="A657" s="12" t="s">
        <v>335</v>
      </c>
      <c r="B657" s="12" t="s">
        <v>478</v>
      </c>
      <c r="C657" s="12">
        <v>186</v>
      </c>
      <c r="D657" s="12">
        <v>2.4300000000000002</v>
      </c>
      <c r="E657" s="12" t="s">
        <v>497</v>
      </c>
      <c r="F657" s="13">
        <v>42045</v>
      </c>
      <c r="G657" s="12">
        <v>55.8</v>
      </c>
      <c r="H657" s="12">
        <v>3</v>
      </c>
      <c r="I657" s="13">
        <v>42073</v>
      </c>
      <c r="J657" s="12">
        <v>61.4</v>
      </c>
      <c r="K657" s="12">
        <v>3</v>
      </c>
      <c r="L657" s="12">
        <v>28</v>
      </c>
      <c r="M657" s="12">
        <v>5.6000000000000014</v>
      </c>
      <c r="N657" s="12">
        <v>0</v>
      </c>
      <c r="O657" s="17">
        <v>68.040000000000006</v>
      </c>
      <c r="P657" s="17"/>
      <c r="Q657" s="17">
        <v>200.00000000000003</v>
      </c>
      <c r="R657" s="14">
        <v>21.768673999999997</v>
      </c>
      <c r="S657" s="12">
        <v>7</v>
      </c>
      <c r="T657" s="12">
        <v>0.89999999999999858</v>
      </c>
      <c r="U657" s="14">
        <v>17.010000000000002</v>
      </c>
      <c r="V657" s="17">
        <v>128.57142857142836</v>
      </c>
      <c r="W657" s="14">
        <v>18.247245428571418</v>
      </c>
      <c r="X657">
        <f t="shared" si="20"/>
        <v>15.952499999999999</v>
      </c>
      <c r="Y657">
        <f t="shared" si="21"/>
        <v>17.022759222180436</v>
      </c>
    </row>
    <row r="658" spans="1:25">
      <c r="A658" s="12" t="s">
        <v>335</v>
      </c>
      <c r="B658" s="12" t="s">
        <v>478</v>
      </c>
      <c r="C658" s="12">
        <v>186</v>
      </c>
      <c r="D658" s="12">
        <v>2.4300000000000002</v>
      </c>
      <c r="E658" s="12" t="s">
        <v>498</v>
      </c>
      <c r="F658" s="13">
        <v>42045</v>
      </c>
      <c r="G658" s="12">
        <v>52.8</v>
      </c>
      <c r="H658" s="12">
        <v>3.5</v>
      </c>
      <c r="I658" s="13">
        <v>42073</v>
      </c>
      <c r="J658" s="12">
        <v>56</v>
      </c>
      <c r="K658" s="12">
        <v>4</v>
      </c>
      <c r="L658" s="12">
        <v>28</v>
      </c>
      <c r="M658" s="12">
        <v>3.2000000000000028</v>
      </c>
      <c r="N658" s="12">
        <v>0.5</v>
      </c>
      <c r="O658" s="17">
        <v>68.040000000000006</v>
      </c>
      <c r="P658" s="17"/>
      <c r="Q658" s="17">
        <v>114.28571428571439</v>
      </c>
      <c r="R658" s="14">
        <v>16.832781714285719</v>
      </c>
      <c r="S658" s="12">
        <v>7</v>
      </c>
      <c r="T658" s="12">
        <v>1.5</v>
      </c>
      <c r="U658" s="14">
        <v>17.010000000000002</v>
      </c>
      <c r="V658" s="17">
        <v>214.28571428571428</v>
      </c>
      <c r="W658" s="14">
        <v>21.762781714285712</v>
      </c>
      <c r="X658">
        <f t="shared" si="20"/>
        <v>13.878249999999998</v>
      </c>
      <c r="Y658">
        <f t="shared" si="21"/>
        <v>17.662533644812022</v>
      </c>
    </row>
    <row r="659" spans="1:25">
      <c r="A659" s="12" t="s">
        <v>335</v>
      </c>
      <c r="B659" s="12" t="s">
        <v>499</v>
      </c>
      <c r="C659" s="12">
        <v>133</v>
      </c>
      <c r="D659" s="12">
        <v>2.4700000000000002</v>
      </c>
      <c r="E659" s="12" t="s">
        <v>500</v>
      </c>
      <c r="F659" s="13">
        <v>42045</v>
      </c>
      <c r="G659" s="12">
        <v>58.4</v>
      </c>
      <c r="H659" s="12">
        <v>2.5</v>
      </c>
      <c r="I659" s="13">
        <v>42073</v>
      </c>
      <c r="J659" s="12">
        <v>62.2</v>
      </c>
      <c r="K659" s="12">
        <v>3</v>
      </c>
      <c r="L659" s="12">
        <v>28</v>
      </c>
      <c r="M659" s="12">
        <v>3.8000000000000043</v>
      </c>
      <c r="N659" s="12">
        <v>0.5</v>
      </c>
      <c r="O659" s="17">
        <v>69.160000000000011</v>
      </c>
      <c r="P659" s="17"/>
      <c r="Q659" s="17">
        <v>135.71428571428586</v>
      </c>
      <c r="R659" s="14">
        <v>18.88684128571429</v>
      </c>
      <c r="S659" s="12">
        <v>7</v>
      </c>
      <c r="T659" s="12">
        <v>0.20000000000000284</v>
      </c>
      <c r="U659" s="14">
        <v>17.290000000000003</v>
      </c>
      <c r="V659" s="17">
        <v>28.571428571428978</v>
      </c>
      <c r="W659" s="14">
        <v>13.604698428571448</v>
      </c>
      <c r="X659">
        <f t="shared" si="20"/>
        <v>18.02675</v>
      </c>
      <c r="Y659">
        <f t="shared" si="21"/>
        <v>14.342017391652066</v>
      </c>
    </row>
    <row r="660" spans="1:25">
      <c r="A660" s="12" t="s">
        <v>335</v>
      </c>
      <c r="B660" s="12" t="s">
        <v>499</v>
      </c>
      <c r="C660" s="12">
        <v>133</v>
      </c>
      <c r="D660" s="12">
        <v>2.4700000000000002</v>
      </c>
      <c r="E660" s="12" t="s">
        <v>501</v>
      </c>
      <c r="F660" s="13">
        <v>42045</v>
      </c>
      <c r="G660" s="12">
        <v>52.6</v>
      </c>
      <c r="H660" s="12">
        <v>2.5</v>
      </c>
      <c r="I660" s="13">
        <v>42073</v>
      </c>
      <c r="J660" s="12">
        <v>55.6</v>
      </c>
      <c r="K660" s="12">
        <v>3</v>
      </c>
      <c r="L660" s="12">
        <v>28</v>
      </c>
      <c r="M660" s="12">
        <v>3</v>
      </c>
      <c r="N660" s="12">
        <v>0.5</v>
      </c>
      <c r="O660" s="17">
        <v>69.160000000000011</v>
      </c>
      <c r="P660" s="17"/>
      <c r="Q660" s="17">
        <v>107.14285714285714</v>
      </c>
      <c r="R660" s="14">
        <v>16.429911857142855</v>
      </c>
      <c r="S660" s="12">
        <v>7</v>
      </c>
      <c r="T660" s="12">
        <v>-0.39999999999999858</v>
      </c>
      <c r="U660" s="14">
        <v>17.290000000000003</v>
      </c>
      <c r="V660" s="17">
        <v>-57.14285714285694</v>
      </c>
      <c r="W660" s="14">
        <v>8.3306261428571524</v>
      </c>
      <c r="X660">
        <f t="shared" si="20"/>
        <v>18.02675</v>
      </c>
      <c r="Y660">
        <f t="shared" si="21"/>
        <v>8.7821119778216463</v>
      </c>
    </row>
    <row r="661" spans="1:25">
      <c r="A661" s="12" t="s">
        <v>335</v>
      </c>
      <c r="B661" s="12" t="s">
        <v>499</v>
      </c>
      <c r="C661" s="12">
        <v>133</v>
      </c>
      <c r="D661" s="12">
        <v>2.4700000000000002</v>
      </c>
      <c r="E661" s="12" t="s">
        <v>502</v>
      </c>
      <c r="F661" s="13">
        <v>42045</v>
      </c>
      <c r="G661" s="12">
        <v>53.6</v>
      </c>
      <c r="H661" s="12">
        <v>3</v>
      </c>
      <c r="I661" s="13">
        <v>42073</v>
      </c>
      <c r="J661" s="12">
        <v>53.6</v>
      </c>
      <c r="K661" s="12">
        <v>2.5</v>
      </c>
      <c r="L661" s="12">
        <v>28</v>
      </c>
      <c r="M661" s="12">
        <v>0</v>
      </c>
      <c r="N661" s="12">
        <v>-0.5</v>
      </c>
      <c r="O661" s="17">
        <v>69.160000000000011</v>
      </c>
      <c r="P661" s="17"/>
      <c r="Q661" s="17">
        <v>0</v>
      </c>
      <c r="R661" s="14">
        <v>11.063224</v>
      </c>
      <c r="S661" s="12">
        <v>7</v>
      </c>
      <c r="T661" s="12">
        <v>0.60000000000000142</v>
      </c>
      <c r="U661" s="14">
        <v>17.290000000000003</v>
      </c>
      <c r="V661" s="17">
        <v>85.714285714285921</v>
      </c>
      <c r="W661" s="14">
        <v>15.288938285714295</v>
      </c>
      <c r="X661">
        <f t="shared" si="20"/>
        <v>15.952499999999999</v>
      </c>
      <c r="Y661">
        <f t="shared" si="21"/>
        <v>14.262970058646623</v>
      </c>
    </row>
    <row r="662" spans="1:25">
      <c r="A662" s="12" t="s">
        <v>335</v>
      </c>
      <c r="B662" s="12" t="s">
        <v>499</v>
      </c>
      <c r="C662" s="12">
        <v>133</v>
      </c>
      <c r="D662" s="12">
        <v>2.4700000000000002</v>
      </c>
      <c r="E662" s="12" t="s">
        <v>503</v>
      </c>
      <c r="F662" s="13">
        <v>42045</v>
      </c>
      <c r="G662" s="12">
        <v>55.6</v>
      </c>
      <c r="H662" s="12">
        <v>3</v>
      </c>
      <c r="I662" s="13">
        <v>42073</v>
      </c>
      <c r="J662" s="12">
        <v>61.2</v>
      </c>
      <c r="K662" s="12">
        <v>4</v>
      </c>
      <c r="L662" s="12">
        <v>28</v>
      </c>
      <c r="M662" s="12">
        <v>5.6000000000000014</v>
      </c>
      <c r="N662" s="12">
        <v>1</v>
      </c>
      <c r="O662" s="17">
        <v>69.160000000000011</v>
      </c>
      <c r="P662" s="17"/>
      <c r="Q662" s="17">
        <v>200.00000000000003</v>
      </c>
      <c r="R662" s="14">
        <v>21.734856000000001</v>
      </c>
      <c r="S662" s="12">
        <v>7</v>
      </c>
      <c r="T662" s="12">
        <v>-1.2999999999999972</v>
      </c>
      <c r="U662" s="14">
        <v>17.290000000000003</v>
      </c>
      <c r="V662" s="17">
        <v>-185.7142857142853</v>
      </c>
      <c r="W662" s="14">
        <v>2.7191417142857368</v>
      </c>
      <c r="X662">
        <f t="shared" si="20"/>
        <v>15.952499999999999</v>
      </c>
      <c r="Y662">
        <f t="shared" si="21"/>
        <v>2.536672993984983</v>
      </c>
    </row>
    <row r="663" spans="1:25">
      <c r="A663" s="12" t="s">
        <v>335</v>
      </c>
      <c r="B663" s="12" t="s">
        <v>499</v>
      </c>
      <c r="C663" s="12">
        <v>133</v>
      </c>
      <c r="D663" s="12">
        <v>2.4700000000000002</v>
      </c>
      <c r="E663" s="12" t="s">
        <v>504</v>
      </c>
      <c r="F663" s="13">
        <v>42045</v>
      </c>
      <c r="G663" s="12">
        <v>59.8</v>
      </c>
      <c r="H663" s="12">
        <v>4</v>
      </c>
      <c r="I663" s="13">
        <v>42073</v>
      </c>
      <c r="J663" s="12">
        <v>64.400000000000006</v>
      </c>
      <c r="K663" s="12">
        <v>4</v>
      </c>
      <c r="L663" s="12">
        <v>28</v>
      </c>
      <c r="M663" s="12">
        <v>4.6000000000000085</v>
      </c>
      <c r="N663" s="12">
        <v>0</v>
      </c>
      <c r="O663" s="17">
        <v>69.160000000000011</v>
      </c>
      <c r="P663" s="17"/>
      <c r="Q663" s="17">
        <v>164.28571428571459</v>
      </c>
      <c r="R663" s="14">
        <v>20.599774714285729</v>
      </c>
      <c r="S663" s="12">
        <v>7</v>
      </c>
      <c r="T663" s="12">
        <v>-0.59999999999999432</v>
      </c>
      <c r="U663" s="14">
        <v>17.290000000000003</v>
      </c>
      <c r="V663" s="17">
        <v>-85.714285714284898</v>
      </c>
      <c r="W663" s="14">
        <v>8.2747747142857548</v>
      </c>
      <c r="X663">
        <f t="shared" si="20"/>
        <v>11.803999999999998</v>
      </c>
      <c r="Y663">
        <f t="shared" si="21"/>
        <v>5.7120140776274289</v>
      </c>
    </row>
    <row r="664" spans="1:25">
      <c r="A664" s="12" t="s">
        <v>335</v>
      </c>
      <c r="B664" s="12" t="s">
        <v>499</v>
      </c>
      <c r="C664" s="12">
        <v>133</v>
      </c>
      <c r="D664" s="12">
        <v>2.4700000000000002</v>
      </c>
      <c r="E664" s="12" t="s">
        <v>505</v>
      </c>
      <c r="F664" s="13">
        <v>42045</v>
      </c>
      <c r="G664" s="12">
        <v>53.8</v>
      </c>
      <c r="H664" s="12">
        <v>2.5</v>
      </c>
      <c r="I664" s="13">
        <v>42073</v>
      </c>
      <c r="J664" s="12">
        <v>60.4</v>
      </c>
      <c r="K664" s="12">
        <v>3.5</v>
      </c>
      <c r="L664" s="12">
        <v>28</v>
      </c>
      <c r="M664" s="12">
        <v>6.6000000000000014</v>
      </c>
      <c r="N664" s="12">
        <v>1</v>
      </c>
      <c r="O664" s="17">
        <v>69.160000000000011</v>
      </c>
      <c r="P664" s="17"/>
      <c r="Q664" s="17">
        <v>235.71428571428578</v>
      </c>
      <c r="R664" s="14">
        <v>23.275753285714288</v>
      </c>
      <c r="S664" s="12">
        <v>7</v>
      </c>
      <c r="T664" s="12">
        <v>0.39999999999999858</v>
      </c>
      <c r="U664" s="14">
        <v>17.290000000000003</v>
      </c>
      <c r="V664" s="17">
        <v>57.14285714285694</v>
      </c>
      <c r="W664" s="14">
        <v>14.472181857142846</v>
      </c>
      <c r="X664">
        <f t="shared" si="20"/>
        <v>18.02675</v>
      </c>
      <c r="Y664">
        <f t="shared" si="21"/>
        <v>15.25651487095028</v>
      </c>
    </row>
    <row r="665" spans="1:25">
      <c r="A665" s="12" t="s">
        <v>335</v>
      </c>
      <c r="B665" s="12" t="s">
        <v>499</v>
      </c>
      <c r="C665" s="12">
        <v>133</v>
      </c>
      <c r="D665" s="12">
        <v>2.4700000000000002</v>
      </c>
      <c r="E665" s="12" t="s">
        <v>506</v>
      </c>
      <c r="F665" s="13">
        <v>42045</v>
      </c>
      <c r="G665" s="12">
        <v>55.4</v>
      </c>
      <c r="H665" s="12">
        <v>3.5</v>
      </c>
      <c r="I665" s="13">
        <v>42073</v>
      </c>
      <c r="J665" s="12">
        <v>58</v>
      </c>
      <c r="K665" s="12">
        <v>4.5</v>
      </c>
      <c r="L665" s="12">
        <v>28</v>
      </c>
      <c r="M665" s="12">
        <v>2.6000000000000014</v>
      </c>
      <c r="N665" s="12">
        <v>1</v>
      </c>
      <c r="O665" s="17">
        <v>69.160000000000011</v>
      </c>
      <c r="P665" s="17"/>
      <c r="Q665" s="17">
        <v>92.857142857142904</v>
      </c>
      <c r="R665" s="14">
        <v>16.165260142857143</v>
      </c>
      <c r="S665" s="12">
        <v>7</v>
      </c>
      <c r="T665" s="12">
        <v>-1</v>
      </c>
      <c r="U665" s="14">
        <v>17.290000000000003</v>
      </c>
      <c r="V665" s="17">
        <v>-142.85714285714286</v>
      </c>
      <c r="W665" s="14">
        <v>4.5445458571428583</v>
      </c>
      <c r="X665">
        <f t="shared" si="20"/>
        <v>13.878249999999998</v>
      </c>
      <c r="Y665">
        <f t="shared" si="21"/>
        <v>3.6883241837364245</v>
      </c>
    </row>
    <row r="666" spans="1:25">
      <c r="A666" s="12" t="s">
        <v>335</v>
      </c>
      <c r="B666" s="12" t="s">
        <v>499</v>
      </c>
      <c r="C666" s="12">
        <v>133</v>
      </c>
      <c r="D666" s="12">
        <v>2.4700000000000002</v>
      </c>
      <c r="E666" s="12" t="s">
        <v>507</v>
      </c>
      <c r="F666" s="13">
        <v>42045</v>
      </c>
      <c r="G666" s="12">
        <v>57</v>
      </c>
      <c r="H666" s="12">
        <v>3.5</v>
      </c>
      <c r="I666" s="13">
        <v>42073</v>
      </c>
      <c r="J666" s="12">
        <v>56.8</v>
      </c>
      <c r="K666" s="12">
        <v>4</v>
      </c>
      <c r="L666" s="12">
        <v>28</v>
      </c>
      <c r="M666" s="12">
        <v>-0.20000000000000284</v>
      </c>
      <c r="N666" s="12">
        <v>0.5</v>
      </c>
      <c r="O666" s="17">
        <v>69.160000000000011</v>
      </c>
      <c r="P666" s="17"/>
      <c r="Q666" s="17">
        <v>-7.1428571428572445</v>
      </c>
      <c r="R666" s="14">
        <v>11.269078142857136</v>
      </c>
      <c r="S666" s="12">
        <v>7</v>
      </c>
      <c r="T666" s="12">
        <v>-0.70000000000000284</v>
      </c>
      <c r="U666" s="14">
        <v>17.290000000000003</v>
      </c>
      <c r="V666" s="17">
        <v>-100.00000000000041</v>
      </c>
      <c r="W666" s="14">
        <v>6.6912209999999783</v>
      </c>
      <c r="X666">
        <f t="shared" si="20"/>
        <v>13.878249999999998</v>
      </c>
      <c r="Y666">
        <f t="shared" si="21"/>
        <v>5.4305519206578756</v>
      </c>
    </row>
    <row r="667" spans="1:25">
      <c r="A667" s="12" t="s">
        <v>335</v>
      </c>
      <c r="B667" s="12" t="s">
        <v>499</v>
      </c>
      <c r="C667" s="12">
        <v>133</v>
      </c>
      <c r="D667" s="12">
        <v>2.4700000000000002</v>
      </c>
      <c r="E667" s="12" t="s">
        <v>508</v>
      </c>
      <c r="F667" s="13">
        <v>42045</v>
      </c>
      <c r="G667" s="12">
        <v>58</v>
      </c>
      <c r="H667" s="12">
        <v>2.5</v>
      </c>
      <c r="I667" s="13">
        <v>42073</v>
      </c>
      <c r="J667" s="12">
        <v>61</v>
      </c>
      <c r="K667" s="12">
        <v>2.5</v>
      </c>
      <c r="L667" s="12">
        <v>28</v>
      </c>
      <c r="M667" s="12">
        <v>3</v>
      </c>
      <c r="N667" s="12">
        <v>0</v>
      </c>
      <c r="O667" s="17">
        <v>69.160000000000011</v>
      </c>
      <c r="P667" s="17"/>
      <c r="Q667" s="17">
        <v>107.14285714285714</v>
      </c>
      <c r="R667" s="14">
        <v>17.342997857142855</v>
      </c>
      <c r="S667" s="12">
        <v>7</v>
      </c>
      <c r="T667" s="12">
        <v>0.5</v>
      </c>
      <c r="U667" s="14">
        <v>17.290000000000003</v>
      </c>
      <c r="V667" s="17">
        <v>71.428571428571431</v>
      </c>
      <c r="W667" s="14">
        <v>15.582283571428571</v>
      </c>
      <c r="X667">
        <f t="shared" si="20"/>
        <v>18.02675</v>
      </c>
      <c r="Y667">
        <f t="shared" si="21"/>
        <v>16.426779553874265</v>
      </c>
    </row>
    <row r="668" spans="1:25">
      <c r="A668" s="12" t="s">
        <v>335</v>
      </c>
      <c r="B668" s="12" t="s">
        <v>499</v>
      </c>
      <c r="C668" s="12">
        <v>133</v>
      </c>
      <c r="D668" s="12">
        <v>2.4700000000000002</v>
      </c>
      <c r="E668" s="12" t="s">
        <v>509</v>
      </c>
      <c r="F668" s="13">
        <v>42045</v>
      </c>
      <c r="G668" s="12">
        <v>57.6</v>
      </c>
      <c r="H668" s="12">
        <v>3</v>
      </c>
      <c r="I668" s="13">
        <v>42073</v>
      </c>
      <c r="J668" s="12">
        <v>60.2</v>
      </c>
      <c r="K668" s="12">
        <v>4</v>
      </c>
      <c r="L668" s="12">
        <v>28</v>
      </c>
      <c r="M668" s="12">
        <v>2.6000000000000014</v>
      </c>
      <c r="N668" s="12">
        <v>1</v>
      </c>
      <c r="O668" s="17">
        <v>69.160000000000011</v>
      </c>
      <c r="P668" s="17"/>
      <c r="Q668" s="17">
        <v>92.857142857142904</v>
      </c>
      <c r="R668" s="14">
        <v>16.537258142857144</v>
      </c>
      <c r="S668" s="12">
        <v>7</v>
      </c>
      <c r="T668" s="12">
        <v>1.7000000000000028</v>
      </c>
      <c r="U668" s="14">
        <v>17.290000000000003</v>
      </c>
      <c r="V668" s="17">
        <v>242.85714285714326</v>
      </c>
      <c r="W668" s="14">
        <v>23.932258142857162</v>
      </c>
      <c r="X668">
        <f t="shared" si="20"/>
        <v>15.952499999999999</v>
      </c>
      <c r="Y668">
        <f t="shared" si="21"/>
        <v>22.326277662218057</v>
      </c>
    </row>
    <row r="669" spans="1:25">
      <c r="A669" s="12" t="s">
        <v>335</v>
      </c>
      <c r="B669" s="12" t="s">
        <v>499</v>
      </c>
      <c r="C669" s="12">
        <v>133</v>
      </c>
      <c r="D669" s="12">
        <v>2.4700000000000002</v>
      </c>
      <c r="E669" s="12" t="s">
        <v>510</v>
      </c>
      <c r="F669" s="13">
        <v>42045</v>
      </c>
      <c r="G669" s="12">
        <v>55.4</v>
      </c>
      <c r="H669" s="12">
        <v>3</v>
      </c>
      <c r="I669" s="13">
        <v>42073</v>
      </c>
      <c r="J669" s="12">
        <v>56.8</v>
      </c>
      <c r="K669" s="12">
        <v>3</v>
      </c>
      <c r="L669" s="12">
        <v>28</v>
      </c>
      <c r="M669" s="12">
        <v>1.3999999999999986</v>
      </c>
      <c r="N669" s="12">
        <v>0</v>
      </c>
      <c r="O669" s="17">
        <v>69.160000000000011</v>
      </c>
      <c r="P669" s="17"/>
      <c r="Q669" s="17">
        <v>49.99999999999995</v>
      </c>
      <c r="R669" s="14">
        <v>13.950948999999994</v>
      </c>
      <c r="S669" s="12">
        <v>7</v>
      </c>
      <c r="T669" s="12">
        <v>0.29999999999999716</v>
      </c>
      <c r="U669" s="14">
        <v>17.290000000000003</v>
      </c>
      <c r="V669" s="17">
        <v>42.857142857142449</v>
      </c>
      <c r="W669" s="14">
        <v>13.598806142857121</v>
      </c>
      <c r="X669">
        <f t="shared" si="20"/>
        <v>15.952499999999999</v>
      </c>
      <c r="Y669">
        <f t="shared" si="21"/>
        <v>12.686254678007497</v>
      </c>
    </row>
    <row r="670" spans="1:25">
      <c r="A670" s="12" t="s">
        <v>335</v>
      </c>
      <c r="B670" s="12" t="s">
        <v>499</v>
      </c>
      <c r="C670" s="12">
        <v>133</v>
      </c>
      <c r="D670" s="12">
        <v>2.4700000000000002</v>
      </c>
      <c r="E670" s="12" t="s">
        <v>511</v>
      </c>
      <c r="F670" s="13">
        <v>42045</v>
      </c>
      <c r="G670" s="12">
        <v>58</v>
      </c>
      <c r="H670" s="12">
        <v>3</v>
      </c>
      <c r="I670" s="13">
        <v>42073</v>
      </c>
      <c r="J670" s="12">
        <v>58.6</v>
      </c>
      <c r="K670" s="12">
        <v>3</v>
      </c>
      <c r="L670" s="12">
        <v>28</v>
      </c>
      <c r="M670" s="12">
        <v>0.60000000000000142</v>
      </c>
      <c r="N670" s="12">
        <v>0</v>
      </c>
      <c r="O670" s="17">
        <v>69.160000000000011</v>
      </c>
      <c r="P670" s="17"/>
      <c r="Q670" s="17">
        <v>21.42857142857148</v>
      </c>
      <c r="R670" s="14">
        <v>12.914375571428574</v>
      </c>
      <c r="S670" s="12">
        <v>7</v>
      </c>
      <c r="T670" s="12">
        <v>-1.8999999999999986</v>
      </c>
      <c r="U670" s="14">
        <v>17.290000000000003</v>
      </c>
      <c r="V670" s="17">
        <v>-271.42857142857122</v>
      </c>
      <c r="W670" s="14">
        <v>-1.5234815714285617</v>
      </c>
      <c r="X670">
        <f t="shared" si="20"/>
        <v>15.952499999999999</v>
      </c>
      <c r="Y670">
        <f t="shared" si="21"/>
        <v>-1.4212479396616449</v>
      </c>
    </row>
    <row r="671" spans="1:25">
      <c r="A671" s="12" t="s">
        <v>335</v>
      </c>
      <c r="B671" s="12" t="s">
        <v>499</v>
      </c>
      <c r="C671" s="12">
        <v>133</v>
      </c>
      <c r="D671" s="12">
        <v>2.4700000000000002</v>
      </c>
      <c r="E671" s="12" t="s">
        <v>512</v>
      </c>
      <c r="F671" s="13">
        <v>42045</v>
      </c>
      <c r="G671" s="12">
        <v>52.2</v>
      </c>
      <c r="H671" s="12">
        <v>2.5</v>
      </c>
      <c r="I671" s="13">
        <v>42073</v>
      </c>
      <c r="J671" s="12">
        <v>60.8</v>
      </c>
      <c r="K671" s="12">
        <v>3.5</v>
      </c>
      <c r="L671" s="12">
        <v>28</v>
      </c>
      <c r="M671" s="12">
        <v>8.5999999999999943</v>
      </c>
      <c r="N671" s="12">
        <v>1</v>
      </c>
      <c r="O671" s="17">
        <v>69.160000000000011</v>
      </c>
      <c r="P671" s="17"/>
      <c r="Q671" s="17">
        <v>307.14285714285694</v>
      </c>
      <c r="R671" s="14">
        <v>26.695727857142849</v>
      </c>
      <c r="S671" s="12">
        <v>7</v>
      </c>
      <c r="T671" s="12">
        <v>1.2999999999999972</v>
      </c>
      <c r="U671" s="14">
        <v>17.290000000000003</v>
      </c>
      <c r="V671" s="17">
        <v>185.7142857142853</v>
      </c>
      <c r="W671" s="14">
        <v>20.709299285714266</v>
      </c>
      <c r="X671">
        <f t="shared" si="20"/>
        <v>18.02675</v>
      </c>
      <c r="Y671">
        <f t="shared" si="21"/>
        <v>21.831658532090618</v>
      </c>
    </row>
    <row r="672" spans="1:25">
      <c r="A672" s="12" t="s">
        <v>335</v>
      </c>
      <c r="B672" s="12" t="s">
        <v>499</v>
      </c>
      <c r="C672" s="12">
        <v>133</v>
      </c>
      <c r="D672" s="12">
        <v>2.4700000000000002</v>
      </c>
      <c r="E672" s="12" t="s">
        <v>513</v>
      </c>
      <c r="F672" s="13">
        <v>42045</v>
      </c>
      <c r="G672" s="12">
        <v>53.6</v>
      </c>
      <c r="H672" s="12">
        <v>3</v>
      </c>
      <c r="I672" s="13">
        <v>42073</v>
      </c>
      <c r="J672" s="12">
        <v>60</v>
      </c>
      <c r="K672" s="12">
        <v>4</v>
      </c>
      <c r="L672" s="12">
        <v>28</v>
      </c>
      <c r="M672" s="12">
        <v>6.3999999999999986</v>
      </c>
      <c r="N672" s="12">
        <v>1</v>
      </c>
      <c r="O672" s="17">
        <v>69.160000000000011</v>
      </c>
      <c r="P672" s="17"/>
      <c r="Q672" s="17">
        <v>228.5714285714285</v>
      </c>
      <c r="R672" s="14">
        <v>22.872883428571424</v>
      </c>
      <c r="S672" s="12">
        <v>7</v>
      </c>
      <c r="T672" s="12">
        <v>3</v>
      </c>
      <c r="U672" s="14">
        <v>17.290000000000003</v>
      </c>
      <c r="V672" s="17">
        <v>428.57142857142856</v>
      </c>
      <c r="W672" s="14">
        <v>32.732883428571427</v>
      </c>
      <c r="X672">
        <f t="shared" si="20"/>
        <v>15.952499999999999</v>
      </c>
      <c r="Y672">
        <f t="shared" si="21"/>
        <v>30.536334672180441</v>
      </c>
    </row>
    <row r="673" spans="1:25">
      <c r="A673" s="12" t="s">
        <v>335</v>
      </c>
      <c r="B673" s="12" t="s">
        <v>499</v>
      </c>
      <c r="C673" s="12">
        <v>133</v>
      </c>
      <c r="D673" s="12">
        <v>2.4700000000000002</v>
      </c>
      <c r="E673" s="12" t="s">
        <v>514</v>
      </c>
      <c r="F673" s="13">
        <v>42045</v>
      </c>
      <c r="G673" s="12">
        <v>60</v>
      </c>
      <c r="H673" s="12">
        <v>3.5</v>
      </c>
      <c r="I673" s="13">
        <v>42073</v>
      </c>
      <c r="J673" s="12">
        <v>66</v>
      </c>
      <c r="K673" s="12">
        <v>4</v>
      </c>
      <c r="L673" s="12">
        <v>28</v>
      </c>
      <c r="M673" s="12">
        <v>6</v>
      </c>
      <c r="N673" s="12">
        <v>0.5</v>
      </c>
      <c r="O673" s="17">
        <v>69.160000000000011</v>
      </c>
      <c r="P673" s="17"/>
      <c r="Q673" s="17">
        <v>214.28571428571428</v>
      </c>
      <c r="R673" s="14">
        <v>23.21695571428571</v>
      </c>
      <c r="S673" s="12">
        <v>7</v>
      </c>
      <c r="T673" s="12">
        <v>2</v>
      </c>
      <c r="U673" s="14">
        <v>17.290000000000003</v>
      </c>
      <c r="V673" s="17">
        <v>285.71428571428572</v>
      </c>
      <c r="W673" s="14">
        <v>26.738384285714282</v>
      </c>
      <c r="X673">
        <f t="shared" si="20"/>
        <v>13.878249999999998</v>
      </c>
      <c r="Y673">
        <f t="shared" si="21"/>
        <v>21.700700684983286</v>
      </c>
    </row>
    <row r="674" spans="1:25">
      <c r="A674" s="12" t="s">
        <v>335</v>
      </c>
      <c r="B674" s="12" t="s">
        <v>499</v>
      </c>
      <c r="C674" s="12">
        <v>133</v>
      </c>
      <c r="D674" s="12">
        <v>2.4700000000000002</v>
      </c>
      <c r="E674" s="12" t="s">
        <v>515</v>
      </c>
      <c r="F674" s="13">
        <v>42045</v>
      </c>
      <c r="G674" s="12">
        <v>52.6</v>
      </c>
      <c r="H674" s="12">
        <v>2.5</v>
      </c>
      <c r="I674" s="13">
        <v>42073</v>
      </c>
      <c r="J674" s="12">
        <v>54.6</v>
      </c>
      <c r="K674" s="12">
        <v>3</v>
      </c>
      <c r="L674" s="12">
        <v>28</v>
      </c>
      <c r="M674" s="12">
        <v>2</v>
      </c>
      <c r="N674" s="12">
        <v>0.5</v>
      </c>
      <c r="O674" s="17">
        <v>69.160000000000011</v>
      </c>
      <c r="P674" s="17"/>
      <c r="Q674" s="17">
        <v>71.428571428571431</v>
      </c>
      <c r="R674" s="14">
        <v>14.58465257142857</v>
      </c>
      <c r="S674" s="12">
        <v>7</v>
      </c>
      <c r="T674" s="12">
        <v>0.10000000000000142</v>
      </c>
      <c r="U674" s="14">
        <v>17.290000000000003</v>
      </c>
      <c r="V674" s="17">
        <v>14.285714285714489</v>
      </c>
      <c r="W674" s="14">
        <v>11.767509714285724</v>
      </c>
      <c r="X674">
        <f t="shared" si="20"/>
        <v>18.02675</v>
      </c>
      <c r="Y674">
        <f t="shared" si="21"/>
        <v>12.405260569707613</v>
      </c>
    </row>
    <row r="675" spans="1:25">
      <c r="A675" s="12" t="s">
        <v>335</v>
      </c>
      <c r="B675" s="12" t="s">
        <v>499</v>
      </c>
      <c r="C675" s="12">
        <v>133</v>
      </c>
      <c r="D675" s="12">
        <v>2.4700000000000002</v>
      </c>
      <c r="E675" s="12" t="s">
        <v>516</v>
      </c>
      <c r="F675" s="13">
        <v>42045</v>
      </c>
      <c r="G675" s="12">
        <v>57.2</v>
      </c>
      <c r="H675" s="12">
        <v>3</v>
      </c>
      <c r="I675" s="13">
        <v>42073</v>
      </c>
      <c r="J675" s="12">
        <v>62</v>
      </c>
      <c r="K675" s="12">
        <v>3.5</v>
      </c>
      <c r="L675" s="12">
        <v>28</v>
      </c>
      <c r="M675" s="12">
        <v>4.7999999999999972</v>
      </c>
      <c r="N675" s="12">
        <v>0.5</v>
      </c>
      <c r="O675" s="17">
        <v>69.160000000000011</v>
      </c>
      <c r="P675" s="17"/>
      <c r="Q675" s="17">
        <v>171.42857142857133</v>
      </c>
      <c r="R675" s="14">
        <v>20.529192571428567</v>
      </c>
      <c r="S675" s="12">
        <v>7</v>
      </c>
      <c r="T675" s="12">
        <v>1</v>
      </c>
      <c r="U675" s="14">
        <v>17.290000000000003</v>
      </c>
      <c r="V675" s="17">
        <v>142.85714285714286</v>
      </c>
      <c r="W675" s="14">
        <v>19.120621142857143</v>
      </c>
      <c r="X675">
        <f t="shared" si="20"/>
        <v>15.952499999999999</v>
      </c>
      <c r="Y675">
        <f t="shared" si="21"/>
        <v>17.837526829323306</v>
      </c>
    </row>
    <row r="676" spans="1:25">
      <c r="A676" s="12" t="s">
        <v>335</v>
      </c>
      <c r="B676" s="12" t="s">
        <v>499</v>
      </c>
      <c r="C676" s="12">
        <v>133</v>
      </c>
      <c r="D676" s="12">
        <v>2.4700000000000002</v>
      </c>
      <c r="E676" s="12" t="s">
        <v>517</v>
      </c>
      <c r="F676" s="13">
        <v>42045</v>
      </c>
      <c r="G676" s="12">
        <v>57.2</v>
      </c>
      <c r="H676" s="12">
        <v>3.5</v>
      </c>
      <c r="I676" s="13">
        <v>42073</v>
      </c>
      <c r="J676" s="12">
        <v>56.8</v>
      </c>
      <c r="K676" s="12">
        <v>3.5</v>
      </c>
      <c r="L676" s="12">
        <v>28</v>
      </c>
      <c r="M676" s="12">
        <v>-0.40000000000000568</v>
      </c>
      <c r="N676" s="12">
        <v>0</v>
      </c>
      <c r="O676" s="17">
        <v>69.160000000000011</v>
      </c>
      <c r="P676" s="17"/>
      <c r="Q676" s="17">
        <v>-14.285714285714489</v>
      </c>
      <c r="R676" s="14">
        <v>10.933844285714276</v>
      </c>
      <c r="S676" s="12">
        <v>7</v>
      </c>
      <c r="T676" s="12">
        <v>-2.2000000000000028</v>
      </c>
      <c r="U676" s="14">
        <v>17.290000000000003</v>
      </c>
      <c r="V676" s="17">
        <v>-314.28571428571468</v>
      </c>
      <c r="W676" s="14">
        <v>-3.8561557142857321</v>
      </c>
      <c r="X676">
        <f t="shared" si="20"/>
        <v>13.878249999999998</v>
      </c>
      <c r="Y676">
        <f t="shared" si="21"/>
        <v>-3.1296311720342662</v>
      </c>
    </row>
    <row r="677" spans="1:25">
      <c r="A677" s="12" t="s">
        <v>335</v>
      </c>
      <c r="B677" s="12" t="s">
        <v>499</v>
      </c>
      <c r="C677" s="12">
        <v>133</v>
      </c>
      <c r="D677" s="12">
        <v>2.4700000000000002</v>
      </c>
      <c r="E677" s="12" t="s">
        <v>518</v>
      </c>
      <c r="F677" s="13">
        <v>42045</v>
      </c>
      <c r="G677" s="12">
        <v>54.6</v>
      </c>
      <c r="H677" s="12">
        <v>3</v>
      </c>
      <c r="I677" s="13">
        <v>42073</v>
      </c>
      <c r="J677" s="12">
        <v>57.2</v>
      </c>
      <c r="K677" s="12">
        <v>2.5</v>
      </c>
      <c r="L677" s="12">
        <v>28</v>
      </c>
      <c r="M677" s="12">
        <v>2.6000000000000014</v>
      </c>
      <c r="N677" s="12">
        <v>-0.5</v>
      </c>
      <c r="O677" s="17">
        <v>69.160000000000011</v>
      </c>
      <c r="P677" s="17"/>
      <c r="Q677" s="17">
        <v>92.857142857142904</v>
      </c>
      <c r="R677" s="14">
        <v>16.029988142857142</v>
      </c>
      <c r="S677" s="12">
        <v>7</v>
      </c>
      <c r="T677" s="12">
        <v>0.20000000000000284</v>
      </c>
      <c r="U677" s="14">
        <v>17.290000000000003</v>
      </c>
      <c r="V677" s="17">
        <v>28.571428571428978</v>
      </c>
      <c r="W677" s="14">
        <v>12.860702428571448</v>
      </c>
      <c r="X677">
        <f t="shared" si="20"/>
        <v>15.952499999999999</v>
      </c>
      <c r="Y677">
        <f t="shared" si="21"/>
        <v>11.997681607706784</v>
      </c>
    </row>
    <row r="678" spans="1:25">
      <c r="A678" s="12" t="s">
        <v>335</v>
      </c>
      <c r="B678" s="12" t="s">
        <v>499</v>
      </c>
      <c r="C678" s="12">
        <v>133</v>
      </c>
      <c r="D678" s="12">
        <v>2.4700000000000002</v>
      </c>
      <c r="E678" s="12" t="s">
        <v>519</v>
      </c>
      <c r="F678" s="13">
        <v>42045</v>
      </c>
      <c r="G678" s="12">
        <v>55.2</v>
      </c>
      <c r="H678" s="12">
        <v>3</v>
      </c>
      <c r="I678" s="13">
        <v>42073</v>
      </c>
      <c r="J678" s="12">
        <v>53</v>
      </c>
      <c r="K678" s="12">
        <v>3.5</v>
      </c>
      <c r="L678" s="12">
        <v>28</v>
      </c>
      <c r="M678" s="12">
        <v>-2.2000000000000028</v>
      </c>
      <c r="N678" s="12">
        <v>0.5</v>
      </c>
      <c r="O678" s="17">
        <v>69.160000000000011</v>
      </c>
      <c r="P678" s="17"/>
      <c r="Q678" s="17">
        <v>-78.571428571428669</v>
      </c>
      <c r="R678" s="14">
        <v>7.2741975714285676</v>
      </c>
      <c r="S678" s="12">
        <v>7</v>
      </c>
      <c r="T678" s="12">
        <v>1</v>
      </c>
      <c r="U678" s="14">
        <v>17.290000000000003</v>
      </c>
      <c r="V678" s="17">
        <v>142.85714285714286</v>
      </c>
      <c r="W678" s="14">
        <v>18.190626142857141</v>
      </c>
      <c r="X678">
        <f t="shared" si="20"/>
        <v>15.952499999999999</v>
      </c>
      <c r="Y678">
        <f t="shared" si="21"/>
        <v>16.969939388533831</v>
      </c>
    </row>
    <row r="679" spans="1:25">
      <c r="A679" s="12" t="s">
        <v>335</v>
      </c>
      <c r="B679" s="12" t="s">
        <v>371</v>
      </c>
      <c r="C679" s="12">
        <v>245</v>
      </c>
      <c r="D679" s="12">
        <v>2.35</v>
      </c>
      <c r="E679" s="12" t="s">
        <v>372</v>
      </c>
      <c r="F679" s="13">
        <v>41687</v>
      </c>
      <c r="G679" s="12">
        <v>55.8</v>
      </c>
      <c r="I679" s="13">
        <v>41716</v>
      </c>
      <c r="J679" s="12">
        <v>61</v>
      </c>
      <c r="L679" s="12">
        <v>29</v>
      </c>
      <c r="M679" s="12">
        <v>5.2000000000000028</v>
      </c>
      <c r="O679" s="17">
        <v>68.150000000000006</v>
      </c>
      <c r="P679" s="17"/>
      <c r="Q679" s="17">
        <v>179.31034482758631</v>
      </c>
      <c r="R679" s="14">
        <v>20.714856000000005</v>
      </c>
      <c r="S679" s="12">
        <v>13</v>
      </c>
      <c r="T679" s="12">
        <v>4.3999999999999986</v>
      </c>
      <c r="U679" s="14">
        <v>30.55</v>
      </c>
      <c r="V679" s="17">
        <v>338.4615384615384</v>
      </c>
      <c r="W679" s="14">
        <v>28.561009846153837</v>
      </c>
      <c r="X679">
        <f t="shared" si="20"/>
        <v>17.100000000000001</v>
      </c>
      <c r="Y679">
        <f t="shared" si="21"/>
        <v>28.561009846153837</v>
      </c>
    </row>
    <row r="680" spans="1:25">
      <c r="A680" s="12" t="s">
        <v>335</v>
      </c>
      <c r="B680" s="12" t="s">
        <v>371</v>
      </c>
      <c r="C680" s="12">
        <v>245</v>
      </c>
      <c r="D680" s="12">
        <v>2.35</v>
      </c>
      <c r="E680" s="12" t="s">
        <v>373</v>
      </c>
      <c r="F680" s="13">
        <v>41687</v>
      </c>
      <c r="G680" s="12">
        <v>56.2</v>
      </c>
      <c r="I680" s="13">
        <v>41716</v>
      </c>
      <c r="J680" s="12">
        <v>60.5</v>
      </c>
      <c r="L680" s="12">
        <v>29</v>
      </c>
      <c r="M680" s="12">
        <v>4.2999999999999972</v>
      </c>
      <c r="O680" s="17">
        <v>68.150000000000006</v>
      </c>
      <c r="P680" s="17"/>
      <c r="Q680" s="17">
        <v>148.27586206896544</v>
      </c>
      <c r="R680" s="14">
        <v>19.176401499999997</v>
      </c>
      <c r="S680" s="12">
        <v>13</v>
      </c>
      <c r="T680" s="12">
        <v>0.5</v>
      </c>
      <c r="U680" s="14">
        <v>30.55</v>
      </c>
      <c r="V680" s="17">
        <v>38.461538461538467</v>
      </c>
      <c r="W680" s="14">
        <v>13.762555346153846</v>
      </c>
      <c r="X680">
        <f t="shared" si="20"/>
        <v>17.100000000000001</v>
      </c>
      <c r="Y680">
        <f t="shared" si="21"/>
        <v>13.762555346153846</v>
      </c>
    </row>
    <row r="681" spans="1:25">
      <c r="A681" s="12" t="s">
        <v>335</v>
      </c>
      <c r="B681" s="12" t="s">
        <v>371</v>
      </c>
      <c r="C681" s="12">
        <v>245</v>
      </c>
      <c r="D681" s="12">
        <v>2.35</v>
      </c>
      <c r="E681" s="12" t="s">
        <v>374</v>
      </c>
      <c r="F681" s="13">
        <v>41687</v>
      </c>
      <c r="G681" s="12">
        <v>54</v>
      </c>
      <c r="I681" s="13">
        <v>41716</v>
      </c>
      <c r="J681" s="12">
        <v>56</v>
      </c>
      <c r="L681" s="12">
        <v>29</v>
      </c>
      <c r="M681" s="12">
        <v>2</v>
      </c>
      <c r="O681" s="17">
        <v>68.150000000000006</v>
      </c>
      <c r="P681" s="17"/>
      <c r="Q681" s="17">
        <v>68.965517241379303</v>
      </c>
      <c r="R681" s="14">
        <v>14.699949999999999</v>
      </c>
      <c r="S681" s="12">
        <v>13</v>
      </c>
      <c r="T681" s="12">
        <v>1.3999999999999986</v>
      </c>
      <c r="U681" s="14">
        <v>30.55</v>
      </c>
      <c r="V681" s="17">
        <v>107.69230769230759</v>
      </c>
      <c r="W681" s="14">
        <v>16.609180769230761</v>
      </c>
      <c r="X681">
        <f t="shared" si="20"/>
        <v>17.100000000000001</v>
      </c>
      <c r="Y681">
        <f t="shared" si="21"/>
        <v>16.609180769230761</v>
      </c>
    </row>
    <row r="682" spans="1:25">
      <c r="A682" s="12" t="s">
        <v>335</v>
      </c>
      <c r="B682" s="12" t="s">
        <v>371</v>
      </c>
      <c r="C682" s="12">
        <v>245</v>
      </c>
      <c r="D682" s="12">
        <v>2.35</v>
      </c>
      <c r="E682" s="12" t="s">
        <v>375</v>
      </c>
      <c r="F682" s="13">
        <v>41687</v>
      </c>
      <c r="G682" s="12">
        <v>58</v>
      </c>
      <c r="I682" s="13">
        <v>41716</v>
      </c>
      <c r="J682" s="12">
        <v>62</v>
      </c>
      <c r="L682" s="12">
        <v>29</v>
      </c>
      <c r="M682" s="12">
        <v>4</v>
      </c>
      <c r="O682" s="17">
        <v>68.150000000000006</v>
      </c>
      <c r="P682" s="17"/>
      <c r="Q682" s="17">
        <v>137.93103448275861</v>
      </c>
      <c r="R682" s="14">
        <v>18.945399999999999</v>
      </c>
      <c r="S682" s="12">
        <v>13</v>
      </c>
      <c r="T682" s="12">
        <v>7</v>
      </c>
      <c r="U682" s="14">
        <v>30.55</v>
      </c>
      <c r="V682" s="17">
        <v>538.46153846153845</v>
      </c>
      <c r="W682" s="14">
        <v>38.691553846153838</v>
      </c>
      <c r="X682">
        <f t="shared" si="20"/>
        <v>17.100000000000001</v>
      </c>
      <c r="Y682">
        <f t="shared" si="21"/>
        <v>38.691553846153838</v>
      </c>
    </row>
    <row r="683" spans="1:25">
      <c r="A683" s="12" t="s">
        <v>335</v>
      </c>
      <c r="B683" s="12" t="s">
        <v>371</v>
      </c>
      <c r="C683" s="12">
        <v>245</v>
      </c>
      <c r="D683" s="12">
        <v>2.35</v>
      </c>
      <c r="E683" s="12" t="s">
        <v>376</v>
      </c>
      <c r="F683" s="13">
        <v>41687</v>
      </c>
      <c r="G683" s="12">
        <v>58.8</v>
      </c>
      <c r="I683" s="13">
        <v>41716</v>
      </c>
      <c r="J683" s="12">
        <v>66.5</v>
      </c>
      <c r="L683" s="12">
        <v>29</v>
      </c>
      <c r="M683" s="12">
        <v>7.7000000000000028</v>
      </c>
      <c r="O683" s="17">
        <v>68.150000000000006</v>
      </c>
      <c r="P683" s="17"/>
      <c r="Q683" s="17">
        <v>265.51724137931041</v>
      </c>
      <c r="R683" s="14">
        <v>25.683488500000003</v>
      </c>
      <c r="S683" s="12">
        <v>13</v>
      </c>
      <c r="T683" s="12">
        <v>8.1000000000000014</v>
      </c>
      <c r="U683" s="14">
        <v>30.55</v>
      </c>
      <c r="V683" s="17">
        <v>623.07692307692321</v>
      </c>
      <c r="W683" s="14">
        <v>43.31118080769231</v>
      </c>
      <c r="X683">
        <f t="shared" si="20"/>
        <v>17.100000000000001</v>
      </c>
      <c r="Y683">
        <f t="shared" si="21"/>
        <v>43.31118080769231</v>
      </c>
    </row>
    <row r="684" spans="1:25">
      <c r="A684" s="12" t="s">
        <v>335</v>
      </c>
      <c r="B684" s="12" t="s">
        <v>371</v>
      </c>
      <c r="C684" s="12">
        <v>245</v>
      </c>
      <c r="D684" s="12">
        <v>2.35</v>
      </c>
      <c r="E684" s="12" t="s">
        <v>377</v>
      </c>
      <c r="F684" s="13">
        <v>41687</v>
      </c>
      <c r="G684" s="12">
        <v>52.2</v>
      </c>
      <c r="I684" s="13">
        <v>41716</v>
      </c>
      <c r="J684" s="12">
        <v>57</v>
      </c>
      <c r="L684" s="12">
        <v>29</v>
      </c>
      <c r="M684" s="12">
        <v>4.7999999999999972</v>
      </c>
      <c r="O684" s="17">
        <v>68.150000000000006</v>
      </c>
      <c r="P684" s="17"/>
      <c r="Q684" s="17">
        <v>165.51724137931026</v>
      </c>
      <c r="R684" s="14">
        <v>19.392313999999995</v>
      </c>
      <c r="S684" s="12">
        <v>13</v>
      </c>
      <c r="T684" s="12">
        <v>3</v>
      </c>
      <c r="U684" s="14">
        <v>30.55</v>
      </c>
      <c r="V684" s="17">
        <v>230.76923076923077</v>
      </c>
      <c r="W684" s="14">
        <v>22.60923707692308</v>
      </c>
      <c r="X684">
        <f t="shared" si="20"/>
        <v>17.100000000000001</v>
      </c>
      <c r="Y684">
        <f t="shared" si="21"/>
        <v>22.60923707692308</v>
      </c>
    </row>
    <row r="685" spans="1:25">
      <c r="A685" s="12" t="s">
        <v>335</v>
      </c>
      <c r="B685" s="12" t="s">
        <v>371</v>
      </c>
      <c r="C685" s="12">
        <v>245</v>
      </c>
      <c r="D685" s="12">
        <v>2.35</v>
      </c>
      <c r="E685" s="12" t="s">
        <v>378</v>
      </c>
      <c r="F685" s="13">
        <v>41687</v>
      </c>
      <c r="G685" s="12">
        <v>54.6</v>
      </c>
      <c r="I685" s="13">
        <v>41716</v>
      </c>
      <c r="J685" s="12">
        <v>56</v>
      </c>
      <c r="L685" s="12">
        <v>29</v>
      </c>
      <c r="M685" s="12">
        <v>1.3999999999999986</v>
      </c>
      <c r="O685" s="17">
        <v>68.150000000000006</v>
      </c>
      <c r="P685" s="17"/>
      <c r="Q685" s="17">
        <v>48.275862068965466</v>
      </c>
      <c r="R685" s="14">
        <v>13.730676999999996</v>
      </c>
      <c r="S685" s="12">
        <v>13</v>
      </c>
      <c r="T685" s="12">
        <v>0.39999999999999858</v>
      </c>
      <c r="U685" s="14">
        <v>30.55</v>
      </c>
      <c r="V685" s="17">
        <v>30.76923076923066</v>
      </c>
      <c r="W685" s="14">
        <v>12.86760007692307</v>
      </c>
      <c r="X685">
        <f t="shared" si="20"/>
        <v>17.100000000000001</v>
      </c>
      <c r="Y685">
        <f t="shared" si="21"/>
        <v>12.86760007692307</v>
      </c>
    </row>
    <row r="686" spans="1:25">
      <c r="A686" s="12" t="s">
        <v>335</v>
      </c>
      <c r="B686" s="12" t="s">
        <v>371</v>
      </c>
      <c r="C686" s="12">
        <v>245</v>
      </c>
      <c r="D686" s="12">
        <v>2.35</v>
      </c>
      <c r="E686" s="12" t="s">
        <v>379</v>
      </c>
      <c r="F686" s="13">
        <v>41687</v>
      </c>
      <c r="G686" s="12">
        <v>54.6</v>
      </c>
      <c r="I686" s="13">
        <v>41716</v>
      </c>
      <c r="J686" s="12">
        <v>60.5</v>
      </c>
      <c r="L686" s="12">
        <v>29</v>
      </c>
      <c r="M686" s="12">
        <v>5.8999999999999986</v>
      </c>
      <c r="O686" s="17">
        <v>68.150000000000006</v>
      </c>
      <c r="P686" s="17"/>
      <c r="Q686" s="17">
        <v>203.44827586206893</v>
      </c>
      <c r="R686" s="14">
        <v>21.761129499999996</v>
      </c>
      <c r="S686" s="12">
        <v>13</v>
      </c>
      <c r="T686" s="12">
        <v>4.7000000000000028</v>
      </c>
      <c r="U686" s="14">
        <v>30.55</v>
      </c>
      <c r="V686" s="17">
        <v>361.53846153846177</v>
      </c>
      <c r="W686" s="14">
        <v>29.554975653846164</v>
      </c>
      <c r="X686">
        <f t="shared" si="20"/>
        <v>17.100000000000001</v>
      </c>
      <c r="Y686">
        <f t="shared" si="21"/>
        <v>29.554975653846164</v>
      </c>
    </row>
    <row r="687" spans="1:25">
      <c r="A687" s="12" t="s">
        <v>335</v>
      </c>
      <c r="B687" s="12" t="s">
        <v>371</v>
      </c>
      <c r="C687" s="12">
        <v>245</v>
      </c>
      <c r="D687" s="12">
        <v>2.35</v>
      </c>
      <c r="E687" s="12" t="s">
        <v>380</v>
      </c>
      <c r="F687" s="13">
        <v>41687</v>
      </c>
      <c r="G687" s="12">
        <v>54</v>
      </c>
      <c r="I687" s="13">
        <v>41716</v>
      </c>
      <c r="J687" s="12">
        <v>60</v>
      </c>
      <c r="L687" s="12">
        <v>29</v>
      </c>
      <c r="M687" s="12">
        <v>6</v>
      </c>
      <c r="O687" s="17">
        <v>68.150000000000006</v>
      </c>
      <c r="P687" s="17"/>
      <c r="Q687" s="17">
        <v>206.89655172413794</v>
      </c>
      <c r="R687" s="14">
        <v>21.83813</v>
      </c>
      <c r="S687" s="12">
        <v>13</v>
      </c>
      <c r="T687" s="12">
        <v>4.2000000000000028</v>
      </c>
      <c r="U687" s="14">
        <v>30.55</v>
      </c>
      <c r="V687" s="17">
        <v>323.07692307692332</v>
      </c>
      <c r="W687" s="14">
        <v>27.565822307692319</v>
      </c>
      <c r="X687">
        <f t="shared" si="20"/>
        <v>17.100000000000001</v>
      </c>
      <c r="Y687">
        <f t="shared" si="21"/>
        <v>27.565822307692319</v>
      </c>
    </row>
    <row r="688" spans="1:25">
      <c r="A688" s="12" t="s">
        <v>335</v>
      </c>
      <c r="B688" s="12" t="s">
        <v>371</v>
      </c>
      <c r="C688" s="12">
        <v>245</v>
      </c>
      <c r="D688" s="12">
        <v>2.35</v>
      </c>
      <c r="E688" s="12" t="s">
        <v>381</v>
      </c>
      <c r="F688" s="13">
        <v>41687</v>
      </c>
      <c r="G688" s="12">
        <v>57.2</v>
      </c>
      <c r="I688" s="13">
        <v>41716</v>
      </c>
      <c r="J688" s="12">
        <v>60.5</v>
      </c>
      <c r="L688" s="12">
        <v>29</v>
      </c>
      <c r="M688" s="12">
        <v>3.2999999999999972</v>
      </c>
      <c r="O688" s="17">
        <v>68.150000000000006</v>
      </c>
      <c r="P688" s="17"/>
      <c r="Q688" s="17">
        <v>113.79310344827577</v>
      </c>
      <c r="R688" s="14">
        <v>17.560946499999993</v>
      </c>
      <c r="S688" s="12">
        <v>13</v>
      </c>
      <c r="T688" s="12">
        <v>2.5</v>
      </c>
      <c r="U688" s="14">
        <v>30.55</v>
      </c>
      <c r="V688" s="17">
        <v>192.30769230769232</v>
      </c>
      <c r="W688" s="14">
        <v>21.431715730769227</v>
      </c>
      <c r="X688">
        <f t="shared" si="20"/>
        <v>17.100000000000001</v>
      </c>
      <c r="Y688">
        <f t="shared" si="21"/>
        <v>21.431715730769227</v>
      </c>
    </row>
    <row r="689" spans="1:25">
      <c r="A689" s="12" t="s">
        <v>335</v>
      </c>
      <c r="B689" s="12" t="s">
        <v>371</v>
      </c>
      <c r="C689" s="12">
        <v>245</v>
      </c>
      <c r="D689" s="12">
        <v>2.35</v>
      </c>
      <c r="E689" s="12" t="s">
        <v>382</v>
      </c>
      <c r="F689" s="13">
        <v>41687</v>
      </c>
      <c r="G689" s="12">
        <v>64.2</v>
      </c>
      <c r="I689" s="13">
        <v>41716</v>
      </c>
      <c r="J689" s="12">
        <v>71.5</v>
      </c>
      <c r="L689" s="12">
        <v>29</v>
      </c>
      <c r="M689" s="12">
        <v>7.2999999999999972</v>
      </c>
      <c r="O689" s="17">
        <v>68.150000000000006</v>
      </c>
      <c r="P689" s="17"/>
      <c r="Q689" s="17">
        <v>251.72413793103436</v>
      </c>
      <c r="R689" s="14">
        <v>25.882756499999992</v>
      </c>
      <c r="S689" s="12">
        <v>13</v>
      </c>
      <c r="T689" s="12">
        <v>5.5</v>
      </c>
      <c r="U689" s="14">
        <v>30.55</v>
      </c>
      <c r="V689" s="17">
        <v>423.07692307692309</v>
      </c>
      <c r="W689" s="14">
        <v>34.330448807692306</v>
      </c>
      <c r="X689">
        <f t="shared" si="20"/>
        <v>17.100000000000001</v>
      </c>
      <c r="Y689">
        <f t="shared" si="21"/>
        <v>34.330448807692306</v>
      </c>
    </row>
    <row r="690" spans="1:25">
      <c r="A690" s="12" t="s">
        <v>335</v>
      </c>
      <c r="B690" s="12" t="s">
        <v>371</v>
      </c>
      <c r="C690" s="12">
        <v>245</v>
      </c>
      <c r="D690" s="12">
        <v>2.35</v>
      </c>
      <c r="E690" s="12" t="s">
        <v>383</v>
      </c>
      <c r="F690" s="13">
        <v>41687</v>
      </c>
      <c r="G690" s="12">
        <v>48.4</v>
      </c>
      <c r="I690" s="13">
        <v>41716</v>
      </c>
      <c r="J690" s="12">
        <v>54.5</v>
      </c>
      <c r="L690" s="12">
        <v>29</v>
      </c>
      <c r="M690" s="12">
        <v>6.1000000000000014</v>
      </c>
      <c r="O690" s="17">
        <v>68.150000000000006</v>
      </c>
      <c r="P690" s="17"/>
      <c r="Q690" s="17">
        <v>210.34482758620695</v>
      </c>
      <c r="R690" s="14">
        <v>21.069680500000004</v>
      </c>
      <c r="S690" s="12">
        <v>13</v>
      </c>
      <c r="T690" s="12">
        <v>1.8999999999999986</v>
      </c>
      <c r="U690" s="14">
        <v>30.55</v>
      </c>
      <c r="V690" s="17">
        <v>146.15384615384605</v>
      </c>
      <c r="W690" s="14">
        <v>17.905065115384609</v>
      </c>
      <c r="X690">
        <f t="shared" si="20"/>
        <v>17.100000000000001</v>
      </c>
      <c r="Y690">
        <f t="shared" si="21"/>
        <v>17.905065115384609</v>
      </c>
    </row>
    <row r="691" spans="1:25">
      <c r="A691" s="12" t="s">
        <v>335</v>
      </c>
      <c r="B691" s="12" t="s">
        <v>371</v>
      </c>
      <c r="C691" s="12">
        <v>245</v>
      </c>
      <c r="D691" s="12">
        <v>2.35</v>
      </c>
      <c r="E691" s="12" t="s">
        <v>384</v>
      </c>
      <c r="F691" s="13">
        <v>41687</v>
      </c>
      <c r="G691" s="12">
        <v>55</v>
      </c>
      <c r="I691" s="13">
        <v>41716</v>
      </c>
      <c r="J691" s="12">
        <v>59</v>
      </c>
      <c r="L691" s="12">
        <v>29</v>
      </c>
      <c r="M691" s="12">
        <v>4</v>
      </c>
      <c r="O691" s="17">
        <v>68.150000000000006</v>
      </c>
      <c r="P691" s="17"/>
      <c r="Q691" s="17">
        <v>137.93103448275861</v>
      </c>
      <c r="R691" s="14">
        <v>18.438130000000001</v>
      </c>
      <c r="S691" s="12">
        <v>13</v>
      </c>
      <c r="T691" s="12">
        <v>6.3999999999999986</v>
      </c>
      <c r="U691" s="14">
        <v>30.55</v>
      </c>
      <c r="V691" s="17">
        <v>492.30769230769221</v>
      </c>
      <c r="W691" s="14">
        <v>35.908899230769222</v>
      </c>
      <c r="X691">
        <f t="shared" si="20"/>
        <v>17.100000000000001</v>
      </c>
      <c r="Y691">
        <f t="shared" si="21"/>
        <v>35.908899230769222</v>
      </c>
    </row>
    <row r="692" spans="1:25">
      <c r="A692" s="12" t="s">
        <v>335</v>
      </c>
      <c r="B692" s="12" t="s">
        <v>371</v>
      </c>
      <c r="C692" s="12">
        <v>245</v>
      </c>
      <c r="D692" s="12">
        <v>2.35</v>
      </c>
      <c r="E692" s="12" t="s">
        <v>385</v>
      </c>
      <c r="F692" s="13">
        <v>41687</v>
      </c>
      <c r="G692" s="12">
        <v>50.6</v>
      </c>
      <c r="I692" s="13">
        <v>41716</v>
      </c>
      <c r="J692" s="12">
        <v>55.5</v>
      </c>
      <c r="L692" s="12">
        <v>29</v>
      </c>
      <c r="M692" s="12">
        <v>4.8999999999999986</v>
      </c>
      <c r="O692" s="17">
        <v>68.150000000000006</v>
      </c>
      <c r="P692" s="17"/>
      <c r="Q692" s="17">
        <v>168.96551724137925</v>
      </c>
      <c r="R692" s="14">
        <v>19.300224499999995</v>
      </c>
      <c r="S692" s="12">
        <v>13</v>
      </c>
      <c r="T692" s="12">
        <v>2.2999999999999972</v>
      </c>
      <c r="U692" s="14">
        <v>30.55</v>
      </c>
      <c r="V692" s="17">
        <v>176.92307692307671</v>
      </c>
      <c r="W692" s="14">
        <v>19.692532192307681</v>
      </c>
      <c r="X692">
        <f t="shared" si="20"/>
        <v>17.100000000000001</v>
      </c>
      <c r="Y692">
        <f t="shared" si="21"/>
        <v>19.692532192307681</v>
      </c>
    </row>
    <row r="693" spans="1:25">
      <c r="A693" s="12" t="s">
        <v>335</v>
      </c>
      <c r="B693" s="12" t="s">
        <v>371</v>
      </c>
      <c r="C693" s="12">
        <v>245</v>
      </c>
      <c r="D693" s="12">
        <v>2.35</v>
      </c>
      <c r="E693" s="12" t="s">
        <v>386</v>
      </c>
      <c r="F693" s="13">
        <v>41687</v>
      </c>
      <c r="G693" s="12">
        <v>51.6</v>
      </c>
      <c r="I693" s="13">
        <v>41716</v>
      </c>
      <c r="J693" s="12">
        <v>56</v>
      </c>
      <c r="L693" s="12">
        <v>29</v>
      </c>
      <c r="M693" s="12">
        <v>4.3999999999999986</v>
      </c>
      <c r="O693" s="17">
        <v>68.150000000000006</v>
      </c>
      <c r="P693" s="17"/>
      <c r="Q693" s="17">
        <v>151.72413793103442</v>
      </c>
      <c r="R693" s="14">
        <v>18.577041999999995</v>
      </c>
      <c r="S693" s="12">
        <v>13</v>
      </c>
      <c r="T693" s="12">
        <v>2.3999999999999986</v>
      </c>
      <c r="U693" s="14">
        <v>30.55</v>
      </c>
      <c r="V693" s="17">
        <v>184.61538461538453</v>
      </c>
      <c r="W693" s="14">
        <v>20.198580461538455</v>
      </c>
      <c r="X693">
        <f t="shared" si="20"/>
        <v>17.100000000000001</v>
      </c>
      <c r="Y693">
        <f t="shared" si="21"/>
        <v>20.198580461538455</v>
      </c>
    </row>
    <row r="694" spans="1:25">
      <c r="A694" s="12" t="s">
        <v>335</v>
      </c>
      <c r="B694" s="12" t="s">
        <v>371</v>
      </c>
      <c r="C694" s="12">
        <v>245</v>
      </c>
      <c r="D694" s="12">
        <v>2.35</v>
      </c>
      <c r="E694" s="12" t="s">
        <v>387</v>
      </c>
      <c r="F694" s="13">
        <v>41687</v>
      </c>
      <c r="G694" s="12">
        <v>49.6</v>
      </c>
      <c r="I694" s="13">
        <v>41716</v>
      </c>
      <c r="J694" s="12">
        <v>53.5</v>
      </c>
      <c r="L694" s="12">
        <v>29</v>
      </c>
      <c r="M694" s="12">
        <v>3.8999999999999986</v>
      </c>
      <c r="O694" s="17">
        <v>68.150000000000006</v>
      </c>
      <c r="P694" s="17"/>
      <c r="Q694" s="17">
        <v>134.48275862068962</v>
      </c>
      <c r="R694" s="14">
        <v>17.346589499999997</v>
      </c>
      <c r="S694" s="12">
        <v>13</v>
      </c>
      <c r="T694" s="12">
        <v>-0.89999999999999858</v>
      </c>
      <c r="U694" s="14">
        <v>30.55</v>
      </c>
      <c r="V694" s="17">
        <v>-69.230769230769127</v>
      </c>
      <c r="W694" s="14">
        <v>7.3035125769230813</v>
      </c>
      <c r="X694">
        <f t="shared" si="20"/>
        <v>17.100000000000001</v>
      </c>
      <c r="Y694">
        <f t="shared" si="21"/>
        <v>7.3035125769230813</v>
      </c>
    </row>
    <row r="695" spans="1:25">
      <c r="A695" s="12" t="s">
        <v>335</v>
      </c>
      <c r="B695" s="12" t="s">
        <v>371</v>
      </c>
      <c r="C695" s="12">
        <v>245</v>
      </c>
      <c r="D695" s="12">
        <v>2.35</v>
      </c>
      <c r="E695" s="12" t="s">
        <v>388</v>
      </c>
      <c r="F695" s="13">
        <v>41687</v>
      </c>
      <c r="G695" s="12">
        <v>52.4</v>
      </c>
      <c r="I695" s="13">
        <v>41716</v>
      </c>
      <c r="J695" s="12">
        <v>60</v>
      </c>
      <c r="L695" s="12">
        <v>29</v>
      </c>
      <c r="M695" s="12">
        <v>7.6000000000000014</v>
      </c>
      <c r="O695" s="17">
        <v>68.150000000000006</v>
      </c>
      <c r="P695" s="17"/>
      <c r="Q695" s="17">
        <v>262.06896551724139</v>
      </c>
      <c r="R695" s="14">
        <v>24.422857999999998</v>
      </c>
      <c r="S695" s="12">
        <v>13</v>
      </c>
      <c r="T695" s="12">
        <v>4</v>
      </c>
      <c r="U695" s="14">
        <v>30.55</v>
      </c>
      <c r="V695" s="17">
        <v>307.69230769230774</v>
      </c>
      <c r="W695" s="14">
        <v>26.672088769230768</v>
      </c>
      <c r="X695">
        <f t="shared" si="20"/>
        <v>17.100000000000001</v>
      </c>
      <c r="Y695">
        <f t="shared" si="21"/>
        <v>26.672088769230768</v>
      </c>
    </row>
    <row r="696" spans="1:25">
      <c r="A696" s="12" t="s">
        <v>335</v>
      </c>
      <c r="B696" s="12" t="s">
        <v>371</v>
      </c>
      <c r="C696" s="12">
        <v>245</v>
      </c>
      <c r="D696" s="12">
        <v>2.35</v>
      </c>
      <c r="E696" s="12" t="s">
        <v>389</v>
      </c>
      <c r="F696" s="13">
        <v>41687</v>
      </c>
      <c r="G696" s="12">
        <v>50.6</v>
      </c>
      <c r="I696" s="13">
        <v>41716</v>
      </c>
      <c r="J696" s="12">
        <v>54.5</v>
      </c>
      <c r="L696" s="12">
        <v>29</v>
      </c>
      <c r="M696" s="12">
        <v>3.8999999999999986</v>
      </c>
      <c r="O696" s="17">
        <v>68.150000000000006</v>
      </c>
      <c r="P696" s="17"/>
      <c r="Q696" s="17">
        <v>134.48275862068962</v>
      </c>
      <c r="R696" s="14">
        <v>17.515679499999997</v>
      </c>
      <c r="S696" s="12">
        <v>13</v>
      </c>
      <c r="T696" s="12">
        <v>1.5</v>
      </c>
      <c r="U696" s="14">
        <v>30.55</v>
      </c>
      <c r="V696" s="17">
        <v>115.38461538461539</v>
      </c>
      <c r="W696" s="14">
        <v>16.574141038461537</v>
      </c>
      <c r="X696">
        <f t="shared" si="20"/>
        <v>17.100000000000001</v>
      </c>
      <c r="Y696">
        <f t="shared" si="21"/>
        <v>16.574141038461537</v>
      </c>
    </row>
    <row r="697" spans="1:25">
      <c r="A697" s="12" t="s">
        <v>335</v>
      </c>
      <c r="B697" s="12" t="s">
        <v>371</v>
      </c>
      <c r="C697" s="12">
        <v>245</v>
      </c>
      <c r="D697" s="12">
        <v>2.35</v>
      </c>
      <c r="E697" s="12" t="s">
        <v>390</v>
      </c>
      <c r="F697" s="13">
        <v>41687</v>
      </c>
      <c r="G697" s="12">
        <v>50</v>
      </c>
      <c r="I697" s="13">
        <v>41716</v>
      </c>
      <c r="J697" s="12">
        <v>54.5</v>
      </c>
      <c r="L697" s="12">
        <v>29</v>
      </c>
      <c r="M697" s="12">
        <v>4.5</v>
      </c>
      <c r="O697" s="17">
        <v>68.150000000000006</v>
      </c>
      <c r="P697" s="17"/>
      <c r="Q697" s="17">
        <v>155.17241379310346</v>
      </c>
      <c r="R697" s="14">
        <v>18.484952499999999</v>
      </c>
      <c r="S697" s="12">
        <v>13</v>
      </c>
      <c r="T697" s="12">
        <v>3.2999999999999972</v>
      </c>
      <c r="U697" s="14">
        <v>30.55</v>
      </c>
      <c r="V697" s="17">
        <v>253.84615384615361</v>
      </c>
      <c r="W697" s="14">
        <v>23.349567884615372</v>
      </c>
      <c r="X697">
        <f t="shared" si="20"/>
        <v>17.100000000000001</v>
      </c>
      <c r="Y697">
        <f t="shared" si="21"/>
        <v>23.349567884615372</v>
      </c>
    </row>
    <row r="698" spans="1:25">
      <c r="A698" s="12" t="s">
        <v>335</v>
      </c>
      <c r="B698" s="12" t="s">
        <v>371</v>
      </c>
      <c r="C698" s="12">
        <v>245</v>
      </c>
      <c r="D698" s="12">
        <v>2.35</v>
      </c>
      <c r="E698" s="12" t="s">
        <v>391</v>
      </c>
      <c r="F698" s="13">
        <v>41687</v>
      </c>
      <c r="G698" s="12">
        <v>55.4</v>
      </c>
      <c r="I698" s="13">
        <v>41716</v>
      </c>
      <c r="J698" s="12">
        <v>62.5</v>
      </c>
      <c r="L698" s="12">
        <v>29</v>
      </c>
      <c r="M698" s="12">
        <v>7.1000000000000014</v>
      </c>
      <c r="O698" s="17">
        <v>68.150000000000006</v>
      </c>
      <c r="P698" s="17"/>
      <c r="Q698" s="17">
        <v>244.8275862068966</v>
      </c>
      <c r="R698" s="14">
        <v>24.037855500000003</v>
      </c>
      <c r="S698" s="12">
        <v>13</v>
      </c>
      <c r="T698" s="12">
        <v>5.5</v>
      </c>
      <c r="U698" s="14">
        <v>30.55</v>
      </c>
      <c r="V698" s="17">
        <v>423.07692307692309</v>
      </c>
      <c r="W698" s="14">
        <v>32.82554780769231</v>
      </c>
      <c r="X698">
        <f t="shared" si="20"/>
        <v>17.100000000000001</v>
      </c>
      <c r="Y698">
        <f t="shared" si="21"/>
        <v>32.82554780769231</v>
      </c>
    </row>
    <row r="699" spans="1:25">
      <c r="A699" s="12" t="s">
        <v>335</v>
      </c>
      <c r="B699" s="12" t="s">
        <v>371</v>
      </c>
      <c r="C699" s="12">
        <v>245</v>
      </c>
      <c r="D699" s="12">
        <v>2.35</v>
      </c>
      <c r="E699" s="12" t="s">
        <v>392</v>
      </c>
      <c r="F699" s="13">
        <v>41687</v>
      </c>
      <c r="G699" s="12">
        <v>56.2</v>
      </c>
      <c r="I699" s="13">
        <v>41716</v>
      </c>
      <c r="J699" s="12">
        <v>61.5</v>
      </c>
      <c r="L699" s="12">
        <v>29</v>
      </c>
      <c r="M699" s="12">
        <v>5.2999999999999972</v>
      </c>
      <c r="O699" s="17">
        <v>68.150000000000006</v>
      </c>
      <c r="P699" s="17"/>
      <c r="Q699" s="17">
        <v>182.75862068965506</v>
      </c>
      <c r="R699" s="14">
        <v>20.960946499999991</v>
      </c>
      <c r="S699" s="12">
        <v>13</v>
      </c>
      <c r="T699" s="12">
        <v>0.5</v>
      </c>
      <c r="U699" s="14">
        <v>30.55</v>
      </c>
      <c r="V699" s="17">
        <v>38.461538461538467</v>
      </c>
      <c r="W699" s="14">
        <v>13.847100346153844</v>
      </c>
      <c r="X699">
        <f t="shared" si="20"/>
        <v>17.100000000000001</v>
      </c>
      <c r="Y699">
        <f t="shared" si="21"/>
        <v>13.847100346153844</v>
      </c>
    </row>
    <row r="700" spans="1:25">
      <c r="A700" s="12" t="s">
        <v>335</v>
      </c>
      <c r="B700" s="12" t="s">
        <v>371</v>
      </c>
      <c r="C700" s="12">
        <v>245</v>
      </c>
      <c r="D700" s="12">
        <v>2.35</v>
      </c>
      <c r="E700" s="12" t="s">
        <v>393</v>
      </c>
      <c r="F700" s="13">
        <v>41687</v>
      </c>
      <c r="G700" s="12">
        <v>51</v>
      </c>
      <c r="I700" s="13">
        <v>41716</v>
      </c>
      <c r="J700" s="12">
        <v>55</v>
      </c>
      <c r="L700" s="12">
        <v>29</v>
      </c>
      <c r="M700" s="12">
        <v>4</v>
      </c>
      <c r="O700" s="17">
        <v>68.150000000000006</v>
      </c>
      <c r="P700" s="17"/>
      <c r="Q700" s="17">
        <v>137.93103448275861</v>
      </c>
      <c r="R700" s="14">
        <v>17.761769999999999</v>
      </c>
      <c r="S700" s="12">
        <v>13</v>
      </c>
      <c r="T700" s="12">
        <v>7.6000000000000014</v>
      </c>
      <c r="U700" s="14">
        <v>30.55</v>
      </c>
      <c r="V700" s="17">
        <v>584.61538461538476</v>
      </c>
      <c r="W700" s="14">
        <v>39.783308461538468</v>
      </c>
      <c r="X700">
        <f t="shared" si="20"/>
        <v>17.100000000000001</v>
      </c>
      <c r="Y700">
        <f t="shared" si="21"/>
        <v>39.783308461538468</v>
      </c>
    </row>
    <row r="701" spans="1:25">
      <c r="A701" s="12" t="s">
        <v>335</v>
      </c>
      <c r="B701" s="12" t="s">
        <v>371</v>
      </c>
      <c r="C701" s="12">
        <v>245</v>
      </c>
      <c r="D701" s="12">
        <v>2.35</v>
      </c>
      <c r="E701" s="12" t="s">
        <v>394</v>
      </c>
      <c r="F701" s="13">
        <v>41687</v>
      </c>
      <c r="G701" s="12">
        <v>51.4</v>
      </c>
      <c r="I701" s="13">
        <v>41716</v>
      </c>
      <c r="J701" s="12">
        <v>59.5</v>
      </c>
      <c r="L701" s="12">
        <v>29</v>
      </c>
      <c r="M701" s="12">
        <v>8.1000000000000014</v>
      </c>
      <c r="O701" s="17">
        <v>68.150000000000006</v>
      </c>
      <c r="P701" s="17"/>
      <c r="Q701" s="17">
        <v>279.31034482758628</v>
      </c>
      <c r="R701" s="14">
        <v>25.146040500000002</v>
      </c>
      <c r="S701" s="12">
        <v>13</v>
      </c>
      <c r="T701" s="12">
        <v>6.7000000000000028</v>
      </c>
      <c r="U701" s="14">
        <v>30.55</v>
      </c>
      <c r="V701" s="17">
        <v>515.38461538461559</v>
      </c>
      <c r="W701" s="14">
        <v>36.784502038461547</v>
      </c>
      <c r="X701">
        <f t="shared" si="20"/>
        <v>17.100000000000001</v>
      </c>
      <c r="Y701">
        <f t="shared" si="21"/>
        <v>36.784502038461547</v>
      </c>
    </row>
    <row r="702" spans="1:25">
      <c r="A702" s="12" t="s">
        <v>335</v>
      </c>
      <c r="B702" s="12" t="s">
        <v>371</v>
      </c>
      <c r="C702" s="12">
        <v>245</v>
      </c>
      <c r="D702" s="12">
        <v>2.35</v>
      </c>
      <c r="E702" s="12" t="s">
        <v>395</v>
      </c>
      <c r="F702" s="13">
        <v>41687</v>
      </c>
      <c r="G702" s="12">
        <v>48.6</v>
      </c>
      <c r="I702" s="13">
        <v>41716</v>
      </c>
      <c r="J702" s="12">
        <v>51</v>
      </c>
      <c r="L702" s="12">
        <v>29</v>
      </c>
      <c r="M702" s="12">
        <v>2.3999999999999986</v>
      </c>
      <c r="O702" s="17">
        <v>68.150000000000006</v>
      </c>
      <c r="P702" s="17"/>
      <c r="Q702" s="17">
        <v>82.758620689655132</v>
      </c>
      <c r="R702" s="14">
        <v>14.500681999999998</v>
      </c>
      <c r="S702" s="12">
        <v>13</v>
      </c>
      <c r="T702" s="12">
        <v>2.3999999999999986</v>
      </c>
      <c r="U702" s="14">
        <v>30.55</v>
      </c>
      <c r="V702" s="17">
        <v>184.61538461538453</v>
      </c>
      <c r="W702" s="14">
        <v>19.522220461538456</v>
      </c>
      <c r="X702">
        <f t="shared" si="20"/>
        <v>17.100000000000001</v>
      </c>
      <c r="Y702">
        <f t="shared" si="21"/>
        <v>19.522220461538456</v>
      </c>
    </row>
    <row r="703" spans="1:25">
      <c r="A703" s="12" t="s">
        <v>335</v>
      </c>
      <c r="B703" s="12" t="s">
        <v>371</v>
      </c>
      <c r="C703" s="12">
        <v>245</v>
      </c>
      <c r="D703" s="12">
        <v>2.35</v>
      </c>
      <c r="E703" s="12" t="s">
        <v>396</v>
      </c>
      <c r="F703" s="13">
        <v>41687</v>
      </c>
      <c r="G703" s="12">
        <v>48.6</v>
      </c>
      <c r="I703" s="13">
        <v>41716</v>
      </c>
      <c r="J703" s="12">
        <v>50.5</v>
      </c>
      <c r="L703" s="12">
        <v>29</v>
      </c>
      <c r="M703" s="12">
        <v>1.8999999999999986</v>
      </c>
      <c r="O703" s="17">
        <v>68.150000000000006</v>
      </c>
      <c r="P703" s="17"/>
      <c r="Q703" s="17">
        <v>65.517241379310292</v>
      </c>
      <c r="R703" s="14">
        <v>13.608409499999995</v>
      </c>
      <c r="S703" s="12">
        <v>13</v>
      </c>
      <c r="T703" s="12">
        <v>2.7000000000000028</v>
      </c>
      <c r="U703" s="14">
        <v>30.55</v>
      </c>
      <c r="V703" s="17">
        <v>207.69230769230791</v>
      </c>
      <c r="W703" s="14">
        <v>20.617640269230776</v>
      </c>
      <c r="X703">
        <f t="shared" si="20"/>
        <v>17.100000000000001</v>
      </c>
      <c r="Y703">
        <f t="shared" si="21"/>
        <v>20.617640269230776</v>
      </c>
    </row>
    <row r="704" spans="1:25">
      <c r="A704" s="12" t="s">
        <v>335</v>
      </c>
      <c r="B704" s="12" t="s">
        <v>371</v>
      </c>
      <c r="C704" s="12">
        <v>245</v>
      </c>
      <c r="D704" s="12">
        <v>2.35</v>
      </c>
      <c r="E704" s="12" t="s">
        <v>397</v>
      </c>
      <c r="F704" s="13">
        <v>41687</v>
      </c>
      <c r="G704" s="12">
        <v>62.8</v>
      </c>
      <c r="I704" s="13">
        <v>41716</v>
      </c>
      <c r="J704" s="12">
        <v>66.5</v>
      </c>
      <c r="L704" s="12">
        <v>29</v>
      </c>
      <c r="M704" s="12">
        <v>3.7000000000000028</v>
      </c>
      <c r="O704" s="17">
        <v>68.150000000000006</v>
      </c>
      <c r="P704" s="17"/>
      <c r="Q704" s="17">
        <v>127.58620689655181</v>
      </c>
      <c r="R704" s="14">
        <v>19.221668500000003</v>
      </c>
      <c r="S704" s="12">
        <v>13</v>
      </c>
      <c r="T704" s="12">
        <v>2.5</v>
      </c>
      <c r="U704" s="14">
        <v>30.55</v>
      </c>
      <c r="V704" s="17">
        <v>192.30769230769232</v>
      </c>
      <c r="W704" s="14">
        <v>22.412437730769231</v>
      </c>
      <c r="X704">
        <f t="shared" si="20"/>
        <v>17.100000000000001</v>
      </c>
      <c r="Y704">
        <f t="shared" si="21"/>
        <v>22.412437730769231</v>
      </c>
    </row>
    <row r="705" spans="1:25">
      <c r="A705" s="12" t="s">
        <v>335</v>
      </c>
      <c r="B705" s="12" t="s">
        <v>371</v>
      </c>
      <c r="C705" s="12">
        <v>245</v>
      </c>
      <c r="D705" s="12">
        <v>2.35</v>
      </c>
      <c r="E705" s="12" t="s">
        <v>398</v>
      </c>
      <c r="F705" s="13">
        <v>41687</v>
      </c>
      <c r="G705" s="12">
        <v>55</v>
      </c>
      <c r="I705" s="13">
        <v>41716</v>
      </c>
      <c r="J705" s="12">
        <v>61</v>
      </c>
      <c r="L705" s="12">
        <v>29</v>
      </c>
      <c r="M705" s="12">
        <v>6</v>
      </c>
      <c r="O705" s="17">
        <v>68.150000000000006</v>
      </c>
      <c r="P705" s="17"/>
      <c r="Q705" s="17">
        <v>206.89655172413794</v>
      </c>
      <c r="R705" s="14">
        <v>22.007219999999997</v>
      </c>
      <c r="S705" s="12">
        <v>13</v>
      </c>
      <c r="T705" s="12">
        <v>5.7999999999999972</v>
      </c>
      <c r="U705" s="14">
        <v>30.55</v>
      </c>
      <c r="V705" s="17">
        <v>446.15384615384596</v>
      </c>
      <c r="W705" s="14">
        <v>33.802604615384602</v>
      </c>
      <c r="X705">
        <f t="shared" si="20"/>
        <v>17.100000000000001</v>
      </c>
      <c r="Y705">
        <f t="shared" si="21"/>
        <v>33.802604615384602</v>
      </c>
    </row>
    <row r="706" spans="1:25">
      <c r="A706" s="12" t="s">
        <v>335</v>
      </c>
      <c r="B706" s="12" t="s">
        <v>371</v>
      </c>
      <c r="C706" s="12">
        <v>245</v>
      </c>
      <c r="D706" s="12">
        <v>2.35</v>
      </c>
      <c r="E706" s="12" t="s">
        <v>399</v>
      </c>
      <c r="F706" s="13">
        <v>41687</v>
      </c>
      <c r="G706" s="12">
        <v>63.2</v>
      </c>
      <c r="I706" s="13">
        <v>41716</v>
      </c>
      <c r="J706" s="12">
        <v>61.5</v>
      </c>
      <c r="L706" s="12">
        <v>29</v>
      </c>
      <c r="M706" s="12">
        <v>-1.7000000000000028</v>
      </c>
      <c r="O706" s="17">
        <v>68.150000000000006</v>
      </c>
      <c r="P706" s="17"/>
      <c r="Q706" s="17">
        <v>-58.620689655172512</v>
      </c>
      <c r="R706" s="14">
        <v>9.6527614999999951</v>
      </c>
      <c r="S706" s="12">
        <v>13</v>
      </c>
      <c r="T706" s="12">
        <v>0.10000000000000142</v>
      </c>
      <c r="U706" s="14">
        <v>30.55</v>
      </c>
      <c r="V706" s="17">
        <v>7.6923076923078018</v>
      </c>
      <c r="W706" s="14">
        <v>12.921992269230774</v>
      </c>
      <c r="X706">
        <f t="shared" si="20"/>
        <v>17.100000000000001</v>
      </c>
      <c r="Y706">
        <f t="shared" si="21"/>
        <v>12.921992269230774</v>
      </c>
    </row>
    <row r="707" spans="1:25">
      <c r="A707" s="12" t="s">
        <v>335</v>
      </c>
      <c r="B707" s="12" t="s">
        <v>371</v>
      </c>
      <c r="C707" s="12">
        <v>245</v>
      </c>
      <c r="D707" s="12">
        <v>2.35</v>
      </c>
      <c r="E707" s="12" t="s">
        <v>400</v>
      </c>
      <c r="F707" s="13">
        <v>41687</v>
      </c>
      <c r="G707" s="12">
        <v>51.8</v>
      </c>
      <c r="I707" s="13">
        <v>41716</v>
      </c>
      <c r="J707" s="12">
        <v>56</v>
      </c>
      <c r="L707" s="12">
        <v>29</v>
      </c>
      <c r="M707" s="12">
        <v>4.2000000000000028</v>
      </c>
      <c r="O707" s="17">
        <v>68.150000000000006</v>
      </c>
      <c r="P707" s="17"/>
      <c r="Q707" s="17">
        <v>144.82758620689665</v>
      </c>
      <c r="R707" s="14">
        <v>18.253951000000001</v>
      </c>
      <c r="S707" s="12">
        <v>13</v>
      </c>
      <c r="T707" s="12">
        <v>4.6000000000000014</v>
      </c>
      <c r="U707" s="14">
        <v>30.55</v>
      </c>
      <c r="V707" s="17">
        <v>353.84615384615398</v>
      </c>
      <c r="W707" s="14">
        <v>28.558566384615389</v>
      </c>
      <c r="X707">
        <f t="shared" ref="X707:X770" si="22">IF(H707&gt;0,-4.1485*H707 + 28.398,17.1)</f>
        <v>17.100000000000001</v>
      </c>
      <c r="Y707">
        <f t="shared" ref="Y707:Y770" si="23">W707*X707/17.1</f>
        <v>28.558566384615389</v>
      </c>
    </row>
    <row r="708" spans="1:25">
      <c r="A708" s="12" t="s">
        <v>335</v>
      </c>
      <c r="B708" s="12" t="s">
        <v>371</v>
      </c>
      <c r="C708" s="12">
        <v>245</v>
      </c>
      <c r="D708" s="12">
        <v>2.35</v>
      </c>
      <c r="E708" s="12" t="s">
        <v>401</v>
      </c>
      <c r="F708" s="13">
        <v>41687</v>
      </c>
      <c r="G708" s="12">
        <v>56.2</v>
      </c>
      <c r="I708" s="13">
        <v>41716</v>
      </c>
      <c r="J708" s="12">
        <v>62.5</v>
      </c>
      <c r="L708" s="12">
        <v>29</v>
      </c>
      <c r="M708" s="12">
        <v>6.2999999999999972</v>
      </c>
      <c r="O708" s="17">
        <v>68.150000000000006</v>
      </c>
      <c r="P708" s="17"/>
      <c r="Q708" s="17">
        <v>217.24137931034474</v>
      </c>
      <c r="R708" s="14">
        <v>22.745491499999993</v>
      </c>
      <c r="S708" s="12">
        <v>13</v>
      </c>
      <c r="T708" s="12">
        <v>8.8999999999999986</v>
      </c>
      <c r="U708" s="14">
        <v>30.55</v>
      </c>
      <c r="V708" s="17">
        <v>684.61538461538453</v>
      </c>
      <c r="W708" s="14">
        <v>45.787029961538451</v>
      </c>
      <c r="X708">
        <f t="shared" si="22"/>
        <v>17.100000000000001</v>
      </c>
      <c r="Y708">
        <f t="shared" si="23"/>
        <v>45.787029961538451</v>
      </c>
    </row>
    <row r="709" spans="1:25">
      <c r="A709" s="12" t="s">
        <v>335</v>
      </c>
      <c r="B709" s="12" t="s">
        <v>371</v>
      </c>
      <c r="C709" s="12">
        <v>245</v>
      </c>
      <c r="D709" s="12">
        <v>2.35</v>
      </c>
      <c r="E709" s="12" t="s">
        <v>402</v>
      </c>
      <c r="F709" s="13">
        <v>41687</v>
      </c>
      <c r="G709" s="12">
        <v>59.6</v>
      </c>
      <c r="I709" s="13">
        <v>41716</v>
      </c>
      <c r="J709" s="12">
        <v>65</v>
      </c>
      <c r="L709" s="12">
        <v>29</v>
      </c>
      <c r="M709" s="12">
        <v>5.3999999999999986</v>
      </c>
      <c r="O709" s="17">
        <v>68.150000000000006</v>
      </c>
      <c r="P709" s="17"/>
      <c r="Q709" s="17">
        <v>186.2068965517241</v>
      </c>
      <c r="R709" s="14">
        <v>21.714306999999998</v>
      </c>
      <c r="S709" s="12">
        <v>13</v>
      </c>
      <c r="T709" s="12">
        <v>5.7999999999999972</v>
      </c>
      <c r="U709" s="14">
        <v>30.55</v>
      </c>
      <c r="V709" s="17">
        <v>446.15384615384596</v>
      </c>
      <c r="W709" s="14">
        <v>34.529691615384607</v>
      </c>
      <c r="X709">
        <f t="shared" si="22"/>
        <v>17.100000000000001</v>
      </c>
      <c r="Y709">
        <f t="shared" si="23"/>
        <v>34.529691615384607</v>
      </c>
    </row>
    <row r="710" spans="1:25">
      <c r="A710" s="12" t="s">
        <v>335</v>
      </c>
      <c r="B710" s="12" t="s">
        <v>371</v>
      </c>
      <c r="C710" s="12">
        <v>245</v>
      </c>
      <c r="D710" s="12">
        <v>2.35</v>
      </c>
      <c r="E710" s="12" t="s">
        <v>403</v>
      </c>
      <c r="F710" s="13">
        <v>41687</v>
      </c>
      <c r="G710" s="12">
        <v>49.4</v>
      </c>
      <c r="I710" s="13">
        <v>41716</v>
      </c>
      <c r="J710" s="12">
        <v>53</v>
      </c>
      <c r="L710" s="12">
        <v>29</v>
      </c>
      <c r="M710" s="12">
        <v>3.6000000000000014</v>
      </c>
      <c r="O710" s="17">
        <v>68.150000000000006</v>
      </c>
      <c r="P710" s="17"/>
      <c r="Q710" s="17">
        <v>124.13793103448282</v>
      </c>
      <c r="R710" s="14">
        <v>16.777408000000001</v>
      </c>
      <c r="S710" s="12">
        <v>13</v>
      </c>
      <c r="T710" s="12">
        <v>3.3999999999999986</v>
      </c>
      <c r="U710" s="14">
        <v>30.55</v>
      </c>
      <c r="V710" s="17">
        <v>261.53846153846143</v>
      </c>
      <c r="W710" s="14">
        <v>23.551254153846148</v>
      </c>
      <c r="X710">
        <f t="shared" si="22"/>
        <v>17.100000000000001</v>
      </c>
      <c r="Y710">
        <f t="shared" si="23"/>
        <v>23.551254153846148</v>
      </c>
    </row>
    <row r="711" spans="1:25">
      <c r="A711" s="12" t="s">
        <v>335</v>
      </c>
      <c r="B711" s="12" t="s">
        <v>371</v>
      </c>
      <c r="C711" s="12">
        <v>245</v>
      </c>
      <c r="D711" s="12">
        <v>2.35</v>
      </c>
      <c r="E711" s="12" t="s">
        <v>404</v>
      </c>
      <c r="F711" s="13">
        <v>41687</v>
      </c>
      <c r="G711" s="12">
        <v>52.8</v>
      </c>
      <c r="I711" s="13">
        <v>41716</v>
      </c>
      <c r="J711" s="12">
        <v>60</v>
      </c>
      <c r="L711" s="12">
        <v>29</v>
      </c>
      <c r="M711" s="12">
        <v>7.2000000000000028</v>
      </c>
      <c r="O711" s="17">
        <v>68.150000000000006</v>
      </c>
      <c r="P711" s="17"/>
      <c r="Q711" s="17">
        <v>248.27586206896564</v>
      </c>
      <c r="R711" s="14">
        <v>23.776676000000002</v>
      </c>
      <c r="S711" s="12">
        <v>13</v>
      </c>
      <c r="T711" s="12">
        <v>3.2000000000000028</v>
      </c>
      <c r="U711" s="14">
        <v>30.55</v>
      </c>
      <c r="V711" s="17">
        <v>246.15384615384636</v>
      </c>
      <c r="W711" s="14">
        <v>23.672060615384623</v>
      </c>
      <c r="X711">
        <f t="shared" si="22"/>
        <v>17.100000000000001</v>
      </c>
      <c r="Y711">
        <f t="shared" si="23"/>
        <v>23.672060615384623</v>
      </c>
    </row>
    <row r="712" spans="1:25">
      <c r="A712" s="12" t="s">
        <v>335</v>
      </c>
      <c r="B712" s="12" t="s">
        <v>371</v>
      </c>
      <c r="C712" s="12">
        <v>245</v>
      </c>
      <c r="D712" s="12">
        <v>2.35</v>
      </c>
      <c r="E712" s="12" t="s">
        <v>405</v>
      </c>
      <c r="F712" s="13">
        <v>41687</v>
      </c>
      <c r="G712" s="12">
        <v>61.2</v>
      </c>
      <c r="I712" s="13">
        <v>41716</v>
      </c>
      <c r="J712" s="12">
        <v>62</v>
      </c>
      <c r="L712" s="12">
        <v>29</v>
      </c>
      <c r="M712" s="12">
        <v>0.79999999999999716</v>
      </c>
      <c r="O712" s="17">
        <v>68.150000000000006</v>
      </c>
      <c r="P712" s="17"/>
      <c r="Q712" s="17">
        <v>27.586206896551626</v>
      </c>
      <c r="R712" s="14">
        <v>13.775943999999996</v>
      </c>
      <c r="S712" s="12">
        <v>13</v>
      </c>
      <c r="T712" s="12">
        <v>4.2000000000000028</v>
      </c>
      <c r="U712" s="14">
        <v>30.55</v>
      </c>
      <c r="V712" s="17">
        <v>323.07692307692332</v>
      </c>
      <c r="W712" s="14">
        <v>28.343636307692318</v>
      </c>
      <c r="X712">
        <f t="shared" si="22"/>
        <v>17.100000000000001</v>
      </c>
      <c r="Y712">
        <f t="shared" si="23"/>
        <v>28.343636307692318</v>
      </c>
    </row>
    <row r="713" spans="1:25">
      <c r="A713" s="12" t="s">
        <v>335</v>
      </c>
      <c r="B713" s="12" t="s">
        <v>371</v>
      </c>
      <c r="C713" s="12">
        <v>245</v>
      </c>
      <c r="D713" s="12">
        <v>2.35</v>
      </c>
      <c r="E713" s="12" t="s">
        <v>406</v>
      </c>
      <c r="F713" s="13">
        <v>41687</v>
      </c>
      <c r="G713" s="12">
        <v>50.6</v>
      </c>
      <c r="I713" s="13">
        <v>41716</v>
      </c>
      <c r="J713" s="12">
        <v>57</v>
      </c>
      <c r="L713" s="12">
        <v>29</v>
      </c>
      <c r="M713" s="12">
        <v>6.3999999999999986</v>
      </c>
      <c r="O713" s="17">
        <v>68.150000000000006</v>
      </c>
      <c r="P713" s="17"/>
      <c r="Q713" s="17">
        <v>220.68965517241372</v>
      </c>
      <c r="R713" s="14">
        <v>21.977041999999997</v>
      </c>
      <c r="S713" s="12">
        <v>13</v>
      </c>
      <c r="T713" s="12">
        <v>6.7999999999999972</v>
      </c>
      <c r="U713" s="14">
        <v>30.55</v>
      </c>
      <c r="V713" s="17">
        <v>523.07692307692287</v>
      </c>
      <c r="W713" s="14">
        <v>36.884734307692298</v>
      </c>
      <c r="X713">
        <f t="shared" si="22"/>
        <v>17.100000000000001</v>
      </c>
      <c r="Y713">
        <f t="shared" si="23"/>
        <v>36.884734307692298</v>
      </c>
    </row>
    <row r="714" spans="1:25">
      <c r="A714" s="12" t="s">
        <v>335</v>
      </c>
      <c r="B714" s="12" t="s">
        <v>371</v>
      </c>
      <c r="C714" s="12">
        <v>245</v>
      </c>
      <c r="D714" s="12">
        <v>2.35</v>
      </c>
      <c r="E714" s="12" t="s">
        <v>407</v>
      </c>
      <c r="F714" s="13">
        <v>41687</v>
      </c>
      <c r="G714" s="12">
        <v>50.4</v>
      </c>
      <c r="I714" s="13">
        <v>41716</v>
      </c>
      <c r="J714" s="12">
        <v>55</v>
      </c>
      <c r="L714" s="12">
        <v>29</v>
      </c>
      <c r="M714" s="12">
        <v>4.6000000000000014</v>
      </c>
      <c r="O714" s="17">
        <v>68.150000000000006</v>
      </c>
      <c r="P714" s="17"/>
      <c r="Q714" s="17">
        <v>158.62068965517244</v>
      </c>
      <c r="R714" s="14">
        <v>18.731043</v>
      </c>
      <c r="S714" s="12">
        <v>13</v>
      </c>
      <c r="T714" s="12">
        <v>3.2000000000000028</v>
      </c>
      <c r="U714" s="14">
        <v>30.55</v>
      </c>
      <c r="V714" s="17">
        <v>246.15384615384636</v>
      </c>
      <c r="W714" s="14">
        <v>23.046427615384623</v>
      </c>
      <c r="X714">
        <f t="shared" si="22"/>
        <v>17.100000000000001</v>
      </c>
      <c r="Y714">
        <f t="shared" si="23"/>
        <v>23.046427615384623</v>
      </c>
    </row>
    <row r="715" spans="1:25">
      <c r="A715" s="12" t="s">
        <v>335</v>
      </c>
      <c r="B715" s="12" t="s">
        <v>371</v>
      </c>
      <c r="C715" s="12">
        <v>245</v>
      </c>
      <c r="D715" s="12">
        <v>2.35</v>
      </c>
      <c r="E715" s="12" t="s">
        <v>408</v>
      </c>
      <c r="F715" s="13">
        <v>41687</v>
      </c>
      <c r="G715" s="12">
        <v>56.4</v>
      </c>
      <c r="I715" s="13">
        <v>41716</v>
      </c>
      <c r="J715" s="12">
        <v>57.5</v>
      </c>
      <c r="L715" s="12">
        <v>29</v>
      </c>
      <c r="M715" s="12">
        <v>1.1000000000000014</v>
      </c>
      <c r="O715" s="17">
        <v>68.150000000000006</v>
      </c>
      <c r="P715" s="17"/>
      <c r="Q715" s="17">
        <v>37.931034482758669</v>
      </c>
      <c r="R715" s="14">
        <v>13.499675500000002</v>
      </c>
      <c r="S715" s="12">
        <v>13</v>
      </c>
      <c r="T715" s="12">
        <v>-2.5</v>
      </c>
      <c r="U715" s="14">
        <v>30.55</v>
      </c>
      <c r="V715" s="17">
        <v>-192.30769230769232</v>
      </c>
      <c r="W715" s="14">
        <v>2.1489062692307694</v>
      </c>
      <c r="X715">
        <f t="shared" si="22"/>
        <v>17.100000000000001</v>
      </c>
      <c r="Y715">
        <f t="shared" si="23"/>
        <v>2.1489062692307694</v>
      </c>
    </row>
    <row r="716" spans="1:25">
      <c r="A716" s="12" t="s">
        <v>335</v>
      </c>
      <c r="B716" s="12" t="s">
        <v>371</v>
      </c>
      <c r="C716" s="12">
        <v>245</v>
      </c>
      <c r="D716" s="12">
        <v>2.35</v>
      </c>
      <c r="E716" s="12" t="s">
        <v>409</v>
      </c>
      <c r="F716" s="13">
        <v>41687</v>
      </c>
      <c r="G716" s="12">
        <v>58.2</v>
      </c>
      <c r="I716" s="13">
        <v>41716</v>
      </c>
      <c r="J716" s="12">
        <v>59.5</v>
      </c>
      <c r="L716" s="12">
        <v>29</v>
      </c>
      <c r="M716" s="12">
        <v>1.2999999999999972</v>
      </c>
      <c r="O716" s="17">
        <v>68.150000000000006</v>
      </c>
      <c r="P716" s="17"/>
      <c r="Q716" s="17">
        <v>44.827586206896456</v>
      </c>
      <c r="R716" s="14">
        <v>14.160946499999994</v>
      </c>
      <c r="S716" s="12">
        <v>13</v>
      </c>
      <c r="T716" s="12">
        <v>2.7000000000000028</v>
      </c>
      <c r="U716" s="14">
        <v>30.55</v>
      </c>
      <c r="V716" s="17">
        <v>207.69230769230791</v>
      </c>
      <c r="W716" s="14">
        <v>22.19017726923078</v>
      </c>
      <c r="X716">
        <f t="shared" si="22"/>
        <v>17.100000000000001</v>
      </c>
      <c r="Y716">
        <f t="shared" si="23"/>
        <v>22.19017726923078</v>
      </c>
    </row>
    <row r="717" spans="1:25">
      <c r="A717" s="12" t="s">
        <v>335</v>
      </c>
      <c r="B717" s="12" t="s">
        <v>371</v>
      </c>
      <c r="C717" s="12">
        <v>245</v>
      </c>
      <c r="D717" s="12">
        <v>2.35</v>
      </c>
      <c r="E717" s="12" t="s">
        <v>410</v>
      </c>
      <c r="F717" s="13">
        <v>41687</v>
      </c>
      <c r="G717" s="12">
        <v>53.8</v>
      </c>
      <c r="I717" s="13">
        <v>41716</v>
      </c>
      <c r="J717" s="12">
        <v>59</v>
      </c>
      <c r="L717" s="12">
        <v>29</v>
      </c>
      <c r="M717" s="12">
        <v>5.2000000000000028</v>
      </c>
      <c r="O717" s="17">
        <v>68.150000000000006</v>
      </c>
      <c r="P717" s="17"/>
      <c r="Q717" s="17">
        <v>179.31034482758631</v>
      </c>
      <c r="R717" s="14">
        <v>20.376676000000003</v>
      </c>
      <c r="S717" s="12">
        <v>13</v>
      </c>
      <c r="T717" s="12">
        <v>7.3999999999999986</v>
      </c>
      <c r="U717" s="14">
        <v>30.55</v>
      </c>
      <c r="V717" s="17">
        <v>569.23076923076906</v>
      </c>
      <c r="W717" s="14">
        <v>39.599752923076913</v>
      </c>
      <c r="X717">
        <f t="shared" si="22"/>
        <v>17.100000000000001</v>
      </c>
      <c r="Y717">
        <f t="shared" si="23"/>
        <v>39.599752923076913</v>
      </c>
    </row>
    <row r="718" spans="1:25">
      <c r="A718" s="12" t="s">
        <v>335</v>
      </c>
      <c r="B718" s="12" t="s">
        <v>371</v>
      </c>
      <c r="C718" s="12">
        <v>245</v>
      </c>
      <c r="D718" s="12">
        <v>2.35</v>
      </c>
      <c r="E718" s="12" t="s">
        <v>411</v>
      </c>
      <c r="F718" s="13">
        <v>41687</v>
      </c>
      <c r="G718" s="12">
        <v>59.2</v>
      </c>
      <c r="I718" s="13">
        <v>41716</v>
      </c>
      <c r="J718" s="12">
        <v>58</v>
      </c>
      <c r="L718" s="12">
        <v>29</v>
      </c>
      <c r="M718" s="12">
        <v>-1.2000000000000028</v>
      </c>
      <c r="O718" s="17">
        <v>68.150000000000006</v>
      </c>
      <c r="P718" s="17"/>
      <c r="Q718" s="17">
        <v>-41.37931034482768</v>
      </c>
      <c r="R718" s="14">
        <v>9.8686739999999951</v>
      </c>
      <c r="S718" s="12">
        <v>13</v>
      </c>
      <c r="T718" s="12">
        <v>-0.79999999999999716</v>
      </c>
      <c r="U718" s="14">
        <v>30.55</v>
      </c>
      <c r="V718" s="17">
        <v>-61.53846153846132</v>
      </c>
      <c r="W718" s="14">
        <v>8.8748278461538561</v>
      </c>
      <c r="X718">
        <f t="shared" si="22"/>
        <v>17.100000000000001</v>
      </c>
      <c r="Y718">
        <f t="shared" si="23"/>
        <v>8.8748278461538561</v>
      </c>
    </row>
    <row r="719" spans="1:25">
      <c r="A719" s="12" t="s">
        <v>335</v>
      </c>
      <c r="B719" s="12" t="s">
        <v>371</v>
      </c>
      <c r="C719" s="12">
        <v>245</v>
      </c>
      <c r="D719" s="12">
        <v>2.35</v>
      </c>
      <c r="E719" s="12" t="s">
        <v>412</v>
      </c>
      <c r="F719" s="13">
        <v>41687</v>
      </c>
      <c r="G719" s="12">
        <v>52</v>
      </c>
      <c r="I719" s="13">
        <v>41716</v>
      </c>
      <c r="J719" s="12">
        <v>59.5</v>
      </c>
      <c r="L719" s="12">
        <v>29</v>
      </c>
      <c r="M719" s="12">
        <v>7.5</v>
      </c>
      <c r="O719" s="17">
        <v>68.150000000000006</v>
      </c>
      <c r="P719" s="17"/>
      <c r="Q719" s="17">
        <v>258.62068965517244</v>
      </c>
      <c r="R719" s="14">
        <v>24.176767499999997</v>
      </c>
      <c r="S719" s="12">
        <v>13</v>
      </c>
      <c r="T719" s="12">
        <v>6.5</v>
      </c>
      <c r="U719" s="14">
        <v>30.55</v>
      </c>
      <c r="V719" s="17">
        <v>500</v>
      </c>
      <c r="W719" s="14">
        <v>36.076767499999995</v>
      </c>
      <c r="X719">
        <f t="shared" si="22"/>
        <v>17.100000000000001</v>
      </c>
      <c r="Y719">
        <f t="shared" si="23"/>
        <v>36.076767499999995</v>
      </c>
    </row>
    <row r="720" spans="1:25">
      <c r="A720" s="12" t="s">
        <v>335</v>
      </c>
      <c r="B720" s="12" t="s">
        <v>371</v>
      </c>
      <c r="C720" s="12">
        <v>245</v>
      </c>
      <c r="D720" s="12">
        <v>2.35</v>
      </c>
      <c r="E720" s="12" t="s">
        <v>413</v>
      </c>
      <c r="F720" s="13">
        <v>41687</v>
      </c>
      <c r="G720" s="12">
        <v>60.6</v>
      </c>
      <c r="I720" s="13">
        <v>41716</v>
      </c>
      <c r="J720" s="12">
        <v>62.5</v>
      </c>
      <c r="L720" s="12">
        <v>29</v>
      </c>
      <c r="M720" s="12">
        <v>1.8999999999999986</v>
      </c>
      <c r="O720" s="17">
        <v>68.150000000000006</v>
      </c>
      <c r="P720" s="17"/>
      <c r="Q720" s="17">
        <v>65.517241379310292</v>
      </c>
      <c r="R720" s="14">
        <v>15.637489499999996</v>
      </c>
      <c r="S720" s="12">
        <v>13</v>
      </c>
      <c r="T720" s="12">
        <v>6.2999999999999972</v>
      </c>
      <c r="U720" s="14">
        <v>30.55</v>
      </c>
      <c r="V720" s="17">
        <v>484.61538461538441</v>
      </c>
      <c r="W720" s="14">
        <v>36.299027961538449</v>
      </c>
      <c r="X720">
        <f t="shared" si="22"/>
        <v>17.100000000000001</v>
      </c>
      <c r="Y720">
        <f t="shared" si="23"/>
        <v>36.299027961538449</v>
      </c>
    </row>
    <row r="721" spans="1:25">
      <c r="A721" s="12" t="s">
        <v>335</v>
      </c>
      <c r="B721" s="12" t="s">
        <v>371</v>
      </c>
      <c r="C721" s="12">
        <v>245</v>
      </c>
      <c r="D721" s="12">
        <v>2.35</v>
      </c>
      <c r="E721" s="12" t="s">
        <v>414</v>
      </c>
      <c r="F721" s="13">
        <v>41687</v>
      </c>
      <c r="G721" s="12">
        <v>51.2</v>
      </c>
      <c r="I721" s="13">
        <v>41716</v>
      </c>
      <c r="J721" s="12">
        <v>55</v>
      </c>
      <c r="L721" s="12">
        <v>29</v>
      </c>
      <c r="M721" s="12">
        <v>3.7999999999999972</v>
      </c>
      <c r="O721" s="17">
        <v>68.150000000000006</v>
      </c>
      <c r="P721" s="17"/>
      <c r="Q721" s="17">
        <v>131.03448275862058</v>
      </c>
      <c r="R721" s="14">
        <v>17.438678999999993</v>
      </c>
      <c r="S721" s="12">
        <v>13</v>
      </c>
      <c r="T721" s="12">
        <v>5.6000000000000014</v>
      </c>
      <c r="U721" s="14">
        <v>30.55</v>
      </c>
      <c r="V721" s="17">
        <v>430.76923076923089</v>
      </c>
      <c r="W721" s="14">
        <v>32.215602076923084</v>
      </c>
      <c r="X721">
        <f t="shared" si="22"/>
        <v>17.100000000000001</v>
      </c>
      <c r="Y721">
        <f t="shared" si="23"/>
        <v>32.215602076923084</v>
      </c>
    </row>
    <row r="722" spans="1:25">
      <c r="A722" s="12" t="s">
        <v>335</v>
      </c>
      <c r="B722" s="12" t="s">
        <v>371</v>
      </c>
      <c r="C722" s="12">
        <v>245</v>
      </c>
      <c r="D722" s="12">
        <v>2.35</v>
      </c>
      <c r="E722" s="12" t="s">
        <v>415</v>
      </c>
      <c r="F722" s="13">
        <v>41687</v>
      </c>
      <c r="G722" s="12">
        <v>63.4</v>
      </c>
      <c r="I722" s="13">
        <v>41716</v>
      </c>
      <c r="J722" s="12">
        <v>71</v>
      </c>
      <c r="L722" s="12">
        <v>29</v>
      </c>
      <c r="M722" s="12">
        <v>7.6000000000000014</v>
      </c>
      <c r="O722" s="17">
        <v>68.150000000000006</v>
      </c>
      <c r="P722" s="17"/>
      <c r="Q722" s="17">
        <v>262.06896551724139</v>
      </c>
      <c r="R722" s="14">
        <v>26.282848000000001</v>
      </c>
      <c r="S722" s="12">
        <v>13</v>
      </c>
      <c r="T722" s="12">
        <v>7</v>
      </c>
      <c r="U722" s="14">
        <v>30.55</v>
      </c>
      <c r="V722" s="17">
        <v>538.46153846153845</v>
      </c>
      <c r="W722" s="14">
        <v>39.909001846153842</v>
      </c>
      <c r="X722">
        <f t="shared" si="22"/>
        <v>17.100000000000001</v>
      </c>
      <c r="Y722">
        <f t="shared" si="23"/>
        <v>39.909001846153842</v>
      </c>
    </row>
    <row r="723" spans="1:25">
      <c r="A723" s="12" t="s">
        <v>335</v>
      </c>
      <c r="B723" s="12" t="s">
        <v>371</v>
      </c>
      <c r="C723" s="12">
        <v>245</v>
      </c>
      <c r="D723" s="12">
        <v>2.35</v>
      </c>
      <c r="E723" s="12" t="s">
        <v>416</v>
      </c>
      <c r="F723" s="13">
        <v>41687</v>
      </c>
      <c r="G723" s="12">
        <v>57.4</v>
      </c>
      <c r="I723" s="13">
        <v>41716</v>
      </c>
      <c r="J723" s="12">
        <v>60</v>
      </c>
      <c r="L723" s="12">
        <v>29</v>
      </c>
      <c r="M723" s="12">
        <v>2.6000000000000014</v>
      </c>
      <c r="O723" s="17">
        <v>68.150000000000006</v>
      </c>
      <c r="P723" s="17"/>
      <c r="Q723" s="17">
        <v>89.655172413793153</v>
      </c>
      <c r="R723" s="14">
        <v>16.345583000000001</v>
      </c>
      <c r="S723" s="12">
        <v>13</v>
      </c>
      <c r="T723" s="12">
        <v>4.6000000000000014</v>
      </c>
      <c r="U723" s="14">
        <v>30.55</v>
      </c>
      <c r="V723" s="17">
        <v>353.84615384615398</v>
      </c>
      <c r="W723" s="14">
        <v>29.370198384615389</v>
      </c>
      <c r="X723">
        <f t="shared" si="22"/>
        <v>17.100000000000001</v>
      </c>
      <c r="Y723">
        <f t="shared" si="23"/>
        <v>29.370198384615389</v>
      </c>
    </row>
    <row r="724" spans="1:25">
      <c r="A724" s="12" t="s">
        <v>335</v>
      </c>
      <c r="B724" s="12" t="s">
        <v>371</v>
      </c>
      <c r="C724" s="12">
        <v>245</v>
      </c>
      <c r="D724" s="12">
        <v>2.35</v>
      </c>
      <c r="E724" s="12" t="s">
        <v>417</v>
      </c>
      <c r="F724" s="13">
        <v>41687</v>
      </c>
      <c r="G724" s="12">
        <v>56.8</v>
      </c>
      <c r="I724" s="13">
        <v>41716</v>
      </c>
      <c r="J724" s="12">
        <v>63</v>
      </c>
      <c r="L724" s="12">
        <v>29</v>
      </c>
      <c r="M724" s="12">
        <v>6.2000000000000028</v>
      </c>
      <c r="O724" s="17">
        <v>68.150000000000006</v>
      </c>
      <c r="P724" s="17"/>
      <c r="Q724" s="17">
        <v>213.79310344827596</v>
      </c>
      <c r="R724" s="14">
        <v>22.668491000000003</v>
      </c>
      <c r="S724" s="12">
        <v>13</v>
      </c>
      <c r="T724" s="12">
        <v>3.7999999999999972</v>
      </c>
      <c r="U724" s="14">
        <v>30.55</v>
      </c>
      <c r="V724" s="17">
        <v>292.30769230769209</v>
      </c>
      <c r="W724" s="14">
        <v>26.539260230769216</v>
      </c>
      <c r="X724">
        <f t="shared" si="22"/>
        <v>17.100000000000001</v>
      </c>
      <c r="Y724">
        <f t="shared" si="23"/>
        <v>26.539260230769216</v>
      </c>
    </row>
    <row r="725" spans="1:25">
      <c r="A725" s="12" t="s">
        <v>335</v>
      </c>
      <c r="B725" s="12" t="s">
        <v>371</v>
      </c>
      <c r="C725" s="12">
        <v>245</v>
      </c>
      <c r="D725" s="12">
        <v>2.35</v>
      </c>
      <c r="E725" s="12" t="s">
        <v>418</v>
      </c>
      <c r="F725" s="13">
        <v>41687</v>
      </c>
      <c r="G725" s="12">
        <v>54.4</v>
      </c>
      <c r="I725" s="13">
        <v>41716</v>
      </c>
      <c r="J725" s="12">
        <v>59</v>
      </c>
      <c r="L725" s="12">
        <v>29</v>
      </c>
      <c r="M725" s="12">
        <v>4.6000000000000014</v>
      </c>
      <c r="O725" s="17">
        <v>68.150000000000006</v>
      </c>
      <c r="P725" s="17"/>
      <c r="Q725" s="17">
        <v>158.62068965517244</v>
      </c>
      <c r="R725" s="14">
        <v>19.407403000000002</v>
      </c>
      <c r="S725" s="12">
        <v>13</v>
      </c>
      <c r="T725" s="12">
        <v>3.3999999999999986</v>
      </c>
      <c r="U725" s="14">
        <v>30.55</v>
      </c>
      <c r="V725" s="17">
        <v>261.53846153846143</v>
      </c>
      <c r="W725" s="14">
        <v>24.48124915384615</v>
      </c>
      <c r="X725">
        <f t="shared" si="22"/>
        <v>17.100000000000001</v>
      </c>
      <c r="Y725">
        <f t="shared" si="23"/>
        <v>24.48124915384615</v>
      </c>
    </row>
    <row r="726" spans="1:25">
      <c r="A726" s="12" t="s">
        <v>335</v>
      </c>
      <c r="B726" s="12" t="s">
        <v>371</v>
      </c>
      <c r="C726" s="12">
        <v>245</v>
      </c>
      <c r="D726" s="12">
        <v>2.35</v>
      </c>
      <c r="E726" s="12" t="s">
        <v>419</v>
      </c>
      <c r="F726" s="13">
        <v>41687</v>
      </c>
      <c r="G726" s="12">
        <v>52.4</v>
      </c>
      <c r="I726" s="13">
        <v>41716</v>
      </c>
      <c r="J726" s="12">
        <v>58.5</v>
      </c>
      <c r="L726" s="12">
        <v>29</v>
      </c>
      <c r="M726" s="12">
        <v>6.1000000000000014</v>
      </c>
      <c r="O726" s="17">
        <v>68.150000000000006</v>
      </c>
      <c r="P726" s="17"/>
      <c r="Q726" s="17">
        <v>210.34482758620695</v>
      </c>
      <c r="R726" s="14">
        <v>21.746040500000003</v>
      </c>
      <c r="S726" s="12">
        <v>13</v>
      </c>
      <c r="T726" s="12">
        <v>3.5</v>
      </c>
      <c r="U726" s="14">
        <v>30.55</v>
      </c>
      <c r="V726" s="17">
        <v>269.23076923076923</v>
      </c>
      <c r="W726" s="14">
        <v>24.649117423076923</v>
      </c>
      <c r="X726">
        <f t="shared" si="22"/>
        <v>17.100000000000001</v>
      </c>
      <c r="Y726">
        <f t="shared" si="23"/>
        <v>24.649117423076923</v>
      </c>
    </row>
    <row r="727" spans="1:25">
      <c r="A727" s="12" t="s">
        <v>335</v>
      </c>
      <c r="B727" s="12" t="s">
        <v>371</v>
      </c>
      <c r="C727" s="12">
        <v>245</v>
      </c>
      <c r="D727" s="12">
        <v>2.35</v>
      </c>
      <c r="E727" s="12" t="s">
        <v>420</v>
      </c>
      <c r="F727" s="13">
        <v>41687</v>
      </c>
      <c r="G727" s="12">
        <v>52.8</v>
      </c>
      <c r="I727" s="13">
        <v>41716</v>
      </c>
      <c r="J727" s="12">
        <v>56</v>
      </c>
      <c r="L727" s="12">
        <v>29</v>
      </c>
      <c r="M727" s="12">
        <v>3.2000000000000028</v>
      </c>
      <c r="O727" s="17">
        <v>68.150000000000006</v>
      </c>
      <c r="P727" s="17"/>
      <c r="Q727" s="17">
        <v>110.34482758620699</v>
      </c>
      <c r="R727" s="14">
        <v>16.638496000000004</v>
      </c>
      <c r="S727" s="12">
        <v>13</v>
      </c>
      <c r="T727" s="12">
        <v>5.3999999999999986</v>
      </c>
      <c r="U727" s="14">
        <v>30.55</v>
      </c>
      <c r="V727" s="17">
        <v>415.3846153846153</v>
      </c>
      <c r="W727" s="14">
        <v>31.676957538461533</v>
      </c>
      <c r="X727">
        <f t="shared" si="22"/>
        <v>17.100000000000001</v>
      </c>
      <c r="Y727">
        <f t="shared" si="23"/>
        <v>31.676957538461537</v>
      </c>
    </row>
    <row r="728" spans="1:25">
      <c r="A728" s="12" t="s">
        <v>335</v>
      </c>
      <c r="B728" s="12" t="s">
        <v>371</v>
      </c>
      <c r="C728" s="12">
        <v>245</v>
      </c>
      <c r="D728" s="12">
        <v>2.35</v>
      </c>
      <c r="E728" s="12" t="s">
        <v>421</v>
      </c>
      <c r="F728" s="13">
        <v>41687</v>
      </c>
      <c r="G728" s="12">
        <v>54.4</v>
      </c>
      <c r="I728" s="13">
        <v>41716</v>
      </c>
      <c r="J728" s="12">
        <v>63</v>
      </c>
      <c r="L728" s="12">
        <v>29</v>
      </c>
      <c r="M728" s="12">
        <v>8.6000000000000014</v>
      </c>
      <c r="O728" s="17">
        <v>68.150000000000006</v>
      </c>
      <c r="P728" s="17"/>
      <c r="Q728" s="17">
        <v>296.55172413793105</v>
      </c>
      <c r="R728" s="14">
        <v>26.545583000000001</v>
      </c>
      <c r="S728" s="12">
        <v>13</v>
      </c>
      <c r="T728" s="12">
        <v>4.7999999999999972</v>
      </c>
      <c r="U728" s="14">
        <v>30.55</v>
      </c>
      <c r="V728" s="17">
        <v>369.23076923076906</v>
      </c>
      <c r="W728" s="14">
        <v>30.128659923076913</v>
      </c>
      <c r="X728">
        <f t="shared" si="22"/>
        <v>17.100000000000001</v>
      </c>
      <c r="Y728">
        <f t="shared" si="23"/>
        <v>30.128659923076913</v>
      </c>
    </row>
    <row r="729" spans="1:25">
      <c r="A729" s="12" t="s">
        <v>335</v>
      </c>
      <c r="B729" s="12" t="s">
        <v>371</v>
      </c>
      <c r="C729" s="12">
        <v>245</v>
      </c>
      <c r="D729" s="12">
        <v>2.35</v>
      </c>
      <c r="E729" s="12" t="s">
        <v>422</v>
      </c>
      <c r="F729" s="13">
        <v>41687</v>
      </c>
      <c r="G729" s="12">
        <v>57</v>
      </c>
      <c r="I729" s="13">
        <v>41716</v>
      </c>
      <c r="J729" s="12">
        <v>53</v>
      </c>
      <c r="L729" s="12">
        <v>29</v>
      </c>
      <c r="M729" s="12">
        <v>-4</v>
      </c>
      <c r="O729" s="17">
        <v>68.150000000000006</v>
      </c>
      <c r="P729" s="17"/>
      <c r="Q729" s="17">
        <v>-137.93103448275861</v>
      </c>
      <c r="R729" s="14">
        <v>4.4999499999999992</v>
      </c>
      <c r="S729" s="12">
        <v>13</v>
      </c>
      <c r="T729" s="12">
        <v>0</v>
      </c>
      <c r="U729" s="14">
        <v>30.55</v>
      </c>
      <c r="V729" s="17">
        <v>0</v>
      </c>
      <c r="W729" s="14">
        <v>11.299949999999999</v>
      </c>
      <c r="X729">
        <f t="shared" si="22"/>
        <v>17.100000000000001</v>
      </c>
      <c r="Y729">
        <f t="shared" si="23"/>
        <v>11.299949999999999</v>
      </c>
    </row>
    <row r="730" spans="1:25">
      <c r="A730" s="12" t="s">
        <v>335</v>
      </c>
      <c r="B730" s="12" t="s">
        <v>371</v>
      </c>
      <c r="C730" s="12">
        <v>245</v>
      </c>
      <c r="D730" s="12">
        <v>2.35</v>
      </c>
      <c r="E730" s="12" t="s">
        <v>423</v>
      </c>
      <c r="F730" s="13">
        <v>41687</v>
      </c>
      <c r="G730" s="12">
        <v>54.2</v>
      </c>
      <c r="I730" s="13">
        <v>41716</v>
      </c>
      <c r="J730" s="12">
        <v>60.5</v>
      </c>
      <c r="L730" s="12">
        <v>29</v>
      </c>
      <c r="M730" s="12">
        <v>6.2999999999999972</v>
      </c>
      <c r="O730" s="17">
        <v>68.150000000000006</v>
      </c>
      <c r="P730" s="17"/>
      <c r="Q730" s="17">
        <v>217.24137931034474</v>
      </c>
      <c r="R730" s="14">
        <v>22.407311499999995</v>
      </c>
      <c r="S730" s="12">
        <v>13</v>
      </c>
      <c r="T730" s="12">
        <v>4.8999999999999986</v>
      </c>
      <c r="U730" s="14">
        <v>30.55</v>
      </c>
      <c r="V730" s="17">
        <v>376.92307692307679</v>
      </c>
      <c r="W730" s="14">
        <v>30.279619192307685</v>
      </c>
      <c r="X730">
        <f t="shared" si="22"/>
        <v>17.100000000000001</v>
      </c>
      <c r="Y730">
        <f t="shared" si="23"/>
        <v>30.279619192307685</v>
      </c>
    </row>
    <row r="731" spans="1:25">
      <c r="A731" s="12" t="s">
        <v>335</v>
      </c>
      <c r="B731" s="12" t="s">
        <v>371</v>
      </c>
      <c r="C731" s="12">
        <v>245</v>
      </c>
      <c r="D731" s="12">
        <v>2.35</v>
      </c>
      <c r="E731" s="12" t="s">
        <v>424</v>
      </c>
      <c r="F731" s="13">
        <v>41687</v>
      </c>
      <c r="G731" s="12">
        <v>54.4</v>
      </c>
      <c r="I731" s="13">
        <v>41716</v>
      </c>
      <c r="J731" s="12">
        <v>59.5</v>
      </c>
      <c r="L731" s="12">
        <v>29</v>
      </c>
      <c r="M731" s="12">
        <v>5.1000000000000014</v>
      </c>
      <c r="O731" s="17">
        <v>68.150000000000006</v>
      </c>
      <c r="P731" s="17"/>
      <c r="Q731" s="17">
        <v>175.8620689655173</v>
      </c>
      <c r="R731" s="14">
        <v>20.299675499999999</v>
      </c>
      <c r="S731" s="12">
        <v>13</v>
      </c>
      <c r="T731" s="12">
        <v>5.2999999999999972</v>
      </c>
      <c r="U731" s="14">
        <v>30.55</v>
      </c>
      <c r="V731" s="17">
        <v>407.69230769230745</v>
      </c>
      <c r="W731" s="14">
        <v>31.728906269230755</v>
      </c>
      <c r="X731">
        <f t="shared" si="22"/>
        <v>17.100000000000001</v>
      </c>
      <c r="Y731">
        <f t="shared" si="23"/>
        <v>31.728906269230755</v>
      </c>
    </row>
    <row r="732" spans="1:25">
      <c r="A732" s="12" t="s">
        <v>335</v>
      </c>
      <c r="B732" s="12" t="s">
        <v>425</v>
      </c>
      <c r="C732" s="12">
        <v>161</v>
      </c>
      <c r="D732" s="12">
        <v>2.36</v>
      </c>
      <c r="E732" s="12" t="s">
        <v>426</v>
      </c>
      <c r="F732" s="13">
        <v>41687</v>
      </c>
      <c r="G732" s="12">
        <v>53.2</v>
      </c>
      <c r="I732" s="13">
        <v>41716</v>
      </c>
      <c r="J732" s="12">
        <v>58.5</v>
      </c>
      <c r="L732" s="12">
        <v>29</v>
      </c>
      <c r="M732" s="12">
        <v>5.2999999999999972</v>
      </c>
      <c r="O732" s="17">
        <v>68.44</v>
      </c>
      <c r="P732" s="17"/>
      <c r="Q732" s="17">
        <v>182.75862068965506</v>
      </c>
      <c r="R732" s="14">
        <v>20.453676499999993</v>
      </c>
      <c r="S732" s="12">
        <v>13</v>
      </c>
      <c r="T732" s="12">
        <v>-0.10000000000000142</v>
      </c>
      <c r="U732" s="14">
        <v>30.68</v>
      </c>
      <c r="V732" s="17">
        <v>-7.6923076923078018</v>
      </c>
      <c r="W732" s="14">
        <v>11.064445730769226</v>
      </c>
      <c r="X732">
        <f t="shared" si="22"/>
        <v>17.100000000000001</v>
      </c>
      <c r="Y732">
        <f t="shared" si="23"/>
        <v>11.064445730769226</v>
      </c>
    </row>
    <row r="733" spans="1:25">
      <c r="A733" s="12" t="s">
        <v>335</v>
      </c>
      <c r="B733" s="12" t="s">
        <v>425</v>
      </c>
      <c r="C733" s="12">
        <v>161</v>
      </c>
      <c r="D733" s="12">
        <v>2.36</v>
      </c>
      <c r="E733" s="12" t="s">
        <v>427</v>
      </c>
      <c r="F733" s="13">
        <v>41687</v>
      </c>
      <c r="G733" s="12">
        <v>54.4</v>
      </c>
      <c r="I733" s="13">
        <v>41716</v>
      </c>
      <c r="J733" s="12">
        <v>60</v>
      </c>
      <c r="L733" s="12">
        <v>29</v>
      </c>
      <c r="M733" s="12">
        <v>5.6000000000000014</v>
      </c>
      <c r="O733" s="17">
        <v>68.44</v>
      </c>
      <c r="P733" s="17"/>
      <c r="Q733" s="17">
        <v>193.10344827586212</v>
      </c>
      <c r="R733" s="14">
        <v>21.191948000000004</v>
      </c>
      <c r="S733" s="12">
        <v>13</v>
      </c>
      <c r="T733" s="12">
        <v>0.20000000000000284</v>
      </c>
      <c r="U733" s="14">
        <v>30.68</v>
      </c>
      <c r="V733" s="17">
        <v>15.384615384615604</v>
      </c>
      <c r="W733" s="14">
        <v>12.43040953846155</v>
      </c>
      <c r="X733">
        <f t="shared" si="22"/>
        <v>17.100000000000001</v>
      </c>
      <c r="Y733">
        <f t="shared" si="23"/>
        <v>12.43040953846155</v>
      </c>
    </row>
    <row r="734" spans="1:25">
      <c r="A734" s="12" t="s">
        <v>335</v>
      </c>
      <c r="B734" s="12" t="s">
        <v>425</v>
      </c>
      <c r="C734" s="12">
        <v>161</v>
      </c>
      <c r="D734" s="12">
        <v>2.36</v>
      </c>
      <c r="E734" s="12" t="s">
        <v>428</v>
      </c>
      <c r="F734" s="13">
        <v>41687</v>
      </c>
      <c r="G734" s="12">
        <v>53.2</v>
      </c>
      <c r="I734" s="13">
        <v>41716</v>
      </c>
      <c r="J734" s="12">
        <v>60</v>
      </c>
      <c r="L734" s="12">
        <v>29</v>
      </c>
      <c r="M734" s="12">
        <v>6.7999999999999972</v>
      </c>
      <c r="O734" s="17">
        <v>68.44</v>
      </c>
      <c r="P734" s="17"/>
      <c r="Q734" s="17">
        <v>234.48275862068957</v>
      </c>
      <c r="R734" s="14">
        <v>23.130493999999995</v>
      </c>
      <c r="S734" s="12">
        <v>13</v>
      </c>
      <c r="T734" s="12">
        <v>0</v>
      </c>
      <c r="U734" s="14">
        <v>30.68</v>
      </c>
      <c r="V734" s="17">
        <v>0</v>
      </c>
      <c r="W734" s="14">
        <v>11.570494</v>
      </c>
      <c r="X734">
        <f t="shared" si="22"/>
        <v>17.100000000000001</v>
      </c>
      <c r="Y734">
        <f t="shared" si="23"/>
        <v>11.570494</v>
      </c>
    </row>
    <row r="735" spans="1:25">
      <c r="A735" s="12" t="s">
        <v>335</v>
      </c>
      <c r="B735" s="12" t="s">
        <v>425</v>
      </c>
      <c r="C735" s="12">
        <v>161</v>
      </c>
      <c r="D735" s="12">
        <v>2.36</v>
      </c>
      <c r="E735" s="12" t="s">
        <v>429</v>
      </c>
      <c r="F735" s="13">
        <v>41687</v>
      </c>
      <c r="G735" s="12">
        <v>52.4</v>
      </c>
      <c r="I735" s="13">
        <v>41716</v>
      </c>
      <c r="J735" s="12">
        <v>57.5</v>
      </c>
      <c r="L735" s="12">
        <v>29</v>
      </c>
      <c r="M735" s="12">
        <v>5.1000000000000014</v>
      </c>
      <c r="O735" s="17">
        <v>68.44</v>
      </c>
      <c r="P735" s="17"/>
      <c r="Q735" s="17">
        <v>175.8620689655173</v>
      </c>
      <c r="R735" s="14">
        <v>19.961495500000002</v>
      </c>
      <c r="S735" s="12">
        <v>13</v>
      </c>
      <c r="T735" s="12">
        <v>-0.29999999999999716</v>
      </c>
      <c r="U735" s="14">
        <v>30.68</v>
      </c>
      <c r="V735" s="17">
        <v>-23.07692307692286</v>
      </c>
      <c r="W735" s="14">
        <v>10.153803192307702</v>
      </c>
      <c r="X735">
        <f t="shared" si="22"/>
        <v>17.100000000000001</v>
      </c>
      <c r="Y735">
        <f t="shared" si="23"/>
        <v>10.153803192307702</v>
      </c>
    </row>
    <row r="736" spans="1:25">
      <c r="A736" s="12" t="s">
        <v>335</v>
      </c>
      <c r="B736" s="12" t="s">
        <v>425</v>
      </c>
      <c r="C736" s="12">
        <v>161</v>
      </c>
      <c r="D736" s="12">
        <v>2.36</v>
      </c>
      <c r="E736" s="12" t="s">
        <v>430</v>
      </c>
      <c r="F736" s="13">
        <v>41687</v>
      </c>
      <c r="G736" s="12">
        <v>54.8</v>
      </c>
      <c r="I736" s="13">
        <v>41716</v>
      </c>
      <c r="J736" s="12">
        <v>64.5</v>
      </c>
      <c r="L736" s="12">
        <v>29</v>
      </c>
      <c r="M736" s="12">
        <v>9.7000000000000028</v>
      </c>
      <c r="O736" s="17">
        <v>68.44</v>
      </c>
      <c r="P736" s="17"/>
      <c r="Q736" s="17">
        <v>334.48275862068976</v>
      </c>
      <c r="R736" s="14">
        <v>28.576218500000003</v>
      </c>
      <c r="S736" s="12">
        <v>13</v>
      </c>
      <c r="T736" s="12">
        <v>1.7000000000000028</v>
      </c>
      <c r="U736" s="14">
        <v>30.68</v>
      </c>
      <c r="V736" s="17">
        <v>130.769230769231</v>
      </c>
      <c r="W736" s="14">
        <v>18.533141576923086</v>
      </c>
      <c r="X736">
        <f t="shared" si="22"/>
        <v>17.100000000000001</v>
      </c>
      <c r="Y736">
        <f t="shared" si="23"/>
        <v>18.533141576923086</v>
      </c>
    </row>
    <row r="737" spans="1:25">
      <c r="A737" s="12" t="s">
        <v>335</v>
      </c>
      <c r="B737" s="12" t="s">
        <v>425</v>
      </c>
      <c r="C737" s="12">
        <v>161</v>
      </c>
      <c r="D737" s="12">
        <v>2.36</v>
      </c>
      <c r="E737" s="12" t="s">
        <v>431</v>
      </c>
      <c r="F737" s="13">
        <v>41687</v>
      </c>
      <c r="G737" s="12">
        <v>54.6</v>
      </c>
      <c r="I737" s="13">
        <v>41716</v>
      </c>
      <c r="J737" s="12">
        <v>62.5</v>
      </c>
      <c r="L737" s="12">
        <v>29</v>
      </c>
      <c r="M737" s="12">
        <v>7.8999999999999986</v>
      </c>
      <c r="O737" s="17">
        <v>68.44</v>
      </c>
      <c r="P737" s="17"/>
      <c r="Q737" s="17">
        <v>272.4137931034482</v>
      </c>
      <c r="R737" s="14">
        <v>25.330219499999995</v>
      </c>
      <c r="S737" s="12">
        <v>13</v>
      </c>
      <c r="T737" s="12">
        <v>0.70000000000000284</v>
      </c>
      <c r="U737" s="14">
        <v>30.68</v>
      </c>
      <c r="V737" s="17">
        <v>53.846153846154067</v>
      </c>
      <c r="W737" s="14">
        <v>14.554834884615394</v>
      </c>
      <c r="X737">
        <f t="shared" si="22"/>
        <v>17.100000000000001</v>
      </c>
      <c r="Y737">
        <f t="shared" si="23"/>
        <v>14.554834884615394</v>
      </c>
    </row>
    <row r="738" spans="1:25">
      <c r="A738" s="12" t="s">
        <v>335</v>
      </c>
      <c r="B738" s="12" t="s">
        <v>425</v>
      </c>
      <c r="C738" s="12">
        <v>161</v>
      </c>
      <c r="D738" s="12">
        <v>2.36</v>
      </c>
      <c r="E738" s="12" t="s">
        <v>432</v>
      </c>
      <c r="F738" s="13">
        <v>41687</v>
      </c>
      <c r="G738" s="12">
        <v>50.6</v>
      </c>
      <c r="I738" s="13">
        <v>41716</v>
      </c>
      <c r="J738" s="12">
        <v>57</v>
      </c>
      <c r="L738" s="12">
        <v>29</v>
      </c>
      <c r="M738" s="12">
        <v>6.3999999999999986</v>
      </c>
      <c r="O738" s="17">
        <v>68.44</v>
      </c>
      <c r="P738" s="17"/>
      <c r="Q738" s="17">
        <v>220.68965517241372</v>
      </c>
      <c r="R738" s="14">
        <v>21.977041999999997</v>
      </c>
      <c r="S738" s="12">
        <v>13</v>
      </c>
      <c r="T738" s="12">
        <v>-0.39999999999999858</v>
      </c>
      <c r="U738" s="14">
        <v>30.68</v>
      </c>
      <c r="V738" s="17">
        <v>-30.76923076923066</v>
      </c>
      <c r="W738" s="14">
        <v>9.5801189230769275</v>
      </c>
      <c r="X738">
        <f t="shared" si="22"/>
        <v>17.100000000000001</v>
      </c>
      <c r="Y738">
        <f t="shared" si="23"/>
        <v>9.5801189230769275</v>
      </c>
    </row>
    <row r="739" spans="1:25">
      <c r="A739" s="12" t="s">
        <v>335</v>
      </c>
      <c r="B739" s="12" t="s">
        <v>425</v>
      </c>
      <c r="C739" s="12">
        <v>161</v>
      </c>
      <c r="D739" s="12">
        <v>2.36</v>
      </c>
      <c r="E739" s="12" t="s">
        <v>433</v>
      </c>
      <c r="F739" s="13">
        <v>41687</v>
      </c>
      <c r="G739" s="12">
        <v>54.6</v>
      </c>
      <c r="I739" s="13">
        <v>41716</v>
      </c>
      <c r="J739" s="12">
        <v>62.5</v>
      </c>
      <c r="L739" s="12">
        <v>29</v>
      </c>
      <c r="M739" s="12">
        <v>7.8999999999999986</v>
      </c>
      <c r="O739" s="17">
        <v>68.44</v>
      </c>
      <c r="P739" s="17"/>
      <c r="Q739" s="17">
        <v>272.4137931034482</v>
      </c>
      <c r="R739" s="14">
        <v>25.330219499999995</v>
      </c>
      <c r="S739" s="12">
        <v>13</v>
      </c>
      <c r="T739" s="12">
        <v>1.7000000000000028</v>
      </c>
      <c r="U739" s="14">
        <v>30.68</v>
      </c>
      <c r="V739" s="17">
        <v>130.769230769231</v>
      </c>
      <c r="W739" s="14">
        <v>18.347142576923087</v>
      </c>
      <c r="X739">
        <f t="shared" si="22"/>
        <v>17.100000000000001</v>
      </c>
      <c r="Y739">
        <f t="shared" si="23"/>
        <v>18.347142576923087</v>
      </c>
    </row>
    <row r="740" spans="1:25">
      <c r="A740" s="12" t="s">
        <v>335</v>
      </c>
      <c r="B740" s="12" t="s">
        <v>425</v>
      </c>
      <c r="C740" s="12">
        <v>161</v>
      </c>
      <c r="D740" s="12">
        <v>2.36</v>
      </c>
      <c r="E740" s="12" t="s">
        <v>434</v>
      </c>
      <c r="F740" s="13">
        <v>41687</v>
      </c>
      <c r="G740" s="12">
        <v>51</v>
      </c>
      <c r="I740" s="13">
        <v>41716</v>
      </c>
      <c r="J740" s="12">
        <v>58.5</v>
      </c>
      <c r="L740" s="12">
        <v>29</v>
      </c>
      <c r="M740" s="12">
        <v>7.5</v>
      </c>
      <c r="O740" s="17">
        <v>68.44</v>
      </c>
      <c r="P740" s="17"/>
      <c r="Q740" s="17">
        <v>258.62068965517244</v>
      </c>
      <c r="R740" s="14">
        <v>24.0076775</v>
      </c>
      <c r="S740" s="12">
        <v>13</v>
      </c>
      <c r="T740" s="12">
        <v>1.5</v>
      </c>
      <c r="U740" s="14">
        <v>30.68</v>
      </c>
      <c r="V740" s="17">
        <v>115.38461538461539</v>
      </c>
      <c r="W740" s="14">
        <v>16.946139038461538</v>
      </c>
      <c r="X740">
        <f t="shared" si="22"/>
        <v>17.100000000000001</v>
      </c>
      <c r="Y740">
        <f t="shared" si="23"/>
        <v>16.946139038461538</v>
      </c>
    </row>
    <row r="741" spans="1:25">
      <c r="A741" s="12" t="s">
        <v>335</v>
      </c>
      <c r="B741" s="12" t="s">
        <v>425</v>
      </c>
      <c r="C741" s="12">
        <v>161</v>
      </c>
      <c r="D741" s="12">
        <v>2.36</v>
      </c>
      <c r="E741" s="12" t="s">
        <v>435</v>
      </c>
      <c r="F741" s="13">
        <v>41687</v>
      </c>
      <c r="G741" s="12">
        <v>52.8</v>
      </c>
      <c r="I741" s="13">
        <v>41716</v>
      </c>
      <c r="J741" s="12">
        <v>59.5</v>
      </c>
      <c r="L741" s="12">
        <v>29</v>
      </c>
      <c r="M741" s="12">
        <v>6.7000000000000028</v>
      </c>
      <c r="O741" s="17">
        <v>68.44</v>
      </c>
      <c r="P741" s="17"/>
      <c r="Q741" s="17">
        <v>231.03448275862078</v>
      </c>
      <c r="R741" s="14">
        <v>22.884403500000005</v>
      </c>
      <c r="S741" s="12">
        <v>13</v>
      </c>
      <c r="T741" s="12">
        <v>1.8999999999999986</v>
      </c>
      <c r="U741" s="14">
        <v>30.68</v>
      </c>
      <c r="V741" s="17">
        <v>146.15384615384605</v>
      </c>
      <c r="W741" s="14">
        <v>18.699788115384607</v>
      </c>
      <c r="X741">
        <f t="shared" si="22"/>
        <v>17.100000000000001</v>
      </c>
      <c r="Y741">
        <f t="shared" si="23"/>
        <v>18.699788115384607</v>
      </c>
    </row>
    <row r="742" spans="1:25">
      <c r="A742" s="12" t="s">
        <v>335</v>
      </c>
      <c r="B742" s="12" t="s">
        <v>425</v>
      </c>
      <c r="C742" s="12">
        <v>161</v>
      </c>
      <c r="D742" s="12">
        <v>2.36</v>
      </c>
      <c r="E742" s="12" t="s">
        <v>436</v>
      </c>
      <c r="F742" s="13">
        <v>41687</v>
      </c>
      <c r="G742" s="12">
        <v>56.2</v>
      </c>
      <c r="I742" s="13">
        <v>41716</v>
      </c>
      <c r="J742" s="12">
        <v>62.5</v>
      </c>
      <c r="L742" s="12">
        <v>29</v>
      </c>
      <c r="M742" s="12">
        <v>6.2999999999999972</v>
      </c>
      <c r="O742" s="17">
        <v>68.44</v>
      </c>
      <c r="P742" s="17"/>
      <c r="Q742" s="17">
        <v>217.24137931034474</v>
      </c>
      <c r="R742" s="14">
        <v>22.745491499999993</v>
      </c>
      <c r="S742" s="12">
        <v>13</v>
      </c>
      <c r="T742" s="12">
        <v>-1.9000000000000057</v>
      </c>
      <c r="U742" s="14">
        <v>30.68</v>
      </c>
      <c r="V742" s="17">
        <v>-146.15384615384659</v>
      </c>
      <c r="W742" s="14">
        <v>4.830106884615363</v>
      </c>
      <c r="X742">
        <f t="shared" si="22"/>
        <v>17.100000000000001</v>
      </c>
      <c r="Y742">
        <f t="shared" si="23"/>
        <v>4.830106884615363</v>
      </c>
    </row>
    <row r="743" spans="1:25">
      <c r="A743" s="12" t="s">
        <v>335</v>
      </c>
      <c r="B743" s="12" t="s">
        <v>425</v>
      </c>
      <c r="C743" s="12">
        <v>161</v>
      </c>
      <c r="D743" s="12">
        <v>2.36</v>
      </c>
      <c r="E743" s="12" t="s">
        <v>437</v>
      </c>
      <c r="F743" s="13">
        <v>41687</v>
      </c>
      <c r="G743" s="12">
        <v>53.4</v>
      </c>
      <c r="I743" s="13">
        <v>41716</v>
      </c>
      <c r="J743" s="12">
        <v>56.5</v>
      </c>
      <c r="L743" s="12">
        <v>29</v>
      </c>
      <c r="M743" s="12">
        <v>3.1000000000000014</v>
      </c>
      <c r="O743" s="17">
        <v>68.44</v>
      </c>
      <c r="P743" s="17"/>
      <c r="Q743" s="17">
        <v>106.89655172413798</v>
      </c>
      <c r="R743" s="14">
        <v>16.561495500000003</v>
      </c>
      <c r="S743" s="12">
        <v>13</v>
      </c>
      <c r="T743" s="12">
        <v>-1.5</v>
      </c>
      <c r="U743" s="14">
        <v>30.68</v>
      </c>
      <c r="V743" s="17">
        <v>-115.38461538461539</v>
      </c>
      <c r="W743" s="14">
        <v>5.6030339615384612</v>
      </c>
      <c r="X743">
        <f t="shared" si="22"/>
        <v>17.100000000000001</v>
      </c>
      <c r="Y743">
        <f t="shared" si="23"/>
        <v>5.6030339615384612</v>
      </c>
    </row>
    <row r="744" spans="1:25">
      <c r="A744" s="12" t="s">
        <v>335</v>
      </c>
      <c r="B744" s="12" t="s">
        <v>425</v>
      </c>
      <c r="C744" s="12">
        <v>161</v>
      </c>
      <c r="D744" s="12">
        <v>2.36</v>
      </c>
      <c r="E744" s="12" t="s">
        <v>438</v>
      </c>
      <c r="F744" s="13">
        <v>41687</v>
      </c>
      <c r="G744" s="12">
        <v>55.4</v>
      </c>
      <c r="I744" s="13">
        <v>41716</v>
      </c>
      <c r="J744" s="12">
        <v>60.5</v>
      </c>
      <c r="L744" s="12">
        <v>29</v>
      </c>
      <c r="M744" s="12">
        <v>5.1000000000000014</v>
      </c>
      <c r="O744" s="17">
        <v>68.44</v>
      </c>
      <c r="P744" s="17"/>
      <c r="Q744" s="17">
        <v>175.8620689655173</v>
      </c>
      <c r="R744" s="14">
        <v>20.468765500000003</v>
      </c>
      <c r="S744" s="12">
        <v>13</v>
      </c>
      <c r="T744" s="12">
        <v>1.8999999999999986</v>
      </c>
      <c r="U744" s="14">
        <v>30.68</v>
      </c>
      <c r="V744" s="17">
        <v>146.15384615384605</v>
      </c>
      <c r="W744" s="14">
        <v>19.004150115384611</v>
      </c>
      <c r="X744">
        <f t="shared" si="22"/>
        <v>17.100000000000001</v>
      </c>
      <c r="Y744">
        <f t="shared" si="23"/>
        <v>19.004150115384611</v>
      </c>
    </row>
    <row r="745" spans="1:25">
      <c r="A745" s="12" t="s">
        <v>335</v>
      </c>
      <c r="B745" s="12" t="s">
        <v>425</v>
      </c>
      <c r="C745" s="12">
        <v>161</v>
      </c>
      <c r="D745" s="12">
        <v>2.36</v>
      </c>
      <c r="E745" s="12" t="s">
        <v>439</v>
      </c>
      <c r="F745" s="13">
        <v>41687</v>
      </c>
      <c r="G745" s="12">
        <v>61.2</v>
      </c>
      <c r="I745" s="13">
        <v>41716</v>
      </c>
      <c r="J745" s="12">
        <v>70</v>
      </c>
      <c r="L745" s="12">
        <v>29</v>
      </c>
      <c r="M745" s="12">
        <v>8.7999999999999972</v>
      </c>
      <c r="O745" s="17">
        <v>68.44</v>
      </c>
      <c r="P745" s="17"/>
      <c r="Q745" s="17">
        <v>303.44827586206884</v>
      </c>
      <c r="R745" s="14">
        <v>28.052303999999992</v>
      </c>
      <c r="S745" s="12">
        <v>13</v>
      </c>
      <c r="T745" s="12">
        <v>2.7999999999999972</v>
      </c>
      <c r="U745" s="14">
        <v>30.68</v>
      </c>
      <c r="V745" s="17">
        <v>215.38461538461519</v>
      </c>
      <c r="W745" s="14">
        <v>23.710765538461526</v>
      </c>
      <c r="X745">
        <f t="shared" si="22"/>
        <v>17.100000000000001</v>
      </c>
      <c r="Y745">
        <f t="shared" si="23"/>
        <v>23.710765538461526</v>
      </c>
    </row>
    <row r="746" spans="1:25">
      <c r="A746" s="12" t="s">
        <v>335</v>
      </c>
      <c r="B746" s="12" t="s">
        <v>425</v>
      </c>
      <c r="C746" s="12">
        <v>161</v>
      </c>
      <c r="D746" s="12">
        <v>2.36</v>
      </c>
      <c r="E746" s="12" t="s">
        <v>440</v>
      </c>
      <c r="F746" s="13">
        <v>41687</v>
      </c>
      <c r="G746" s="12">
        <v>51</v>
      </c>
      <c r="I746" s="13">
        <v>41716</v>
      </c>
      <c r="J746" s="12">
        <v>54</v>
      </c>
      <c r="L746" s="12">
        <v>29</v>
      </c>
      <c r="M746" s="12">
        <v>3</v>
      </c>
      <c r="O746" s="17">
        <v>68.44</v>
      </c>
      <c r="P746" s="17"/>
      <c r="Q746" s="17">
        <v>103.44827586206897</v>
      </c>
      <c r="R746" s="14">
        <v>15.977224999999999</v>
      </c>
      <c r="S746" s="12">
        <v>13</v>
      </c>
      <c r="T746" s="12">
        <v>1</v>
      </c>
      <c r="U746" s="14">
        <v>30.68</v>
      </c>
      <c r="V746" s="17">
        <v>76.923076923076934</v>
      </c>
      <c r="W746" s="14">
        <v>14.669532692307691</v>
      </c>
      <c r="X746">
        <f t="shared" si="22"/>
        <v>17.100000000000001</v>
      </c>
      <c r="Y746">
        <f t="shared" si="23"/>
        <v>14.669532692307691</v>
      </c>
    </row>
    <row r="747" spans="1:25">
      <c r="A747" s="12" t="s">
        <v>335</v>
      </c>
      <c r="B747" s="12" t="s">
        <v>425</v>
      </c>
      <c r="C747" s="12">
        <v>161</v>
      </c>
      <c r="D747" s="12">
        <v>2.36</v>
      </c>
      <c r="E747" s="12" t="s">
        <v>441</v>
      </c>
      <c r="F747" s="13">
        <v>41687</v>
      </c>
      <c r="G747" s="12">
        <v>51.4</v>
      </c>
      <c r="I747" s="13">
        <v>41716</v>
      </c>
      <c r="J747" s="12">
        <v>55</v>
      </c>
      <c r="L747" s="12">
        <v>29</v>
      </c>
      <c r="M747" s="12">
        <v>3.6000000000000014</v>
      </c>
      <c r="O747" s="17">
        <v>68.44</v>
      </c>
      <c r="P747" s="17"/>
      <c r="Q747" s="17">
        <v>124.13793103448282</v>
      </c>
      <c r="R747" s="14">
        <v>17.115588000000002</v>
      </c>
      <c r="S747" s="12">
        <v>13</v>
      </c>
      <c r="T747" s="12">
        <v>-0.60000000000000142</v>
      </c>
      <c r="U747" s="14">
        <v>30.68</v>
      </c>
      <c r="V747" s="17">
        <v>-46.15384615384626</v>
      </c>
      <c r="W747" s="14">
        <v>8.7202033846153792</v>
      </c>
      <c r="X747">
        <f t="shared" si="22"/>
        <v>17.100000000000001</v>
      </c>
      <c r="Y747">
        <f t="shared" si="23"/>
        <v>8.7202033846153792</v>
      </c>
    </row>
    <row r="748" spans="1:25">
      <c r="A748" s="12" t="s">
        <v>335</v>
      </c>
      <c r="B748" s="12" t="s">
        <v>425</v>
      </c>
      <c r="C748" s="12">
        <v>161</v>
      </c>
      <c r="D748" s="12">
        <v>2.36</v>
      </c>
      <c r="E748" s="12" t="s">
        <v>442</v>
      </c>
      <c r="F748" s="13">
        <v>41687</v>
      </c>
      <c r="G748" s="12">
        <v>54.2</v>
      </c>
      <c r="I748" s="13">
        <v>41716</v>
      </c>
      <c r="J748" s="12">
        <v>59.5</v>
      </c>
      <c r="L748" s="12">
        <v>29</v>
      </c>
      <c r="M748" s="12">
        <v>5.2999999999999972</v>
      </c>
      <c r="O748" s="17">
        <v>68.44</v>
      </c>
      <c r="P748" s="17"/>
      <c r="Q748" s="17">
        <v>182.75862068965506</v>
      </c>
      <c r="R748" s="14">
        <v>20.622766499999994</v>
      </c>
      <c r="S748" s="12">
        <v>13</v>
      </c>
      <c r="T748" s="12">
        <v>-0.5</v>
      </c>
      <c r="U748" s="14">
        <v>30.68</v>
      </c>
      <c r="V748" s="17">
        <v>-38.461538461538467</v>
      </c>
      <c r="W748" s="14">
        <v>9.7166126538461537</v>
      </c>
      <c r="X748">
        <f t="shared" si="22"/>
        <v>17.100000000000001</v>
      </c>
      <c r="Y748">
        <f t="shared" si="23"/>
        <v>9.7166126538461537</v>
      </c>
    </row>
    <row r="749" spans="1:25">
      <c r="A749" s="12" t="s">
        <v>335</v>
      </c>
      <c r="B749" s="12" t="s">
        <v>425</v>
      </c>
      <c r="C749" s="12">
        <v>161</v>
      </c>
      <c r="D749" s="12">
        <v>2.36</v>
      </c>
      <c r="E749" s="12" t="s">
        <v>443</v>
      </c>
      <c r="F749" s="13">
        <v>41687</v>
      </c>
      <c r="G749" s="12">
        <v>56</v>
      </c>
      <c r="I749" s="13">
        <v>41716</v>
      </c>
      <c r="J749" s="12">
        <v>60</v>
      </c>
      <c r="L749" s="12">
        <v>29</v>
      </c>
      <c r="M749" s="12">
        <v>4</v>
      </c>
      <c r="O749" s="17">
        <v>68.44</v>
      </c>
      <c r="P749" s="17"/>
      <c r="Q749" s="17">
        <v>137.93103448275861</v>
      </c>
      <c r="R749" s="14">
        <v>18.607219999999998</v>
      </c>
      <c r="S749" s="12">
        <v>13</v>
      </c>
      <c r="T749" s="12">
        <v>0</v>
      </c>
      <c r="U749" s="14">
        <v>30.68</v>
      </c>
      <c r="V749" s="17">
        <v>0</v>
      </c>
      <c r="W749" s="14">
        <v>11.807219999999999</v>
      </c>
      <c r="X749">
        <f t="shared" si="22"/>
        <v>17.100000000000001</v>
      </c>
      <c r="Y749">
        <f t="shared" si="23"/>
        <v>11.807219999999999</v>
      </c>
    </row>
    <row r="750" spans="1:25">
      <c r="A750" s="12" t="s">
        <v>335</v>
      </c>
      <c r="B750" s="12" t="s">
        <v>425</v>
      </c>
      <c r="C750" s="12">
        <v>161</v>
      </c>
      <c r="D750" s="12">
        <v>2.36</v>
      </c>
      <c r="E750" s="12" t="s">
        <v>444</v>
      </c>
      <c r="F750" s="13">
        <v>41687</v>
      </c>
      <c r="G750" s="12">
        <v>63.2</v>
      </c>
      <c r="I750" s="13">
        <v>41716</v>
      </c>
      <c r="J750" s="12">
        <v>68</v>
      </c>
      <c r="L750" s="12">
        <v>29</v>
      </c>
      <c r="M750" s="12">
        <v>4.7999999999999972</v>
      </c>
      <c r="O750" s="17">
        <v>68.44</v>
      </c>
      <c r="P750" s="17"/>
      <c r="Q750" s="17">
        <v>165.51724137931026</v>
      </c>
      <c r="R750" s="14">
        <v>21.252303999999995</v>
      </c>
      <c r="S750" s="12">
        <v>13</v>
      </c>
      <c r="T750" s="12">
        <v>-1.2000000000000028</v>
      </c>
      <c r="U750" s="14">
        <v>30.68</v>
      </c>
      <c r="V750" s="17">
        <v>-92.30769230769252</v>
      </c>
      <c r="W750" s="14">
        <v>8.5415347692307577</v>
      </c>
      <c r="X750">
        <f t="shared" si="22"/>
        <v>17.100000000000001</v>
      </c>
      <c r="Y750">
        <f t="shared" si="23"/>
        <v>8.5415347692307577</v>
      </c>
    </row>
    <row r="751" spans="1:25">
      <c r="A751" s="12" t="s">
        <v>335</v>
      </c>
      <c r="B751" s="12" t="s">
        <v>425</v>
      </c>
      <c r="C751" s="12">
        <v>161</v>
      </c>
      <c r="D751" s="12">
        <v>2.36</v>
      </c>
      <c r="E751" s="12" t="s">
        <v>445</v>
      </c>
      <c r="F751" s="13">
        <v>41687</v>
      </c>
      <c r="G751" s="12">
        <v>55.6</v>
      </c>
      <c r="I751" s="13">
        <v>41716</v>
      </c>
      <c r="J751" s="12">
        <v>61</v>
      </c>
      <c r="L751" s="12">
        <v>29</v>
      </c>
      <c r="M751" s="12">
        <v>5.3999999999999986</v>
      </c>
      <c r="O751" s="17">
        <v>68.44</v>
      </c>
      <c r="P751" s="17"/>
      <c r="Q751" s="17">
        <v>186.2068965517241</v>
      </c>
      <c r="R751" s="14">
        <v>21.037946999999996</v>
      </c>
      <c r="S751" s="12">
        <v>13</v>
      </c>
      <c r="T751" s="12">
        <v>-1</v>
      </c>
      <c r="U751" s="14">
        <v>30.68</v>
      </c>
      <c r="V751" s="17">
        <v>-76.923076923076934</v>
      </c>
      <c r="W751" s="14">
        <v>8.0656393076923081</v>
      </c>
      <c r="X751">
        <f t="shared" si="22"/>
        <v>17.100000000000001</v>
      </c>
      <c r="Y751">
        <f t="shared" si="23"/>
        <v>8.0656393076923081</v>
      </c>
    </row>
    <row r="752" spans="1:25">
      <c r="A752" s="12" t="s">
        <v>335</v>
      </c>
      <c r="B752" s="12" t="s">
        <v>425</v>
      </c>
      <c r="C752" s="12">
        <v>161</v>
      </c>
      <c r="D752" s="12">
        <v>2.36</v>
      </c>
      <c r="E752" s="12" t="s">
        <v>446</v>
      </c>
      <c r="F752" s="13">
        <v>41687</v>
      </c>
      <c r="G752" s="12">
        <v>58.4</v>
      </c>
      <c r="I752" s="13">
        <v>41716</v>
      </c>
      <c r="J752" s="12">
        <v>62</v>
      </c>
      <c r="L752" s="12">
        <v>29</v>
      </c>
      <c r="M752" s="12">
        <v>3.6000000000000014</v>
      </c>
      <c r="O752" s="17">
        <v>68.44</v>
      </c>
      <c r="P752" s="17"/>
      <c r="Q752" s="17">
        <v>124.13793103448282</v>
      </c>
      <c r="R752" s="14">
        <v>18.299218000000003</v>
      </c>
      <c r="S752" s="12">
        <v>13</v>
      </c>
      <c r="T752" s="12">
        <v>-0.60000000000000142</v>
      </c>
      <c r="U752" s="14">
        <v>30.68</v>
      </c>
      <c r="V752" s="17">
        <v>-46.15384615384626</v>
      </c>
      <c r="W752" s="14">
        <v>9.9038333846153801</v>
      </c>
      <c r="X752">
        <f t="shared" si="22"/>
        <v>17.100000000000001</v>
      </c>
      <c r="Y752">
        <f t="shared" si="23"/>
        <v>9.9038333846153801</v>
      </c>
    </row>
    <row r="753" spans="1:25">
      <c r="A753" s="12" t="s">
        <v>335</v>
      </c>
      <c r="B753" s="12" t="s">
        <v>425</v>
      </c>
      <c r="C753" s="12">
        <v>161</v>
      </c>
      <c r="D753" s="12">
        <v>2.36</v>
      </c>
      <c r="E753" s="12" t="s">
        <v>447</v>
      </c>
      <c r="F753" s="13">
        <v>41687</v>
      </c>
      <c r="G753" s="12">
        <v>53.4</v>
      </c>
      <c r="I753" s="13">
        <v>41716</v>
      </c>
      <c r="J753" s="12">
        <v>56.5</v>
      </c>
      <c r="L753" s="12">
        <v>29</v>
      </c>
      <c r="M753" s="12">
        <v>3.1000000000000014</v>
      </c>
      <c r="O753" s="17">
        <v>68.44</v>
      </c>
      <c r="P753" s="17"/>
      <c r="Q753" s="17">
        <v>106.89655172413798</v>
      </c>
      <c r="R753" s="14">
        <v>16.561495500000003</v>
      </c>
      <c r="S753" s="12">
        <v>13</v>
      </c>
      <c r="T753" s="12">
        <v>0.70000000000000284</v>
      </c>
      <c r="U753" s="14">
        <v>30.68</v>
      </c>
      <c r="V753" s="17">
        <v>53.846153846154067</v>
      </c>
      <c r="W753" s="14">
        <v>13.946110884615395</v>
      </c>
      <c r="X753">
        <f t="shared" si="22"/>
        <v>17.100000000000001</v>
      </c>
      <c r="Y753">
        <f t="shared" si="23"/>
        <v>13.946110884615395</v>
      </c>
    </row>
    <row r="754" spans="1:25">
      <c r="A754" s="12" t="s">
        <v>335</v>
      </c>
      <c r="B754" s="12" t="s">
        <v>425</v>
      </c>
      <c r="C754" s="12">
        <v>161</v>
      </c>
      <c r="D754" s="12">
        <v>2.36</v>
      </c>
      <c r="E754" s="12" t="s">
        <v>448</v>
      </c>
      <c r="F754" s="13">
        <v>41687</v>
      </c>
      <c r="G754" s="12">
        <v>51.4</v>
      </c>
      <c r="I754" s="13">
        <v>41716</v>
      </c>
      <c r="J754" s="12">
        <v>57.5</v>
      </c>
      <c r="L754" s="12">
        <v>29</v>
      </c>
      <c r="M754" s="12">
        <v>6.1000000000000014</v>
      </c>
      <c r="O754" s="17">
        <v>68.44</v>
      </c>
      <c r="P754" s="17"/>
      <c r="Q754" s="17">
        <v>210.34482758620695</v>
      </c>
      <c r="R754" s="14">
        <v>21.576950500000002</v>
      </c>
      <c r="S754" s="12">
        <v>13</v>
      </c>
      <c r="T754" s="12">
        <v>-0.29999999999999716</v>
      </c>
      <c r="U754" s="14">
        <v>30.68</v>
      </c>
      <c r="V754" s="17">
        <v>-23.07692307692286</v>
      </c>
      <c r="W754" s="14">
        <v>10.069258192307704</v>
      </c>
      <c r="X754">
        <f t="shared" si="22"/>
        <v>17.100000000000001</v>
      </c>
      <c r="Y754">
        <f t="shared" si="23"/>
        <v>10.069258192307704</v>
      </c>
    </row>
    <row r="755" spans="1:25">
      <c r="A755" s="12" t="s">
        <v>335</v>
      </c>
      <c r="B755" s="12" t="s">
        <v>425</v>
      </c>
      <c r="C755" s="12">
        <v>161</v>
      </c>
      <c r="D755" s="12">
        <v>2.36</v>
      </c>
      <c r="E755" s="12" t="s">
        <v>449</v>
      </c>
      <c r="F755" s="13">
        <v>41687</v>
      </c>
      <c r="G755" s="12">
        <v>51.6</v>
      </c>
      <c r="I755" s="13">
        <v>41716</v>
      </c>
      <c r="J755" s="12">
        <v>58.5</v>
      </c>
      <c r="L755" s="12">
        <v>29</v>
      </c>
      <c r="M755" s="12">
        <v>6.8999999999999986</v>
      </c>
      <c r="O755" s="17">
        <v>68.44</v>
      </c>
      <c r="P755" s="17"/>
      <c r="Q755" s="17">
        <v>237.93103448275858</v>
      </c>
      <c r="R755" s="14">
        <v>23.038404499999995</v>
      </c>
      <c r="S755" s="12">
        <v>13</v>
      </c>
      <c r="T755" s="12">
        <v>0.89999999999999858</v>
      </c>
      <c r="U755" s="14">
        <v>30.68</v>
      </c>
      <c r="V755" s="17">
        <v>69.230769230769127</v>
      </c>
      <c r="W755" s="14">
        <v>14.721481423076916</v>
      </c>
      <c r="X755">
        <f t="shared" si="22"/>
        <v>17.100000000000001</v>
      </c>
      <c r="Y755">
        <f t="shared" si="23"/>
        <v>14.721481423076916</v>
      </c>
    </row>
    <row r="756" spans="1:25">
      <c r="A756" s="12" t="s">
        <v>335</v>
      </c>
      <c r="B756" s="12" t="s">
        <v>425</v>
      </c>
      <c r="C756" s="12">
        <v>161</v>
      </c>
      <c r="D756" s="12">
        <v>2.36</v>
      </c>
      <c r="E756" s="12" t="s">
        <v>450</v>
      </c>
      <c r="F756" s="13">
        <v>41687</v>
      </c>
      <c r="G756" s="12">
        <v>55.8</v>
      </c>
      <c r="I756" s="13">
        <v>41716</v>
      </c>
      <c r="J756" s="12">
        <v>61.5</v>
      </c>
      <c r="L756" s="12">
        <v>29</v>
      </c>
      <c r="M756" s="12">
        <v>5.7000000000000028</v>
      </c>
      <c r="O756" s="17">
        <v>68.44</v>
      </c>
      <c r="P756" s="17"/>
      <c r="Q756" s="17">
        <v>196.55172413793113</v>
      </c>
      <c r="R756" s="14">
        <v>21.607128500000002</v>
      </c>
      <c r="S756" s="12">
        <v>13</v>
      </c>
      <c r="T756" s="12">
        <v>1.7000000000000028</v>
      </c>
      <c r="U756" s="14">
        <v>30.68</v>
      </c>
      <c r="V756" s="17">
        <v>130.769230769231</v>
      </c>
      <c r="W756" s="14">
        <v>18.364051576923085</v>
      </c>
      <c r="X756">
        <f t="shared" si="22"/>
        <v>17.100000000000001</v>
      </c>
      <c r="Y756">
        <f t="shared" si="23"/>
        <v>18.364051576923085</v>
      </c>
    </row>
    <row r="757" spans="1:25">
      <c r="A757" s="12" t="s">
        <v>335</v>
      </c>
      <c r="B757" s="12" t="s">
        <v>425</v>
      </c>
      <c r="C757" s="12">
        <v>161</v>
      </c>
      <c r="D757" s="12">
        <v>2.36</v>
      </c>
      <c r="E757" s="12" t="s">
        <v>451</v>
      </c>
      <c r="F757" s="13">
        <v>41687</v>
      </c>
      <c r="G757" s="12">
        <v>55.6</v>
      </c>
      <c r="I757" s="13">
        <v>41716</v>
      </c>
      <c r="J757" s="12">
        <v>61.5</v>
      </c>
      <c r="L757" s="12">
        <v>29</v>
      </c>
      <c r="M757" s="12">
        <v>5.8999999999999986</v>
      </c>
      <c r="O757" s="17">
        <v>68.44</v>
      </c>
      <c r="P757" s="17"/>
      <c r="Q757" s="17">
        <v>203.44827586206893</v>
      </c>
      <c r="R757" s="14">
        <v>21.930219499999996</v>
      </c>
      <c r="S757" s="12">
        <v>13</v>
      </c>
      <c r="T757" s="12">
        <v>-1.8999999999999986</v>
      </c>
      <c r="U757" s="14">
        <v>30.68</v>
      </c>
      <c r="V757" s="17">
        <v>-146.15384615384605</v>
      </c>
      <c r="W757" s="14">
        <v>4.6948348846153891</v>
      </c>
      <c r="X757">
        <f t="shared" si="22"/>
        <v>17.100000000000001</v>
      </c>
      <c r="Y757">
        <f t="shared" si="23"/>
        <v>4.6948348846153891</v>
      </c>
    </row>
    <row r="758" spans="1:25">
      <c r="A758" s="12" t="s">
        <v>335</v>
      </c>
      <c r="B758" s="12" t="s">
        <v>425</v>
      </c>
      <c r="C758" s="12">
        <v>161</v>
      </c>
      <c r="D758" s="12">
        <v>2.36</v>
      </c>
      <c r="E758" s="12" t="s">
        <v>452</v>
      </c>
      <c r="F758" s="13">
        <v>41687</v>
      </c>
      <c r="G758" s="12">
        <v>53.6</v>
      </c>
      <c r="I758" s="13">
        <v>41716</v>
      </c>
      <c r="J758" s="12">
        <v>57.5</v>
      </c>
      <c r="L758" s="12">
        <v>29</v>
      </c>
      <c r="M758" s="12">
        <v>3.8999999999999986</v>
      </c>
      <c r="O758" s="17">
        <v>68.44</v>
      </c>
      <c r="P758" s="17"/>
      <c r="Q758" s="17">
        <v>134.48275862068962</v>
      </c>
      <c r="R758" s="14">
        <v>18.022949499999996</v>
      </c>
      <c r="S758" s="12">
        <v>13</v>
      </c>
      <c r="T758" s="12">
        <v>0.89999999999999858</v>
      </c>
      <c r="U758" s="14">
        <v>30.68</v>
      </c>
      <c r="V758" s="17">
        <v>69.230769230769127</v>
      </c>
      <c r="W758" s="14">
        <v>14.806026423076917</v>
      </c>
      <c r="X758">
        <f t="shared" si="22"/>
        <v>17.100000000000001</v>
      </c>
      <c r="Y758">
        <f t="shared" si="23"/>
        <v>14.806026423076917</v>
      </c>
    </row>
    <row r="759" spans="1:25">
      <c r="A759" s="12" t="s">
        <v>335</v>
      </c>
      <c r="B759" s="12" t="s">
        <v>425</v>
      </c>
      <c r="C759" s="12">
        <v>161</v>
      </c>
      <c r="D759" s="12">
        <v>2.36</v>
      </c>
      <c r="E759" s="12" t="s">
        <v>453</v>
      </c>
      <c r="F759" s="13">
        <v>41687</v>
      </c>
      <c r="G759" s="12">
        <v>57.6</v>
      </c>
      <c r="I759" s="13">
        <v>41716</v>
      </c>
      <c r="J759" s="12">
        <v>62</v>
      </c>
      <c r="L759" s="12">
        <v>29</v>
      </c>
      <c r="M759" s="12">
        <v>4.3999999999999986</v>
      </c>
      <c r="O759" s="17">
        <v>68.44</v>
      </c>
      <c r="P759" s="17"/>
      <c r="Q759" s="17">
        <v>151.72413793103442</v>
      </c>
      <c r="R759" s="14">
        <v>19.591581999999995</v>
      </c>
      <c r="S759" s="12">
        <v>13</v>
      </c>
      <c r="T759" s="12">
        <v>-0.20000000000000284</v>
      </c>
      <c r="U759" s="14">
        <v>30.68</v>
      </c>
      <c r="V759" s="17">
        <v>-15.384615384615604</v>
      </c>
      <c r="W759" s="14">
        <v>11.353120461538449</v>
      </c>
      <c r="X759">
        <f t="shared" si="22"/>
        <v>17.100000000000001</v>
      </c>
      <c r="Y759">
        <f t="shared" si="23"/>
        <v>11.353120461538449</v>
      </c>
    </row>
    <row r="760" spans="1:25">
      <c r="A760" s="12" t="s">
        <v>335</v>
      </c>
      <c r="B760" s="12" t="s">
        <v>425</v>
      </c>
      <c r="C760" s="12">
        <v>161</v>
      </c>
      <c r="D760" s="12">
        <v>2.36</v>
      </c>
      <c r="E760" s="12" t="s">
        <v>454</v>
      </c>
      <c r="F760" s="13">
        <v>41687</v>
      </c>
      <c r="G760" s="12">
        <v>50.4</v>
      </c>
      <c r="I760" s="13">
        <v>41716</v>
      </c>
      <c r="J760" s="12">
        <v>52</v>
      </c>
      <c r="L760" s="12">
        <v>29</v>
      </c>
      <c r="M760" s="12">
        <v>1.6000000000000014</v>
      </c>
      <c r="O760" s="17">
        <v>68.44</v>
      </c>
      <c r="P760" s="17"/>
      <c r="Q760" s="17">
        <v>55.172413793103495</v>
      </c>
      <c r="R760" s="14">
        <v>13.377408000000003</v>
      </c>
      <c r="S760" s="12">
        <v>13</v>
      </c>
      <c r="T760" s="12">
        <v>-0.39999999999999858</v>
      </c>
      <c r="U760" s="14">
        <v>30.68</v>
      </c>
      <c r="V760" s="17">
        <v>-30.76923076923066</v>
      </c>
      <c r="W760" s="14">
        <v>9.1404849230769294</v>
      </c>
      <c r="X760">
        <f t="shared" si="22"/>
        <v>17.100000000000001</v>
      </c>
      <c r="Y760">
        <f t="shared" si="23"/>
        <v>9.1404849230769294</v>
      </c>
    </row>
    <row r="761" spans="1:25">
      <c r="A761" s="12" t="s">
        <v>335</v>
      </c>
      <c r="B761" s="12" t="s">
        <v>425</v>
      </c>
      <c r="C761" s="12">
        <v>161</v>
      </c>
      <c r="D761" s="12">
        <v>2.36</v>
      </c>
      <c r="E761" s="12" t="s">
        <v>455</v>
      </c>
      <c r="F761" s="13">
        <v>41687</v>
      </c>
      <c r="G761" s="12">
        <v>49.6</v>
      </c>
      <c r="I761" s="13">
        <v>41716</v>
      </c>
      <c r="J761" s="12">
        <v>56.5</v>
      </c>
      <c r="L761" s="12">
        <v>29</v>
      </c>
      <c r="M761" s="12">
        <v>6.8999999999999986</v>
      </c>
      <c r="O761" s="17">
        <v>68.44</v>
      </c>
      <c r="P761" s="17"/>
      <c r="Q761" s="17">
        <v>237.93103448275858</v>
      </c>
      <c r="R761" s="14">
        <v>22.700224499999997</v>
      </c>
      <c r="S761" s="12">
        <v>13</v>
      </c>
      <c r="T761" s="12">
        <v>3.7000000000000028</v>
      </c>
      <c r="U761" s="14">
        <v>30.68</v>
      </c>
      <c r="V761" s="17">
        <v>284.61538461538481</v>
      </c>
      <c r="W761" s="14">
        <v>25.001762961538468</v>
      </c>
      <c r="X761">
        <f t="shared" si="22"/>
        <v>17.100000000000001</v>
      </c>
      <c r="Y761">
        <f t="shared" si="23"/>
        <v>25.001762961538468</v>
      </c>
    </row>
    <row r="762" spans="1:25">
      <c r="A762" s="12" t="s">
        <v>335</v>
      </c>
      <c r="B762" s="12" t="s">
        <v>425</v>
      </c>
      <c r="C762" s="12">
        <v>161</v>
      </c>
      <c r="D762" s="12">
        <v>2.36</v>
      </c>
      <c r="E762" s="12" t="s">
        <v>456</v>
      </c>
      <c r="F762" s="13">
        <v>41687</v>
      </c>
      <c r="G762" s="12">
        <v>49.4</v>
      </c>
      <c r="I762" s="13">
        <v>41716</v>
      </c>
      <c r="J762" s="12">
        <v>54</v>
      </c>
      <c r="L762" s="12">
        <v>29</v>
      </c>
      <c r="M762" s="12">
        <v>4.6000000000000014</v>
      </c>
      <c r="O762" s="17">
        <v>68.44</v>
      </c>
      <c r="P762" s="17"/>
      <c r="Q762" s="17">
        <v>158.62068965517244</v>
      </c>
      <c r="R762" s="14">
        <v>18.561953000000003</v>
      </c>
      <c r="S762" s="12">
        <v>13</v>
      </c>
      <c r="T762" s="12">
        <v>-1.2000000000000028</v>
      </c>
      <c r="U762" s="14">
        <v>30.68</v>
      </c>
      <c r="V762" s="17">
        <v>-92.30769230769252</v>
      </c>
      <c r="W762" s="14">
        <v>6.1911837692307596</v>
      </c>
      <c r="X762">
        <f t="shared" si="22"/>
        <v>17.100000000000001</v>
      </c>
      <c r="Y762">
        <f t="shared" si="23"/>
        <v>6.1911837692307596</v>
      </c>
    </row>
    <row r="763" spans="1:25">
      <c r="A763" s="12" t="s">
        <v>335</v>
      </c>
      <c r="B763" s="12" t="s">
        <v>425</v>
      </c>
      <c r="C763" s="12">
        <v>161</v>
      </c>
      <c r="D763" s="12">
        <v>2.36</v>
      </c>
      <c r="E763" s="12" t="s">
        <v>457</v>
      </c>
      <c r="F763" s="13">
        <v>41687</v>
      </c>
      <c r="G763" s="12">
        <v>60.4</v>
      </c>
      <c r="I763" s="13">
        <v>41716</v>
      </c>
      <c r="J763" s="12">
        <v>63.5</v>
      </c>
      <c r="L763" s="12">
        <v>29</v>
      </c>
      <c r="M763" s="12">
        <v>3.1000000000000014</v>
      </c>
      <c r="O763" s="17">
        <v>68.44</v>
      </c>
      <c r="P763" s="17"/>
      <c r="Q763" s="17">
        <v>106.89655172413798</v>
      </c>
      <c r="R763" s="14">
        <v>17.745125500000004</v>
      </c>
      <c r="S763" s="12">
        <v>13</v>
      </c>
      <c r="T763" s="12">
        <v>-0.29999999999999716</v>
      </c>
      <c r="U763" s="14">
        <v>30.68</v>
      </c>
      <c r="V763" s="17">
        <v>-23.07692307692286</v>
      </c>
      <c r="W763" s="14">
        <v>11.337433192307703</v>
      </c>
      <c r="X763">
        <f t="shared" si="22"/>
        <v>17.100000000000001</v>
      </c>
      <c r="Y763">
        <f t="shared" si="23"/>
        <v>11.337433192307703</v>
      </c>
    </row>
    <row r="764" spans="1:25">
      <c r="A764" s="12" t="s">
        <v>335</v>
      </c>
      <c r="B764" s="12" t="s">
        <v>425</v>
      </c>
      <c r="C764" s="12">
        <v>161</v>
      </c>
      <c r="D764" s="12">
        <v>2.36</v>
      </c>
      <c r="E764" s="12" t="s">
        <v>458</v>
      </c>
      <c r="F764" s="13">
        <v>41687</v>
      </c>
      <c r="G764" s="12">
        <v>58</v>
      </c>
      <c r="I764" s="13">
        <v>41716</v>
      </c>
      <c r="J764" s="12">
        <v>67</v>
      </c>
      <c r="L764" s="12">
        <v>29</v>
      </c>
      <c r="M764" s="12">
        <v>9</v>
      </c>
      <c r="O764" s="17">
        <v>68.44</v>
      </c>
      <c r="P764" s="17"/>
      <c r="Q764" s="17">
        <v>310.34482758620692</v>
      </c>
      <c r="R764" s="14">
        <v>27.868124999999999</v>
      </c>
      <c r="S764" s="12">
        <v>13</v>
      </c>
      <c r="T764" s="12">
        <v>1.2000000000000028</v>
      </c>
      <c r="U764" s="14">
        <v>30.68</v>
      </c>
      <c r="V764" s="17">
        <v>92.30769230769252</v>
      </c>
      <c r="W764" s="14">
        <v>17.118894230769243</v>
      </c>
      <c r="X764">
        <f t="shared" si="22"/>
        <v>17.100000000000001</v>
      </c>
      <c r="Y764">
        <f t="shared" si="23"/>
        <v>17.118894230769243</v>
      </c>
    </row>
    <row r="765" spans="1:25">
      <c r="A765" s="12" t="s">
        <v>335</v>
      </c>
      <c r="B765" s="12" t="s">
        <v>425</v>
      </c>
      <c r="C765" s="12">
        <v>161</v>
      </c>
      <c r="D765" s="12">
        <v>2.36</v>
      </c>
      <c r="E765" s="12" t="s">
        <v>459</v>
      </c>
      <c r="F765" s="13">
        <v>41687</v>
      </c>
      <c r="G765" s="12">
        <v>52.6</v>
      </c>
      <c r="I765" s="13">
        <v>41716</v>
      </c>
      <c r="J765" s="12">
        <v>52.5</v>
      </c>
      <c r="L765" s="12">
        <v>29</v>
      </c>
      <c r="M765" s="12">
        <v>-0.10000000000000142</v>
      </c>
      <c r="O765" s="17">
        <v>68.44</v>
      </c>
      <c r="P765" s="17"/>
      <c r="Q765" s="17">
        <v>-3.4482758620690146</v>
      </c>
      <c r="R765" s="14">
        <v>10.715679499999997</v>
      </c>
      <c r="S765" s="12">
        <v>13</v>
      </c>
      <c r="T765" s="12">
        <v>-1.1000000000000014</v>
      </c>
      <c r="U765" s="14">
        <v>30.68</v>
      </c>
      <c r="V765" s="17">
        <v>-84.615384615384727</v>
      </c>
      <c r="W765" s="14">
        <v>6.7141410384615314</v>
      </c>
      <c r="X765">
        <f t="shared" si="22"/>
        <v>17.100000000000001</v>
      </c>
      <c r="Y765">
        <f t="shared" si="23"/>
        <v>6.7141410384615314</v>
      </c>
    </row>
    <row r="766" spans="1:25">
      <c r="A766" s="12" t="s">
        <v>335</v>
      </c>
      <c r="B766" s="12" t="s">
        <v>425</v>
      </c>
      <c r="C766" s="12">
        <v>161</v>
      </c>
      <c r="D766" s="12">
        <v>2.36</v>
      </c>
      <c r="E766" s="12" t="s">
        <v>460</v>
      </c>
      <c r="F766" s="13">
        <v>41687</v>
      </c>
      <c r="G766" s="12">
        <v>56.6</v>
      </c>
      <c r="I766" s="13">
        <v>41716</v>
      </c>
      <c r="J766" s="12">
        <v>61.5</v>
      </c>
      <c r="L766" s="12">
        <v>29</v>
      </c>
      <c r="M766" s="12">
        <v>4.8999999999999986</v>
      </c>
      <c r="O766" s="17">
        <v>68.44</v>
      </c>
      <c r="P766" s="17"/>
      <c r="Q766" s="17">
        <v>168.96551724137925</v>
      </c>
      <c r="R766" s="14">
        <v>20.314764499999995</v>
      </c>
      <c r="S766" s="12">
        <v>13</v>
      </c>
      <c r="T766" s="12">
        <v>-0.89999999999999858</v>
      </c>
      <c r="U766" s="14">
        <v>30.68</v>
      </c>
      <c r="V766" s="17">
        <v>-69.230769230769127</v>
      </c>
      <c r="W766" s="14">
        <v>8.5716875769230807</v>
      </c>
      <c r="X766">
        <f t="shared" si="22"/>
        <v>17.100000000000001</v>
      </c>
      <c r="Y766">
        <f t="shared" si="23"/>
        <v>8.5716875769230807</v>
      </c>
    </row>
    <row r="767" spans="1:25">
      <c r="A767" s="12" t="s">
        <v>335</v>
      </c>
      <c r="B767" s="12" t="s">
        <v>425</v>
      </c>
      <c r="C767" s="12">
        <v>161</v>
      </c>
      <c r="D767" s="12">
        <v>2.36</v>
      </c>
      <c r="E767" s="12" t="s">
        <v>461</v>
      </c>
      <c r="F767" s="13">
        <v>41687</v>
      </c>
      <c r="G767" s="12">
        <v>58.6</v>
      </c>
      <c r="I767" s="13">
        <v>41716</v>
      </c>
      <c r="J767" s="12">
        <v>64.5</v>
      </c>
      <c r="L767" s="12">
        <v>29</v>
      </c>
      <c r="M767" s="12">
        <v>5.8999999999999986</v>
      </c>
      <c r="O767" s="17">
        <v>68.44</v>
      </c>
      <c r="P767" s="17"/>
      <c r="Q767" s="17">
        <v>203.44827586206893</v>
      </c>
      <c r="R767" s="14">
        <v>22.437489499999998</v>
      </c>
      <c r="S767" s="12">
        <v>13</v>
      </c>
      <c r="T767" s="12">
        <v>-1.7000000000000028</v>
      </c>
      <c r="U767" s="14">
        <v>30.68</v>
      </c>
      <c r="V767" s="17">
        <v>-130.769230769231</v>
      </c>
      <c r="W767" s="14">
        <v>5.9605664230769113</v>
      </c>
      <c r="X767">
        <f t="shared" si="22"/>
        <v>17.100000000000001</v>
      </c>
      <c r="Y767">
        <f t="shared" si="23"/>
        <v>5.9605664230769113</v>
      </c>
    </row>
    <row r="768" spans="1:25">
      <c r="A768" s="12" t="s">
        <v>335</v>
      </c>
      <c r="B768" s="12" t="s">
        <v>425</v>
      </c>
      <c r="C768" s="12">
        <v>161</v>
      </c>
      <c r="D768" s="12">
        <v>2.36</v>
      </c>
      <c r="E768" s="12" t="s">
        <v>462</v>
      </c>
      <c r="F768" s="13">
        <v>41687</v>
      </c>
      <c r="G768" s="12">
        <v>56.6</v>
      </c>
      <c r="I768" s="13">
        <v>41716</v>
      </c>
      <c r="J768" s="12">
        <v>59</v>
      </c>
      <c r="L768" s="12">
        <v>29</v>
      </c>
      <c r="M768" s="12">
        <v>2.3999999999999986</v>
      </c>
      <c r="O768" s="17">
        <v>68.44</v>
      </c>
      <c r="P768" s="17"/>
      <c r="Q768" s="17">
        <v>82.758620689655132</v>
      </c>
      <c r="R768" s="14">
        <v>15.853401999999996</v>
      </c>
      <c r="S768" s="12">
        <v>13</v>
      </c>
      <c r="T768" s="12">
        <v>-1.7999999999999972</v>
      </c>
      <c r="U768" s="14">
        <v>30.68</v>
      </c>
      <c r="V768" s="17">
        <v>-138.46153846153825</v>
      </c>
      <c r="W768" s="14">
        <v>4.9472481538461635</v>
      </c>
      <c r="X768">
        <f t="shared" si="22"/>
        <v>17.100000000000001</v>
      </c>
      <c r="Y768">
        <f t="shared" si="23"/>
        <v>4.9472481538461635</v>
      </c>
    </row>
    <row r="769" spans="1:25">
      <c r="A769" s="12" t="s">
        <v>335</v>
      </c>
      <c r="B769" s="12" t="s">
        <v>425</v>
      </c>
      <c r="C769" s="12">
        <v>161</v>
      </c>
      <c r="D769" s="12">
        <v>2.36</v>
      </c>
      <c r="E769" s="12" t="s">
        <v>463</v>
      </c>
      <c r="F769" s="13">
        <v>41687</v>
      </c>
      <c r="G769" s="12">
        <v>64</v>
      </c>
      <c r="I769" s="13">
        <v>41716</v>
      </c>
      <c r="J769" s="12">
        <v>68.5</v>
      </c>
      <c r="L769" s="12">
        <v>29</v>
      </c>
      <c r="M769" s="12">
        <v>4.5</v>
      </c>
      <c r="O769" s="17">
        <v>68.44</v>
      </c>
      <c r="P769" s="17"/>
      <c r="Q769" s="17">
        <v>155.17241379310346</v>
      </c>
      <c r="R769" s="14">
        <v>20.8522125</v>
      </c>
      <c r="S769" s="12">
        <v>13</v>
      </c>
      <c r="T769" s="12">
        <v>-1.0999999999999943</v>
      </c>
      <c r="U769" s="14">
        <v>30.68</v>
      </c>
      <c r="V769" s="17">
        <v>-84.615384615384173</v>
      </c>
      <c r="W769" s="14">
        <v>9.0306740384615605</v>
      </c>
      <c r="X769">
        <f t="shared" si="22"/>
        <v>17.100000000000001</v>
      </c>
      <c r="Y769">
        <f t="shared" si="23"/>
        <v>9.0306740384615605</v>
      </c>
    </row>
    <row r="770" spans="1:25">
      <c r="A770" s="12" t="s">
        <v>335</v>
      </c>
      <c r="B770" s="12" t="s">
        <v>425</v>
      </c>
      <c r="C770" s="12">
        <v>161</v>
      </c>
      <c r="D770" s="12">
        <v>2.36</v>
      </c>
      <c r="E770" s="12" t="s">
        <v>464</v>
      </c>
      <c r="F770" s="13">
        <v>41687</v>
      </c>
      <c r="G770" s="12">
        <v>51.4</v>
      </c>
      <c r="I770" s="13">
        <v>41716</v>
      </c>
      <c r="J770" s="12">
        <v>56.5</v>
      </c>
      <c r="L770" s="12">
        <v>29</v>
      </c>
      <c r="M770" s="12">
        <v>5.1000000000000014</v>
      </c>
      <c r="O770" s="17">
        <v>68.44</v>
      </c>
      <c r="P770" s="17"/>
      <c r="Q770" s="17">
        <v>175.8620689655173</v>
      </c>
      <c r="R770" s="14">
        <v>19.792405500000001</v>
      </c>
      <c r="S770" s="12">
        <v>13</v>
      </c>
      <c r="T770" s="12">
        <v>-0.89999999999999858</v>
      </c>
      <c r="U770" s="14">
        <v>30.68</v>
      </c>
      <c r="V770" s="17">
        <v>-69.230769230769127</v>
      </c>
      <c r="W770" s="14">
        <v>7.709328576923081</v>
      </c>
      <c r="X770">
        <f t="shared" si="22"/>
        <v>17.100000000000001</v>
      </c>
      <c r="Y770">
        <f t="shared" si="23"/>
        <v>7.7093285769230802</v>
      </c>
    </row>
    <row r="771" spans="1:25">
      <c r="A771" s="12" t="s">
        <v>335</v>
      </c>
      <c r="B771" s="12" t="s">
        <v>425</v>
      </c>
      <c r="C771" s="12">
        <v>161</v>
      </c>
      <c r="D771" s="12">
        <v>2.36</v>
      </c>
      <c r="E771" s="12" t="s">
        <v>465</v>
      </c>
      <c r="F771" s="13">
        <v>41687</v>
      </c>
      <c r="G771" s="12">
        <v>49</v>
      </c>
      <c r="I771" s="13">
        <v>41716</v>
      </c>
      <c r="J771" s="12">
        <v>49.5</v>
      </c>
      <c r="L771" s="12">
        <v>29</v>
      </c>
      <c r="M771" s="12">
        <v>0.5</v>
      </c>
      <c r="O771" s="17">
        <v>68.44</v>
      </c>
      <c r="P771" s="17"/>
      <c r="Q771" s="17">
        <v>17.241379310344826</v>
      </c>
      <c r="R771" s="14">
        <v>11.1776825</v>
      </c>
      <c r="S771" s="12">
        <v>13</v>
      </c>
      <c r="T771" s="12">
        <v>-1.5</v>
      </c>
      <c r="U771" s="14">
        <v>30.68</v>
      </c>
      <c r="V771" s="17">
        <v>-115.38461538461539</v>
      </c>
      <c r="W771" s="14">
        <v>4.6392209615384612</v>
      </c>
      <c r="X771">
        <f t="shared" ref="X771:X834" si="24">IF(H771&gt;0,-4.1485*H771 + 28.398,17.1)</f>
        <v>17.100000000000001</v>
      </c>
      <c r="Y771">
        <f t="shared" ref="Y771:Y834" si="25">W771*X771/17.1</f>
        <v>4.6392209615384612</v>
      </c>
    </row>
    <row r="772" spans="1:25">
      <c r="A772" s="12" t="s">
        <v>335</v>
      </c>
      <c r="B772" s="12" t="s">
        <v>425</v>
      </c>
      <c r="C772" s="12">
        <v>161</v>
      </c>
      <c r="D772" s="12">
        <v>2.36</v>
      </c>
      <c r="E772" s="12" t="s">
        <v>466</v>
      </c>
      <c r="F772" s="13">
        <v>41687</v>
      </c>
      <c r="G772" s="12">
        <v>53</v>
      </c>
      <c r="I772" s="13">
        <v>41716</v>
      </c>
      <c r="J772" s="12">
        <v>59</v>
      </c>
      <c r="L772" s="12">
        <v>29</v>
      </c>
      <c r="M772" s="12">
        <v>6</v>
      </c>
      <c r="O772" s="17">
        <v>68.44</v>
      </c>
      <c r="P772" s="17"/>
      <c r="Q772" s="17">
        <v>206.89655172413794</v>
      </c>
      <c r="R772" s="14">
        <v>21.669039999999999</v>
      </c>
      <c r="S772" s="12">
        <v>13</v>
      </c>
      <c r="T772" s="12">
        <v>1.3999999999999986</v>
      </c>
      <c r="U772" s="14">
        <v>30.68</v>
      </c>
      <c r="V772" s="17">
        <v>107.69230769230759</v>
      </c>
      <c r="W772" s="14">
        <v>16.778270769230765</v>
      </c>
      <c r="X772">
        <f t="shared" si="24"/>
        <v>17.100000000000001</v>
      </c>
      <c r="Y772">
        <f t="shared" si="25"/>
        <v>16.778270769230765</v>
      </c>
    </row>
    <row r="773" spans="1:25">
      <c r="A773" s="12" t="s">
        <v>335</v>
      </c>
      <c r="B773" s="12" t="s">
        <v>425</v>
      </c>
      <c r="C773" s="12">
        <v>161</v>
      </c>
      <c r="D773" s="12">
        <v>2.36</v>
      </c>
      <c r="E773" s="12" t="s">
        <v>467</v>
      </c>
      <c r="F773" s="13">
        <v>41687</v>
      </c>
      <c r="G773" s="12">
        <v>53.8</v>
      </c>
      <c r="I773" s="13">
        <v>41716</v>
      </c>
      <c r="J773" s="12">
        <v>60</v>
      </c>
      <c r="L773" s="12">
        <v>29</v>
      </c>
      <c r="M773" s="12">
        <v>6.2000000000000028</v>
      </c>
      <c r="O773" s="17">
        <v>68.44</v>
      </c>
      <c r="P773" s="17"/>
      <c r="Q773" s="17">
        <v>213.79310344827596</v>
      </c>
      <c r="R773" s="14">
        <v>22.161221000000005</v>
      </c>
      <c r="S773" s="12">
        <v>13</v>
      </c>
      <c r="T773" s="12">
        <v>2.2000000000000028</v>
      </c>
      <c r="U773" s="14">
        <v>30.68</v>
      </c>
      <c r="V773" s="17">
        <v>169.23076923076945</v>
      </c>
      <c r="W773" s="14">
        <v>19.964297923076934</v>
      </c>
      <c r="X773">
        <f t="shared" si="24"/>
        <v>17.100000000000001</v>
      </c>
      <c r="Y773">
        <f t="shared" si="25"/>
        <v>19.964297923076934</v>
      </c>
    </row>
    <row r="774" spans="1:25">
      <c r="A774" s="12" t="s">
        <v>335</v>
      </c>
      <c r="B774" s="12" t="s">
        <v>425</v>
      </c>
      <c r="C774" s="12">
        <v>161</v>
      </c>
      <c r="D774" s="12">
        <v>2.36</v>
      </c>
      <c r="E774" s="12" t="s">
        <v>468</v>
      </c>
      <c r="F774" s="13">
        <v>41687</v>
      </c>
      <c r="G774" s="12">
        <v>52.2</v>
      </c>
      <c r="I774" s="13">
        <v>41716</v>
      </c>
      <c r="J774" s="12">
        <v>58</v>
      </c>
      <c r="L774" s="12">
        <v>29</v>
      </c>
      <c r="M774" s="12">
        <v>5.7999999999999972</v>
      </c>
      <c r="O774" s="17">
        <v>68.44</v>
      </c>
      <c r="P774" s="17"/>
      <c r="Q774" s="17">
        <v>199.99999999999989</v>
      </c>
      <c r="R774" s="14">
        <v>21.176858999999993</v>
      </c>
      <c r="S774" s="12">
        <v>13</v>
      </c>
      <c r="T774" s="12">
        <v>-1</v>
      </c>
      <c r="U774" s="14">
        <v>30.68</v>
      </c>
      <c r="V774" s="17">
        <v>-76.923076923076934</v>
      </c>
      <c r="W774" s="14">
        <v>7.524551307692307</v>
      </c>
      <c r="X774">
        <f t="shared" si="24"/>
        <v>17.100000000000001</v>
      </c>
      <c r="Y774">
        <f t="shared" si="25"/>
        <v>7.524551307692307</v>
      </c>
    </row>
    <row r="775" spans="1:25">
      <c r="A775" s="12" t="s">
        <v>335</v>
      </c>
      <c r="B775" s="12" t="s">
        <v>425</v>
      </c>
      <c r="C775" s="12">
        <v>161</v>
      </c>
      <c r="D775" s="12">
        <v>2.36</v>
      </c>
      <c r="E775" s="12" t="s">
        <v>469</v>
      </c>
      <c r="F775" s="13">
        <v>41687</v>
      </c>
      <c r="G775" s="12">
        <v>55.2</v>
      </c>
      <c r="I775" s="13">
        <v>41716</v>
      </c>
      <c r="J775" s="12">
        <v>59</v>
      </c>
      <c r="L775" s="12">
        <v>29</v>
      </c>
      <c r="M775" s="12">
        <v>3.7999999999999972</v>
      </c>
      <c r="O775" s="17">
        <v>68.44</v>
      </c>
      <c r="P775" s="17"/>
      <c r="Q775" s="17">
        <v>131.03448275862058</v>
      </c>
      <c r="R775" s="14">
        <v>18.115038999999996</v>
      </c>
      <c r="S775" s="12">
        <v>13</v>
      </c>
      <c r="T775" s="12">
        <v>0.20000000000000284</v>
      </c>
      <c r="U775" s="14">
        <v>30.68</v>
      </c>
      <c r="V775" s="17">
        <v>15.384615384615604</v>
      </c>
      <c r="W775" s="14">
        <v>12.41350053846155</v>
      </c>
      <c r="X775">
        <f t="shared" si="24"/>
        <v>17.100000000000001</v>
      </c>
      <c r="Y775">
        <f t="shared" si="25"/>
        <v>12.41350053846155</v>
      </c>
    </row>
    <row r="776" spans="1:25">
      <c r="A776" s="12" t="s">
        <v>335</v>
      </c>
      <c r="B776" s="12" t="s">
        <v>425</v>
      </c>
      <c r="C776" s="12">
        <v>161</v>
      </c>
      <c r="D776" s="12">
        <v>2.36</v>
      </c>
      <c r="E776" s="12" t="s">
        <v>470</v>
      </c>
      <c r="F776" s="13">
        <v>41687</v>
      </c>
      <c r="G776" s="12">
        <v>51.6</v>
      </c>
      <c r="I776" s="13">
        <v>41716</v>
      </c>
      <c r="J776" s="12">
        <v>60.5</v>
      </c>
      <c r="L776" s="12">
        <v>29</v>
      </c>
      <c r="M776" s="12">
        <v>8.8999999999999986</v>
      </c>
      <c r="O776" s="17">
        <v>68.44</v>
      </c>
      <c r="P776" s="17"/>
      <c r="Q776" s="17">
        <v>306.89655172413785</v>
      </c>
      <c r="R776" s="14">
        <v>26.607494499999994</v>
      </c>
      <c r="S776" s="12">
        <v>13</v>
      </c>
      <c r="T776" s="12">
        <v>1.5</v>
      </c>
      <c r="U776" s="14">
        <v>30.68</v>
      </c>
      <c r="V776" s="17">
        <v>115.38461538461539</v>
      </c>
      <c r="W776" s="14">
        <v>17.165956038461538</v>
      </c>
      <c r="X776">
        <f t="shared" si="24"/>
        <v>17.100000000000001</v>
      </c>
      <c r="Y776">
        <f t="shared" si="25"/>
        <v>17.165956038461538</v>
      </c>
    </row>
    <row r="777" spans="1:25">
      <c r="A777" s="12" t="s">
        <v>335</v>
      </c>
      <c r="B777" s="12" t="s">
        <v>425</v>
      </c>
      <c r="C777" s="12">
        <v>161</v>
      </c>
      <c r="D777" s="12">
        <v>2.36</v>
      </c>
      <c r="E777" s="12" t="s">
        <v>471</v>
      </c>
      <c r="F777" s="13">
        <v>41687</v>
      </c>
      <c r="G777" s="12">
        <v>51.6</v>
      </c>
      <c r="I777" s="13">
        <v>41716</v>
      </c>
      <c r="J777" s="12">
        <v>53.5</v>
      </c>
      <c r="L777" s="12">
        <v>29</v>
      </c>
      <c r="M777" s="12">
        <v>1.8999999999999986</v>
      </c>
      <c r="O777" s="17">
        <v>68.44</v>
      </c>
      <c r="P777" s="17"/>
      <c r="Q777" s="17">
        <v>65.517241379310292</v>
      </c>
      <c r="R777" s="14">
        <v>14.115679499999995</v>
      </c>
      <c r="S777" s="12">
        <v>13</v>
      </c>
      <c r="T777" s="12">
        <v>0.70000000000000284</v>
      </c>
      <c r="U777" s="14">
        <v>30.68</v>
      </c>
      <c r="V777" s="17">
        <v>53.846153846154067</v>
      </c>
      <c r="W777" s="14">
        <v>13.540294884615394</v>
      </c>
      <c r="X777">
        <f t="shared" si="24"/>
        <v>17.100000000000001</v>
      </c>
      <c r="Y777">
        <f t="shared" si="25"/>
        <v>13.540294884615394</v>
      </c>
    </row>
    <row r="778" spans="1:25">
      <c r="A778" s="12" t="s">
        <v>335</v>
      </c>
      <c r="B778" s="12" t="s">
        <v>425</v>
      </c>
      <c r="C778" s="12">
        <v>161</v>
      </c>
      <c r="D778" s="12">
        <v>2.36</v>
      </c>
      <c r="E778" s="12" t="s">
        <v>472</v>
      </c>
      <c r="F778" s="13">
        <v>41687</v>
      </c>
      <c r="G778" s="12">
        <v>52.2</v>
      </c>
      <c r="I778" s="13">
        <v>41716</v>
      </c>
      <c r="J778" s="12">
        <v>58.5</v>
      </c>
      <c r="L778" s="12">
        <v>29</v>
      </c>
      <c r="M778" s="12">
        <v>6.2999999999999972</v>
      </c>
      <c r="O778" s="17">
        <v>68.44</v>
      </c>
      <c r="P778" s="17"/>
      <c r="Q778" s="17">
        <v>217.24137931034474</v>
      </c>
      <c r="R778" s="14">
        <v>22.069131499999997</v>
      </c>
      <c r="S778" s="12">
        <v>13</v>
      </c>
      <c r="T778" s="12">
        <v>1.5</v>
      </c>
      <c r="U778" s="14">
        <v>30.68</v>
      </c>
      <c r="V778" s="17">
        <v>115.38461538461539</v>
      </c>
      <c r="W778" s="14">
        <v>17.047593038461539</v>
      </c>
      <c r="X778">
        <f t="shared" si="24"/>
        <v>17.100000000000001</v>
      </c>
      <c r="Y778">
        <f t="shared" si="25"/>
        <v>17.047593038461539</v>
      </c>
    </row>
    <row r="779" spans="1:25">
      <c r="A779" s="12" t="s">
        <v>335</v>
      </c>
      <c r="B779" s="12" t="s">
        <v>425</v>
      </c>
      <c r="C779" s="12">
        <v>161</v>
      </c>
      <c r="D779" s="12">
        <v>2.36</v>
      </c>
      <c r="E779" s="12" t="s">
        <v>473</v>
      </c>
      <c r="F779" s="13">
        <v>41687</v>
      </c>
      <c r="G779" s="12">
        <v>55.4</v>
      </c>
      <c r="I779" s="13">
        <v>41716</v>
      </c>
      <c r="J779" s="12">
        <v>60</v>
      </c>
      <c r="L779" s="12">
        <v>29</v>
      </c>
      <c r="M779" s="12">
        <v>4.6000000000000014</v>
      </c>
      <c r="O779" s="17">
        <v>68.44</v>
      </c>
      <c r="P779" s="17"/>
      <c r="Q779" s="17">
        <v>158.62068965517244</v>
      </c>
      <c r="R779" s="14">
        <v>19.576493000000003</v>
      </c>
      <c r="S779" s="12">
        <v>13</v>
      </c>
      <c r="T779" s="12">
        <v>4.3999999999999986</v>
      </c>
      <c r="U779" s="14">
        <v>30.68</v>
      </c>
      <c r="V779" s="17">
        <v>338.4615384615384</v>
      </c>
      <c r="W779" s="14">
        <v>28.442646846153842</v>
      </c>
      <c r="X779">
        <f t="shared" si="24"/>
        <v>17.100000000000001</v>
      </c>
      <c r="Y779">
        <f t="shared" si="25"/>
        <v>28.442646846153842</v>
      </c>
    </row>
    <row r="780" spans="1:25">
      <c r="A780" s="12" t="s">
        <v>335</v>
      </c>
      <c r="B780" s="12" t="s">
        <v>425</v>
      </c>
      <c r="C780" s="12">
        <v>161</v>
      </c>
      <c r="D780" s="12">
        <v>2.36</v>
      </c>
      <c r="E780" s="12" t="s">
        <v>474</v>
      </c>
      <c r="F780" s="13">
        <v>41687</v>
      </c>
      <c r="G780" s="12">
        <v>57.8</v>
      </c>
      <c r="I780" s="13">
        <v>41716</v>
      </c>
      <c r="J780" s="12">
        <v>62.5</v>
      </c>
      <c r="L780" s="12">
        <v>29</v>
      </c>
      <c r="M780" s="12">
        <v>4.7000000000000028</v>
      </c>
      <c r="O780" s="17">
        <v>68.44</v>
      </c>
      <c r="P780" s="17"/>
      <c r="Q780" s="17">
        <v>162.06896551724148</v>
      </c>
      <c r="R780" s="14">
        <v>20.160763500000005</v>
      </c>
      <c r="S780" s="12">
        <v>13</v>
      </c>
      <c r="T780" s="12">
        <v>1.5</v>
      </c>
      <c r="U780" s="14">
        <v>30.68</v>
      </c>
      <c r="V780" s="17">
        <v>115.38461538461539</v>
      </c>
      <c r="W780" s="14">
        <v>17.859225038461538</v>
      </c>
      <c r="X780">
        <f t="shared" si="24"/>
        <v>17.100000000000001</v>
      </c>
      <c r="Y780">
        <f t="shared" si="25"/>
        <v>17.859225038461538</v>
      </c>
    </row>
    <row r="781" spans="1:25">
      <c r="A781" s="12" t="s">
        <v>335</v>
      </c>
      <c r="B781" s="12" t="s">
        <v>425</v>
      </c>
      <c r="C781" s="12">
        <v>161</v>
      </c>
      <c r="D781" s="12">
        <v>2.36</v>
      </c>
      <c r="E781" s="12" t="s">
        <v>475</v>
      </c>
      <c r="F781" s="13">
        <v>41687</v>
      </c>
      <c r="G781" s="12">
        <v>62.4</v>
      </c>
      <c r="I781" s="13">
        <v>41716</v>
      </c>
      <c r="J781" s="12">
        <v>65</v>
      </c>
      <c r="L781" s="12">
        <v>29</v>
      </c>
      <c r="M781" s="12">
        <v>2.6000000000000014</v>
      </c>
      <c r="O781" s="17">
        <v>68.44</v>
      </c>
      <c r="P781" s="17"/>
      <c r="Q781" s="17">
        <v>89.655172413793153</v>
      </c>
      <c r="R781" s="14">
        <v>17.191033000000001</v>
      </c>
      <c r="S781" s="12">
        <v>13</v>
      </c>
      <c r="T781" s="12">
        <v>-1.4000000000000057</v>
      </c>
      <c r="U781" s="14">
        <v>30.68</v>
      </c>
      <c r="V781" s="17">
        <v>-107.69230769230813</v>
      </c>
      <c r="W781" s="14">
        <v>7.4618022307692087</v>
      </c>
      <c r="X781">
        <f t="shared" si="24"/>
        <v>17.100000000000001</v>
      </c>
      <c r="Y781">
        <f t="shared" si="25"/>
        <v>7.4618022307692087</v>
      </c>
    </row>
    <row r="782" spans="1:25">
      <c r="A782" s="12" t="s">
        <v>335</v>
      </c>
      <c r="B782" s="12" t="s">
        <v>425</v>
      </c>
      <c r="C782" s="12">
        <v>161</v>
      </c>
      <c r="D782" s="12">
        <v>2.36</v>
      </c>
      <c r="E782" s="12" t="s">
        <v>476</v>
      </c>
      <c r="F782" s="13">
        <v>41687</v>
      </c>
      <c r="G782" s="12">
        <v>50.2</v>
      </c>
      <c r="I782" s="13">
        <v>41716</v>
      </c>
      <c r="J782" s="12">
        <v>56</v>
      </c>
      <c r="L782" s="12">
        <v>29</v>
      </c>
      <c r="M782" s="12">
        <v>5.7999999999999972</v>
      </c>
      <c r="O782" s="17">
        <v>68.44</v>
      </c>
      <c r="P782" s="17"/>
      <c r="Q782" s="17">
        <v>199.99999999999989</v>
      </c>
      <c r="R782" s="14">
        <v>20.838678999999992</v>
      </c>
      <c r="S782" s="12">
        <v>13</v>
      </c>
      <c r="T782" s="12">
        <v>2.2000000000000028</v>
      </c>
      <c r="U782" s="14">
        <v>30.68</v>
      </c>
      <c r="V782" s="17">
        <v>169.23076923076945</v>
      </c>
      <c r="W782" s="14">
        <v>19.321755923076935</v>
      </c>
      <c r="X782">
        <f t="shared" si="24"/>
        <v>17.100000000000001</v>
      </c>
      <c r="Y782">
        <f t="shared" si="25"/>
        <v>19.321755923076935</v>
      </c>
    </row>
    <row r="783" spans="1:25">
      <c r="A783" s="12" t="s">
        <v>335</v>
      </c>
      <c r="B783" s="12" t="s">
        <v>425</v>
      </c>
      <c r="C783" s="12">
        <v>161</v>
      </c>
      <c r="D783" s="12">
        <v>2.36</v>
      </c>
      <c r="E783" s="12" t="s">
        <v>477</v>
      </c>
      <c r="F783" s="13">
        <v>41687</v>
      </c>
      <c r="G783" s="12">
        <v>52.2</v>
      </c>
      <c r="I783" s="13">
        <v>41716</v>
      </c>
      <c r="J783" s="12">
        <v>60.5</v>
      </c>
      <c r="L783" s="12">
        <v>29</v>
      </c>
      <c r="M783" s="12">
        <v>8.2999999999999972</v>
      </c>
      <c r="O783" s="17">
        <v>68.44</v>
      </c>
      <c r="P783" s="17"/>
      <c r="Q783" s="17">
        <v>286.20689655172407</v>
      </c>
      <c r="R783" s="14">
        <v>25.638221499999993</v>
      </c>
      <c r="S783" s="12">
        <v>13</v>
      </c>
      <c r="T783" s="12">
        <v>2.5</v>
      </c>
      <c r="U783" s="14">
        <v>30.68</v>
      </c>
      <c r="V783" s="17">
        <v>192.30769230769232</v>
      </c>
      <c r="W783" s="14">
        <v>21.008990730769227</v>
      </c>
      <c r="X783">
        <f t="shared" si="24"/>
        <v>17.100000000000001</v>
      </c>
      <c r="Y783">
        <f t="shared" si="25"/>
        <v>21.008990730769227</v>
      </c>
    </row>
    <row r="784" spans="1:25">
      <c r="A784" s="12" t="s">
        <v>299</v>
      </c>
      <c r="B784" s="12" t="s">
        <v>300</v>
      </c>
      <c r="C784" s="12">
        <v>14</v>
      </c>
      <c r="D784" s="12">
        <v>1.98</v>
      </c>
      <c r="E784" s="12" t="s">
        <v>301</v>
      </c>
      <c r="F784" s="13">
        <v>39476</v>
      </c>
      <c r="G784" s="12">
        <v>54</v>
      </c>
      <c r="H784" s="12">
        <v>2.5</v>
      </c>
      <c r="I784" s="13">
        <v>39511</v>
      </c>
      <c r="J784" s="12">
        <v>62.6</v>
      </c>
      <c r="L784" s="12">
        <v>35</v>
      </c>
      <c r="M784" s="12">
        <v>8.6000000000000014</v>
      </c>
      <c r="O784" s="17">
        <v>69.3</v>
      </c>
      <c r="P784" s="17"/>
      <c r="Q784" s="17">
        <v>245.71428571428575</v>
      </c>
      <c r="R784" s="14">
        <v>23.971661285714283</v>
      </c>
      <c r="S784" s="12">
        <v>8</v>
      </c>
      <c r="T784" s="12">
        <v>2</v>
      </c>
      <c r="U784" s="14">
        <v>15.84</v>
      </c>
      <c r="V784" s="17">
        <v>250</v>
      </c>
      <c r="W784" s="14">
        <v>24.182946999999999</v>
      </c>
      <c r="X784">
        <f t="shared" si="24"/>
        <v>18.02675</v>
      </c>
      <c r="Y784">
        <f t="shared" si="25"/>
        <v>25.493563732880116</v>
      </c>
    </row>
    <row r="785" spans="1:25">
      <c r="A785" s="12" t="s">
        <v>299</v>
      </c>
      <c r="B785" s="12" t="s">
        <v>300</v>
      </c>
      <c r="C785" s="12">
        <v>14</v>
      </c>
      <c r="D785" s="12">
        <v>1.98</v>
      </c>
      <c r="E785" s="12" t="s">
        <v>302</v>
      </c>
      <c r="F785" s="13">
        <v>39476</v>
      </c>
      <c r="G785" s="12">
        <v>56.6</v>
      </c>
      <c r="H785" s="12">
        <v>2.5</v>
      </c>
      <c r="I785" s="13">
        <v>39511</v>
      </c>
      <c r="J785" s="12">
        <v>65.599999999999994</v>
      </c>
      <c r="L785" s="12">
        <v>35</v>
      </c>
      <c r="M785" s="12">
        <v>8.9999999999999929</v>
      </c>
      <c r="O785" s="17">
        <v>69.3</v>
      </c>
      <c r="P785" s="17"/>
      <c r="Q785" s="17">
        <v>257.14285714285694</v>
      </c>
      <c r="R785" s="14">
        <v>25.008541857142845</v>
      </c>
      <c r="S785" s="12">
        <v>8</v>
      </c>
      <c r="T785" s="12">
        <v>3.3999999999999915</v>
      </c>
      <c r="U785" s="14">
        <v>15.84</v>
      </c>
      <c r="V785" s="17">
        <v>424.99999999999892</v>
      </c>
      <c r="W785" s="14">
        <v>33.283898999999948</v>
      </c>
      <c r="X785">
        <f t="shared" si="24"/>
        <v>18.02675</v>
      </c>
      <c r="Y785">
        <f t="shared" si="25"/>
        <v>35.087750075920994</v>
      </c>
    </row>
    <row r="786" spans="1:25">
      <c r="A786" s="12" t="s">
        <v>299</v>
      </c>
      <c r="B786" s="12" t="s">
        <v>300</v>
      </c>
      <c r="C786" s="12">
        <v>14</v>
      </c>
      <c r="D786" s="12">
        <v>1.98</v>
      </c>
      <c r="E786" s="12" t="s">
        <v>303</v>
      </c>
      <c r="F786" s="13">
        <v>39476</v>
      </c>
      <c r="G786" s="12">
        <v>56.6</v>
      </c>
      <c r="H786" s="12">
        <v>3.25</v>
      </c>
      <c r="I786" s="13">
        <v>39511</v>
      </c>
      <c r="J786" s="12">
        <v>64.2</v>
      </c>
      <c r="L786" s="12">
        <v>35</v>
      </c>
      <c r="M786" s="12">
        <v>7.6000000000000014</v>
      </c>
      <c r="O786" s="17">
        <v>69.3</v>
      </c>
      <c r="P786" s="17"/>
      <c r="Q786" s="17">
        <v>217.1428571428572</v>
      </c>
      <c r="R786" s="14">
        <v>22.918178857142859</v>
      </c>
      <c r="S786" s="12">
        <v>8</v>
      </c>
      <c r="T786" s="12">
        <v>1.4000000000000057</v>
      </c>
      <c r="U786" s="14">
        <v>15.84</v>
      </c>
      <c r="V786" s="17">
        <v>175.00000000000071</v>
      </c>
      <c r="W786" s="14">
        <v>20.840536000000036</v>
      </c>
      <c r="X786">
        <f t="shared" si="24"/>
        <v>14.915374999999999</v>
      </c>
      <c r="Y786">
        <f t="shared" si="25"/>
        <v>18.178035651520499</v>
      </c>
    </row>
    <row r="787" spans="1:25">
      <c r="A787" s="12" t="s">
        <v>299</v>
      </c>
      <c r="B787" s="12" t="s">
        <v>300</v>
      </c>
      <c r="C787" s="12">
        <v>14</v>
      </c>
      <c r="D787" s="12">
        <v>1.98</v>
      </c>
      <c r="E787" s="12" t="s">
        <v>304</v>
      </c>
      <c r="F787" s="13">
        <v>39476</v>
      </c>
      <c r="G787" s="12">
        <v>63.6</v>
      </c>
      <c r="H787" s="12">
        <v>3.25</v>
      </c>
      <c r="I787" s="13">
        <v>39511</v>
      </c>
      <c r="J787" s="12">
        <v>70.400000000000006</v>
      </c>
      <c r="L787" s="12">
        <v>35</v>
      </c>
      <c r="M787" s="12">
        <v>6.8000000000000043</v>
      </c>
      <c r="O787" s="17">
        <v>69.3</v>
      </c>
      <c r="P787" s="17"/>
      <c r="Q787" s="17">
        <v>194.28571428571439</v>
      </c>
      <c r="R787" s="14">
        <v>22.907315714285719</v>
      </c>
      <c r="S787" s="12">
        <v>8</v>
      </c>
      <c r="T787" s="12">
        <v>-3</v>
      </c>
      <c r="U787" s="14">
        <v>15.84</v>
      </c>
      <c r="V787" s="17">
        <v>-375</v>
      </c>
      <c r="W787" s="14">
        <v>-5.1584699999999977</v>
      </c>
      <c r="X787">
        <f t="shared" si="24"/>
        <v>14.915374999999999</v>
      </c>
      <c r="Y787">
        <f t="shared" si="25"/>
        <v>-4.4994452910087688</v>
      </c>
    </row>
    <row r="788" spans="1:25">
      <c r="A788" s="12" t="s">
        <v>299</v>
      </c>
      <c r="B788" s="12" t="s">
        <v>300</v>
      </c>
      <c r="C788" s="12">
        <v>14</v>
      </c>
      <c r="D788" s="12">
        <v>1.98</v>
      </c>
      <c r="E788" s="12" t="s">
        <v>305</v>
      </c>
      <c r="F788" s="13">
        <v>39476</v>
      </c>
      <c r="G788" s="12">
        <v>52.4</v>
      </c>
      <c r="H788" s="12">
        <v>2</v>
      </c>
      <c r="I788" s="13">
        <v>39511</v>
      </c>
      <c r="J788" s="12">
        <v>61.6</v>
      </c>
      <c r="L788" s="12">
        <v>35</v>
      </c>
      <c r="M788" s="12">
        <v>9.2000000000000028</v>
      </c>
      <c r="O788" s="17">
        <v>69.3</v>
      </c>
      <c r="P788" s="17"/>
      <c r="Q788" s="17">
        <v>262.85714285714295</v>
      </c>
      <c r="R788" s="14">
        <v>24.596987142857145</v>
      </c>
      <c r="S788" s="12">
        <v>8</v>
      </c>
      <c r="T788" s="12">
        <v>-1.3999999999999986</v>
      </c>
      <c r="U788" s="14">
        <v>15.84</v>
      </c>
      <c r="V788" s="17">
        <v>-174.99999999999983</v>
      </c>
      <c r="W788" s="14">
        <v>3.0106300000000097</v>
      </c>
      <c r="X788">
        <f t="shared" si="24"/>
        <v>20.100999999999999</v>
      </c>
      <c r="Y788">
        <f t="shared" si="25"/>
        <v>3.5389867619883151</v>
      </c>
    </row>
    <row r="789" spans="1:25">
      <c r="A789" s="12" t="s">
        <v>299</v>
      </c>
      <c r="B789" s="12" t="s">
        <v>300</v>
      </c>
      <c r="C789" s="12">
        <v>14</v>
      </c>
      <c r="D789" s="12">
        <v>1.98</v>
      </c>
      <c r="E789" s="12" t="s">
        <v>306</v>
      </c>
      <c r="F789" s="13">
        <v>39476</v>
      </c>
      <c r="G789" s="12">
        <v>53.2</v>
      </c>
      <c r="H789" s="12">
        <v>2.5</v>
      </c>
      <c r="I789" s="13">
        <v>39511</v>
      </c>
      <c r="J789" s="12">
        <v>61.2</v>
      </c>
      <c r="L789" s="12">
        <v>35</v>
      </c>
      <c r="M789" s="12">
        <v>8</v>
      </c>
      <c r="O789" s="17">
        <v>69.3</v>
      </c>
      <c r="P789" s="17"/>
      <c r="Q789" s="17">
        <v>228.57142857142856</v>
      </c>
      <c r="R789" s="14">
        <v>22.940519428571427</v>
      </c>
      <c r="S789" s="12">
        <v>8</v>
      </c>
      <c r="T789" s="12">
        <v>1.6000000000000014</v>
      </c>
      <c r="U789" s="14">
        <v>15.84</v>
      </c>
      <c r="V789" s="17">
        <v>200.00000000000017</v>
      </c>
      <c r="W789" s="14">
        <v>21.531948000000007</v>
      </c>
      <c r="X789">
        <f t="shared" si="24"/>
        <v>18.02675</v>
      </c>
      <c r="Y789">
        <f t="shared" si="25"/>
        <v>22.698891439122811</v>
      </c>
    </row>
    <row r="790" spans="1:25">
      <c r="A790" s="12" t="s">
        <v>299</v>
      </c>
      <c r="B790" s="12" t="s">
        <v>300</v>
      </c>
      <c r="C790" s="12">
        <v>14</v>
      </c>
      <c r="D790" s="12">
        <v>1.98</v>
      </c>
      <c r="E790" s="12" t="s">
        <v>307</v>
      </c>
      <c r="F790" s="13">
        <v>39476</v>
      </c>
      <c r="G790" s="12">
        <v>60.2</v>
      </c>
      <c r="H790" s="12">
        <v>2.25</v>
      </c>
      <c r="I790" s="13">
        <v>39511</v>
      </c>
      <c r="J790" s="12">
        <v>70</v>
      </c>
      <c r="L790" s="12">
        <v>35</v>
      </c>
      <c r="M790" s="12">
        <v>9.7999999999999972</v>
      </c>
      <c r="O790" s="17">
        <v>69.3</v>
      </c>
      <c r="P790" s="17"/>
      <c r="Q790" s="17">
        <v>279.99999999999994</v>
      </c>
      <c r="R790" s="14">
        <v>26.811758999999995</v>
      </c>
      <c r="S790" s="12">
        <v>8</v>
      </c>
      <c r="T790" s="12">
        <v>2.4000000000000057</v>
      </c>
      <c r="U790" s="14">
        <v>15.84</v>
      </c>
      <c r="V790" s="17">
        <v>300.00000000000068</v>
      </c>
      <c r="W790" s="14">
        <v>27.797759000000028</v>
      </c>
      <c r="X790">
        <f t="shared" si="24"/>
        <v>19.063874999999999</v>
      </c>
      <c r="Y790">
        <f t="shared" si="25"/>
        <v>30.990234085153539</v>
      </c>
    </row>
    <row r="791" spans="1:25">
      <c r="A791" s="12" t="s">
        <v>299</v>
      </c>
      <c r="B791" s="12" t="s">
        <v>300</v>
      </c>
      <c r="C791" s="12">
        <v>14</v>
      </c>
      <c r="D791" s="12">
        <v>1.98</v>
      </c>
      <c r="E791" s="12" t="s">
        <v>308</v>
      </c>
      <c r="F791" s="13">
        <v>39476</v>
      </c>
      <c r="G791" s="12">
        <v>60.2</v>
      </c>
      <c r="H791" s="12">
        <v>3</v>
      </c>
      <c r="I791" s="13">
        <v>39511</v>
      </c>
      <c r="J791" s="12">
        <v>69.599999999999994</v>
      </c>
      <c r="L791" s="12">
        <v>35</v>
      </c>
      <c r="M791" s="12">
        <v>9.3999999999999915</v>
      </c>
      <c r="O791" s="17">
        <v>69.3</v>
      </c>
      <c r="P791" s="17"/>
      <c r="Q791" s="17">
        <v>268.57142857142833</v>
      </c>
      <c r="R791" s="14">
        <v>26.214512428571418</v>
      </c>
      <c r="S791" s="12">
        <v>8</v>
      </c>
      <c r="T791" s="12">
        <v>0.59999999999999432</v>
      </c>
      <c r="U791" s="14">
        <v>15.84</v>
      </c>
      <c r="V791" s="17">
        <v>74.999999999999289</v>
      </c>
      <c r="W791" s="14">
        <v>16.671440999999966</v>
      </c>
      <c r="X791">
        <f t="shared" si="24"/>
        <v>15.952499999999999</v>
      </c>
      <c r="Y791">
        <f t="shared" si="25"/>
        <v>15.552699564473651</v>
      </c>
    </row>
    <row r="792" spans="1:25">
      <c r="A792" s="12" t="s">
        <v>299</v>
      </c>
      <c r="B792" s="12" t="s">
        <v>300</v>
      </c>
      <c r="C792" s="12">
        <v>14</v>
      </c>
      <c r="D792" s="12">
        <v>1.98</v>
      </c>
      <c r="E792" s="12" t="s">
        <v>309</v>
      </c>
      <c r="F792" s="13">
        <v>39476</v>
      </c>
      <c r="G792" s="12">
        <v>50.6</v>
      </c>
      <c r="H792" s="12">
        <v>1.75</v>
      </c>
      <c r="I792" s="13">
        <v>39511</v>
      </c>
      <c r="J792" s="12">
        <v>63.6</v>
      </c>
      <c r="L792" s="12">
        <v>35</v>
      </c>
      <c r="M792" s="12">
        <v>13</v>
      </c>
      <c r="O792" s="17">
        <v>69.3</v>
      </c>
      <c r="P792" s="17"/>
      <c r="Q792" s="17">
        <v>371.42857142857144</v>
      </c>
      <c r="R792" s="14">
        <v>29.966467571428574</v>
      </c>
      <c r="S792" s="12">
        <v>8</v>
      </c>
      <c r="T792" s="12">
        <v>1.2000000000000028</v>
      </c>
      <c r="U792" s="14">
        <v>15.84</v>
      </c>
      <c r="V792" s="17">
        <v>150.00000000000034</v>
      </c>
      <c r="W792" s="14">
        <v>19.050039000000016</v>
      </c>
      <c r="X792">
        <f t="shared" si="24"/>
        <v>21.138124999999999</v>
      </c>
      <c r="Y792">
        <f t="shared" si="25"/>
        <v>23.548661148355279</v>
      </c>
    </row>
    <row r="793" spans="1:25">
      <c r="A793" s="12" t="s">
        <v>299</v>
      </c>
      <c r="B793" s="12" t="s">
        <v>300</v>
      </c>
      <c r="C793" s="12">
        <v>14</v>
      </c>
      <c r="D793" s="12">
        <v>1.98</v>
      </c>
      <c r="E793" s="12" t="s">
        <v>310</v>
      </c>
      <c r="F793" s="13">
        <v>39476</v>
      </c>
      <c r="G793" s="12">
        <v>63.2</v>
      </c>
      <c r="H793" s="12">
        <v>2.5</v>
      </c>
      <c r="I793" s="13">
        <v>39511</v>
      </c>
      <c r="J793" s="12">
        <v>73.8</v>
      </c>
      <c r="L793" s="12">
        <v>35</v>
      </c>
      <c r="M793" s="12">
        <v>10.599999999999994</v>
      </c>
      <c r="O793" s="17">
        <v>69.3</v>
      </c>
      <c r="P793" s="17"/>
      <c r="Q793" s="17">
        <v>302.85714285714272</v>
      </c>
      <c r="R793" s="14">
        <v>28.513522142857134</v>
      </c>
      <c r="S793" s="12">
        <v>8</v>
      </c>
      <c r="T793" s="12">
        <v>1.7999999999999972</v>
      </c>
      <c r="U793" s="14">
        <v>15.84</v>
      </c>
      <c r="V793" s="17">
        <v>224.99999999999966</v>
      </c>
      <c r="W793" s="14">
        <v>24.675164999999982</v>
      </c>
      <c r="X793">
        <f t="shared" si="24"/>
        <v>18.02675</v>
      </c>
      <c r="Y793">
        <f t="shared" si="25"/>
        <v>26.012457933552611</v>
      </c>
    </row>
    <row r="794" spans="1:25">
      <c r="A794" s="12" t="s">
        <v>299</v>
      </c>
      <c r="B794" s="12" t="s">
        <v>300</v>
      </c>
      <c r="C794" s="12">
        <v>14</v>
      </c>
      <c r="D794" s="12">
        <v>1.98</v>
      </c>
      <c r="E794" s="12" t="s">
        <v>311</v>
      </c>
      <c r="F794" s="13">
        <v>39476</v>
      </c>
      <c r="G794" s="12">
        <v>57.2</v>
      </c>
      <c r="H794" s="12">
        <v>3.5</v>
      </c>
      <c r="I794" s="13">
        <v>39511</v>
      </c>
      <c r="J794" s="12">
        <v>66.400000000000006</v>
      </c>
      <c r="L794" s="12">
        <v>35</v>
      </c>
      <c r="M794" s="12">
        <v>9.2000000000000028</v>
      </c>
      <c r="O794" s="17">
        <v>69.3</v>
      </c>
      <c r="P794" s="17"/>
      <c r="Q794" s="17">
        <v>262.85714285714295</v>
      </c>
      <c r="R794" s="14">
        <v>25.408619142857148</v>
      </c>
      <c r="S794" s="12">
        <v>8</v>
      </c>
      <c r="T794" s="12">
        <v>-1.5999999999999943</v>
      </c>
      <c r="U794" s="14">
        <v>15.84</v>
      </c>
      <c r="V794" s="17">
        <v>-199.99999999999929</v>
      </c>
      <c r="W794" s="14">
        <v>2.5897620000000359</v>
      </c>
      <c r="X794">
        <f t="shared" si="24"/>
        <v>13.878249999999998</v>
      </c>
      <c r="Y794">
        <f t="shared" si="25"/>
        <v>2.1018341799123093</v>
      </c>
    </row>
    <row r="795" spans="1:25">
      <c r="A795" s="12" t="s">
        <v>299</v>
      </c>
      <c r="B795" s="12" t="s">
        <v>300</v>
      </c>
      <c r="C795" s="12">
        <v>14</v>
      </c>
      <c r="D795" s="12">
        <v>1.98</v>
      </c>
      <c r="E795" s="12" t="s">
        <v>312</v>
      </c>
      <c r="F795" s="13">
        <v>39476</v>
      </c>
      <c r="G795" s="12">
        <v>48.2</v>
      </c>
      <c r="H795" s="12">
        <v>2.25</v>
      </c>
      <c r="I795" s="13">
        <v>39511</v>
      </c>
      <c r="J795" s="12">
        <v>57.6</v>
      </c>
      <c r="L795" s="12">
        <v>35</v>
      </c>
      <c r="M795" s="12">
        <v>9.3999999999999986</v>
      </c>
      <c r="O795" s="17">
        <v>69.3</v>
      </c>
      <c r="P795" s="17"/>
      <c r="Q795" s="17">
        <v>268.5714285714285</v>
      </c>
      <c r="R795" s="14">
        <v>24.185432428571424</v>
      </c>
      <c r="S795" s="12">
        <v>8</v>
      </c>
      <c r="T795" s="12">
        <v>-0.39999999999999858</v>
      </c>
      <c r="U795" s="14">
        <v>15.84</v>
      </c>
      <c r="V795" s="17">
        <v>-49.999999999999822</v>
      </c>
      <c r="W795" s="14">
        <v>8.4798610000000103</v>
      </c>
      <c r="X795">
        <f t="shared" si="24"/>
        <v>19.063874999999999</v>
      </c>
      <c r="Y795">
        <f t="shared" si="25"/>
        <v>9.4537432819517644</v>
      </c>
    </row>
    <row r="796" spans="1:25">
      <c r="A796" s="12" t="s">
        <v>299</v>
      </c>
      <c r="B796" s="12" t="s">
        <v>300</v>
      </c>
      <c r="C796" s="12">
        <v>14</v>
      </c>
      <c r="D796" s="12">
        <v>1.98</v>
      </c>
      <c r="E796" s="12" t="s">
        <v>313</v>
      </c>
      <c r="F796" s="13">
        <v>39476</v>
      </c>
      <c r="G796" s="12">
        <v>66.400000000000006</v>
      </c>
      <c r="H796" s="12">
        <v>2.5</v>
      </c>
      <c r="I796" s="13">
        <v>39511</v>
      </c>
      <c r="J796" s="12">
        <v>72.599999999999994</v>
      </c>
      <c r="L796" s="12">
        <v>35</v>
      </c>
      <c r="M796" s="12">
        <v>6.1999999999999886</v>
      </c>
      <c r="O796" s="17">
        <v>69.3</v>
      </c>
      <c r="P796" s="17"/>
      <c r="Q796" s="17">
        <v>177.14285714285683</v>
      </c>
      <c r="R796" s="14">
        <v>22.48489785714284</v>
      </c>
      <c r="S796" s="12">
        <v>8</v>
      </c>
      <c r="T796" s="12">
        <v>-3.6000000000000085</v>
      </c>
      <c r="U796" s="14">
        <v>15.84</v>
      </c>
      <c r="V796" s="17">
        <v>-450.00000000000108</v>
      </c>
      <c r="W796" s="14">
        <v>-8.4332450000000527</v>
      </c>
      <c r="X796">
        <f t="shared" si="24"/>
        <v>18.02675</v>
      </c>
      <c r="Y796">
        <f t="shared" si="25"/>
        <v>-8.8902923569444994</v>
      </c>
    </row>
    <row r="797" spans="1:25">
      <c r="A797" s="12" t="s">
        <v>299</v>
      </c>
      <c r="B797" s="12" t="s">
        <v>300</v>
      </c>
      <c r="C797" s="12">
        <v>14</v>
      </c>
      <c r="D797" s="12">
        <v>1.98</v>
      </c>
      <c r="E797" s="12" t="s">
        <v>314</v>
      </c>
      <c r="F797" s="13">
        <v>39476</v>
      </c>
      <c r="G797" s="12">
        <v>48.4</v>
      </c>
      <c r="H797" s="12">
        <v>2</v>
      </c>
      <c r="I797" s="13">
        <v>39511</v>
      </c>
      <c r="J797" s="12">
        <v>55.8</v>
      </c>
      <c r="L797" s="12">
        <v>35</v>
      </c>
      <c r="M797" s="12">
        <v>7.3999999999999986</v>
      </c>
      <c r="O797" s="17">
        <v>69.3</v>
      </c>
      <c r="P797" s="17"/>
      <c r="Q797" s="17">
        <v>211.42857142857139</v>
      </c>
      <c r="R797" s="14">
        <v>21.233017571428569</v>
      </c>
      <c r="S797" s="12">
        <v>8</v>
      </c>
      <c r="T797" s="12">
        <v>2</v>
      </c>
      <c r="U797" s="14">
        <v>15.84</v>
      </c>
      <c r="V797" s="17">
        <v>250</v>
      </c>
      <c r="W797" s="14">
        <v>23.134588999999998</v>
      </c>
      <c r="X797">
        <f t="shared" si="24"/>
        <v>20.100999999999999</v>
      </c>
      <c r="Y797">
        <f t="shared" si="25"/>
        <v>27.194641724502919</v>
      </c>
    </row>
    <row r="798" spans="1:25">
      <c r="A798" s="12" t="s">
        <v>299</v>
      </c>
      <c r="B798" s="12" t="s">
        <v>300</v>
      </c>
      <c r="C798" s="12">
        <v>14</v>
      </c>
      <c r="D798" s="12">
        <v>1.98</v>
      </c>
      <c r="E798" s="12" t="s">
        <v>315</v>
      </c>
      <c r="F798" s="13">
        <v>39476</v>
      </c>
      <c r="G798" s="12">
        <v>53</v>
      </c>
      <c r="H798" s="12">
        <v>2</v>
      </c>
      <c r="I798" s="13">
        <v>39511</v>
      </c>
      <c r="J798" s="12">
        <v>63</v>
      </c>
      <c r="L798" s="12">
        <v>35</v>
      </c>
      <c r="M798" s="12">
        <v>10</v>
      </c>
      <c r="O798" s="17">
        <v>69.3</v>
      </c>
      <c r="P798" s="17"/>
      <c r="Q798" s="17">
        <v>285.71428571428572</v>
      </c>
      <c r="R798" s="14">
        <v>25.892934285714283</v>
      </c>
      <c r="S798" s="12">
        <v>8</v>
      </c>
      <c r="T798" s="12">
        <v>1</v>
      </c>
      <c r="U798" s="14">
        <v>15.84</v>
      </c>
      <c r="V798" s="17">
        <v>125</v>
      </c>
      <c r="W798" s="14">
        <v>17.969719999999999</v>
      </c>
      <c r="X798">
        <f t="shared" si="24"/>
        <v>20.100999999999999</v>
      </c>
      <c r="Y798">
        <f t="shared" si="25"/>
        <v>21.123353316959058</v>
      </c>
    </row>
    <row r="799" spans="1:25">
      <c r="A799" s="12" t="s">
        <v>299</v>
      </c>
      <c r="B799" s="12" t="s">
        <v>300</v>
      </c>
      <c r="C799" s="12">
        <v>14</v>
      </c>
      <c r="D799" s="12">
        <v>1.98</v>
      </c>
      <c r="E799" s="12" t="s">
        <v>316</v>
      </c>
      <c r="F799" s="13">
        <v>39476</v>
      </c>
      <c r="G799" s="12">
        <v>60</v>
      </c>
      <c r="H799" s="12">
        <v>2</v>
      </c>
      <c r="I799" s="13">
        <v>39511</v>
      </c>
      <c r="J799" s="12">
        <v>68.2</v>
      </c>
      <c r="L799" s="12">
        <v>35</v>
      </c>
      <c r="M799" s="12">
        <v>8.2000000000000028</v>
      </c>
      <c r="O799" s="17">
        <v>69.3</v>
      </c>
      <c r="P799" s="17"/>
      <c r="Q799" s="17">
        <v>234.28571428571436</v>
      </c>
      <c r="R799" s="14">
        <v>24.388954714285717</v>
      </c>
      <c r="S799" s="12">
        <v>8</v>
      </c>
      <c r="T799" s="12">
        <v>0</v>
      </c>
      <c r="U799" s="14">
        <v>15.84</v>
      </c>
      <c r="V799" s="17">
        <v>0</v>
      </c>
      <c r="W799" s="14">
        <v>12.838668999999998</v>
      </c>
      <c r="X799">
        <f t="shared" si="24"/>
        <v>20.100999999999999</v>
      </c>
      <c r="Y799">
        <f t="shared" si="25"/>
        <v>15.091817869532161</v>
      </c>
    </row>
    <row r="800" spans="1:25">
      <c r="A800" s="12" t="s">
        <v>299</v>
      </c>
      <c r="B800" s="12" t="s">
        <v>300</v>
      </c>
      <c r="C800" s="12">
        <v>14</v>
      </c>
      <c r="D800" s="12">
        <v>1.98</v>
      </c>
      <c r="E800" s="12" t="s">
        <v>317</v>
      </c>
      <c r="F800" s="13">
        <v>39476</v>
      </c>
      <c r="G800" s="12">
        <v>64.2</v>
      </c>
      <c r="H800" s="12">
        <v>3</v>
      </c>
      <c r="I800" s="13">
        <v>39511</v>
      </c>
      <c r="J800" s="12">
        <v>71.400000000000006</v>
      </c>
      <c r="L800" s="12">
        <v>35</v>
      </c>
      <c r="M800" s="12">
        <v>7.2000000000000028</v>
      </c>
      <c r="O800" s="17">
        <v>69.3</v>
      </c>
      <c r="P800" s="17"/>
      <c r="Q800" s="17">
        <v>205.71428571428581</v>
      </c>
      <c r="R800" s="14">
        <v>23.60601628571429</v>
      </c>
      <c r="S800" s="12">
        <v>8</v>
      </c>
      <c r="T800" s="12">
        <v>-2.7999999999999972</v>
      </c>
      <c r="U800" s="14">
        <v>15.84</v>
      </c>
      <c r="V800" s="17">
        <v>-349.99999999999966</v>
      </c>
      <c r="W800" s="14">
        <v>-3.7906979999999795</v>
      </c>
      <c r="X800">
        <f t="shared" si="24"/>
        <v>15.952499999999999</v>
      </c>
      <c r="Y800">
        <f t="shared" si="25"/>
        <v>-3.5363222131578751</v>
      </c>
    </row>
    <row r="801" spans="1:25">
      <c r="A801" s="12" t="s">
        <v>299</v>
      </c>
      <c r="B801" s="12" t="s">
        <v>300</v>
      </c>
      <c r="C801" s="12">
        <v>14</v>
      </c>
      <c r="D801" s="12">
        <v>1.98</v>
      </c>
      <c r="E801" s="12" t="s">
        <v>318</v>
      </c>
      <c r="F801" s="13">
        <v>39476</v>
      </c>
      <c r="G801" s="12">
        <v>56.4</v>
      </c>
      <c r="H801" s="12">
        <v>2.5</v>
      </c>
      <c r="I801" s="13">
        <v>39511</v>
      </c>
      <c r="J801" s="12">
        <v>66.599999999999994</v>
      </c>
      <c r="L801" s="12">
        <v>35</v>
      </c>
      <c r="M801" s="12">
        <v>10.199999999999996</v>
      </c>
      <c r="O801" s="17">
        <v>69.3</v>
      </c>
      <c r="P801" s="17"/>
      <c r="Q801" s="17">
        <v>291.42857142857133</v>
      </c>
      <c r="R801" s="14">
        <v>26.766463571428567</v>
      </c>
      <c r="S801" s="12">
        <v>8</v>
      </c>
      <c r="T801" s="12">
        <v>1</v>
      </c>
      <c r="U801" s="14">
        <v>15.84</v>
      </c>
      <c r="V801" s="17">
        <v>125</v>
      </c>
      <c r="W801" s="14">
        <v>18.561534999999999</v>
      </c>
      <c r="X801">
        <f t="shared" si="24"/>
        <v>18.02675</v>
      </c>
      <c r="Y801">
        <f t="shared" si="25"/>
        <v>19.567494214108184</v>
      </c>
    </row>
    <row r="802" spans="1:25">
      <c r="A802" s="12" t="s">
        <v>299</v>
      </c>
      <c r="B802" s="12" t="s">
        <v>300</v>
      </c>
      <c r="C802" s="12">
        <v>14</v>
      </c>
      <c r="D802" s="12">
        <v>1.98</v>
      </c>
      <c r="E802" s="12" t="s">
        <v>319</v>
      </c>
      <c r="F802" s="13">
        <v>39476</v>
      </c>
      <c r="G802" s="12">
        <v>64</v>
      </c>
      <c r="H802" s="12">
        <v>3</v>
      </c>
      <c r="I802" s="13">
        <v>39511</v>
      </c>
      <c r="J802" s="12">
        <v>71.400000000000006</v>
      </c>
      <c r="L802" s="12">
        <v>35</v>
      </c>
      <c r="M802" s="12">
        <v>7.4000000000000057</v>
      </c>
      <c r="O802" s="17">
        <v>69.3</v>
      </c>
      <c r="P802" s="17"/>
      <c r="Q802" s="17">
        <v>211.42857142857162</v>
      </c>
      <c r="R802" s="14">
        <v>23.870821571428579</v>
      </c>
      <c r="S802" s="12">
        <v>8</v>
      </c>
      <c r="T802" s="12">
        <v>-5.1999999999999886</v>
      </c>
      <c r="U802" s="14">
        <v>15.84</v>
      </c>
      <c r="V802" s="17">
        <v>-649.99999999999864</v>
      </c>
      <c r="W802" s="14">
        <v>-18.597606999999932</v>
      </c>
      <c r="X802">
        <f t="shared" si="24"/>
        <v>15.952499999999999</v>
      </c>
      <c r="Y802">
        <f t="shared" si="25"/>
        <v>-17.349609688157827</v>
      </c>
    </row>
    <row r="803" spans="1:25">
      <c r="A803" s="12" t="s">
        <v>299</v>
      </c>
      <c r="B803" s="12" t="s">
        <v>300</v>
      </c>
      <c r="C803" s="12">
        <v>14</v>
      </c>
      <c r="D803" s="12">
        <v>1.98</v>
      </c>
      <c r="E803" s="12" t="s">
        <v>320</v>
      </c>
      <c r="F803" s="13">
        <v>39476</v>
      </c>
      <c r="G803" s="12">
        <v>54</v>
      </c>
      <c r="H803" s="12">
        <v>2.5</v>
      </c>
      <c r="I803" s="13">
        <v>39511</v>
      </c>
      <c r="J803" s="12">
        <v>60.6</v>
      </c>
      <c r="L803" s="12">
        <v>35</v>
      </c>
      <c r="M803" s="12">
        <v>6.6000000000000014</v>
      </c>
      <c r="O803" s="17">
        <v>69.3</v>
      </c>
      <c r="P803" s="17"/>
      <c r="Q803" s="17">
        <v>188.57142857142861</v>
      </c>
      <c r="R803" s="14">
        <v>20.985428428571428</v>
      </c>
      <c r="S803" s="12">
        <v>8</v>
      </c>
      <c r="T803" s="12">
        <v>0.39999999999999858</v>
      </c>
      <c r="U803" s="14">
        <v>15.84</v>
      </c>
      <c r="V803" s="17">
        <v>49.999999999999822</v>
      </c>
      <c r="W803" s="14">
        <v>14.15385699999999</v>
      </c>
      <c r="X803">
        <f t="shared" si="24"/>
        <v>18.02675</v>
      </c>
      <c r="Y803">
        <f t="shared" si="25"/>
        <v>14.92093810963449</v>
      </c>
    </row>
    <row r="804" spans="1:25">
      <c r="A804" s="12" t="s">
        <v>299</v>
      </c>
      <c r="B804" s="12" t="s">
        <v>300</v>
      </c>
      <c r="C804" s="12">
        <v>14</v>
      </c>
      <c r="D804" s="12">
        <v>1.98</v>
      </c>
      <c r="E804" s="12" t="s">
        <v>321</v>
      </c>
      <c r="F804" s="13">
        <v>39476</v>
      </c>
      <c r="G804" s="12">
        <v>59.2</v>
      </c>
      <c r="H804" s="12">
        <v>1.75</v>
      </c>
      <c r="I804" s="13">
        <v>39511</v>
      </c>
      <c r="J804" s="12">
        <v>67.2</v>
      </c>
      <c r="L804" s="12">
        <v>35</v>
      </c>
      <c r="M804" s="12">
        <v>8</v>
      </c>
      <c r="O804" s="17">
        <v>69.3</v>
      </c>
      <c r="P804" s="17"/>
      <c r="Q804" s="17">
        <v>228.57142857142856</v>
      </c>
      <c r="R804" s="14">
        <v>23.955059428571428</v>
      </c>
      <c r="S804" s="12">
        <v>8</v>
      </c>
      <c r="T804" s="12">
        <v>-3</v>
      </c>
      <c r="U804" s="14">
        <v>15.84</v>
      </c>
      <c r="V804" s="17">
        <v>-375</v>
      </c>
      <c r="W804" s="14">
        <v>-5.8010119999999965</v>
      </c>
      <c r="X804">
        <f t="shared" si="24"/>
        <v>21.138124999999999</v>
      </c>
      <c r="Y804">
        <f t="shared" si="25"/>
        <v>-7.170907414181281</v>
      </c>
    </row>
    <row r="805" spans="1:25">
      <c r="A805" s="12" t="s">
        <v>299</v>
      </c>
      <c r="B805" s="12" t="s">
        <v>300</v>
      </c>
      <c r="C805" s="12">
        <v>14</v>
      </c>
      <c r="D805" s="12">
        <v>1.98</v>
      </c>
      <c r="E805" s="12" t="s">
        <v>322</v>
      </c>
      <c r="F805" s="13">
        <v>39476</v>
      </c>
      <c r="G805" s="12">
        <v>57.8</v>
      </c>
      <c r="H805" s="12">
        <v>1.75</v>
      </c>
      <c r="I805" s="13">
        <v>39511</v>
      </c>
      <c r="J805" s="12">
        <v>66.400000000000006</v>
      </c>
      <c r="L805" s="12">
        <v>35</v>
      </c>
      <c r="M805" s="12">
        <v>8.6000000000000085</v>
      </c>
      <c r="O805" s="17">
        <v>69.3</v>
      </c>
      <c r="P805" s="17"/>
      <c r="Q805" s="17">
        <v>245.71428571428598</v>
      </c>
      <c r="R805" s="14">
        <v>24.614203285714296</v>
      </c>
      <c r="S805" s="12">
        <v>8</v>
      </c>
      <c r="T805" s="12">
        <v>2.2000000000000028</v>
      </c>
      <c r="U805" s="14">
        <v>15.84</v>
      </c>
      <c r="V805" s="17">
        <v>275.00000000000034</v>
      </c>
      <c r="W805" s="14">
        <v>26.057989000000017</v>
      </c>
      <c r="X805">
        <f t="shared" si="24"/>
        <v>21.138124999999999</v>
      </c>
      <c r="Y805">
        <f t="shared" si="25"/>
        <v>32.211522147989783</v>
      </c>
    </row>
    <row r="806" spans="1:25">
      <c r="A806" s="12" t="s">
        <v>299</v>
      </c>
      <c r="B806" s="12" t="s">
        <v>300</v>
      </c>
      <c r="C806" s="12">
        <v>14</v>
      </c>
      <c r="D806" s="12">
        <v>1.98</v>
      </c>
      <c r="E806" s="12" t="s">
        <v>323</v>
      </c>
      <c r="F806" s="13">
        <v>39476</v>
      </c>
      <c r="G806" s="12">
        <v>56.2</v>
      </c>
      <c r="H806" s="12">
        <v>2.75</v>
      </c>
      <c r="I806" s="13">
        <v>39511</v>
      </c>
      <c r="J806" s="12">
        <v>68.8</v>
      </c>
      <c r="L806" s="12">
        <v>35</v>
      </c>
      <c r="M806" s="12">
        <v>12.599999999999994</v>
      </c>
      <c r="O806" s="17">
        <v>69.3</v>
      </c>
      <c r="P806" s="17"/>
      <c r="Q806" s="17">
        <v>359.99999999999983</v>
      </c>
      <c r="R806" s="14">
        <v>30.316124999999992</v>
      </c>
      <c r="S806" s="12">
        <v>8</v>
      </c>
      <c r="T806" s="12">
        <v>0.79999999999999716</v>
      </c>
      <c r="U806" s="14">
        <v>15.84</v>
      </c>
      <c r="V806" s="17">
        <v>99.999999999999645</v>
      </c>
      <c r="W806" s="14">
        <v>17.49812499999998</v>
      </c>
      <c r="X806">
        <f t="shared" si="24"/>
        <v>16.989624999999997</v>
      </c>
      <c r="Y806">
        <f t="shared" si="25"/>
        <v>17.385180231176875</v>
      </c>
    </row>
    <row r="807" spans="1:25">
      <c r="A807" s="12" t="s">
        <v>299</v>
      </c>
      <c r="B807" s="12" t="s">
        <v>300</v>
      </c>
      <c r="C807" s="12">
        <v>14</v>
      </c>
      <c r="D807" s="12">
        <v>1.98</v>
      </c>
      <c r="E807" s="12" t="s">
        <v>324</v>
      </c>
      <c r="F807" s="13">
        <v>39476</v>
      </c>
      <c r="G807" s="12">
        <v>58</v>
      </c>
      <c r="H807" s="12">
        <v>2.25</v>
      </c>
      <c r="I807" s="13">
        <v>39511</v>
      </c>
      <c r="J807" s="12">
        <v>67.2</v>
      </c>
      <c r="L807" s="12">
        <v>35</v>
      </c>
      <c r="M807" s="12">
        <v>9.2000000000000028</v>
      </c>
      <c r="O807" s="17">
        <v>69.3</v>
      </c>
      <c r="P807" s="17"/>
      <c r="Q807" s="17">
        <v>262.85714285714295</v>
      </c>
      <c r="R807" s="14">
        <v>25.543891142857149</v>
      </c>
      <c r="S807" s="12">
        <v>8</v>
      </c>
      <c r="T807" s="12">
        <v>0.79999999999999716</v>
      </c>
      <c r="U807" s="14">
        <v>15.84</v>
      </c>
      <c r="V807" s="17">
        <v>99.999999999999645</v>
      </c>
      <c r="W807" s="14">
        <v>17.515033999999982</v>
      </c>
      <c r="X807">
        <f t="shared" si="24"/>
        <v>19.063874999999999</v>
      </c>
      <c r="Y807">
        <f t="shared" si="25"/>
        <v>19.526574198640329</v>
      </c>
    </row>
    <row r="808" spans="1:25">
      <c r="A808" s="12" t="s">
        <v>299</v>
      </c>
      <c r="B808" s="12" t="s">
        <v>300</v>
      </c>
      <c r="C808" s="12">
        <v>14</v>
      </c>
      <c r="D808" s="12">
        <v>1.98</v>
      </c>
      <c r="E808" s="12" t="s">
        <v>325</v>
      </c>
      <c r="F808" s="13">
        <v>39476</v>
      </c>
      <c r="G808" s="12">
        <v>67</v>
      </c>
      <c r="H808" s="12">
        <v>2.25</v>
      </c>
      <c r="I808" s="13">
        <v>39511</v>
      </c>
      <c r="J808" s="12">
        <v>72</v>
      </c>
      <c r="L808" s="12">
        <v>35</v>
      </c>
      <c r="M808" s="12">
        <v>5</v>
      </c>
      <c r="O808" s="17">
        <v>69.3</v>
      </c>
      <c r="P808" s="17"/>
      <c r="Q808" s="17">
        <v>142.85714285714286</v>
      </c>
      <c r="R808" s="14">
        <v>20.79461214285714</v>
      </c>
      <c r="S808" s="12">
        <v>8</v>
      </c>
      <c r="T808" s="12">
        <v>1.2000000000000028</v>
      </c>
      <c r="U808" s="14">
        <v>15.84</v>
      </c>
      <c r="V808" s="17">
        <v>150.00000000000034</v>
      </c>
      <c r="W808" s="14">
        <v>21.146755000000013</v>
      </c>
      <c r="X808">
        <f t="shared" si="24"/>
        <v>19.063874999999999</v>
      </c>
      <c r="Y808">
        <f t="shared" si="25"/>
        <v>23.575385612609661</v>
      </c>
    </row>
    <row r="809" spans="1:25">
      <c r="A809" s="12" t="s">
        <v>299</v>
      </c>
      <c r="B809" s="12" t="s">
        <v>300</v>
      </c>
      <c r="C809" s="12">
        <v>14</v>
      </c>
      <c r="D809" s="12">
        <v>1.98</v>
      </c>
      <c r="E809" s="12" t="s">
        <v>326</v>
      </c>
      <c r="F809" s="13">
        <v>39476</v>
      </c>
      <c r="G809" s="12">
        <v>70.599999999999994</v>
      </c>
      <c r="H809" s="12">
        <v>3</v>
      </c>
      <c r="I809" s="13">
        <v>39511</v>
      </c>
      <c r="J809" s="12">
        <v>81.599999999999994</v>
      </c>
      <c r="L809" s="12">
        <v>35</v>
      </c>
      <c r="M809" s="12">
        <v>11</v>
      </c>
      <c r="O809" s="17">
        <v>69.3</v>
      </c>
      <c r="P809" s="17"/>
      <c r="Q809" s="17">
        <v>314.28571428571428</v>
      </c>
      <c r="R809" s="14">
        <v>30.362034714285713</v>
      </c>
      <c r="S809" s="12">
        <v>8</v>
      </c>
      <c r="T809" s="12">
        <v>-1</v>
      </c>
      <c r="U809" s="14">
        <v>15.84</v>
      </c>
      <c r="V809" s="17">
        <v>-125</v>
      </c>
      <c r="W809" s="14">
        <v>8.7052489999999985</v>
      </c>
      <c r="X809">
        <f t="shared" si="24"/>
        <v>15.952499999999999</v>
      </c>
      <c r="Y809">
        <f t="shared" si="25"/>
        <v>8.1210809749999981</v>
      </c>
    </row>
    <row r="810" spans="1:25">
      <c r="A810" s="12" t="s">
        <v>299</v>
      </c>
      <c r="B810" s="12" t="s">
        <v>300</v>
      </c>
      <c r="C810" s="12">
        <v>14</v>
      </c>
      <c r="D810" s="12">
        <v>1.98</v>
      </c>
      <c r="E810" s="12" t="s">
        <v>327</v>
      </c>
      <c r="F810" s="13">
        <v>39476</v>
      </c>
      <c r="G810" s="12">
        <v>61.6</v>
      </c>
      <c r="H810" s="12">
        <v>2.5</v>
      </c>
      <c r="I810" s="13">
        <v>39511</v>
      </c>
      <c r="J810" s="12">
        <v>72.599999999999994</v>
      </c>
      <c r="L810" s="12">
        <v>35</v>
      </c>
      <c r="M810" s="12">
        <v>10.999999999999993</v>
      </c>
      <c r="O810" s="17">
        <v>69.3</v>
      </c>
      <c r="P810" s="17"/>
      <c r="Q810" s="17">
        <v>314.28571428571405</v>
      </c>
      <c r="R810" s="14">
        <v>28.8402247142857</v>
      </c>
      <c r="S810" s="12">
        <v>8</v>
      </c>
      <c r="T810" s="12">
        <v>1.3999999999999915</v>
      </c>
      <c r="U810" s="14">
        <v>15.84</v>
      </c>
      <c r="V810" s="17">
        <v>174.99999999999892</v>
      </c>
      <c r="W810" s="14">
        <v>21.973438999999942</v>
      </c>
      <c r="X810">
        <f t="shared" si="24"/>
        <v>18.02675</v>
      </c>
      <c r="Y810">
        <f t="shared" si="25"/>
        <v>23.164309444049643</v>
      </c>
    </row>
    <row r="811" spans="1:25">
      <c r="A811" s="12" t="s">
        <v>299</v>
      </c>
      <c r="B811" s="12" t="s">
        <v>300</v>
      </c>
      <c r="C811" s="12">
        <v>14</v>
      </c>
      <c r="D811" s="12">
        <v>1.98</v>
      </c>
      <c r="E811" s="12" t="s">
        <v>328</v>
      </c>
      <c r="F811" s="13">
        <v>39476</v>
      </c>
      <c r="G811" s="12">
        <v>60</v>
      </c>
      <c r="H811" s="12">
        <v>2.5</v>
      </c>
      <c r="I811" s="13">
        <v>39511</v>
      </c>
      <c r="J811" s="12">
        <v>67.400000000000006</v>
      </c>
      <c r="L811" s="12">
        <v>35</v>
      </c>
      <c r="M811" s="12">
        <v>7.4000000000000057</v>
      </c>
      <c r="O811" s="17">
        <v>69.3</v>
      </c>
      <c r="P811" s="17"/>
      <c r="Q811" s="17">
        <v>211.42857142857162</v>
      </c>
      <c r="R811" s="14">
        <v>23.19446157142858</v>
      </c>
      <c r="S811" s="12">
        <v>8</v>
      </c>
      <c r="T811" s="12">
        <v>0.80000000000001137</v>
      </c>
      <c r="U811" s="14">
        <v>15.84</v>
      </c>
      <c r="V811" s="17">
        <v>100.00000000000142</v>
      </c>
      <c r="W811" s="14">
        <v>17.70103300000007</v>
      </c>
      <c r="X811">
        <f t="shared" si="24"/>
        <v>18.02675</v>
      </c>
      <c r="Y811">
        <f t="shared" si="25"/>
        <v>18.660356528231066</v>
      </c>
    </row>
    <row r="812" spans="1:25">
      <c r="A812" s="12" t="s">
        <v>299</v>
      </c>
      <c r="B812" s="12" t="s">
        <v>300</v>
      </c>
      <c r="C812" s="12">
        <v>14</v>
      </c>
      <c r="D812" s="12">
        <v>1.98</v>
      </c>
      <c r="E812" s="12" t="s">
        <v>329</v>
      </c>
      <c r="F812" s="13">
        <v>39476</v>
      </c>
      <c r="G812" s="12">
        <v>58</v>
      </c>
      <c r="H812" s="12">
        <v>3</v>
      </c>
      <c r="I812" s="13">
        <v>39511</v>
      </c>
      <c r="J812" s="12">
        <v>67</v>
      </c>
      <c r="L812" s="12">
        <v>35</v>
      </c>
      <c r="M812" s="12">
        <v>9</v>
      </c>
      <c r="O812" s="17">
        <v>69.3</v>
      </c>
      <c r="P812" s="17"/>
      <c r="Q812" s="17">
        <v>257.14285714285711</v>
      </c>
      <c r="R812" s="14">
        <v>25.245267857142856</v>
      </c>
      <c r="S812" s="12">
        <v>8</v>
      </c>
      <c r="T812" s="12">
        <v>0.79999999999999716</v>
      </c>
      <c r="U812" s="14">
        <v>15.84</v>
      </c>
      <c r="V812" s="17">
        <v>99.999999999999645</v>
      </c>
      <c r="W812" s="14">
        <v>17.49812499999998</v>
      </c>
      <c r="X812">
        <f t="shared" si="24"/>
        <v>15.952499999999999</v>
      </c>
      <c r="Y812">
        <f t="shared" si="25"/>
        <v>16.32390871710524</v>
      </c>
    </row>
    <row r="813" spans="1:25">
      <c r="A813" s="12" t="s">
        <v>299</v>
      </c>
      <c r="B813" s="12" t="s">
        <v>300</v>
      </c>
      <c r="C813" s="12">
        <v>14</v>
      </c>
      <c r="D813" s="12">
        <v>1.98</v>
      </c>
      <c r="E813" s="12" t="s">
        <v>330</v>
      </c>
      <c r="F813" s="13">
        <v>39476</v>
      </c>
      <c r="G813" s="12">
        <v>55.2</v>
      </c>
      <c r="H813" s="12">
        <v>2.5</v>
      </c>
      <c r="I813" s="13">
        <v>39511</v>
      </c>
      <c r="J813" s="12">
        <v>65</v>
      </c>
      <c r="L813" s="12">
        <v>35</v>
      </c>
      <c r="M813" s="12">
        <v>9.7999999999999972</v>
      </c>
      <c r="O813" s="17">
        <v>69.3</v>
      </c>
      <c r="P813" s="17"/>
      <c r="Q813" s="17">
        <v>279.99999999999994</v>
      </c>
      <c r="R813" s="14">
        <v>25.966308999999995</v>
      </c>
      <c r="S813" s="12">
        <v>8</v>
      </c>
      <c r="T813" s="12">
        <v>3.2000000000000028</v>
      </c>
      <c r="U813" s="14">
        <v>15.84</v>
      </c>
      <c r="V813" s="17">
        <v>400.00000000000034</v>
      </c>
      <c r="W813" s="14">
        <v>31.882309000000017</v>
      </c>
      <c r="X813">
        <f t="shared" si="24"/>
        <v>18.02675</v>
      </c>
      <c r="Y813">
        <f t="shared" si="25"/>
        <v>33.610199635423996</v>
      </c>
    </row>
    <row r="814" spans="1:25">
      <c r="A814" s="12" t="s">
        <v>299</v>
      </c>
      <c r="B814" s="12" t="s">
        <v>300</v>
      </c>
      <c r="C814" s="12">
        <v>14</v>
      </c>
      <c r="D814" s="12">
        <v>1.98</v>
      </c>
      <c r="E814" s="12" t="s">
        <v>331</v>
      </c>
      <c r="F814" s="13">
        <v>39476</v>
      </c>
      <c r="G814" s="12">
        <v>60.6</v>
      </c>
      <c r="H814" s="12">
        <v>2</v>
      </c>
      <c r="I814" s="13">
        <v>39511</v>
      </c>
      <c r="J814" s="12">
        <v>66.8</v>
      </c>
      <c r="L814" s="12">
        <v>35</v>
      </c>
      <c r="M814" s="12">
        <v>6.1999999999999957</v>
      </c>
      <c r="O814" s="17">
        <v>69.3</v>
      </c>
      <c r="P814" s="17"/>
      <c r="Q814" s="17">
        <v>177.14285714285703</v>
      </c>
      <c r="R814" s="14">
        <v>21.504175857142847</v>
      </c>
      <c r="S814" s="12">
        <v>8</v>
      </c>
      <c r="T814" s="12">
        <v>0.79999999999999716</v>
      </c>
      <c r="U814" s="14">
        <v>15.84</v>
      </c>
      <c r="V814" s="17">
        <v>99.999999999999645</v>
      </c>
      <c r="W814" s="14">
        <v>17.701032999999981</v>
      </c>
      <c r="X814">
        <f t="shared" si="24"/>
        <v>20.100999999999999</v>
      </c>
      <c r="Y814">
        <f t="shared" si="25"/>
        <v>20.807512534093544</v>
      </c>
    </row>
    <row r="815" spans="1:25">
      <c r="A815" s="12" t="s">
        <v>299</v>
      </c>
      <c r="B815" s="12" t="s">
        <v>300</v>
      </c>
      <c r="C815" s="12">
        <v>14</v>
      </c>
      <c r="D815" s="12">
        <v>1.98</v>
      </c>
      <c r="E815" s="12" t="s">
        <v>332</v>
      </c>
      <c r="F815" s="13">
        <v>39476</v>
      </c>
      <c r="G815" s="12">
        <v>64.400000000000006</v>
      </c>
      <c r="H815" s="12">
        <v>1.75</v>
      </c>
      <c r="I815" s="13">
        <v>39511</v>
      </c>
      <c r="J815" s="12">
        <v>70.8</v>
      </c>
      <c r="L815" s="12">
        <v>35</v>
      </c>
      <c r="M815" s="12">
        <v>6.3999999999999915</v>
      </c>
      <c r="O815" s="17">
        <v>69.3</v>
      </c>
      <c r="P815" s="17"/>
      <c r="Q815" s="17">
        <v>182.85714285714261</v>
      </c>
      <c r="R815" s="14">
        <v>22.445341142857128</v>
      </c>
      <c r="S815" s="12">
        <v>8</v>
      </c>
      <c r="T815" s="12">
        <v>-1</v>
      </c>
      <c r="U815" s="14">
        <v>15.84</v>
      </c>
      <c r="V815" s="17">
        <v>-125</v>
      </c>
      <c r="W815" s="14">
        <v>7.2679839999999984</v>
      </c>
      <c r="X815">
        <f t="shared" si="24"/>
        <v>21.138124999999999</v>
      </c>
      <c r="Y815">
        <f t="shared" si="25"/>
        <v>8.9843014204678333</v>
      </c>
    </row>
    <row r="816" spans="1:25">
      <c r="A816" s="12" t="s">
        <v>299</v>
      </c>
      <c r="B816" s="12" t="s">
        <v>300</v>
      </c>
      <c r="C816" s="12">
        <v>14</v>
      </c>
      <c r="D816" s="12">
        <v>1.98</v>
      </c>
      <c r="E816" s="12" t="s">
        <v>333</v>
      </c>
      <c r="F816" s="13">
        <v>39476</v>
      </c>
      <c r="G816" s="12">
        <v>54</v>
      </c>
      <c r="H816" s="12">
        <v>1.75</v>
      </c>
      <c r="I816" s="13">
        <v>39511</v>
      </c>
      <c r="J816" s="12">
        <v>64.599999999999994</v>
      </c>
      <c r="L816" s="12">
        <v>35</v>
      </c>
      <c r="M816" s="12">
        <v>10.599999999999994</v>
      </c>
      <c r="O816" s="17">
        <v>69.3</v>
      </c>
      <c r="P816" s="17"/>
      <c r="Q816" s="17">
        <v>302.85714285714272</v>
      </c>
      <c r="R816" s="14">
        <v>26.957894142857135</v>
      </c>
      <c r="S816" s="12">
        <v>8</v>
      </c>
      <c r="T816" s="12">
        <v>2.3999999999999915</v>
      </c>
      <c r="U816" s="14">
        <v>15.84</v>
      </c>
      <c r="V816" s="17">
        <v>299.99999999999892</v>
      </c>
      <c r="W816" s="14">
        <v>26.817036999999942</v>
      </c>
      <c r="X816">
        <f t="shared" si="24"/>
        <v>21.138124999999999</v>
      </c>
      <c r="Y816">
        <f t="shared" si="25"/>
        <v>33.149817557638812</v>
      </c>
    </row>
    <row r="817" spans="1:25">
      <c r="A817" s="12" t="s">
        <v>299</v>
      </c>
      <c r="B817" s="12" t="s">
        <v>300</v>
      </c>
      <c r="C817" s="12">
        <v>14</v>
      </c>
      <c r="D817" s="12">
        <v>1.98</v>
      </c>
      <c r="E817" s="12" t="s">
        <v>334</v>
      </c>
      <c r="F817" s="13">
        <v>39476</v>
      </c>
      <c r="G817" s="12">
        <v>71</v>
      </c>
      <c r="H817" s="12">
        <v>2</v>
      </c>
      <c r="I817" s="13">
        <v>39511</v>
      </c>
      <c r="J817" s="12">
        <v>71</v>
      </c>
      <c r="L817" s="12">
        <v>35</v>
      </c>
      <c r="M817" s="12">
        <v>0</v>
      </c>
      <c r="O817" s="17">
        <v>69.3</v>
      </c>
      <c r="P817" s="17"/>
      <c r="Q817" s="17">
        <v>0</v>
      </c>
      <c r="R817" s="14">
        <v>14.005389999999998</v>
      </c>
      <c r="S817" s="12">
        <v>8</v>
      </c>
      <c r="T817" s="12">
        <v>-0.79999999999999716</v>
      </c>
      <c r="U817" s="14">
        <v>15.84</v>
      </c>
      <c r="V817" s="17">
        <v>-99.999999999999645</v>
      </c>
      <c r="W817" s="14">
        <v>9.0753900000000165</v>
      </c>
      <c r="X817">
        <f t="shared" si="24"/>
        <v>20.100999999999999</v>
      </c>
      <c r="Y817">
        <f t="shared" si="25"/>
        <v>10.668094408771948</v>
      </c>
    </row>
    <row r="818" spans="1:25">
      <c r="A818" s="12" t="s">
        <v>299</v>
      </c>
      <c r="B818" s="12" t="s">
        <v>300</v>
      </c>
      <c r="C818" s="12">
        <v>14</v>
      </c>
      <c r="D818" s="12">
        <v>1.98</v>
      </c>
      <c r="E818" s="12" t="s">
        <v>301</v>
      </c>
      <c r="F818" s="13">
        <v>39476</v>
      </c>
      <c r="G818" s="12">
        <v>54</v>
      </c>
      <c r="H818" s="12">
        <v>2.5</v>
      </c>
      <c r="I818" s="13">
        <v>39518</v>
      </c>
      <c r="J818" s="12">
        <v>62</v>
      </c>
      <c r="K818" s="12">
        <v>2.5</v>
      </c>
      <c r="L818" s="12">
        <v>42</v>
      </c>
      <c r="M818" s="12">
        <v>8</v>
      </c>
      <c r="N818" s="12">
        <v>0</v>
      </c>
      <c r="O818" s="17">
        <v>83.16</v>
      </c>
      <c r="P818" s="17"/>
      <c r="Q818" s="17">
        <v>190.47619047619045</v>
      </c>
      <c r="R818" s="14">
        <v>21.197696190476186</v>
      </c>
      <c r="S818" s="12">
        <v>7</v>
      </c>
      <c r="T818" s="12">
        <v>-0.60000000000000142</v>
      </c>
      <c r="U818" s="14">
        <v>13.86</v>
      </c>
      <c r="V818" s="17">
        <v>-85.714285714285921</v>
      </c>
      <c r="W818" s="14">
        <v>7.5815057142857034</v>
      </c>
      <c r="X818">
        <f t="shared" si="24"/>
        <v>18.02675</v>
      </c>
      <c r="Y818">
        <f t="shared" si="25"/>
        <v>7.9923922885964798</v>
      </c>
    </row>
    <row r="819" spans="1:25">
      <c r="A819" s="12" t="s">
        <v>299</v>
      </c>
      <c r="B819" s="12" t="s">
        <v>300</v>
      </c>
      <c r="C819" s="12">
        <v>14</v>
      </c>
      <c r="D819" s="12">
        <v>1.98</v>
      </c>
      <c r="E819" s="12" t="s">
        <v>302</v>
      </c>
      <c r="F819" s="13">
        <v>39476</v>
      </c>
      <c r="G819" s="12">
        <v>56.6</v>
      </c>
      <c r="H819" s="12">
        <v>2.5</v>
      </c>
      <c r="I819" s="13">
        <v>39518</v>
      </c>
      <c r="J819" s="12">
        <v>63.2</v>
      </c>
      <c r="K819" s="12">
        <v>2.75</v>
      </c>
      <c r="L819" s="12">
        <v>42</v>
      </c>
      <c r="M819" s="12">
        <v>6.6000000000000014</v>
      </c>
      <c r="N819" s="12">
        <v>0.25</v>
      </c>
      <c r="O819" s="17">
        <v>83.16</v>
      </c>
      <c r="P819" s="17"/>
      <c r="Q819" s="17">
        <v>157.14285714285717</v>
      </c>
      <c r="R819" s="14">
        <v>19.875633857142859</v>
      </c>
      <c r="S819" s="12">
        <v>7</v>
      </c>
      <c r="T819" s="12">
        <v>-2.3999999999999915</v>
      </c>
      <c r="U819" s="14">
        <v>13.86</v>
      </c>
      <c r="V819" s="17">
        <v>-342.85714285714164</v>
      </c>
      <c r="W819" s="14">
        <v>-4.7743661428570832</v>
      </c>
      <c r="X819">
        <f t="shared" si="24"/>
        <v>18.02675</v>
      </c>
      <c r="Y819">
        <f t="shared" si="25"/>
        <v>-5.0331172436110476</v>
      </c>
    </row>
    <row r="820" spans="1:25">
      <c r="A820" s="12" t="s">
        <v>299</v>
      </c>
      <c r="B820" s="12" t="s">
        <v>300</v>
      </c>
      <c r="C820" s="12">
        <v>14</v>
      </c>
      <c r="D820" s="12">
        <v>1.98</v>
      </c>
      <c r="E820" s="12" t="s">
        <v>303</v>
      </c>
      <c r="F820" s="13">
        <v>39476</v>
      </c>
      <c r="G820" s="12">
        <v>56.6</v>
      </c>
      <c r="H820" s="12">
        <v>3.25</v>
      </c>
      <c r="I820" s="13">
        <v>39518</v>
      </c>
      <c r="J820" s="12">
        <v>65.2</v>
      </c>
      <c r="K820" s="12">
        <v>3.75</v>
      </c>
      <c r="L820" s="12">
        <v>42</v>
      </c>
      <c r="M820" s="12">
        <v>8.6000000000000014</v>
      </c>
      <c r="N820" s="12">
        <v>0.5</v>
      </c>
      <c r="O820" s="17">
        <v>83.16</v>
      </c>
      <c r="P820" s="17"/>
      <c r="Q820" s="17">
        <v>204.76190476190479</v>
      </c>
      <c r="R820" s="14">
        <v>22.392342904761904</v>
      </c>
      <c r="S820" s="12">
        <v>7</v>
      </c>
      <c r="T820" s="12">
        <v>1</v>
      </c>
      <c r="U820" s="14">
        <v>13.86</v>
      </c>
      <c r="V820" s="17">
        <v>142.85714285714286</v>
      </c>
      <c r="W820" s="14">
        <v>19.340438142857142</v>
      </c>
      <c r="X820">
        <f t="shared" si="24"/>
        <v>14.915374999999999</v>
      </c>
      <c r="Y820">
        <f t="shared" si="25"/>
        <v>16.869584068129694</v>
      </c>
    </row>
    <row r="821" spans="1:25">
      <c r="A821" s="12" t="s">
        <v>299</v>
      </c>
      <c r="B821" s="12" t="s">
        <v>300</v>
      </c>
      <c r="C821" s="12">
        <v>14</v>
      </c>
      <c r="D821" s="12">
        <v>1.98</v>
      </c>
      <c r="E821" s="12" t="s">
        <v>304</v>
      </c>
      <c r="F821" s="13">
        <v>39476</v>
      </c>
      <c r="G821" s="12">
        <v>63.6</v>
      </c>
      <c r="H821" s="12">
        <v>3.25</v>
      </c>
      <c r="I821" s="13">
        <v>39518</v>
      </c>
      <c r="J821" s="12">
        <v>68.8</v>
      </c>
      <c r="K821" s="12">
        <v>3.5</v>
      </c>
      <c r="L821" s="12">
        <v>42</v>
      </c>
      <c r="M821" s="12">
        <v>5.1999999999999957</v>
      </c>
      <c r="N821" s="12">
        <v>0.25</v>
      </c>
      <c r="O821" s="17">
        <v>83.16</v>
      </c>
      <c r="P821" s="17"/>
      <c r="Q821" s="17">
        <v>123.8095238095237</v>
      </c>
      <c r="R821" s="14">
        <v>19.297567523809519</v>
      </c>
      <c r="S821" s="12">
        <v>7</v>
      </c>
      <c r="T821" s="12">
        <v>-1.6000000000000085</v>
      </c>
      <c r="U821" s="14">
        <v>13.86</v>
      </c>
      <c r="V821" s="17">
        <v>-228.57142857142978</v>
      </c>
      <c r="W821" s="14">
        <v>1.9251865714285117</v>
      </c>
      <c r="X821">
        <f t="shared" si="24"/>
        <v>14.915374999999999</v>
      </c>
      <c r="Y821">
        <f t="shared" si="25"/>
        <v>1.6792327285275166</v>
      </c>
    </row>
    <row r="822" spans="1:25">
      <c r="A822" s="12" t="s">
        <v>299</v>
      </c>
      <c r="B822" s="12" t="s">
        <v>300</v>
      </c>
      <c r="C822" s="12">
        <v>14</v>
      </c>
      <c r="D822" s="12">
        <v>1.98</v>
      </c>
      <c r="E822" s="12" t="s">
        <v>305</v>
      </c>
      <c r="F822" s="13">
        <v>39476</v>
      </c>
      <c r="G822" s="12">
        <v>52.4</v>
      </c>
      <c r="H822" s="12">
        <v>2</v>
      </c>
      <c r="I822" s="13">
        <v>39518</v>
      </c>
      <c r="J822" s="12">
        <v>60.6</v>
      </c>
      <c r="K822" s="12">
        <v>2.5</v>
      </c>
      <c r="L822" s="12">
        <v>42</v>
      </c>
      <c r="M822" s="12">
        <v>8.2000000000000028</v>
      </c>
      <c r="N822" s="12">
        <v>0.5</v>
      </c>
      <c r="O822" s="17">
        <v>83.16</v>
      </c>
      <c r="P822" s="17"/>
      <c r="Q822" s="17">
        <v>195.2380952380953</v>
      </c>
      <c r="R822" s="14">
        <v>21.178823095238098</v>
      </c>
      <c r="S822" s="12">
        <v>7</v>
      </c>
      <c r="T822" s="12">
        <v>-1</v>
      </c>
      <c r="U822" s="14">
        <v>13.86</v>
      </c>
      <c r="V822" s="17">
        <v>-142.85714285714286</v>
      </c>
      <c r="W822" s="14">
        <v>4.5107278571428582</v>
      </c>
      <c r="X822">
        <f t="shared" si="24"/>
        <v>20.100999999999999</v>
      </c>
      <c r="Y822">
        <f t="shared" si="25"/>
        <v>5.3023474068086891</v>
      </c>
    </row>
    <row r="823" spans="1:25">
      <c r="A823" s="12" t="s">
        <v>299</v>
      </c>
      <c r="B823" s="12" t="s">
        <v>300</v>
      </c>
      <c r="C823" s="12">
        <v>14</v>
      </c>
      <c r="D823" s="12">
        <v>1.98</v>
      </c>
      <c r="E823" s="12" t="s">
        <v>306</v>
      </c>
      <c r="F823" s="13">
        <v>39476</v>
      </c>
      <c r="G823" s="12">
        <v>53.2</v>
      </c>
      <c r="H823" s="12">
        <v>2.5</v>
      </c>
      <c r="I823" s="13">
        <v>39518</v>
      </c>
      <c r="J823" s="12">
        <v>60.4</v>
      </c>
      <c r="K823" s="12">
        <v>3</v>
      </c>
      <c r="L823" s="12">
        <v>42</v>
      </c>
      <c r="M823" s="12">
        <v>7.1999999999999957</v>
      </c>
      <c r="N823" s="12">
        <v>0.5</v>
      </c>
      <c r="O823" s="17">
        <v>83.16</v>
      </c>
      <c r="P823" s="17"/>
      <c r="Q823" s="17">
        <v>171.42857142857133</v>
      </c>
      <c r="R823" s="14">
        <v>20.055740571428565</v>
      </c>
      <c r="S823" s="12">
        <v>7</v>
      </c>
      <c r="T823" s="12">
        <v>-0.80000000000000426</v>
      </c>
      <c r="U823" s="14">
        <v>13.86</v>
      </c>
      <c r="V823" s="17">
        <v>-114.28571428571489</v>
      </c>
      <c r="W823" s="14">
        <v>5.9700262857142548</v>
      </c>
      <c r="X823">
        <f t="shared" si="24"/>
        <v>18.02675</v>
      </c>
      <c r="Y823">
        <f t="shared" si="25"/>
        <v>6.2935772716958729</v>
      </c>
    </row>
    <row r="824" spans="1:25">
      <c r="A824" s="12" t="s">
        <v>299</v>
      </c>
      <c r="B824" s="12" t="s">
        <v>300</v>
      </c>
      <c r="C824" s="12">
        <v>14</v>
      </c>
      <c r="D824" s="12">
        <v>1.98</v>
      </c>
      <c r="E824" s="12" t="s">
        <v>307</v>
      </c>
      <c r="F824" s="13">
        <v>39476</v>
      </c>
      <c r="G824" s="12">
        <v>60.2</v>
      </c>
      <c r="H824" s="12">
        <v>2.25</v>
      </c>
      <c r="I824" s="13">
        <v>39518</v>
      </c>
      <c r="J824" s="12">
        <v>68.599999999999994</v>
      </c>
      <c r="K824" s="12">
        <v>2</v>
      </c>
      <c r="L824" s="12">
        <v>42</v>
      </c>
      <c r="M824" s="12">
        <v>8.3999999999999915</v>
      </c>
      <c r="N824" s="12">
        <v>-0.25</v>
      </c>
      <c r="O824" s="17">
        <v>83.16</v>
      </c>
      <c r="P824" s="17"/>
      <c r="Q824" s="17">
        <v>199.9999999999998</v>
      </c>
      <c r="R824" s="14">
        <v>22.74939599999999</v>
      </c>
      <c r="S824" s="12">
        <v>7</v>
      </c>
      <c r="T824" s="12">
        <v>-1.4000000000000057</v>
      </c>
      <c r="U824" s="14">
        <v>13.86</v>
      </c>
      <c r="V824" s="17">
        <v>-200.00000000000082</v>
      </c>
      <c r="W824" s="14">
        <v>3.0293959999999593</v>
      </c>
      <c r="X824">
        <f t="shared" si="24"/>
        <v>19.063874999999999</v>
      </c>
      <c r="Y824">
        <f t="shared" si="25"/>
        <v>3.377311501140305</v>
      </c>
    </row>
    <row r="825" spans="1:25">
      <c r="A825" s="12" t="s">
        <v>299</v>
      </c>
      <c r="B825" s="12" t="s">
        <v>300</v>
      </c>
      <c r="C825" s="12">
        <v>14</v>
      </c>
      <c r="D825" s="12">
        <v>1.98</v>
      </c>
      <c r="E825" s="12" t="s">
        <v>308</v>
      </c>
      <c r="F825" s="13">
        <v>39476</v>
      </c>
      <c r="G825" s="12">
        <v>60.2</v>
      </c>
      <c r="H825" s="12">
        <v>3</v>
      </c>
      <c r="I825" s="13">
        <v>39518</v>
      </c>
      <c r="J825" s="12">
        <v>68.599999999999994</v>
      </c>
      <c r="K825" s="12">
        <v>3</v>
      </c>
      <c r="L825" s="12">
        <v>42</v>
      </c>
      <c r="M825" s="12">
        <v>8.3999999999999915</v>
      </c>
      <c r="N825" s="12">
        <v>0</v>
      </c>
      <c r="O825" s="17">
        <v>83.16</v>
      </c>
      <c r="P825" s="17"/>
      <c r="Q825" s="17">
        <v>199.9999999999998</v>
      </c>
      <c r="R825" s="14">
        <v>22.74939599999999</v>
      </c>
      <c r="S825" s="12">
        <v>7</v>
      </c>
      <c r="T825" s="12">
        <v>-1</v>
      </c>
      <c r="U825" s="14">
        <v>13.86</v>
      </c>
      <c r="V825" s="17">
        <v>-142.85714285714286</v>
      </c>
      <c r="W825" s="14">
        <v>5.8465388571428578</v>
      </c>
      <c r="X825">
        <f t="shared" si="24"/>
        <v>15.952499999999999</v>
      </c>
      <c r="Y825">
        <f t="shared" si="25"/>
        <v>5.4542053285714278</v>
      </c>
    </row>
    <row r="826" spans="1:25">
      <c r="A826" s="12" t="s">
        <v>299</v>
      </c>
      <c r="B826" s="12" t="s">
        <v>300</v>
      </c>
      <c r="C826" s="12">
        <v>14</v>
      </c>
      <c r="D826" s="12">
        <v>1.98</v>
      </c>
      <c r="E826" s="12" t="s">
        <v>309</v>
      </c>
      <c r="F826" s="13">
        <v>39476</v>
      </c>
      <c r="G826" s="12">
        <v>50.6</v>
      </c>
      <c r="H826" s="12">
        <v>1.75</v>
      </c>
      <c r="I826" s="13">
        <v>39518</v>
      </c>
      <c r="J826" s="12">
        <v>63.8</v>
      </c>
      <c r="K826" s="12">
        <v>2</v>
      </c>
      <c r="L826" s="12">
        <v>42</v>
      </c>
      <c r="M826" s="12">
        <v>13.199999999999996</v>
      </c>
      <c r="N826" s="12">
        <v>0.25</v>
      </c>
      <c r="O826" s="17">
        <v>83.16</v>
      </c>
      <c r="P826" s="17"/>
      <c r="Q826" s="17">
        <v>314.28571428571416</v>
      </c>
      <c r="R826" s="14">
        <v>27.16623371428571</v>
      </c>
      <c r="S826" s="12">
        <v>7</v>
      </c>
      <c r="T826" s="12">
        <v>0.19999999999999574</v>
      </c>
      <c r="U826" s="14">
        <v>13.86</v>
      </c>
      <c r="V826" s="17">
        <v>28.571428571427962</v>
      </c>
      <c r="W826" s="14">
        <v>13.080519428571399</v>
      </c>
      <c r="X826">
        <f t="shared" si="24"/>
        <v>21.138124999999999</v>
      </c>
      <c r="Y826">
        <f t="shared" si="25"/>
        <v>16.169453493922266</v>
      </c>
    </row>
    <row r="827" spans="1:25">
      <c r="A827" s="12" t="s">
        <v>299</v>
      </c>
      <c r="B827" s="12" t="s">
        <v>300</v>
      </c>
      <c r="C827" s="12">
        <v>14</v>
      </c>
      <c r="D827" s="12">
        <v>1.98</v>
      </c>
      <c r="E827" s="12" t="s">
        <v>310</v>
      </c>
      <c r="F827" s="13">
        <v>39476</v>
      </c>
      <c r="G827" s="12">
        <v>63.2</v>
      </c>
      <c r="H827" s="12">
        <v>2.5</v>
      </c>
      <c r="I827" s="13">
        <v>39518</v>
      </c>
      <c r="J827" s="12">
        <v>72</v>
      </c>
      <c r="K827" s="12">
        <v>3.5</v>
      </c>
      <c r="L827" s="12">
        <v>42</v>
      </c>
      <c r="M827" s="12">
        <v>8.7999999999999972</v>
      </c>
      <c r="N827" s="12">
        <v>1</v>
      </c>
      <c r="O827" s="17">
        <v>83.16</v>
      </c>
      <c r="P827" s="17"/>
      <c r="Q827" s="17">
        <v>209.52380952380943</v>
      </c>
      <c r="R827" s="14">
        <v>23.760007809523803</v>
      </c>
      <c r="S827" s="12">
        <v>7</v>
      </c>
      <c r="T827" s="12">
        <v>-1.7999999999999972</v>
      </c>
      <c r="U827" s="14">
        <v>13.86</v>
      </c>
      <c r="V827" s="17">
        <v>-257.14285714285671</v>
      </c>
      <c r="W827" s="14">
        <v>0.75334114285716147</v>
      </c>
      <c r="X827">
        <f t="shared" si="24"/>
        <v>18.02675</v>
      </c>
      <c r="Y827">
        <f t="shared" si="25"/>
        <v>0.79416914894738799</v>
      </c>
    </row>
    <row r="828" spans="1:25">
      <c r="A828" s="12" t="s">
        <v>299</v>
      </c>
      <c r="B828" s="12" t="s">
        <v>300</v>
      </c>
      <c r="C828" s="12">
        <v>14</v>
      </c>
      <c r="D828" s="12">
        <v>1.98</v>
      </c>
      <c r="E828" s="12" t="s">
        <v>311</v>
      </c>
      <c r="F828" s="13">
        <v>39476</v>
      </c>
      <c r="G828" s="12">
        <v>57.2</v>
      </c>
      <c r="H828" s="12">
        <v>3.5</v>
      </c>
      <c r="I828" s="13">
        <v>39518</v>
      </c>
      <c r="J828" s="12">
        <v>65</v>
      </c>
      <c r="K828" s="12">
        <v>3.5</v>
      </c>
      <c r="L828" s="12">
        <v>42</v>
      </c>
      <c r="M828" s="12">
        <v>7.7999999999999972</v>
      </c>
      <c r="N828" s="12">
        <v>0</v>
      </c>
      <c r="O828" s="17">
        <v>83.16</v>
      </c>
      <c r="P828" s="17"/>
      <c r="Q828" s="17">
        <v>185.71428571428564</v>
      </c>
      <c r="R828" s="14">
        <v>21.48711328571428</v>
      </c>
      <c r="S828" s="12">
        <v>7</v>
      </c>
      <c r="T828" s="12">
        <v>-1.4000000000000057</v>
      </c>
      <c r="U828" s="14">
        <v>13.86</v>
      </c>
      <c r="V828" s="17">
        <v>-200.00000000000082</v>
      </c>
      <c r="W828" s="14">
        <v>2.471398999999959</v>
      </c>
      <c r="X828">
        <f t="shared" si="24"/>
        <v>13.878249999999998</v>
      </c>
      <c r="Y828">
        <f t="shared" si="25"/>
        <v>2.0057715305116623</v>
      </c>
    </row>
    <row r="829" spans="1:25">
      <c r="A829" s="12" t="s">
        <v>299</v>
      </c>
      <c r="B829" s="12" t="s">
        <v>300</v>
      </c>
      <c r="C829" s="12">
        <v>14</v>
      </c>
      <c r="D829" s="12">
        <v>1.98</v>
      </c>
      <c r="E829" s="12" t="s">
        <v>312</v>
      </c>
      <c r="F829" s="13">
        <v>39476</v>
      </c>
      <c r="G829" s="12">
        <v>48.2</v>
      </c>
      <c r="H829" s="12">
        <v>2.25</v>
      </c>
      <c r="I829" s="13">
        <v>39518</v>
      </c>
      <c r="J829" s="12">
        <v>57.6</v>
      </c>
      <c r="K829" s="12">
        <v>3</v>
      </c>
      <c r="L829" s="12">
        <v>42</v>
      </c>
      <c r="M829" s="12">
        <v>9.3999999999999986</v>
      </c>
      <c r="N829" s="12">
        <v>0.75</v>
      </c>
      <c r="O829" s="17">
        <v>83.16</v>
      </c>
      <c r="P829" s="17"/>
      <c r="Q829" s="17">
        <v>223.80952380952377</v>
      </c>
      <c r="R829" s="14">
        <v>21.978670523809523</v>
      </c>
      <c r="S829" s="12">
        <v>7</v>
      </c>
      <c r="T829" s="12">
        <v>0</v>
      </c>
      <c r="U829" s="14">
        <v>13.86</v>
      </c>
      <c r="V829" s="17">
        <v>0</v>
      </c>
      <c r="W829" s="14">
        <v>10.944861000000001</v>
      </c>
      <c r="X829">
        <f t="shared" si="24"/>
        <v>19.063874999999999</v>
      </c>
      <c r="Y829">
        <f t="shared" si="25"/>
        <v>12.201839882828947</v>
      </c>
    </row>
    <row r="830" spans="1:25">
      <c r="A830" s="12" t="s">
        <v>299</v>
      </c>
      <c r="B830" s="12" t="s">
        <v>300</v>
      </c>
      <c r="C830" s="12">
        <v>14</v>
      </c>
      <c r="D830" s="12">
        <v>1.98</v>
      </c>
      <c r="E830" s="12" t="s">
        <v>313</v>
      </c>
      <c r="F830" s="13">
        <v>39476</v>
      </c>
      <c r="G830" s="12">
        <v>66.400000000000006</v>
      </c>
      <c r="H830" s="12">
        <v>2.5</v>
      </c>
      <c r="I830" s="13">
        <v>39518</v>
      </c>
      <c r="J830" s="12">
        <v>70.8</v>
      </c>
      <c r="K830" s="12">
        <v>3</v>
      </c>
      <c r="L830" s="12">
        <v>42</v>
      </c>
      <c r="M830" s="12">
        <v>4.3999999999999915</v>
      </c>
      <c r="N830" s="12">
        <v>0.5</v>
      </c>
      <c r="O830" s="17">
        <v>83.16</v>
      </c>
      <c r="P830" s="17"/>
      <c r="Q830" s="17">
        <v>104.76190476190456</v>
      </c>
      <c r="R830" s="14">
        <v>18.764335904761893</v>
      </c>
      <c r="S830" s="12">
        <v>7</v>
      </c>
      <c r="T830" s="12">
        <v>-1.7999999999999972</v>
      </c>
      <c r="U830" s="14">
        <v>13.86</v>
      </c>
      <c r="V830" s="17">
        <v>-257.14285714285671</v>
      </c>
      <c r="W830" s="14">
        <v>0.9224311428571621</v>
      </c>
      <c r="X830">
        <f t="shared" si="24"/>
        <v>18.02675</v>
      </c>
      <c r="Y830">
        <f t="shared" si="25"/>
        <v>0.97242313476610209</v>
      </c>
    </row>
    <row r="831" spans="1:25">
      <c r="A831" s="12" t="s">
        <v>299</v>
      </c>
      <c r="B831" s="12" t="s">
        <v>300</v>
      </c>
      <c r="C831" s="12">
        <v>14</v>
      </c>
      <c r="D831" s="12">
        <v>1.98</v>
      </c>
      <c r="E831" s="12" t="s">
        <v>314</v>
      </c>
      <c r="F831" s="13">
        <v>39476</v>
      </c>
      <c r="G831" s="12">
        <v>48.4</v>
      </c>
      <c r="H831" s="12">
        <v>2</v>
      </c>
      <c r="I831" s="13">
        <v>39518</v>
      </c>
      <c r="J831" s="12">
        <v>54.4</v>
      </c>
      <c r="K831" s="12">
        <v>2.25</v>
      </c>
      <c r="L831" s="12">
        <v>42</v>
      </c>
      <c r="M831" s="12">
        <v>6</v>
      </c>
      <c r="N831" s="12">
        <v>0.25</v>
      </c>
      <c r="O831" s="17">
        <v>83.16</v>
      </c>
      <c r="P831" s="17"/>
      <c r="Q831" s="17">
        <v>142.85714285714286</v>
      </c>
      <c r="R831" s="14">
        <v>17.734083142857141</v>
      </c>
      <c r="S831" s="12">
        <v>7</v>
      </c>
      <c r="T831" s="12">
        <v>-1.3999999999999986</v>
      </c>
      <c r="U831" s="14">
        <v>13.86</v>
      </c>
      <c r="V831" s="17">
        <v>-199.9999999999998</v>
      </c>
      <c r="W831" s="14">
        <v>0.83122600000000979</v>
      </c>
      <c r="X831">
        <f t="shared" si="24"/>
        <v>20.100999999999999</v>
      </c>
      <c r="Y831">
        <f t="shared" si="25"/>
        <v>0.97710373251463134</v>
      </c>
    </row>
    <row r="832" spans="1:25">
      <c r="A832" s="12" t="s">
        <v>299</v>
      </c>
      <c r="B832" s="12" t="s">
        <v>300</v>
      </c>
      <c r="C832" s="12">
        <v>14</v>
      </c>
      <c r="D832" s="12">
        <v>1.98</v>
      </c>
      <c r="E832" s="12" t="s">
        <v>315</v>
      </c>
      <c r="F832" s="13">
        <v>39476</v>
      </c>
      <c r="G832" s="12">
        <v>53</v>
      </c>
      <c r="H832" s="12">
        <v>2</v>
      </c>
      <c r="I832" s="13">
        <v>39518</v>
      </c>
      <c r="J832" s="12">
        <v>61.4</v>
      </c>
      <c r="K832" s="12">
        <v>2.5</v>
      </c>
      <c r="L832" s="12">
        <v>42</v>
      </c>
      <c r="M832" s="12">
        <v>8.3999999999999986</v>
      </c>
      <c r="N832" s="12">
        <v>0.5</v>
      </c>
      <c r="O832" s="17">
        <v>83.16</v>
      </c>
      <c r="P832" s="17"/>
      <c r="Q832" s="17">
        <v>199.99999999999994</v>
      </c>
      <c r="R832" s="14">
        <v>21.531948</v>
      </c>
      <c r="S832" s="12">
        <v>7</v>
      </c>
      <c r="T832" s="12">
        <v>-1.6000000000000014</v>
      </c>
      <c r="U832" s="14">
        <v>13.86</v>
      </c>
      <c r="V832" s="17">
        <v>-228.57142857142878</v>
      </c>
      <c r="W832" s="14">
        <v>0.40337657142856109</v>
      </c>
      <c r="X832">
        <f t="shared" si="24"/>
        <v>20.100999999999999</v>
      </c>
      <c r="Y832">
        <f t="shared" si="25"/>
        <v>0.4741679802506143</v>
      </c>
    </row>
    <row r="833" spans="1:25">
      <c r="A833" s="12" t="s">
        <v>299</v>
      </c>
      <c r="B833" s="12" t="s">
        <v>300</v>
      </c>
      <c r="C833" s="12">
        <v>14</v>
      </c>
      <c r="D833" s="12">
        <v>1.98</v>
      </c>
      <c r="E833" s="12" t="s">
        <v>316</v>
      </c>
      <c r="F833" s="13">
        <v>39476</v>
      </c>
      <c r="G833" s="12">
        <v>60</v>
      </c>
      <c r="H833" s="12">
        <v>2</v>
      </c>
      <c r="I833" s="13">
        <v>39518</v>
      </c>
      <c r="J833" s="12">
        <v>65.400000000000006</v>
      </c>
      <c r="K833" s="12">
        <v>2.5</v>
      </c>
      <c r="L833" s="12">
        <v>42</v>
      </c>
      <c r="M833" s="12">
        <v>5.4000000000000057</v>
      </c>
      <c r="N833" s="12">
        <v>0.5</v>
      </c>
      <c r="O833" s="17">
        <v>83.16</v>
      </c>
      <c r="P833" s="17"/>
      <c r="Q833" s="17">
        <v>128.5714285714287</v>
      </c>
      <c r="R833" s="14">
        <v>18.940514428571433</v>
      </c>
      <c r="S833" s="12">
        <v>7</v>
      </c>
      <c r="T833" s="12">
        <v>-2.7999999999999972</v>
      </c>
      <c r="U833" s="14">
        <v>13.86</v>
      </c>
      <c r="V833" s="17">
        <v>-399.9999999999996</v>
      </c>
      <c r="W833" s="14">
        <v>-7.1180569999999772</v>
      </c>
      <c r="X833">
        <f t="shared" si="24"/>
        <v>20.100999999999999</v>
      </c>
      <c r="Y833">
        <f t="shared" si="25"/>
        <v>-8.367255190467807</v>
      </c>
    </row>
    <row r="834" spans="1:25">
      <c r="A834" s="12" t="s">
        <v>299</v>
      </c>
      <c r="B834" s="12" t="s">
        <v>300</v>
      </c>
      <c r="C834" s="12">
        <v>14</v>
      </c>
      <c r="D834" s="12">
        <v>1.98</v>
      </c>
      <c r="E834" s="12" t="s">
        <v>317</v>
      </c>
      <c r="F834" s="13">
        <v>39476</v>
      </c>
      <c r="G834" s="12">
        <v>64.2</v>
      </c>
      <c r="H834" s="12">
        <v>3</v>
      </c>
      <c r="I834" s="13">
        <v>39518</v>
      </c>
      <c r="J834" s="12">
        <v>69.8</v>
      </c>
      <c r="K834" s="12">
        <v>3</v>
      </c>
      <c r="L834" s="12">
        <v>42</v>
      </c>
      <c r="M834" s="12">
        <v>5.5999999999999943</v>
      </c>
      <c r="N834" s="12">
        <v>0</v>
      </c>
      <c r="O834" s="17">
        <v>83.16</v>
      </c>
      <c r="P834" s="17"/>
      <c r="Q834" s="17">
        <v>133.3333333333332</v>
      </c>
      <c r="R834" s="14">
        <v>19.902363333333327</v>
      </c>
      <c r="S834" s="12">
        <v>7</v>
      </c>
      <c r="T834" s="12">
        <v>-1.6000000000000085</v>
      </c>
      <c r="U834" s="14">
        <v>13.86</v>
      </c>
      <c r="V834" s="17">
        <v>-228.57142857142978</v>
      </c>
      <c r="W834" s="14">
        <v>2.0604585714285122</v>
      </c>
      <c r="X834">
        <f t="shared" si="24"/>
        <v>15.952499999999999</v>
      </c>
      <c r="Y834">
        <f t="shared" si="25"/>
        <v>1.9221909567668616</v>
      </c>
    </row>
    <row r="835" spans="1:25">
      <c r="A835" s="12" t="s">
        <v>299</v>
      </c>
      <c r="B835" s="12" t="s">
        <v>300</v>
      </c>
      <c r="C835" s="12">
        <v>14</v>
      </c>
      <c r="D835" s="12">
        <v>1.98</v>
      </c>
      <c r="E835" s="12" t="s">
        <v>318</v>
      </c>
      <c r="F835" s="13">
        <v>39476</v>
      </c>
      <c r="G835" s="12">
        <v>56.4</v>
      </c>
      <c r="H835" s="12">
        <v>2.5</v>
      </c>
      <c r="I835" s="13">
        <v>39518</v>
      </c>
      <c r="J835" s="12">
        <v>65.599999999999994</v>
      </c>
      <c r="K835" s="12">
        <v>3</v>
      </c>
      <c r="L835" s="12">
        <v>42</v>
      </c>
      <c r="M835" s="12">
        <v>9.1999999999999957</v>
      </c>
      <c r="N835" s="12">
        <v>0.5</v>
      </c>
      <c r="O835" s="17">
        <v>83.16</v>
      </c>
      <c r="P835" s="17"/>
      <c r="Q835" s="17">
        <v>219.04761904761892</v>
      </c>
      <c r="R835" s="14">
        <v>23.113537619047612</v>
      </c>
      <c r="S835" s="12">
        <v>7</v>
      </c>
      <c r="T835" s="12">
        <v>-1</v>
      </c>
      <c r="U835" s="14">
        <v>13.86</v>
      </c>
      <c r="V835" s="17">
        <v>-142.85714285714286</v>
      </c>
      <c r="W835" s="14">
        <v>5.2716328571428575</v>
      </c>
      <c r="X835">
        <f t="shared" ref="X835:X898" si="26">IF(H835&gt;0,-4.1485*H835 + 28.398,17.1)</f>
        <v>18.02675</v>
      </c>
      <c r="Y835">
        <f t="shared" ref="Y835:Y898" si="27">W835*X835/17.1</f>
        <v>5.5573337782163748</v>
      </c>
    </row>
    <row r="836" spans="1:25">
      <c r="A836" s="12" t="s">
        <v>299</v>
      </c>
      <c r="B836" s="12" t="s">
        <v>300</v>
      </c>
      <c r="C836" s="12">
        <v>14</v>
      </c>
      <c r="D836" s="12">
        <v>1.98</v>
      </c>
      <c r="E836" s="12" t="s">
        <v>319</v>
      </c>
      <c r="F836" s="13">
        <v>39476</v>
      </c>
      <c r="G836" s="12">
        <v>64</v>
      </c>
      <c r="H836" s="12">
        <v>3</v>
      </c>
      <c r="I836" s="13">
        <v>39518</v>
      </c>
      <c r="J836" s="12">
        <v>71</v>
      </c>
      <c r="K836" s="12">
        <v>4</v>
      </c>
      <c r="L836" s="12">
        <v>42</v>
      </c>
      <c r="M836" s="12">
        <v>7</v>
      </c>
      <c r="N836" s="12">
        <v>1</v>
      </c>
      <c r="O836" s="17">
        <v>83.16</v>
      </c>
      <c r="P836" s="17"/>
      <c r="Q836" s="17">
        <v>166.66666666666666</v>
      </c>
      <c r="R836" s="14">
        <v>21.630241666666663</v>
      </c>
      <c r="S836" s="12">
        <v>7</v>
      </c>
      <c r="T836" s="12">
        <v>-0.40000000000000568</v>
      </c>
      <c r="U836" s="14">
        <v>13.86</v>
      </c>
      <c r="V836" s="17">
        <v>-57.142857142857956</v>
      </c>
      <c r="W836" s="14">
        <v>10.596432142857104</v>
      </c>
      <c r="X836">
        <f t="shared" si="26"/>
        <v>15.952499999999999</v>
      </c>
      <c r="Y836">
        <f t="shared" si="27"/>
        <v>9.8853557753759009</v>
      </c>
    </row>
    <row r="837" spans="1:25">
      <c r="A837" s="12" t="s">
        <v>299</v>
      </c>
      <c r="B837" s="12" t="s">
        <v>300</v>
      </c>
      <c r="C837" s="12">
        <v>14</v>
      </c>
      <c r="D837" s="12">
        <v>1.98</v>
      </c>
      <c r="E837" s="12" t="s">
        <v>320</v>
      </c>
      <c r="F837" s="13">
        <v>39476</v>
      </c>
      <c r="G837" s="12">
        <v>54</v>
      </c>
      <c r="H837" s="12">
        <v>2.5</v>
      </c>
      <c r="I837" s="13">
        <v>39518</v>
      </c>
      <c r="J837" s="12">
        <v>61.4</v>
      </c>
      <c r="K837" s="12">
        <v>2.5</v>
      </c>
      <c r="L837" s="12">
        <v>42</v>
      </c>
      <c r="M837" s="12">
        <v>7.3999999999999986</v>
      </c>
      <c r="N837" s="12">
        <v>0</v>
      </c>
      <c r="O837" s="17">
        <v>83.16</v>
      </c>
      <c r="P837" s="17"/>
      <c r="Q837" s="17">
        <v>176.19047619047615</v>
      </c>
      <c r="R837" s="14">
        <v>20.442683476190474</v>
      </c>
      <c r="S837" s="12">
        <v>7</v>
      </c>
      <c r="T837" s="12">
        <v>0.79999999999999716</v>
      </c>
      <c r="U837" s="14">
        <v>13.86</v>
      </c>
      <c r="V837" s="17">
        <v>114.28571428571388</v>
      </c>
      <c r="W837" s="14">
        <v>17.390778714285695</v>
      </c>
      <c r="X837">
        <f t="shared" si="26"/>
        <v>18.02675</v>
      </c>
      <c r="Y837">
        <f t="shared" si="27"/>
        <v>18.333287730277757</v>
      </c>
    </row>
    <row r="838" spans="1:25">
      <c r="A838" s="12" t="s">
        <v>299</v>
      </c>
      <c r="B838" s="12" t="s">
        <v>300</v>
      </c>
      <c r="C838" s="12">
        <v>14</v>
      </c>
      <c r="D838" s="12">
        <v>1.98</v>
      </c>
      <c r="E838" s="12" t="s">
        <v>321</v>
      </c>
      <c r="F838" s="13">
        <v>39476</v>
      </c>
      <c r="G838" s="12">
        <v>59.2</v>
      </c>
      <c r="H838" s="12">
        <v>1.75</v>
      </c>
      <c r="I838" s="13">
        <v>39518</v>
      </c>
      <c r="J838" s="12">
        <v>70.2</v>
      </c>
      <c r="K838" s="12">
        <v>2</v>
      </c>
      <c r="L838" s="12">
        <v>42</v>
      </c>
      <c r="M838" s="12">
        <v>11</v>
      </c>
      <c r="N838" s="12">
        <v>0.25</v>
      </c>
      <c r="O838" s="17">
        <v>83.16</v>
      </c>
      <c r="P838" s="17"/>
      <c r="Q838" s="17">
        <v>261.90476190476193</v>
      </c>
      <c r="R838" s="14">
        <v>25.852027761904761</v>
      </c>
      <c r="S838" s="12">
        <v>7</v>
      </c>
      <c r="T838" s="12">
        <v>3</v>
      </c>
      <c r="U838" s="14">
        <v>13.86</v>
      </c>
      <c r="V838" s="17">
        <v>428.57142857142856</v>
      </c>
      <c r="W838" s="14">
        <v>34.068694428571426</v>
      </c>
      <c r="X838">
        <f t="shared" si="26"/>
        <v>21.138124999999999</v>
      </c>
      <c r="Y838">
        <f t="shared" si="27"/>
        <v>42.113936925026103</v>
      </c>
    </row>
    <row r="839" spans="1:25">
      <c r="A839" s="12" t="s">
        <v>299</v>
      </c>
      <c r="B839" s="12" t="s">
        <v>300</v>
      </c>
      <c r="C839" s="12">
        <v>14</v>
      </c>
      <c r="D839" s="12">
        <v>1.98</v>
      </c>
      <c r="E839" s="12" t="s">
        <v>322</v>
      </c>
      <c r="F839" s="13">
        <v>39476</v>
      </c>
      <c r="G839" s="12">
        <v>57.8</v>
      </c>
      <c r="H839" s="12">
        <v>1.75</v>
      </c>
      <c r="I839" s="13">
        <v>39518</v>
      </c>
      <c r="J839" s="12">
        <v>65.2</v>
      </c>
      <c r="K839" s="12">
        <v>2</v>
      </c>
      <c r="L839" s="12">
        <v>42</v>
      </c>
      <c r="M839" s="12">
        <v>7.4000000000000057</v>
      </c>
      <c r="N839" s="12">
        <v>0.25</v>
      </c>
      <c r="O839" s="17">
        <v>83.16</v>
      </c>
      <c r="P839" s="17"/>
      <c r="Q839" s="17">
        <v>176.19047619047632</v>
      </c>
      <c r="R839" s="14">
        <v>21.08522547619048</v>
      </c>
      <c r="S839" s="12">
        <v>7</v>
      </c>
      <c r="T839" s="12">
        <v>-1.2000000000000028</v>
      </c>
      <c r="U839" s="14">
        <v>13.86</v>
      </c>
      <c r="V839" s="17">
        <v>-171.42857142857184</v>
      </c>
      <c r="W839" s="14">
        <v>3.9476064285714081</v>
      </c>
      <c r="X839">
        <f t="shared" si="26"/>
        <v>21.138124999999999</v>
      </c>
      <c r="Y839">
        <f t="shared" si="27"/>
        <v>4.8798244525114605</v>
      </c>
    </row>
    <row r="840" spans="1:25">
      <c r="A840" s="12" t="s">
        <v>299</v>
      </c>
      <c r="B840" s="12" t="s">
        <v>300</v>
      </c>
      <c r="C840" s="12">
        <v>14</v>
      </c>
      <c r="D840" s="12">
        <v>1.98</v>
      </c>
      <c r="E840" s="12" t="s">
        <v>323</v>
      </c>
      <c r="F840" s="13">
        <v>39476</v>
      </c>
      <c r="G840" s="12">
        <v>56.2</v>
      </c>
      <c r="H840" s="12">
        <v>2.75</v>
      </c>
      <c r="I840" s="13">
        <v>39518</v>
      </c>
      <c r="J840" s="12">
        <v>68.599999999999994</v>
      </c>
      <c r="K840" s="12">
        <v>3.25</v>
      </c>
      <c r="L840" s="12">
        <v>42</v>
      </c>
      <c r="M840" s="12">
        <v>12.399999999999991</v>
      </c>
      <c r="N840" s="12">
        <v>0.5</v>
      </c>
      <c r="O840" s="17">
        <v>83.16</v>
      </c>
      <c r="P840" s="17"/>
      <c r="Q840" s="17">
        <v>295.23809523809501</v>
      </c>
      <c r="R840" s="14">
        <v>27.106454095238082</v>
      </c>
      <c r="S840" s="12">
        <v>7</v>
      </c>
      <c r="T840" s="12">
        <v>-0.20000000000000284</v>
      </c>
      <c r="U840" s="14">
        <v>13.86</v>
      </c>
      <c r="V840" s="17">
        <v>-28.571428571428978</v>
      </c>
      <c r="W840" s="14">
        <v>11.14264457142855</v>
      </c>
      <c r="X840">
        <f t="shared" si="26"/>
        <v>16.989624999999997</v>
      </c>
      <c r="Y840">
        <f t="shared" si="27"/>
        <v>11.070722384611505</v>
      </c>
    </row>
    <row r="841" spans="1:25">
      <c r="A841" s="12" t="s">
        <v>299</v>
      </c>
      <c r="B841" s="12" t="s">
        <v>300</v>
      </c>
      <c r="C841" s="12">
        <v>14</v>
      </c>
      <c r="D841" s="12">
        <v>1.98</v>
      </c>
      <c r="E841" s="12" t="s">
        <v>324</v>
      </c>
      <c r="F841" s="13">
        <v>39476</v>
      </c>
      <c r="G841" s="12">
        <v>58</v>
      </c>
      <c r="H841" s="12">
        <v>2.25</v>
      </c>
      <c r="I841" s="13">
        <v>39518</v>
      </c>
      <c r="J841" s="12">
        <v>67.599999999999994</v>
      </c>
      <c r="K841" s="12">
        <v>3</v>
      </c>
      <c r="L841" s="12">
        <v>42</v>
      </c>
      <c r="M841" s="12">
        <v>9.5999999999999943</v>
      </c>
      <c r="N841" s="12">
        <v>0.75</v>
      </c>
      <c r="O841" s="17">
        <v>83.16</v>
      </c>
      <c r="P841" s="17"/>
      <c r="Q841" s="17">
        <v>228.57142857142841</v>
      </c>
      <c r="R841" s="14">
        <v>23.88742342857142</v>
      </c>
      <c r="S841" s="12">
        <v>7</v>
      </c>
      <c r="T841" s="12">
        <v>0.39999999999999147</v>
      </c>
      <c r="U841" s="14">
        <v>13.86</v>
      </c>
      <c r="V841" s="17">
        <v>57.142857142855924</v>
      </c>
      <c r="W841" s="14">
        <v>15.435994857142795</v>
      </c>
      <c r="X841">
        <f t="shared" si="26"/>
        <v>19.063874999999999</v>
      </c>
      <c r="Y841">
        <f t="shared" si="27"/>
        <v>17.20876470510018</v>
      </c>
    </row>
    <row r="842" spans="1:25">
      <c r="A842" s="12" t="s">
        <v>299</v>
      </c>
      <c r="B842" s="12" t="s">
        <v>300</v>
      </c>
      <c r="C842" s="12">
        <v>14</v>
      </c>
      <c r="D842" s="12">
        <v>1.98</v>
      </c>
      <c r="E842" s="12" t="s">
        <v>325</v>
      </c>
      <c r="F842" s="13">
        <v>39476</v>
      </c>
      <c r="G842" s="12">
        <v>67</v>
      </c>
      <c r="H842" s="12">
        <v>2.25</v>
      </c>
      <c r="I842" s="13">
        <v>39518</v>
      </c>
      <c r="J842" s="12">
        <v>71.599999999999994</v>
      </c>
      <c r="K842" s="12">
        <v>2.5</v>
      </c>
      <c r="L842" s="12">
        <v>42</v>
      </c>
      <c r="M842" s="12">
        <v>4.5999999999999943</v>
      </c>
      <c r="N842" s="12">
        <v>0.25</v>
      </c>
      <c r="O842" s="17">
        <v>83.16</v>
      </c>
      <c r="P842" s="17"/>
      <c r="Q842" s="17">
        <v>109.52380952380939</v>
      </c>
      <c r="R842" s="14">
        <v>19.117460809523802</v>
      </c>
      <c r="S842" s="12">
        <v>7</v>
      </c>
      <c r="T842" s="12">
        <v>-0.40000000000000568</v>
      </c>
      <c r="U842" s="14">
        <v>13.86</v>
      </c>
      <c r="V842" s="17">
        <v>-57.142857142857956</v>
      </c>
      <c r="W842" s="14">
        <v>10.900794142857102</v>
      </c>
      <c r="X842">
        <f t="shared" si="26"/>
        <v>19.063874999999999</v>
      </c>
      <c r="Y842">
        <f t="shared" si="27"/>
        <v>12.152712101763738</v>
      </c>
    </row>
    <row r="843" spans="1:25">
      <c r="A843" s="12" t="s">
        <v>299</v>
      </c>
      <c r="B843" s="12" t="s">
        <v>300</v>
      </c>
      <c r="C843" s="12">
        <v>14</v>
      </c>
      <c r="D843" s="12">
        <v>1.98</v>
      </c>
      <c r="E843" s="12" t="s">
        <v>326</v>
      </c>
      <c r="F843" s="13">
        <v>39476</v>
      </c>
      <c r="G843" s="12">
        <v>70.599999999999994</v>
      </c>
      <c r="H843" s="12">
        <v>3</v>
      </c>
      <c r="I843" s="13">
        <v>39518</v>
      </c>
      <c r="J843" s="12">
        <v>79.400000000000006</v>
      </c>
      <c r="K843" s="12">
        <v>3</v>
      </c>
      <c r="L843" s="12">
        <v>42</v>
      </c>
      <c r="M843" s="12">
        <v>8.8000000000000114</v>
      </c>
      <c r="N843" s="12">
        <v>0</v>
      </c>
      <c r="O843" s="17">
        <v>83.16</v>
      </c>
      <c r="P843" s="17"/>
      <c r="Q843" s="17">
        <v>209.5238095238098</v>
      </c>
      <c r="R843" s="14">
        <v>25.011273809523821</v>
      </c>
      <c r="S843" s="12">
        <v>7</v>
      </c>
      <c r="T843" s="12">
        <v>-2.1999999999999886</v>
      </c>
      <c r="U843" s="14">
        <v>13.86</v>
      </c>
      <c r="V843" s="17">
        <v>-314.28571428571269</v>
      </c>
      <c r="W843" s="14">
        <v>-0.81253571428563376</v>
      </c>
      <c r="X843">
        <f t="shared" si="26"/>
        <v>15.952499999999999</v>
      </c>
      <c r="Y843">
        <f t="shared" si="27"/>
        <v>-0.75801029135330822</v>
      </c>
    </row>
    <row r="844" spans="1:25">
      <c r="A844" s="12" t="s">
        <v>299</v>
      </c>
      <c r="B844" s="12" t="s">
        <v>300</v>
      </c>
      <c r="C844" s="12">
        <v>14</v>
      </c>
      <c r="D844" s="12">
        <v>1.98</v>
      </c>
      <c r="E844" s="12" t="s">
        <v>327</v>
      </c>
      <c r="F844" s="13">
        <v>39476</v>
      </c>
      <c r="G844" s="12">
        <v>61.6</v>
      </c>
      <c r="H844" s="12">
        <v>2.5</v>
      </c>
      <c r="I844" s="13">
        <v>39518</v>
      </c>
      <c r="J844" s="12">
        <v>71.400000000000006</v>
      </c>
      <c r="K844" s="12">
        <v>2</v>
      </c>
      <c r="L844" s="12">
        <v>42</v>
      </c>
      <c r="M844" s="12">
        <v>9.8000000000000043</v>
      </c>
      <c r="N844" s="12">
        <v>-0.5</v>
      </c>
      <c r="O844" s="17">
        <v>83.16</v>
      </c>
      <c r="P844" s="17"/>
      <c r="Q844" s="17">
        <v>233.33333333333346</v>
      </c>
      <c r="R844" s="14">
        <v>24.747818333333338</v>
      </c>
      <c r="S844" s="12">
        <v>7</v>
      </c>
      <c r="T844" s="12">
        <v>-1.1999999999999886</v>
      </c>
      <c r="U844" s="14">
        <v>13.86</v>
      </c>
      <c r="V844" s="17">
        <v>-171.4285714285698</v>
      </c>
      <c r="W844" s="14">
        <v>4.7930564285715089</v>
      </c>
      <c r="X844">
        <f t="shared" si="26"/>
        <v>18.02675</v>
      </c>
      <c r="Y844">
        <f t="shared" si="27"/>
        <v>5.0528204663012541</v>
      </c>
    </row>
    <row r="845" spans="1:25">
      <c r="A845" s="12" t="s">
        <v>299</v>
      </c>
      <c r="B845" s="12" t="s">
        <v>300</v>
      </c>
      <c r="C845" s="12">
        <v>14</v>
      </c>
      <c r="D845" s="12">
        <v>1.98</v>
      </c>
      <c r="E845" s="12" t="s">
        <v>328</v>
      </c>
      <c r="F845" s="13">
        <v>39476</v>
      </c>
      <c r="G845" s="12">
        <v>60</v>
      </c>
      <c r="H845" s="12">
        <v>2.5</v>
      </c>
      <c r="I845" s="13">
        <v>39518</v>
      </c>
      <c r="J845" s="12">
        <v>67</v>
      </c>
      <c r="K845" s="12">
        <v>2.5</v>
      </c>
      <c r="L845" s="12">
        <v>42</v>
      </c>
      <c r="M845" s="12">
        <v>7</v>
      </c>
      <c r="N845" s="12">
        <v>0</v>
      </c>
      <c r="O845" s="17">
        <v>83.16</v>
      </c>
      <c r="P845" s="17"/>
      <c r="Q845" s="17">
        <v>166.66666666666666</v>
      </c>
      <c r="R845" s="14">
        <v>20.953881666666664</v>
      </c>
      <c r="S845" s="12">
        <v>7</v>
      </c>
      <c r="T845" s="12">
        <v>-0.40000000000000568</v>
      </c>
      <c r="U845" s="14">
        <v>13.86</v>
      </c>
      <c r="V845" s="17">
        <v>-57.142857142857956</v>
      </c>
      <c r="W845" s="14">
        <v>9.9200721428571015</v>
      </c>
      <c r="X845">
        <f t="shared" si="26"/>
        <v>18.02675</v>
      </c>
      <c r="Y845">
        <f t="shared" si="27"/>
        <v>10.4576994445175</v>
      </c>
    </row>
    <row r="846" spans="1:25">
      <c r="A846" s="12" t="s">
        <v>299</v>
      </c>
      <c r="B846" s="12" t="s">
        <v>300</v>
      </c>
      <c r="C846" s="12">
        <v>14</v>
      </c>
      <c r="D846" s="12">
        <v>1.98</v>
      </c>
      <c r="E846" s="12" t="s">
        <v>329</v>
      </c>
      <c r="F846" s="13">
        <v>39476</v>
      </c>
      <c r="G846" s="12">
        <v>58</v>
      </c>
      <c r="H846" s="12">
        <v>3</v>
      </c>
      <c r="I846" s="13">
        <v>39518</v>
      </c>
      <c r="J846" s="12">
        <v>65.599999999999994</v>
      </c>
      <c r="K846" s="12">
        <v>3</v>
      </c>
      <c r="L846" s="12">
        <v>42</v>
      </c>
      <c r="M846" s="12">
        <v>7.5999999999999943</v>
      </c>
      <c r="N846" s="12">
        <v>0</v>
      </c>
      <c r="O846" s="17">
        <v>83.16</v>
      </c>
      <c r="P846" s="17"/>
      <c r="Q846" s="17">
        <v>180.95238095238082</v>
      </c>
      <c r="R846" s="14">
        <v>21.370714380952371</v>
      </c>
      <c r="S846" s="12">
        <v>7</v>
      </c>
      <c r="T846" s="12">
        <v>-1.4000000000000057</v>
      </c>
      <c r="U846" s="14">
        <v>13.86</v>
      </c>
      <c r="V846" s="17">
        <v>-200.00000000000082</v>
      </c>
      <c r="W846" s="14">
        <v>2.5897619999999595</v>
      </c>
      <c r="X846">
        <f t="shared" si="26"/>
        <v>15.952499999999999</v>
      </c>
      <c r="Y846">
        <f t="shared" si="27"/>
        <v>2.4159753394736456</v>
      </c>
    </row>
    <row r="847" spans="1:25">
      <c r="A847" s="12" t="s">
        <v>299</v>
      </c>
      <c r="B847" s="12" t="s">
        <v>300</v>
      </c>
      <c r="C847" s="12">
        <v>14</v>
      </c>
      <c r="D847" s="12">
        <v>1.98</v>
      </c>
      <c r="E847" s="12" t="s">
        <v>330</v>
      </c>
      <c r="F847" s="13">
        <v>39476</v>
      </c>
      <c r="G847" s="12">
        <v>55.2</v>
      </c>
      <c r="H847" s="12">
        <v>2.5</v>
      </c>
      <c r="I847" s="13">
        <v>39518</v>
      </c>
      <c r="J847" s="12">
        <v>60</v>
      </c>
      <c r="K847" s="12">
        <v>2.25</v>
      </c>
      <c r="L847" s="12">
        <v>42</v>
      </c>
      <c r="M847" s="12">
        <v>4.7999999999999972</v>
      </c>
      <c r="N847" s="12">
        <v>-0.25</v>
      </c>
      <c r="O847" s="17">
        <v>83.16</v>
      </c>
      <c r="P847" s="17"/>
      <c r="Q847" s="17">
        <v>114.28571428571421</v>
      </c>
      <c r="R847" s="14">
        <v>17.373869714285711</v>
      </c>
      <c r="S847" s="12">
        <v>7</v>
      </c>
      <c r="T847" s="12">
        <v>-5</v>
      </c>
      <c r="U847" s="14">
        <v>13.86</v>
      </c>
      <c r="V847" s="17">
        <v>-714.28571428571433</v>
      </c>
      <c r="W847" s="14">
        <v>-23.474701714285715</v>
      </c>
      <c r="X847">
        <f t="shared" si="26"/>
        <v>18.02675</v>
      </c>
      <c r="Y847">
        <f t="shared" si="27"/>
        <v>-24.746934451929821</v>
      </c>
    </row>
    <row r="848" spans="1:25">
      <c r="A848" s="12" t="s">
        <v>299</v>
      </c>
      <c r="B848" s="12" t="s">
        <v>300</v>
      </c>
      <c r="C848" s="12">
        <v>14</v>
      </c>
      <c r="D848" s="12">
        <v>1.98</v>
      </c>
      <c r="E848" s="12" t="s">
        <v>331</v>
      </c>
      <c r="F848" s="13">
        <v>39476</v>
      </c>
      <c r="G848" s="12">
        <v>60.6</v>
      </c>
      <c r="H848" s="12">
        <v>2</v>
      </c>
      <c r="I848" s="13">
        <v>39518</v>
      </c>
      <c r="J848" s="12">
        <v>67</v>
      </c>
      <c r="K848" s="12">
        <v>2.5</v>
      </c>
      <c r="L848" s="12">
        <v>42</v>
      </c>
      <c r="M848" s="12">
        <v>6.3999999999999986</v>
      </c>
      <c r="N848" s="12">
        <v>0.5</v>
      </c>
      <c r="O848" s="17">
        <v>83.16</v>
      </c>
      <c r="P848" s="17"/>
      <c r="Q848" s="17">
        <v>152.38095238095235</v>
      </c>
      <c r="R848" s="14">
        <v>20.300322952380949</v>
      </c>
      <c r="S848" s="12">
        <v>7</v>
      </c>
      <c r="T848" s="12">
        <v>0.20000000000000284</v>
      </c>
      <c r="U848" s="14">
        <v>13.86</v>
      </c>
      <c r="V848" s="17">
        <v>28.571428571428978</v>
      </c>
      <c r="W848" s="14">
        <v>14.196513428571448</v>
      </c>
      <c r="X848">
        <f t="shared" si="26"/>
        <v>20.100999999999999</v>
      </c>
      <c r="Y848">
        <f t="shared" si="27"/>
        <v>16.687960025012554</v>
      </c>
    </row>
    <row r="849" spans="1:25">
      <c r="A849" s="12" t="s">
        <v>299</v>
      </c>
      <c r="B849" s="12" t="s">
        <v>300</v>
      </c>
      <c r="C849" s="12">
        <v>14</v>
      </c>
      <c r="D849" s="12">
        <v>1.98</v>
      </c>
      <c r="E849" s="12" t="s">
        <v>332</v>
      </c>
      <c r="F849" s="13">
        <v>39476</v>
      </c>
      <c r="G849" s="12">
        <v>64.400000000000006</v>
      </c>
      <c r="H849" s="12">
        <v>1.75</v>
      </c>
      <c r="I849" s="13">
        <v>39518</v>
      </c>
      <c r="J849" s="12">
        <v>69.8</v>
      </c>
      <c r="K849" s="12">
        <v>2</v>
      </c>
      <c r="L849" s="12">
        <v>42</v>
      </c>
      <c r="M849" s="12">
        <v>5.3999999999999915</v>
      </c>
      <c r="N849" s="12">
        <v>0.25</v>
      </c>
      <c r="O849" s="17">
        <v>83.16</v>
      </c>
      <c r="P849" s="17"/>
      <c r="Q849" s="17">
        <v>128.57142857142836</v>
      </c>
      <c r="R849" s="14">
        <v>19.684510428571414</v>
      </c>
      <c r="S849" s="12">
        <v>7</v>
      </c>
      <c r="T849" s="12">
        <v>-1</v>
      </c>
      <c r="U849" s="14">
        <v>13.86</v>
      </c>
      <c r="V849" s="17">
        <v>-142.85714285714286</v>
      </c>
      <c r="W849" s="14">
        <v>6.303081857142856</v>
      </c>
      <c r="X849">
        <f t="shared" si="26"/>
        <v>21.138124999999999</v>
      </c>
      <c r="Y849">
        <f t="shared" si="27"/>
        <v>7.7915398936560134</v>
      </c>
    </row>
    <row r="850" spans="1:25">
      <c r="A850" s="12" t="s">
        <v>299</v>
      </c>
      <c r="B850" s="12" t="s">
        <v>300</v>
      </c>
      <c r="C850" s="12">
        <v>14</v>
      </c>
      <c r="D850" s="12">
        <v>1.98</v>
      </c>
      <c r="E850" s="12" t="s">
        <v>333</v>
      </c>
      <c r="F850" s="13">
        <v>39476</v>
      </c>
      <c r="G850" s="12">
        <v>54</v>
      </c>
      <c r="H850" s="12">
        <v>1.75</v>
      </c>
      <c r="I850" s="13">
        <v>39518</v>
      </c>
      <c r="J850" s="12">
        <v>62.4</v>
      </c>
      <c r="K850" s="12">
        <v>2</v>
      </c>
      <c r="L850" s="12">
        <v>42</v>
      </c>
      <c r="M850" s="12">
        <v>8.3999999999999986</v>
      </c>
      <c r="N850" s="12">
        <v>0.25</v>
      </c>
      <c r="O850" s="17">
        <v>83.16</v>
      </c>
      <c r="P850" s="17"/>
      <c r="Q850" s="17">
        <v>199.99999999999994</v>
      </c>
      <c r="R850" s="14">
        <v>21.701037999999997</v>
      </c>
      <c r="S850" s="12">
        <v>7</v>
      </c>
      <c r="T850" s="12">
        <v>-2.1999999999999957</v>
      </c>
      <c r="U850" s="14">
        <v>13.86</v>
      </c>
      <c r="V850" s="17">
        <v>-314.28571428571365</v>
      </c>
      <c r="W850" s="14">
        <v>-3.6532477142856834</v>
      </c>
      <c r="X850">
        <f t="shared" si="26"/>
        <v>21.138124999999999</v>
      </c>
      <c r="Y850">
        <f t="shared" si="27"/>
        <v>-4.5159536164055583</v>
      </c>
    </row>
    <row r="851" spans="1:25">
      <c r="A851" s="12" t="s">
        <v>299</v>
      </c>
      <c r="B851" s="12" t="s">
        <v>300</v>
      </c>
      <c r="C851" s="12">
        <v>14</v>
      </c>
      <c r="D851" s="12">
        <v>1.98</v>
      </c>
      <c r="E851" s="12" t="s">
        <v>334</v>
      </c>
      <c r="F851" s="13">
        <v>39476</v>
      </c>
      <c r="G851" s="12">
        <v>71</v>
      </c>
      <c r="H851" s="12">
        <v>2</v>
      </c>
      <c r="I851" s="13">
        <v>39518</v>
      </c>
      <c r="J851" s="12">
        <v>72.8</v>
      </c>
      <c r="K851" s="12">
        <v>2.25</v>
      </c>
      <c r="L851" s="12">
        <v>42</v>
      </c>
      <c r="M851" s="12">
        <v>1.7999999999999972</v>
      </c>
      <c r="N851" s="12">
        <v>0.25</v>
      </c>
      <c r="O851" s="17">
        <v>83.16</v>
      </c>
      <c r="P851" s="17"/>
      <c r="Q851" s="17">
        <v>42.85714285714279</v>
      </c>
      <c r="R851" s="14">
        <v>16.270428142857142</v>
      </c>
      <c r="S851" s="12">
        <v>7</v>
      </c>
      <c r="T851" s="12">
        <v>1.7999999999999972</v>
      </c>
      <c r="U851" s="14">
        <v>13.86</v>
      </c>
      <c r="V851" s="17">
        <v>257.14285714285671</v>
      </c>
      <c r="W851" s="14">
        <v>26.834713857142837</v>
      </c>
      <c r="X851">
        <f t="shared" si="26"/>
        <v>20.100999999999999</v>
      </c>
      <c r="Y851">
        <f t="shared" si="27"/>
        <v>31.544127674995799</v>
      </c>
    </row>
    <row r="852" spans="1:25">
      <c r="A852" s="12" t="s">
        <v>335</v>
      </c>
      <c r="B852" s="12" t="s">
        <v>478</v>
      </c>
      <c r="C852" s="12">
        <v>186</v>
      </c>
      <c r="D852" s="12">
        <v>2.4300000000000002</v>
      </c>
      <c r="E852" s="12" t="s">
        <v>479</v>
      </c>
      <c r="F852" s="13">
        <v>42045</v>
      </c>
      <c r="G852" s="12">
        <v>54.6</v>
      </c>
      <c r="H852" s="12">
        <v>3</v>
      </c>
      <c r="I852" s="13">
        <v>42087</v>
      </c>
      <c r="J852" s="12">
        <v>56</v>
      </c>
      <c r="K852" s="12">
        <v>4</v>
      </c>
      <c r="L852" s="12">
        <v>42</v>
      </c>
      <c r="M852" s="12">
        <v>1.3999999999999986</v>
      </c>
      <c r="N852" s="12">
        <v>1</v>
      </c>
      <c r="O852" s="17">
        <v>102.06</v>
      </c>
      <c r="P852" s="17"/>
      <c r="Q852" s="17">
        <v>33.3333333333333</v>
      </c>
      <c r="R852" s="14">
        <v>12.99401033333333</v>
      </c>
      <c r="S852" s="12">
        <v>14</v>
      </c>
      <c r="T852" s="12">
        <v>-0.79999999999999716</v>
      </c>
      <c r="U852" s="14">
        <v>34.020000000000003</v>
      </c>
      <c r="V852" s="17">
        <v>-57.14285714285694</v>
      </c>
      <c r="W852" s="14">
        <v>8.5335341428571532</v>
      </c>
      <c r="X852">
        <f t="shared" si="26"/>
        <v>15.952499999999999</v>
      </c>
      <c r="Y852">
        <f t="shared" si="27"/>
        <v>7.9608890885338424</v>
      </c>
    </row>
    <row r="853" spans="1:25">
      <c r="A853" s="12" t="s">
        <v>335</v>
      </c>
      <c r="B853" s="12" t="s">
        <v>478</v>
      </c>
      <c r="C853" s="12">
        <v>186</v>
      </c>
      <c r="D853" s="12">
        <v>2.4300000000000002</v>
      </c>
      <c r="E853" s="12" t="s">
        <v>480</v>
      </c>
      <c r="F853" s="13">
        <v>42045</v>
      </c>
      <c r="G853" s="12">
        <v>56.8</v>
      </c>
      <c r="H853" s="12">
        <v>3.5</v>
      </c>
      <c r="I853" s="13">
        <v>42087</v>
      </c>
      <c r="J853" s="12">
        <v>53.9</v>
      </c>
      <c r="K853" s="12">
        <v>4.5</v>
      </c>
      <c r="L853" s="12">
        <v>42</v>
      </c>
      <c r="M853" s="12">
        <v>-2.8999999999999986</v>
      </c>
      <c r="N853" s="12">
        <v>1</v>
      </c>
      <c r="O853" s="17">
        <v>102.06</v>
      </c>
      <c r="P853" s="17"/>
      <c r="Q853" s="17">
        <v>-69.047619047619008</v>
      </c>
      <c r="R853" s="14">
        <v>7.9550838809523814</v>
      </c>
      <c r="S853" s="12">
        <v>14</v>
      </c>
      <c r="T853" s="12">
        <v>-0.89999999999999858</v>
      </c>
      <c r="U853" s="14">
        <v>34.020000000000003</v>
      </c>
      <c r="V853" s="17">
        <v>-64.285714285714178</v>
      </c>
      <c r="W853" s="14">
        <v>8.1898457857142901</v>
      </c>
      <c r="X853">
        <f t="shared" si="26"/>
        <v>13.878249999999998</v>
      </c>
      <c r="Y853">
        <f t="shared" si="27"/>
        <v>6.6468261564672115</v>
      </c>
    </row>
    <row r="854" spans="1:25">
      <c r="A854" s="12" t="s">
        <v>335</v>
      </c>
      <c r="B854" s="12" t="s">
        <v>478</v>
      </c>
      <c r="C854" s="12">
        <v>186</v>
      </c>
      <c r="D854" s="12">
        <v>2.4300000000000002</v>
      </c>
      <c r="E854" s="12" t="s">
        <v>481</v>
      </c>
      <c r="F854" s="13">
        <v>42045</v>
      </c>
      <c r="G854" s="12">
        <v>54.6</v>
      </c>
      <c r="H854" s="12">
        <v>2.5</v>
      </c>
      <c r="I854" s="13">
        <v>42087</v>
      </c>
      <c r="J854" s="12">
        <v>57</v>
      </c>
      <c r="K854" s="12">
        <v>4</v>
      </c>
      <c r="L854" s="12">
        <v>42</v>
      </c>
      <c r="M854" s="12">
        <v>2.3999999999999986</v>
      </c>
      <c r="N854" s="12">
        <v>1.5</v>
      </c>
      <c r="O854" s="17">
        <v>102.06</v>
      </c>
      <c r="P854" s="17"/>
      <c r="Q854" s="17">
        <v>57.142857142857103</v>
      </c>
      <c r="R854" s="14">
        <v>14.252364857142855</v>
      </c>
      <c r="S854" s="12">
        <v>14</v>
      </c>
      <c r="T854" s="12">
        <v>-0.79999999999999716</v>
      </c>
      <c r="U854" s="14">
        <v>34.020000000000003</v>
      </c>
      <c r="V854" s="17">
        <v>-57.14285714285694</v>
      </c>
      <c r="W854" s="14">
        <v>8.6180791428571517</v>
      </c>
      <c r="X854">
        <f t="shared" si="26"/>
        <v>18.02675</v>
      </c>
      <c r="Y854">
        <f t="shared" si="27"/>
        <v>9.0851437537134583</v>
      </c>
    </row>
    <row r="855" spans="1:25">
      <c r="A855" s="12" t="s">
        <v>335</v>
      </c>
      <c r="B855" s="12" t="s">
        <v>478</v>
      </c>
      <c r="C855" s="12">
        <v>186</v>
      </c>
      <c r="D855" s="12">
        <v>2.4300000000000002</v>
      </c>
      <c r="E855" s="12" t="s">
        <v>482</v>
      </c>
      <c r="F855" s="13">
        <v>42045</v>
      </c>
      <c r="G855" s="12">
        <v>57.6</v>
      </c>
      <c r="H855" s="12">
        <v>4</v>
      </c>
      <c r="I855" s="13">
        <v>42087</v>
      </c>
      <c r="J855" s="12">
        <v>59</v>
      </c>
      <c r="K855" s="12">
        <v>3.5</v>
      </c>
      <c r="L855" s="12">
        <v>42</v>
      </c>
      <c r="M855" s="12">
        <v>1.3999999999999986</v>
      </c>
      <c r="N855" s="12">
        <v>-0.5</v>
      </c>
      <c r="O855" s="17">
        <v>102.06</v>
      </c>
      <c r="P855" s="17"/>
      <c r="Q855" s="17">
        <v>33.3333333333333</v>
      </c>
      <c r="R855" s="14">
        <v>13.50128033333333</v>
      </c>
      <c r="S855" s="12">
        <v>14</v>
      </c>
      <c r="T855" s="12">
        <v>-1</v>
      </c>
      <c r="U855" s="14">
        <v>34.020000000000003</v>
      </c>
      <c r="V855" s="17">
        <v>-71.428571428571431</v>
      </c>
      <c r="W855" s="14">
        <v>8.3365184285714289</v>
      </c>
      <c r="X855">
        <f t="shared" si="26"/>
        <v>11.803999999999998</v>
      </c>
      <c r="Y855">
        <f t="shared" si="27"/>
        <v>5.7546352942021715</v>
      </c>
    </row>
    <row r="856" spans="1:25">
      <c r="A856" s="12" t="s">
        <v>335</v>
      </c>
      <c r="B856" s="12" t="s">
        <v>478</v>
      </c>
      <c r="C856" s="12">
        <v>186</v>
      </c>
      <c r="D856" s="12">
        <v>2.4300000000000002</v>
      </c>
      <c r="E856" s="12" t="s">
        <v>483</v>
      </c>
      <c r="F856" s="13">
        <v>42045</v>
      </c>
      <c r="G856" s="12">
        <v>58.4</v>
      </c>
      <c r="H856" s="12">
        <v>2.5</v>
      </c>
      <c r="I856" s="13">
        <v>42087</v>
      </c>
      <c r="J856" s="12">
        <v>56.2</v>
      </c>
      <c r="K856" s="12">
        <v>3.5</v>
      </c>
      <c r="L856" s="12">
        <v>42</v>
      </c>
      <c r="M856" s="12">
        <v>-2.1999999999999957</v>
      </c>
      <c r="N856" s="12">
        <v>1</v>
      </c>
      <c r="O856" s="17">
        <v>102.06</v>
      </c>
      <c r="P856" s="17"/>
      <c r="Q856" s="17">
        <v>-52.38095238095228</v>
      </c>
      <c r="R856" s="14">
        <v>9.1064760476190507</v>
      </c>
      <c r="S856" s="12">
        <v>14</v>
      </c>
      <c r="T856" s="12">
        <v>-3.3999999999999986</v>
      </c>
      <c r="U856" s="14">
        <v>34.020000000000003</v>
      </c>
      <c r="V856" s="17">
        <v>-242.85714285714275</v>
      </c>
      <c r="W856" s="14">
        <v>-0.28400014285713837</v>
      </c>
      <c r="X856">
        <f t="shared" si="26"/>
        <v>18.02675</v>
      </c>
      <c r="Y856">
        <f t="shared" si="27"/>
        <v>-0.299391788026311</v>
      </c>
    </row>
    <row r="857" spans="1:25">
      <c r="A857" s="12" t="s">
        <v>335</v>
      </c>
      <c r="B857" s="12" t="s">
        <v>478</v>
      </c>
      <c r="C857" s="12">
        <v>186</v>
      </c>
      <c r="D857" s="12">
        <v>2.4300000000000002</v>
      </c>
      <c r="E857" s="12" t="s">
        <v>484</v>
      </c>
      <c r="F857" s="13">
        <v>42045</v>
      </c>
      <c r="G857" s="12">
        <v>56</v>
      </c>
      <c r="H857" s="12">
        <v>3</v>
      </c>
      <c r="I857" s="13">
        <v>42087</v>
      </c>
      <c r="J857" s="12">
        <v>53.6</v>
      </c>
      <c r="K857" s="12">
        <v>3.5</v>
      </c>
      <c r="L857" s="12">
        <v>42</v>
      </c>
      <c r="M857" s="12">
        <v>-2.3999999999999986</v>
      </c>
      <c r="N857" s="12">
        <v>0.5</v>
      </c>
      <c r="O857" s="17">
        <v>102.06</v>
      </c>
      <c r="P857" s="17"/>
      <c r="Q857" s="17">
        <v>-57.142857142857103</v>
      </c>
      <c r="R857" s="14">
        <v>8.448989142857144</v>
      </c>
      <c r="S857" s="12">
        <v>14</v>
      </c>
      <c r="T857" s="12">
        <v>-2.1000000000000014</v>
      </c>
      <c r="U857" s="14">
        <v>34.020000000000003</v>
      </c>
      <c r="V857" s="17">
        <v>-150.00000000000011</v>
      </c>
      <c r="W857" s="14">
        <v>3.871131999999994</v>
      </c>
      <c r="X857">
        <f t="shared" si="26"/>
        <v>15.952499999999999</v>
      </c>
      <c r="Y857">
        <f t="shared" si="27"/>
        <v>3.6113586684210461</v>
      </c>
    </row>
    <row r="858" spans="1:25">
      <c r="A858" s="12" t="s">
        <v>335</v>
      </c>
      <c r="B858" s="12" t="s">
        <v>478</v>
      </c>
      <c r="C858" s="12">
        <v>186</v>
      </c>
      <c r="D858" s="12">
        <v>2.4300000000000002</v>
      </c>
      <c r="E858" s="12" t="s">
        <v>485</v>
      </c>
      <c r="F858" s="13">
        <v>42045</v>
      </c>
      <c r="G858" s="12">
        <v>56.8</v>
      </c>
      <c r="H858" s="12">
        <v>3.5</v>
      </c>
      <c r="I858" s="13">
        <v>42087</v>
      </c>
      <c r="J858" s="12">
        <v>56.6</v>
      </c>
      <c r="K858" s="12">
        <v>3.5</v>
      </c>
      <c r="L858" s="12">
        <v>42</v>
      </c>
      <c r="M858" s="12">
        <v>-0.19999999999999574</v>
      </c>
      <c r="N858" s="12">
        <v>0</v>
      </c>
      <c r="O858" s="17">
        <v>102.06</v>
      </c>
      <c r="P858" s="17"/>
      <c r="Q858" s="17">
        <v>-4.7619047619046597</v>
      </c>
      <c r="R858" s="14">
        <v>11.3526410952381</v>
      </c>
      <c r="S858" s="12">
        <v>14</v>
      </c>
      <c r="T858" s="12">
        <v>1.8000000000000043</v>
      </c>
      <c r="U858" s="14">
        <v>34.020000000000003</v>
      </c>
      <c r="V858" s="17">
        <v>128.57142857142887</v>
      </c>
      <c r="W858" s="14">
        <v>17.925974428571443</v>
      </c>
      <c r="X858">
        <f t="shared" si="26"/>
        <v>13.878249999999998</v>
      </c>
      <c r="Y858">
        <f t="shared" si="27"/>
        <v>14.548605532942783</v>
      </c>
    </row>
    <row r="859" spans="1:25">
      <c r="A859" s="12" t="s">
        <v>335</v>
      </c>
      <c r="B859" s="12" t="s">
        <v>478</v>
      </c>
      <c r="C859" s="12">
        <v>186</v>
      </c>
      <c r="D859" s="12">
        <v>2.4300000000000002</v>
      </c>
      <c r="E859" s="12" t="s">
        <v>486</v>
      </c>
      <c r="F859" s="13">
        <v>42045</v>
      </c>
      <c r="G859" s="12">
        <v>57.8</v>
      </c>
      <c r="H859" s="12">
        <v>3</v>
      </c>
      <c r="I859" s="13">
        <v>42087</v>
      </c>
      <c r="J859" s="12">
        <v>57.4</v>
      </c>
      <c r="K859" s="12">
        <v>4.5</v>
      </c>
      <c r="L859" s="12">
        <v>42</v>
      </c>
      <c r="M859" s="12">
        <v>-0.39999999999999858</v>
      </c>
      <c r="N859" s="12">
        <v>1.5</v>
      </c>
      <c r="O859" s="17">
        <v>102.06</v>
      </c>
      <c r="P859" s="17"/>
      <c r="Q859" s="17">
        <v>-9.52380952380949</v>
      </c>
      <c r="R859" s="14">
        <v>11.27006019047619</v>
      </c>
      <c r="S859" s="12">
        <v>14</v>
      </c>
      <c r="T859" s="12">
        <v>-3.2000000000000028</v>
      </c>
      <c r="U859" s="14">
        <v>34.020000000000003</v>
      </c>
      <c r="V859" s="17">
        <v>-228.57142857142878</v>
      </c>
      <c r="W859" s="14">
        <v>0.47101257142855957</v>
      </c>
      <c r="X859">
        <f t="shared" si="26"/>
        <v>15.952499999999999</v>
      </c>
      <c r="Y859">
        <f t="shared" si="27"/>
        <v>0.4394051488721693</v>
      </c>
    </row>
    <row r="860" spans="1:25">
      <c r="A860" s="12" t="s">
        <v>335</v>
      </c>
      <c r="B860" s="12" t="s">
        <v>478</v>
      </c>
      <c r="C860" s="12">
        <v>186</v>
      </c>
      <c r="D860" s="12">
        <v>2.4300000000000002</v>
      </c>
      <c r="E860" s="12" t="s">
        <v>487</v>
      </c>
      <c r="F860" s="13">
        <v>42045</v>
      </c>
      <c r="G860" s="12">
        <v>52.4</v>
      </c>
      <c r="H860" s="12">
        <v>2.5</v>
      </c>
      <c r="I860" s="13">
        <v>42087</v>
      </c>
      <c r="J860" s="12">
        <v>56</v>
      </c>
      <c r="K860" s="12">
        <v>4</v>
      </c>
      <c r="L860" s="12">
        <v>42</v>
      </c>
      <c r="M860" s="12">
        <v>3.6000000000000014</v>
      </c>
      <c r="N860" s="12">
        <v>1.5</v>
      </c>
      <c r="O860" s="17">
        <v>102.06</v>
      </c>
      <c r="P860" s="17"/>
      <c r="Q860" s="17">
        <v>85.714285714285737</v>
      </c>
      <c r="R860" s="14">
        <v>15.390392285714288</v>
      </c>
      <c r="S860" s="12">
        <v>14</v>
      </c>
      <c r="T860" s="12">
        <v>-3.3999999999999986</v>
      </c>
      <c r="U860" s="14">
        <v>34.020000000000003</v>
      </c>
      <c r="V860" s="17">
        <v>-242.85714285714275</v>
      </c>
      <c r="W860" s="14">
        <v>-0.80817914285713677</v>
      </c>
      <c r="X860">
        <f t="shared" si="26"/>
        <v>18.02675</v>
      </c>
      <c r="Y860">
        <f t="shared" si="27"/>
        <v>-0.85197914406432107</v>
      </c>
    </row>
    <row r="861" spans="1:25">
      <c r="A861" s="12" t="s">
        <v>335</v>
      </c>
      <c r="B861" s="12" t="s">
        <v>478</v>
      </c>
      <c r="C861" s="12">
        <v>186</v>
      </c>
      <c r="D861" s="12">
        <v>2.4300000000000002</v>
      </c>
      <c r="E861" s="12" t="s">
        <v>488</v>
      </c>
      <c r="F861" s="13">
        <v>42045</v>
      </c>
      <c r="G861" s="12">
        <v>57.2</v>
      </c>
      <c r="H861" s="12">
        <v>3</v>
      </c>
      <c r="I861" s="13">
        <v>42087</v>
      </c>
      <c r="J861" s="12">
        <v>56.4</v>
      </c>
      <c r="K861" s="12">
        <v>3.5</v>
      </c>
      <c r="L861" s="12">
        <v>42</v>
      </c>
      <c r="M861" s="12">
        <v>-0.80000000000000426</v>
      </c>
      <c r="N861" s="12">
        <v>0.5</v>
      </c>
      <c r="O861" s="17">
        <v>102.06</v>
      </c>
      <c r="P861" s="17"/>
      <c r="Q861" s="17">
        <v>-19.04761904761915</v>
      </c>
      <c r="R861" s="14">
        <v>10.665264380952374</v>
      </c>
      <c r="S861" s="12">
        <v>14</v>
      </c>
      <c r="T861" s="12">
        <v>-3.8000000000000043</v>
      </c>
      <c r="U861" s="14">
        <v>34.020000000000003</v>
      </c>
      <c r="V861" s="17">
        <v>-271.42857142857173</v>
      </c>
      <c r="W861" s="14">
        <v>-1.7771165714285875</v>
      </c>
      <c r="X861">
        <f t="shared" si="26"/>
        <v>15.952499999999999</v>
      </c>
      <c r="Y861">
        <f t="shared" si="27"/>
        <v>-1.6578626962406162</v>
      </c>
    </row>
    <row r="862" spans="1:25">
      <c r="A862" s="12" t="s">
        <v>335</v>
      </c>
      <c r="B862" s="12" t="s">
        <v>478</v>
      </c>
      <c r="C862" s="12">
        <v>186</v>
      </c>
      <c r="D862" s="12">
        <v>2.4300000000000002</v>
      </c>
      <c r="E862" s="12" t="s">
        <v>489</v>
      </c>
      <c r="F862" s="13">
        <v>42045</v>
      </c>
      <c r="G862" s="12">
        <v>53.6</v>
      </c>
      <c r="H862" s="12">
        <v>2.5</v>
      </c>
      <c r="I862" s="13">
        <v>42087</v>
      </c>
      <c r="J862" s="12">
        <v>52.8</v>
      </c>
      <c r="K862" s="12">
        <v>4</v>
      </c>
      <c r="L862" s="12">
        <v>42</v>
      </c>
      <c r="M862" s="12">
        <v>-0.80000000000000426</v>
      </c>
      <c r="N862" s="12">
        <v>1.5</v>
      </c>
      <c r="O862" s="17">
        <v>102.06</v>
      </c>
      <c r="P862" s="17"/>
      <c r="Q862" s="17">
        <v>-19.04761904761915</v>
      </c>
      <c r="R862" s="14">
        <v>10.056540380952375</v>
      </c>
      <c r="S862" s="12">
        <v>14</v>
      </c>
      <c r="T862" s="12">
        <v>-2.8000000000000043</v>
      </c>
      <c r="U862" s="14">
        <v>34.020000000000003</v>
      </c>
      <c r="V862" s="17">
        <v>-200.00000000000031</v>
      </c>
      <c r="W862" s="14">
        <v>1.1355879999999843</v>
      </c>
      <c r="X862">
        <f t="shared" si="26"/>
        <v>18.02675</v>
      </c>
      <c r="Y862">
        <f t="shared" si="27"/>
        <v>1.1971322209941353</v>
      </c>
    </row>
    <row r="863" spans="1:25">
      <c r="A863" s="12" t="s">
        <v>335</v>
      </c>
      <c r="B863" s="12" t="s">
        <v>478</v>
      </c>
      <c r="C863" s="12">
        <v>186</v>
      </c>
      <c r="D863" s="12">
        <v>2.4300000000000002</v>
      </c>
      <c r="E863" s="12" t="s">
        <v>490</v>
      </c>
      <c r="F863" s="13">
        <v>42045</v>
      </c>
      <c r="G863" s="12">
        <v>56</v>
      </c>
      <c r="H863" s="12">
        <v>3</v>
      </c>
      <c r="I863" s="13">
        <v>42087</v>
      </c>
      <c r="J863" s="12">
        <v>54.8</v>
      </c>
      <c r="K863" s="12">
        <v>3.5</v>
      </c>
      <c r="L863" s="12">
        <v>42</v>
      </c>
      <c r="M863" s="12">
        <v>-1.2000000000000028</v>
      </c>
      <c r="N863" s="12">
        <v>0.5</v>
      </c>
      <c r="O863" s="17">
        <v>102.06</v>
      </c>
      <c r="P863" s="17"/>
      <c r="Q863" s="17">
        <v>-28.57142857142864</v>
      </c>
      <c r="R863" s="14">
        <v>9.9590145714285683</v>
      </c>
      <c r="S863" s="12">
        <v>14</v>
      </c>
      <c r="T863" s="12">
        <v>-2</v>
      </c>
      <c r="U863" s="14">
        <v>34.020000000000003</v>
      </c>
      <c r="V863" s="17">
        <v>-142.85714285714286</v>
      </c>
      <c r="W863" s="14">
        <v>4.3247288571428575</v>
      </c>
      <c r="X863">
        <f t="shared" si="26"/>
        <v>15.952499999999999</v>
      </c>
      <c r="Y863">
        <f t="shared" si="27"/>
        <v>4.0345167890977436</v>
      </c>
    </row>
    <row r="864" spans="1:25">
      <c r="A864" s="12" t="s">
        <v>335</v>
      </c>
      <c r="B864" s="12" t="s">
        <v>478</v>
      </c>
      <c r="C864" s="12">
        <v>186</v>
      </c>
      <c r="D864" s="12">
        <v>2.4300000000000002</v>
      </c>
      <c r="E864" s="12" t="s">
        <v>491</v>
      </c>
      <c r="F864" s="13">
        <v>42045</v>
      </c>
      <c r="G864" s="12">
        <v>53.8</v>
      </c>
      <c r="H864" s="12">
        <v>3.5</v>
      </c>
      <c r="I864" s="13">
        <v>42087</v>
      </c>
      <c r="J864" s="12">
        <v>53</v>
      </c>
      <c r="K864" s="12">
        <v>4</v>
      </c>
      <c r="L864" s="12">
        <v>42</v>
      </c>
      <c r="M864" s="12">
        <v>-0.79999999999999716</v>
      </c>
      <c r="N864" s="12">
        <v>0.5</v>
      </c>
      <c r="O864" s="17">
        <v>102.06</v>
      </c>
      <c r="P864" s="17"/>
      <c r="Q864" s="17">
        <v>-19.04761904761898</v>
      </c>
      <c r="R864" s="14">
        <v>10.090358380952384</v>
      </c>
      <c r="S864" s="12">
        <v>14</v>
      </c>
      <c r="T864" s="12">
        <v>-2</v>
      </c>
      <c r="U864" s="14">
        <v>34.020000000000003</v>
      </c>
      <c r="V864" s="17">
        <v>-142.85714285714286</v>
      </c>
      <c r="W864" s="14">
        <v>3.986548857142858</v>
      </c>
      <c r="X864">
        <f t="shared" si="26"/>
        <v>13.878249999999998</v>
      </c>
      <c r="Y864">
        <f t="shared" si="27"/>
        <v>3.2354574079908103</v>
      </c>
    </row>
    <row r="865" spans="1:25">
      <c r="A865" s="12" t="s">
        <v>335</v>
      </c>
      <c r="B865" s="12" t="s">
        <v>478</v>
      </c>
      <c r="C865" s="12">
        <v>186</v>
      </c>
      <c r="D865" s="12">
        <v>2.4300000000000002</v>
      </c>
      <c r="E865" s="12" t="s">
        <v>492</v>
      </c>
      <c r="F865" s="13">
        <v>42045</v>
      </c>
      <c r="G865" s="12">
        <v>52.2</v>
      </c>
      <c r="H865" s="12">
        <v>3.5</v>
      </c>
      <c r="I865" s="13">
        <v>42087</v>
      </c>
      <c r="J865" s="12">
        <v>52.5</v>
      </c>
      <c r="K865" s="12">
        <v>4</v>
      </c>
      <c r="L865" s="12">
        <v>42</v>
      </c>
      <c r="M865" s="12">
        <v>0.29999999999999716</v>
      </c>
      <c r="N865" s="12">
        <v>0.5</v>
      </c>
      <c r="O865" s="17">
        <v>102.06</v>
      </c>
      <c r="P865" s="17"/>
      <c r="Q865" s="17">
        <v>7.1428571428570748</v>
      </c>
      <c r="R865" s="14">
        <v>11.204004357142853</v>
      </c>
      <c r="S865" s="12">
        <v>14</v>
      </c>
      <c r="T865" s="12">
        <v>-2.2999999999999972</v>
      </c>
      <c r="U865" s="14">
        <v>34.020000000000003</v>
      </c>
      <c r="V865" s="17">
        <v>-164.28571428571408</v>
      </c>
      <c r="W865" s="14">
        <v>2.7525757857142956</v>
      </c>
      <c r="X865">
        <f t="shared" si="26"/>
        <v>13.878249999999998</v>
      </c>
      <c r="Y865">
        <f t="shared" si="27"/>
        <v>2.2339728010578601</v>
      </c>
    </row>
    <row r="866" spans="1:25">
      <c r="A866" s="12" t="s">
        <v>335</v>
      </c>
      <c r="B866" s="12" t="s">
        <v>478</v>
      </c>
      <c r="C866" s="12">
        <v>186</v>
      </c>
      <c r="D866" s="12">
        <v>2.4300000000000002</v>
      </c>
      <c r="E866" s="12" t="s">
        <v>493</v>
      </c>
      <c r="F866" s="13">
        <v>42045</v>
      </c>
      <c r="G866" s="12">
        <v>58.2</v>
      </c>
      <c r="H866" s="12">
        <v>3.5</v>
      </c>
      <c r="I866" s="13">
        <v>42087</v>
      </c>
      <c r="J866" s="12">
        <v>55.8</v>
      </c>
      <c r="K866" s="12">
        <v>4</v>
      </c>
      <c r="L866" s="12">
        <v>42</v>
      </c>
      <c r="M866" s="12">
        <v>-2.4000000000000057</v>
      </c>
      <c r="N866" s="12">
        <v>0.5</v>
      </c>
      <c r="O866" s="17">
        <v>102.06</v>
      </c>
      <c r="P866" s="17"/>
      <c r="Q866" s="17">
        <v>-57.142857142857281</v>
      </c>
      <c r="R866" s="14">
        <v>8.8209871428571365</v>
      </c>
      <c r="S866" s="12">
        <v>14</v>
      </c>
      <c r="T866" s="12">
        <v>-5.2000000000000028</v>
      </c>
      <c r="U866" s="14">
        <v>34.020000000000003</v>
      </c>
      <c r="V866" s="17">
        <v>-371.42857142857162</v>
      </c>
      <c r="W866" s="14">
        <v>-6.6732985714285782</v>
      </c>
      <c r="X866">
        <f t="shared" si="26"/>
        <v>13.878249999999998</v>
      </c>
      <c r="Y866">
        <f t="shared" si="27"/>
        <v>-5.416006192919804</v>
      </c>
    </row>
    <row r="867" spans="1:25">
      <c r="A867" s="12" t="s">
        <v>335</v>
      </c>
      <c r="B867" s="12" t="s">
        <v>478</v>
      </c>
      <c r="C867" s="12">
        <v>186</v>
      </c>
      <c r="D867" s="12">
        <v>2.4300000000000002</v>
      </c>
      <c r="E867" s="12" t="s">
        <v>494</v>
      </c>
      <c r="F867" s="13">
        <v>42045</v>
      </c>
      <c r="G867" s="12">
        <v>55.6</v>
      </c>
      <c r="H867" s="12">
        <v>3</v>
      </c>
      <c r="I867" s="13">
        <v>42087</v>
      </c>
      <c r="J867" s="12">
        <v>56.6</v>
      </c>
      <c r="K867" s="12">
        <v>4</v>
      </c>
      <c r="L867" s="12">
        <v>42</v>
      </c>
      <c r="M867" s="12">
        <v>1</v>
      </c>
      <c r="N867" s="12">
        <v>1</v>
      </c>
      <c r="O867" s="17">
        <v>102.06</v>
      </c>
      <c r="P867" s="17"/>
      <c r="Q867" s="17">
        <v>23.809523809523807</v>
      </c>
      <c r="R867" s="14">
        <v>12.659758523809524</v>
      </c>
      <c r="S867" s="12">
        <v>14</v>
      </c>
      <c r="T867" s="12">
        <v>-2.1999999999999957</v>
      </c>
      <c r="U867" s="14">
        <v>34.020000000000003</v>
      </c>
      <c r="V867" s="17">
        <v>-157.14285714285683</v>
      </c>
      <c r="W867" s="14">
        <v>3.7388061428571584</v>
      </c>
      <c r="X867">
        <f t="shared" si="26"/>
        <v>15.952499999999999</v>
      </c>
      <c r="Y867">
        <f t="shared" si="27"/>
        <v>3.4879125727443747</v>
      </c>
    </row>
    <row r="868" spans="1:25">
      <c r="A868" s="12" t="s">
        <v>335</v>
      </c>
      <c r="B868" s="12" t="s">
        <v>478</v>
      </c>
      <c r="C868" s="12">
        <v>186</v>
      </c>
      <c r="D868" s="12">
        <v>2.4300000000000002</v>
      </c>
      <c r="E868" s="12" t="s">
        <v>495</v>
      </c>
      <c r="F868" s="13">
        <v>42045</v>
      </c>
      <c r="G868" s="12">
        <v>56.4</v>
      </c>
      <c r="H868" s="12">
        <v>3</v>
      </c>
      <c r="I868" s="13">
        <v>42087</v>
      </c>
      <c r="J868" s="12">
        <v>57.2</v>
      </c>
      <c r="K868" s="12">
        <v>4</v>
      </c>
      <c r="L868" s="12">
        <v>42</v>
      </c>
      <c r="M868" s="12">
        <v>0.80000000000000426</v>
      </c>
      <c r="N868" s="12">
        <v>1</v>
      </c>
      <c r="O868" s="17">
        <v>102.06</v>
      </c>
      <c r="P868" s="17"/>
      <c r="Q868" s="17">
        <v>19.04761904761915</v>
      </c>
      <c r="R868" s="14">
        <v>12.543359619047623</v>
      </c>
      <c r="S868" s="12">
        <v>14</v>
      </c>
      <c r="T868" s="12">
        <v>0.40000000000000568</v>
      </c>
      <c r="U868" s="14">
        <v>34.020000000000003</v>
      </c>
      <c r="V868" s="17">
        <v>28.571428571428978</v>
      </c>
      <c r="W868" s="14">
        <v>13.012883428571447</v>
      </c>
      <c r="X868">
        <f t="shared" si="26"/>
        <v>15.952499999999999</v>
      </c>
      <c r="Y868">
        <f t="shared" si="27"/>
        <v>12.139650461654151</v>
      </c>
    </row>
    <row r="869" spans="1:25">
      <c r="A869" s="12" t="s">
        <v>335</v>
      </c>
      <c r="B869" s="12" t="s">
        <v>478</v>
      </c>
      <c r="C869" s="12">
        <v>186</v>
      </c>
      <c r="D869" s="12">
        <v>2.4300000000000002</v>
      </c>
      <c r="E869" s="12" t="s">
        <v>496</v>
      </c>
      <c r="F869" s="13">
        <v>42045</v>
      </c>
      <c r="G869" s="12">
        <v>60</v>
      </c>
      <c r="H869" s="12">
        <v>3.5</v>
      </c>
      <c r="I869" s="13">
        <v>42087</v>
      </c>
      <c r="J869" s="12">
        <v>57.2</v>
      </c>
      <c r="K869" s="12">
        <v>4</v>
      </c>
      <c r="L869" s="12">
        <v>42</v>
      </c>
      <c r="M869" s="12">
        <v>-2.7999999999999972</v>
      </c>
      <c r="N869" s="12">
        <v>0.5</v>
      </c>
      <c r="O869" s="17">
        <v>102.06</v>
      </c>
      <c r="P869" s="17"/>
      <c r="Q869" s="17">
        <v>-66.6666666666666</v>
      </c>
      <c r="R869" s="14">
        <v>8.622007333333336</v>
      </c>
      <c r="S869" s="12">
        <v>14</v>
      </c>
      <c r="T869" s="12">
        <v>-1.3999999999999986</v>
      </c>
      <c r="U869" s="14">
        <v>34.020000000000003</v>
      </c>
      <c r="V869" s="17">
        <v>-99.999999999999901</v>
      </c>
      <c r="W869" s="14">
        <v>6.9786740000000052</v>
      </c>
      <c r="X869">
        <f t="shared" si="26"/>
        <v>13.878249999999998</v>
      </c>
      <c r="Y869">
        <f t="shared" si="27"/>
        <v>5.6638469263450322</v>
      </c>
    </row>
    <row r="870" spans="1:25">
      <c r="A870" s="12" t="s">
        <v>335</v>
      </c>
      <c r="B870" s="12" t="s">
        <v>478</v>
      </c>
      <c r="C870" s="12">
        <v>186</v>
      </c>
      <c r="D870" s="12">
        <v>2.4300000000000002</v>
      </c>
      <c r="E870" s="12" t="s">
        <v>497</v>
      </c>
      <c r="F870" s="13">
        <v>42045</v>
      </c>
      <c r="G870" s="12">
        <v>55.8</v>
      </c>
      <c r="H870" s="12">
        <v>3</v>
      </c>
      <c r="I870" s="13">
        <v>42087</v>
      </c>
      <c r="J870" s="12">
        <v>58</v>
      </c>
      <c r="K870" s="12">
        <v>4</v>
      </c>
      <c r="L870" s="12">
        <v>42</v>
      </c>
      <c r="M870" s="12">
        <v>2.2000000000000028</v>
      </c>
      <c r="N870" s="12">
        <v>1</v>
      </c>
      <c r="O870" s="17">
        <v>102.06</v>
      </c>
      <c r="P870" s="17"/>
      <c r="Q870" s="17">
        <v>52.380952380952451</v>
      </c>
      <c r="R870" s="14">
        <v>14.203601952380954</v>
      </c>
      <c r="S870" s="12">
        <v>14</v>
      </c>
      <c r="T870" s="12">
        <v>-3.3999999999999986</v>
      </c>
      <c r="U870" s="14">
        <v>34.020000000000003</v>
      </c>
      <c r="V870" s="17">
        <v>-242.85714285714275</v>
      </c>
      <c r="W870" s="14">
        <v>-0.35163614285713862</v>
      </c>
      <c r="X870">
        <f t="shared" si="26"/>
        <v>15.952499999999999</v>
      </c>
      <c r="Y870">
        <f t="shared" si="27"/>
        <v>-0.32803950695488321</v>
      </c>
    </row>
    <row r="871" spans="1:25">
      <c r="A871" s="12" t="s">
        <v>335</v>
      </c>
      <c r="B871" s="12" t="s">
        <v>478</v>
      </c>
      <c r="C871" s="12">
        <v>186</v>
      </c>
      <c r="D871" s="12">
        <v>2.4300000000000002</v>
      </c>
      <c r="E871" s="12" t="s">
        <v>498</v>
      </c>
      <c r="F871" s="13">
        <v>42045</v>
      </c>
      <c r="G871" s="12">
        <v>52.8</v>
      </c>
      <c r="H871" s="12">
        <v>3.5</v>
      </c>
      <c r="I871" s="13">
        <v>42087</v>
      </c>
      <c r="J871" s="12">
        <v>52.5</v>
      </c>
      <c r="K871" s="12">
        <v>4</v>
      </c>
      <c r="L871" s="12">
        <v>42</v>
      </c>
      <c r="M871" s="12">
        <v>-0.29999999999999716</v>
      </c>
      <c r="N871" s="12">
        <v>0.5</v>
      </c>
      <c r="O871" s="17">
        <v>102.06</v>
      </c>
      <c r="P871" s="17"/>
      <c r="Q871" s="17">
        <v>-7.1428571428570748</v>
      </c>
      <c r="R871" s="14">
        <v>10.550445642857145</v>
      </c>
      <c r="S871" s="12">
        <v>14</v>
      </c>
      <c r="T871" s="12">
        <v>-3.5</v>
      </c>
      <c r="U871" s="14">
        <v>34.020000000000003</v>
      </c>
      <c r="V871" s="17">
        <v>-250</v>
      </c>
      <c r="W871" s="14">
        <v>-1.4224115000000008</v>
      </c>
      <c r="X871">
        <f t="shared" si="26"/>
        <v>13.878249999999998</v>
      </c>
      <c r="Y871">
        <f t="shared" si="27"/>
        <v>-1.1544200233845034</v>
      </c>
    </row>
    <row r="872" spans="1:25">
      <c r="A872" s="12" t="s">
        <v>335</v>
      </c>
      <c r="B872" s="12" t="s">
        <v>499</v>
      </c>
      <c r="C872" s="12">
        <v>133</v>
      </c>
      <c r="D872" s="12">
        <v>2.4700000000000002</v>
      </c>
      <c r="E872" s="12" t="s">
        <v>500</v>
      </c>
      <c r="F872" s="13">
        <v>42045</v>
      </c>
      <c r="G872" s="12">
        <v>58.4</v>
      </c>
      <c r="H872" s="12">
        <v>2.5</v>
      </c>
      <c r="I872" s="13">
        <v>42087</v>
      </c>
      <c r="J872" s="12">
        <v>57.6</v>
      </c>
      <c r="K872" s="12">
        <v>3.5</v>
      </c>
      <c r="L872" s="12">
        <v>42</v>
      </c>
      <c r="M872" s="12">
        <v>-0.79999999999999716</v>
      </c>
      <c r="N872" s="12">
        <v>1</v>
      </c>
      <c r="O872" s="17">
        <v>103.74000000000001</v>
      </c>
      <c r="P872" s="17"/>
      <c r="Q872" s="17">
        <v>-19.04761904761898</v>
      </c>
      <c r="R872" s="14">
        <v>10.868172380952384</v>
      </c>
      <c r="S872" s="12">
        <v>14</v>
      </c>
      <c r="T872" s="12">
        <v>-4.6000000000000014</v>
      </c>
      <c r="U872" s="14">
        <v>34.580000000000005</v>
      </c>
      <c r="V872" s="17">
        <v>-328.57142857142867</v>
      </c>
      <c r="W872" s="14">
        <v>-4.3913514285714346</v>
      </c>
      <c r="X872">
        <f t="shared" si="26"/>
        <v>18.02675</v>
      </c>
      <c r="Y872">
        <f t="shared" si="27"/>
        <v>-4.629344699707608</v>
      </c>
    </row>
    <row r="873" spans="1:25">
      <c r="A873" s="12" t="s">
        <v>335</v>
      </c>
      <c r="B873" s="12" t="s">
        <v>499</v>
      </c>
      <c r="C873" s="12">
        <v>133</v>
      </c>
      <c r="D873" s="12">
        <v>2.4700000000000002</v>
      </c>
      <c r="E873" s="12" t="s">
        <v>501</v>
      </c>
      <c r="F873" s="13">
        <v>42045</v>
      </c>
      <c r="G873" s="12">
        <v>52.6</v>
      </c>
      <c r="H873" s="12">
        <v>2.5</v>
      </c>
      <c r="I873" s="13">
        <v>42087</v>
      </c>
      <c r="J873" s="12">
        <v>51.8</v>
      </c>
      <c r="K873" s="12">
        <v>3</v>
      </c>
      <c r="L873" s="12">
        <v>42</v>
      </c>
      <c r="M873" s="12">
        <v>-0.80000000000000426</v>
      </c>
      <c r="N873" s="12">
        <v>0.5</v>
      </c>
      <c r="O873" s="17">
        <v>103.74000000000001</v>
      </c>
      <c r="P873" s="17"/>
      <c r="Q873" s="17">
        <v>-19.04761904761915</v>
      </c>
      <c r="R873" s="14">
        <v>9.8874503809523766</v>
      </c>
      <c r="S873" s="12">
        <v>14</v>
      </c>
      <c r="T873" s="12">
        <v>-3.8000000000000043</v>
      </c>
      <c r="U873" s="14">
        <v>34.580000000000005</v>
      </c>
      <c r="V873" s="17">
        <v>-271.42857142857173</v>
      </c>
      <c r="W873" s="14">
        <v>-2.554930571428585</v>
      </c>
      <c r="X873">
        <f t="shared" si="26"/>
        <v>18.02675</v>
      </c>
      <c r="Y873">
        <f t="shared" si="27"/>
        <v>-2.6933973496198971</v>
      </c>
    </row>
    <row r="874" spans="1:25">
      <c r="A874" s="12" t="s">
        <v>335</v>
      </c>
      <c r="B874" s="12" t="s">
        <v>499</v>
      </c>
      <c r="C874" s="12">
        <v>133</v>
      </c>
      <c r="D874" s="12">
        <v>2.4700000000000002</v>
      </c>
      <c r="E874" s="12" t="s">
        <v>502</v>
      </c>
      <c r="F874" s="13">
        <v>42045</v>
      </c>
      <c r="G874" s="12">
        <v>53.6</v>
      </c>
      <c r="H874" s="12">
        <v>3</v>
      </c>
      <c r="I874" s="13">
        <v>42087</v>
      </c>
      <c r="J874" s="12">
        <v>51.6</v>
      </c>
      <c r="K874" s="12">
        <v>3</v>
      </c>
      <c r="L874" s="12">
        <v>42</v>
      </c>
      <c r="M874" s="12">
        <v>-2</v>
      </c>
      <c r="N874" s="12">
        <v>0</v>
      </c>
      <c r="O874" s="17">
        <v>103.74000000000001</v>
      </c>
      <c r="P874" s="17"/>
      <c r="Q874" s="17">
        <v>-47.619047619047613</v>
      </c>
      <c r="R874" s="14">
        <v>8.5465149523809529</v>
      </c>
      <c r="S874" s="12">
        <v>14</v>
      </c>
      <c r="T874" s="12">
        <v>-2</v>
      </c>
      <c r="U874" s="14">
        <v>34.580000000000005</v>
      </c>
      <c r="V874" s="17">
        <v>-142.85714285714286</v>
      </c>
      <c r="W874" s="14">
        <v>3.8512768571428575</v>
      </c>
      <c r="X874">
        <f t="shared" si="26"/>
        <v>15.952499999999999</v>
      </c>
      <c r="Y874">
        <f t="shared" si="27"/>
        <v>3.5928359101503755</v>
      </c>
    </row>
    <row r="875" spans="1:25">
      <c r="A875" s="12" t="s">
        <v>335</v>
      </c>
      <c r="B875" s="12" t="s">
        <v>499</v>
      </c>
      <c r="C875" s="12">
        <v>133</v>
      </c>
      <c r="D875" s="12">
        <v>2.4700000000000002</v>
      </c>
      <c r="E875" s="12" t="s">
        <v>503</v>
      </c>
      <c r="F875" s="13">
        <v>42045</v>
      </c>
      <c r="G875" s="12">
        <v>55.6</v>
      </c>
      <c r="H875" s="12">
        <v>3</v>
      </c>
      <c r="I875" s="13">
        <v>42087</v>
      </c>
      <c r="J875" s="12">
        <v>59.4</v>
      </c>
      <c r="K875" s="12">
        <v>3.5</v>
      </c>
      <c r="L875" s="12">
        <v>42</v>
      </c>
      <c r="M875" s="12">
        <v>3.7999999999999972</v>
      </c>
      <c r="N875" s="12">
        <v>0.5</v>
      </c>
      <c r="O875" s="17">
        <v>103.74000000000001</v>
      </c>
      <c r="P875" s="17"/>
      <c r="Q875" s="17">
        <v>90.476190476190411</v>
      </c>
      <c r="R875" s="14">
        <v>16.183151190476185</v>
      </c>
      <c r="S875" s="12">
        <v>14</v>
      </c>
      <c r="T875" s="12">
        <v>-1.8000000000000043</v>
      </c>
      <c r="U875" s="14">
        <v>34.580000000000005</v>
      </c>
      <c r="V875" s="17">
        <v>-128.57142857142887</v>
      </c>
      <c r="W875" s="14">
        <v>5.3841035714285566</v>
      </c>
      <c r="X875">
        <f t="shared" si="26"/>
        <v>15.952499999999999</v>
      </c>
      <c r="Y875">
        <f t="shared" si="27"/>
        <v>5.0228018843984819</v>
      </c>
    </row>
    <row r="876" spans="1:25">
      <c r="A876" s="12" t="s">
        <v>335</v>
      </c>
      <c r="B876" s="12" t="s">
        <v>499</v>
      </c>
      <c r="C876" s="12">
        <v>133</v>
      </c>
      <c r="D876" s="12">
        <v>2.4700000000000002</v>
      </c>
      <c r="E876" s="12" t="s">
        <v>504</v>
      </c>
      <c r="F876" s="13">
        <v>42045</v>
      </c>
      <c r="G876" s="12">
        <v>59.8</v>
      </c>
      <c r="H876" s="12">
        <v>4</v>
      </c>
      <c r="I876" s="13">
        <v>42087</v>
      </c>
      <c r="J876" s="12">
        <v>62.6</v>
      </c>
      <c r="K876" s="12">
        <v>3</v>
      </c>
      <c r="L876" s="12">
        <v>42</v>
      </c>
      <c r="M876" s="12">
        <v>2.8000000000000043</v>
      </c>
      <c r="N876" s="12">
        <v>-1</v>
      </c>
      <c r="O876" s="17">
        <v>103.74000000000001</v>
      </c>
      <c r="P876" s="17"/>
      <c r="Q876" s="17">
        <v>66.666666666666757</v>
      </c>
      <c r="R876" s="14">
        <v>15.63497466666667</v>
      </c>
      <c r="S876" s="12">
        <v>14</v>
      </c>
      <c r="T876" s="12">
        <v>-1.8000000000000043</v>
      </c>
      <c r="U876" s="14">
        <v>34.580000000000005</v>
      </c>
      <c r="V876" s="17">
        <v>-128.57142857142887</v>
      </c>
      <c r="W876" s="14">
        <v>6.0097365714285571</v>
      </c>
      <c r="X876">
        <f t="shared" si="26"/>
        <v>11.803999999999998</v>
      </c>
      <c r="Y876">
        <f t="shared" si="27"/>
        <v>4.148475467201326</v>
      </c>
    </row>
    <row r="877" spans="1:25">
      <c r="A877" s="12" t="s">
        <v>335</v>
      </c>
      <c r="B877" s="12" t="s">
        <v>499</v>
      </c>
      <c r="C877" s="12">
        <v>133</v>
      </c>
      <c r="D877" s="12">
        <v>2.4700000000000002</v>
      </c>
      <c r="E877" s="12" t="s">
        <v>505</v>
      </c>
      <c r="F877" s="13">
        <v>42045</v>
      </c>
      <c r="G877" s="12">
        <v>53.8</v>
      </c>
      <c r="H877" s="12">
        <v>2.5</v>
      </c>
      <c r="I877" s="13">
        <v>42087</v>
      </c>
      <c r="J877" s="12">
        <v>56.8</v>
      </c>
      <c r="K877" s="12">
        <v>3</v>
      </c>
      <c r="L877" s="12">
        <v>42</v>
      </c>
      <c r="M877" s="12">
        <v>3</v>
      </c>
      <c r="N877" s="12">
        <v>0.5</v>
      </c>
      <c r="O877" s="17">
        <v>103.74000000000001</v>
      </c>
      <c r="P877" s="17"/>
      <c r="Q877" s="17">
        <v>71.428571428571431</v>
      </c>
      <c r="R877" s="14">
        <v>14.87210557142857</v>
      </c>
      <c r="S877" s="12">
        <v>14</v>
      </c>
      <c r="T877" s="12">
        <v>-3.6000000000000014</v>
      </c>
      <c r="U877" s="14">
        <v>34.580000000000005</v>
      </c>
      <c r="V877" s="17">
        <v>-257.14285714285722</v>
      </c>
      <c r="W877" s="14">
        <v>-1.3264658571428622</v>
      </c>
      <c r="X877">
        <f t="shared" si="26"/>
        <v>18.02675</v>
      </c>
      <c r="Y877">
        <f t="shared" si="27"/>
        <v>-1.3983548766228122</v>
      </c>
    </row>
    <row r="878" spans="1:25">
      <c r="A878" s="12" t="s">
        <v>335</v>
      </c>
      <c r="B878" s="12" t="s">
        <v>499</v>
      </c>
      <c r="C878" s="12">
        <v>133</v>
      </c>
      <c r="D878" s="12">
        <v>2.4700000000000002</v>
      </c>
      <c r="E878" s="12" t="s">
        <v>506</v>
      </c>
      <c r="F878" s="13">
        <v>42045</v>
      </c>
      <c r="G878" s="12">
        <v>55.4</v>
      </c>
      <c r="H878" s="12">
        <v>3.5</v>
      </c>
      <c r="I878" s="13">
        <v>42087</v>
      </c>
      <c r="J878" s="12">
        <v>58.2</v>
      </c>
      <c r="K878" s="12">
        <v>3.5</v>
      </c>
      <c r="L878" s="12">
        <v>42</v>
      </c>
      <c r="M878" s="12">
        <v>2.8000000000000043</v>
      </c>
      <c r="N878" s="12">
        <v>0</v>
      </c>
      <c r="O878" s="17">
        <v>103.74000000000001</v>
      </c>
      <c r="P878" s="17"/>
      <c r="Q878" s="17">
        <v>66.666666666666757</v>
      </c>
      <c r="R878" s="14">
        <v>14.890978666666669</v>
      </c>
      <c r="S878" s="12">
        <v>14</v>
      </c>
      <c r="T878" s="12">
        <v>0.20000000000000284</v>
      </c>
      <c r="U878" s="14">
        <v>34.580000000000005</v>
      </c>
      <c r="V878" s="17">
        <v>14.285714285714489</v>
      </c>
      <c r="W878" s="14">
        <v>12.308597714285723</v>
      </c>
      <c r="X878">
        <f t="shared" si="26"/>
        <v>13.878249999999998</v>
      </c>
      <c r="Y878">
        <f t="shared" si="27"/>
        <v>9.9895787268003371</v>
      </c>
    </row>
    <row r="879" spans="1:25">
      <c r="A879" s="12" t="s">
        <v>335</v>
      </c>
      <c r="B879" s="12" t="s">
        <v>499</v>
      </c>
      <c r="C879" s="12">
        <v>133</v>
      </c>
      <c r="D879" s="12">
        <v>2.4700000000000002</v>
      </c>
      <c r="E879" s="12" t="s">
        <v>507</v>
      </c>
      <c r="F879" s="13">
        <v>42045</v>
      </c>
      <c r="G879" s="12">
        <v>57</v>
      </c>
      <c r="H879" s="12">
        <v>3.5</v>
      </c>
      <c r="I879" s="13">
        <v>42087</v>
      </c>
      <c r="J879" s="12">
        <v>54.8</v>
      </c>
      <c r="K879" s="12">
        <v>4</v>
      </c>
      <c r="L879" s="12">
        <v>42</v>
      </c>
      <c r="M879" s="12">
        <v>-2.2000000000000028</v>
      </c>
      <c r="N879" s="12">
        <v>0.5</v>
      </c>
      <c r="O879" s="17">
        <v>103.74000000000001</v>
      </c>
      <c r="P879" s="17"/>
      <c r="Q879" s="17">
        <v>-52.380952380952451</v>
      </c>
      <c r="R879" s="14">
        <v>8.8697500476190445</v>
      </c>
      <c r="S879" s="12">
        <v>14</v>
      </c>
      <c r="T879" s="12">
        <v>-2</v>
      </c>
      <c r="U879" s="14">
        <v>34.580000000000005</v>
      </c>
      <c r="V879" s="17">
        <v>-142.85714285714286</v>
      </c>
      <c r="W879" s="14">
        <v>4.4092738571428578</v>
      </c>
      <c r="X879">
        <f t="shared" si="26"/>
        <v>13.878249999999998</v>
      </c>
      <c r="Y879">
        <f t="shared" si="27"/>
        <v>3.5785382987071843</v>
      </c>
    </row>
    <row r="880" spans="1:25">
      <c r="A880" s="12" t="s">
        <v>335</v>
      </c>
      <c r="B880" s="12" t="s">
        <v>499</v>
      </c>
      <c r="C880" s="12">
        <v>133</v>
      </c>
      <c r="D880" s="12">
        <v>2.4700000000000002</v>
      </c>
      <c r="E880" s="12" t="s">
        <v>508</v>
      </c>
      <c r="F880" s="13">
        <v>42045</v>
      </c>
      <c r="G880" s="12">
        <v>58</v>
      </c>
      <c r="H880" s="12">
        <v>2.5</v>
      </c>
      <c r="I880" s="13">
        <v>42087</v>
      </c>
      <c r="J880" s="12">
        <v>59.2</v>
      </c>
      <c r="K880" s="12">
        <v>3.5</v>
      </c>
      <c r="L880" s="12">
        <v>42</v>
      </c>
      <c r="M880" s="12">
        <v>1.2000000000000028</v>
      </c>
      <c r="N880" s="12">
        <v>1</v>
      </c>
      <c r="O880" s="17">
        <v>103.74000000000001</v>
      </c>
      <c r="P880" s="17"/>
      <c r="Q880" s="17">
        <v>28.57142857142864</v>
      </c>
      <c r="R880" s="14">
        <v>13.317245428571432</v>
      </c>
      <c r="S880" s="12">
        <v>14</v>
      </c>
      <c r="T880" s="12">
        <v>-1.7999999999999972</v>
      </c>
      <c r="U880" s="14">
        <v>34.580000000000005</v>
      </c>
      <c r="V880" s="17">
        <v>-128.57142857142836</v>
      </c>
      <c r="W880" s="14">
        <v>5.5701025714285812</v>
      </c>
      <c r="X880">
        <f t="shared" si="26"/>
        <v>18.02675</v>
      </c>
      <c r="Y880">
        <f t="shared" si="27"/>
        <v>5.8719793292105358</v>
      </c>
    </row>
    <row r="881" spans="1:25">
      <c r="A881" s="12" t="s">
        <v>335</v>
      </c>
      <c r="B881" s="12" t="s">
        <v>499</v>
      </c>
      <c r="C881" s="12">
        <v>133</v>
      </c>
      <c r="D881" s="12">
        <v>2.4700000000000002</v>
      </c>
      <c r="E881" s="12" t="s">
        <v>509</v>
      </c>
      <c r="F881" s="13">
        <v>42045</v>
      </c>
      <c r="G881" s="12">
        <v>57.6</v>
      </c>
      <c r="H881" s="12">
        <v>3</v>
      </c>
      <c r="I881" s="13">
        <v>42087</v>
      </c>
      <c r="J881" s="12">
        <v>58</v>
      </c>
      <c r="K881" s="12">
        <v>4</v>
      </c>
      <c r="L881" s="12">
        <v>42</v>
      </c>
      <c r="M881" s="12">
        <v>0.39999999999999858</v>
      </c>
      <c r="N881" s="12">
        <v>1</v>
      </c>
      <c r="O881" s="17">
        <v>103.74000000000001</v>
      </c>
      <c r="P881" s="17"/>
      <c r="Q881" s="17">
        <v>9.52380952380949</v>
      </c>
      <c r="R881" s="14">
        <v>12.242925809523808</v>
      </c>
      <c r="S881" s="12">
        <v>14</v>
      </c>
      <c r="T881" s="12">
        <v>-2.2000000000000028</v>
      </c>
      <c r="U881" s="14">
        <v>34.580000000000005</v>
      </c>
      <c r="V881" s="17">
        <v>-157.14285714285734</v>
      </c>
      <c r="W881" s="14">
        <v>4.0262591428571328</v>
      </c>
      <c r="X881">
        <f t="shared" si="26"/>
        <v>15.952499999999999</v>
      </c>
      <c r="Y881">
        <f t="shared" si="27"/>
        <v>3.7560759635338248</v>
      </c>
    </row>
    <row r="882" spans="1:25">
      <c r="A882" s="12" t="s">
        <v>335</v>
      </c>
      <c r="B882" s="12" t="s">
        <v>499</v>
      </c>
      <c r="C882" s="12">
        <v>133</v>
      </c>
      <c r="D882" s="12">
        <v>2.4700000000000002</v>
      </c>
      <c r="E882" s="12" t="s">
        <v>510</v>
      </c>
      <c r="F882" s="13">
        <v>42045</v>
      </c>
      <c r="G882" s="12">
        <v>55.4</v>
      </c>
      <c r="H882" s="12">
        <v>3</v>
      </c>
      <c r="I882" s="13">
        <v>42087</v>
      </c>
      <c r="J882" s="12">
        <v>57</v>
      </c>
      <c r="K882" s="12">
        <v>3.5</v>
      </c>
      <c r="L882" s="12">
        <v>42</v>
      </c>
      <c r="M882" s="12">
        <v>1.6000000000000014</v>
      </c>
      <c r="N882" s="12">
        <v>0.5</v>
      </c>
      <c r="O882" s="17">
        <v>103.74000000000001</v>
      </c>
      <c r="P882" s="17"/>
      <c r="Q882" s="17">
        <v>38.095238095238123</v>
      </c>
      <c r="R882" s="14">
        <v>13.380953238095239</v>
      </c>
      <c r="S882" s="12">
        <v>14</v>
      </c>
      <c r="T882" s="12">
        <v>0.20000000000000284</v>
      </c>
      <c r="U882" s="14">
        <v>34.580000000000005</v>
      </c>
      <c r="V882" s="17">
        <v>14.285714285714489</v>
      </c>
      <c r="W882" s="14">
        <v>12.207143714285724</v>
      </c>
      <c r="X882">
        <f t="shared" si="26"/>
        <v>15.952499999999999</v>
      </c>
      <c r="Y882">
        <f t="shared" si="27"/>
        <v>11.387980122932339</v>
      </c>
    </row>
    <row r="883" spans="1:25">
      <c r="A883" s="12" t="s">
        <v>335</v>
      </c>
      <c r="B883" s="12" t="s">
        <v>499</v>
      </c>
      <c r="C883" s="12">
        <v>133</v>
      </c>
      <c r="D883" s="12">
        <v>2.4700000000000002</v>
      </c>
      <c r="E883" s="12" t="s">
        <v>511</v>
      </c>
      <c r="F883" s="13">
        <v>42045</v>
      </c>
      <c r="G883" s="12">
        <v>58</v>
      </c>
      <c r="H883" s="12">
        <v>3</v>
      </c>
      <c r="I883" s="13">
        <v>42087</v>
      </c>
      <c r="J883" s="12">
        <v>53.8</v>
      </c>
      <c r="K883" s="12">
        <v>3.5</v>
      </c>
      <c r="L883" s="12">
        <v>42</v>
      </c>
      <c r="M883" s="12">
        <v>-4.2000000000000028</v>
      </c>
      <c r="N883" s="12">
        <v>0.5</v>
      </c>
      <c r="O883" s="17">
        <v>103.74000000000001</v>
      </c>
      <c r="P883" s="17"/>
      <c r="Q883" s="17">
        <v>-100.00000000000006</v>
      </c>
      <c r="R883" s="14">
        <v>6.5221309999999972</v>
      </c>
      <c r="S883" s="12">
        <v>14</v>
      </c>
      <c r="T883" s="12">
        <v>-4.8000000000000043</v>
      </c>
      <c r="U883" s="14">
        <v>34.580000000000005</v>
      </c>
      <c r="V883" s="17">
        <v>-342.85714285714312</v>
      </c>
      <c r="W883" s="14">
        <v>-5.450726142857155</v>
      </c>
      <c r="X883">
        <f t="shared" si="26"/>
        <v>15.952499999999999</v>
      </c>
      <c r="Y883">
        <f t="shared" si="27"/>
        <v>-5.0849537306391088</v>
      </c>
    </row>
    <row r="884" spans="1:25">
      <c r="A884" s="12" t="s">
        <v>335</v>
      </c>
      <c r="B884" s="12" t="s">
        <v>499</v>
      </c>
      <c r="C884" s="12">
        <v>133</v>
      </c>
      <c r="D884" s="12">
        <v>2.4700000000000002</v>
      </c>
      <c r="E884" s="12" t="s">
        <v>512</v>
      </c>
      <c r="F884" s="13">
        <v>42045</v>
      </c>
      <c r="G884" s="12">
        <v>52.2</v>
      </c>
      <c r="H884" s="12">
        <v>2.5</v>
      </c>
      <c r="I884" s="13">
        <v>42087</v>
      </c>
      <c r="J884" s="12">
        <v>60</v>
      </c>
      <c r="K884" s="12">
        <v>2.5</v>
      </c>
      <c r="L884" s="12">
        <v>42</v>
      </c>
      <c r="M884" s="12">
        <v>7.7999999999999972</v>
      </c>
      <c r="N884" s="12">
        <v>0</v>
      </c>
      <c r="O884" s="17">
        <v>103.74000000000001</v>
      </c>
      <c r="P884" s="17"/>
      <c r="Q884" s="17">
        <v>185.71428571428564</v>
      </c>
      <c r="R884" s="14">
        <v>20.64166328571428</v>
      </c>
      <c r="S884" s="12">
        <v>14</v>
      </c>
      <c r="T884" s="12">
        <v>-0.79999999999999716</v>
      </c>
      <c r="U884" s="14">
        <v>34.580000000000005</v>
      </c>
      <c r="V884" s="17">
        <v>-57.14285714285694</v>
      </c>
      <c r="W884" s="14">
        <v>8.6688061428571537</v>
      </c>
      <c r="X884">
        <f t="shared" si="26"/>
        <v>18.02675</v>
      </c>
      <c r="Y884">
        <f t="shared" si="27"/>
        <v>9.1386199494590752</v>
      </c>
    </row>
    <row r="885" spans="1:25">
      <c r="A885" s="12" t="s">
        <v>335</v>
      </c>
      <c r="B885" s="12" t="s">
        <v>499</v>
      </c>
      <c r="C885" s="12">
        <v>133</v>
      </c>
      <c r="D885" s="12">
        <v>2.4700000000000002</v>
      </c>
      <c r="E885" s="12" t="s">
        <v>513</v>
      </c>
      <c r="F885" s="13">
        <v>42045</v>
      </c>
      <c r="G885" s="12">
        <v>53.6</v>
      </c>
      <c r="H885" s="12">
        <v>3</v>
      </c>
      <c r="I885" s="13">
        <v>42087</v>
      </c>
      <c r="J885" s="12">
        <v>52.8</v>
      </c>
      <c r="K885" s="12">
        <v>3.5</v>
      </c>
      <c r="L885" s="12">
        <v>42</v>
      </c>
      <c r="M885" s="12">
        <v>-0.80000000000000426</v>
      </c>
      <c r="N885" s="12">
        <v>0.5</v>
      </c>
      <c r="O885" s="17">
        <v>103.74000000000001</v>
      </c>
      <c r="P885" s="17"/>
      <c r="Q885" s="17">
        <v>-19.04761904761915</v>
      </c>
      <c r="R885" s="14">
        <v>10.056540380952375</v>
      </c>
      <c r="S885" s="12">
        <v>14</v>
      </c>
      <c r="T885" s="12">
        <v>-7.2000000000000028</v>
      </c>
      <c r="U885" s="14">
        <v>34.580000000000005</v>
      </c>
      <c r="V885" s="17">
        <v>-514.28571428571445</v>
      </c>
      <c r="W885" s="14">
        <v>-14.358697714285725</v>
      </c>
      <c r="X885">
        <f t="shared" si="26"/>
        <v>15.952499999999999</v>
      </c>
      <c r="Y885">
        <f t="shared" si="27"/>
        <v>-13.395153525563918</v>
      </c>
    </row>
    <row r="886" spans="1:25">
      <c r="A886" s="12" t="s">
        <v>335</v>
      </c>
      <c r="B886" s="12" t="s">
        <v>499</v>
      </c>
      <c r="C886" s="12">
        <v>133</v>
      </c>
      <c r="D886" s="12">
        <v>2.4700000000000002</v>
      </c>
      <c r="E886" s="12" t="s">
        <v>514</v>
      </c>
      <c r="F886" s="13">
        <v>42045</v>
      </c>
      <c r="G886" s="12">
        <v>60</v>
      </c>
      <c r="H886" s="12">
        <v>3.5</v>
      </c>
      <c r="I886" s="13">
        <v>42087</v>
      </c>
      <c r="J886" s="12">
        <v>62</v>
      </c>
      <c r="K886" s="12">
        <v>4</v>
      </c>
      <c r="L886" s="12">
        <v>42</v>
      </c>
      <c r="M886" s="12">
        <v>2</v>
      </c>
      <c r="N886" s="12">
        <v>0.5</v>
      </c>
      <c r="O886" s="17">
        <v>103.74000000000001</v>
      </c>
      <c r="P886" s="17"/>
      <c r="Q886" s="17">
        <v>47.619047619047613</v>
      </c>
      <c r="R886" s="14">
        <v>14.662109047619047</v>
      </c>
      <c r="S886" s="12">
        <v>14</v>
      </c>
      <c r="T886" s="12">
        <v>-4</v>
      </c>
      <c r="U886" s="14">
        <v>34.580000000000005</v>
      </c>
      <c r="V886" s="17">
        <v>-285.71428571428572</v>
      </c>
      <c r="W886" s="14">
        <v>-1.7712242857142844</v>
      </c>
      <c r="X886">
        <f t="shared" si="26"/>
        <v>13.878249999999998</v>
      </c>
      <c r="Y886">
        <f t="shared" si="27"/>
        <v>-1.4375142364452784</v>
      </c>
    </row>
    <row r="887" spans="1:25">
      <c r="A887" s="12" t="s">
        <v>335</v>
      </c>
      <c r="B887" s="12" t="s">
        <v>499</v>
      </c>
      <c r="C887" s="12">
        <v>133</v>
      </c>
      <c r="D887" s="12">
        <v>2.4700000000000002</v>
      </c>
      <c r="E887" s="12" t="s">
        <v>515</v>
      </c>
      <c r="F887" s="13">
        <v>42045</v>
      </c>
      <c r="G887" s="12">
        <v>52.6</v>
      </c>
      <c r="H887" s="12">
        <v>2.5</v>
      </c>
      <c r="I887" s="13">
        <v>42087</v>
      </c>
      <c r="J887" s="12">
        <v>55.2</v>
      </c>
      <c r="K887" s="12">
        <v>3.5</v>
      </c>
      <c r="L887" s="12">
        <v>42</v>
      </c>
      <c r="M887" s="12">
        <v>2.6000000000000014</v>
      </c>
      <c r="N887" s="12">
        <v>1</v>
      </c>
      <c r="O887" s="17">
        <v>103.74000000000001</v>
      </c>
      <c r="P887" s="17"/>
      <c r="Q887" s="17">
        <v>61.904761904761941</v>
      </c>
      <c r="R887" s="14">
        <v>14.165855761904764</v>
      </c>
      <c r="S887" s="12">
        <v>14</v>
      </c>
      <c r="T887" s="12">
        <v>0.60000000000000142</v>
      </c>
      <c r="U887" s="14">
        <v>34.580000000000005</v>
      </c>
      <c r="V887" s="17">
        <v>42.857142857142961</v>
      </c>
      <c r="W887" s="14">
        <v>13.226808142857148</v>
      </c>
      <c r="X887">
        <f t="shared" si="26"/>
        <v>18.02675</v>
      </c>
      <c r="Y887">
        <f t="shared" si="27"/>
        <v>13.943646999371349</v>
      </c>
    </row>
    <row r="888" spans="1:25">
      <c r="A888" s="12" t="s">
        <v>335</v>
      </c>
      <c r="B888" s="12" t="s">
        <v>499</v>
      </c>
      <c r="C888" s="12">
        <v>133</v>
      </c>
      <c r="D888" s="12">
        <v>2.4700000000000002</v>
      </c>
      <c r="E888" s="12" t="s">
        <v>516</v>
      </c>
      <c r="F888" s="13">
        <v>42045</v>
      </c>
      <c r="G888" s="12">
        <v>57.2</v>
      </c>
      <c r="H888" s="12">
        <v>3</v>
      </c>
      <c r="I888" s="13">
        <v>42087</v>
      </c>
      <c r="J888" s="12">
        <v>58</v>
      </c>
      <c r="K888" s="12">
        <v>3.5</v>
      </c>
      <c r="L888" s="12">
        <v>42</v>
      </c>
      <c r="M888" s="12">
        <v>0.79999999999999716</v>
      </c>
      <c r="N888" s="12">
        <v>0.5</v>
      </c>
      <c r="O888" s="17">
        <v>103.74000000000001</v>
      </c>
      <c r="P888" s="17"/>
      <c r="Q888" s="17">
        <v>19.04761904761898</v>
      </c>
      <c r="R888" s="14">
        <v>12.678631619047614</v>
      </c>
      <c r="S888" s="12">
        <v>14</v>
      </c>
      <c r="T888" s="12">
        <v>-4</v>
      </c>
      <c r="U888" s="14">
        <v>34.580000000000005</v>
      </c>
      <c r="V888" s="17">
        <v>-285.71428571428572</v>
      </c>
      <c r="W888" s="14">
        <v>-2.3461302857142847</v>
      </c>
      <c r="X888">
        <f t="shared" si="26"/>
        <v>15.952499999999999</v>
      </c>
      <c r="Y888">
        <f t="shared" si="27"/>
        <v>-2.1886925954887206</v>
      </c>
    </row>
    <row r="889" spans="1:25">
      <c r="A889" s="12" t="s">
        <v>335</v>
      </c>
      <c r="B889" s="12" t="s">
        <v>499</v>
      </c>
      <c r="C889" s="12">
        <v>133</v>
      </c>
      <c r="D889" s="12">
        <v>2.4700000000000002</v>
      </c>
      <c r="E889" s="12" t="s">
        <v>517</v>
      </c>
      <c r="F889" s="13">
        <v>42045</v>
      </c>
      <c r="G889" s="12">
        <v>57.2</v>
      </c>
      <c r="H889" s="12">
        <v>3.5</v>
      </c>
      <c r="I889" s="13">
        <v>42087</v>
      </c>
      <c r="J889" s="12">
        <v>54.2</v>
      </c>
      <c r="K889" s="12">
        <v>3</v>
      </c>
      <c r="L889" s="12">
        <v>42</v>
      </c>
      <c r="M889" s="12">
        <v>-3</v>
      </c>
      <c r="N889" s="12">
        <v>-0.5</v>
      </c>
      <c r="O889" s="17">
        <v>103.74000000000001</v>
      </c>
      <c r="P889" s="17"/>
      <c r="Q889" s="17">
        <v>-71.428571428571431</v>
      </c>
      <c r="R889" s="14">
        <v>7.896884428571429</v>
      </c>
      <c r="S889" s="12">
        <v>14</v>
      </c>
      <c r="T889" s="12">
        <v>-2.5999999999999943</v>
      </c>
      <c r="U889" s="14">
        <v>34.580000000000005</v>
      </c>
      <c r="V889" s="17">
        <v>-185.7142857142853</v>
      </c>
      <c r="W889" s="14">
        <v>2.2625987142857351</v>
      </c>
      <c r="X889">
        <f t="shared" si="26"/>
        <v>13.878249999999998</v>
      </c>
      <c r="Y889">
        <f t="shared" si="27"/>
        <v>1.8363105617857307</v>
      </c>
    </row>
    <row r="890" spans="1:25">
      <c r="A890" s="12" t="s">
        <v>335</v>
      </c>
      <c r="B890" s="12" t="s">
        <v>499</v>
      </c>
      <c r="C890" s="12">
        <v>133</v>
      </c>
      <c r="D890" s="12">
        <v>2.4700000000000002</v>
      </c>
      <c r="E890" s="12" t="s">
        <v>518</v>
      </c>
      <c r="F890" s="13">
        <v>42045</v>
      </c>
      <c r="G890" s="12">
        <v>54.6</v>
      </c>
      <c r="H890" s="12">
        <v>3</v>
      </c>
      <c r="I890" s="13">
        <v>42087</v>
      </c>
      <c r="J890" s="12">
        <v>54.4</v>
      </c>
      <c r="K890" s="12">
        <v>4</v>
      </c>
      <c r="L890" s="12">
        <v>42</v>
      </c>
      <c r="M890" s="12">
        <v>-0.20000000000000284</v>
      </c>
      <c r="N890" s="12">
        <v>1</v>
      </c>
      <c r="O890" s="17">
        <v>103.74000000000001</v>
      </c>
      <c r="P890" s="17"/>
      <c r="Q890" s="17">
        <v>-4.7619047619048303</v>
      </c>
      <c r="R890" s="14">
        <v>10.98064309523809</v>
      </c>
      <c r="S890" s="12">
        <v>14</v>
      </c>
      <c r="T890" s="12">
        <v>-2.8000000000000043</v>
      </c>
      <c r="U890" s="14">
        <v>34.580000000000005</v>
      </c>
      <c r="V890" s="17">
        <v>-200.00000000000031</v>
      </c>
      <c r="W890" s="14">
        <v>1.3554049999999833</v>
      </c>
      <c r="X890">
        <f t="shared" si="26"/>
        <v>15.952499999999999</v>
      </c>
      <c r="Y890">
        <f t="shared" si="27"/>
        <v>1.2644501907894581</v>
      </c>
    </row>
    <row r="891" spans="1:25">
      <c r="A891" s="12" t="s">
        <v>335</v>
      </c>
      <c r="B891" s="12" t="s">
        <v>499</v>
      </c>
      <c r="C891" s="12">
        <v>133</v>
      </c>
      <c r="D891" s="12">
        <v>2.4700000000000002</v>
      </c>
      <c r="E891" s="12" t="s">
        <v>519</v>
      </c>
      <c r="F891" s="13">
        <v>42045</v>
      </c>
      <c r="G891" s="12">
        <v>55.2</v>
      </c>
      <c r="H891" s="12">
        <v>3</v>
      </c>
      <c r="I891" s="13">
        <v>42087</v>
      </c>
      <c r="J891" s="12">
        <v>51.4</v>
      </c>
      <c r="K891" s="12">
        <v>3.5</v>
      </c>
      <c r="L891" s="12">
        <v>42</v>
      </c>
      <c r="M891" s="12">
        <v>-3.8000000000000043</v>
      </c>
      <c r="N891" s="12">
        <v>0.5</v>
      </c>
      <c r="O891" s="17">
        <v>103.74000000000001</v>
      </c>
      <c r="P891" s="17"/>
      <c r="Q891" s="17">
        <v>-90.476190476190567</v>
      </c>
      <c r="R891" s="14">
        <v>6.5520208095238051</v>
      </c>
      <c r="S891" s="12">
        <v>14</v>
      </c>
      <c r="T891" s="12">
        <v>-1.6000000000000014</v>
      </c>
      <c r="U891" s="14">
        <v>34.580000000000005</v>
      </c>
      <c r="V891" s="17">
        <v>-114.28571428571439</v>
      </c>
      <c r="W891" s="14">
        <v>5.3782112857142801</v>
      </c>
      <c r="X891">
        <f t="shared" si="26"/>
        <v>15.952499999999999</v>
      </c>
      <c r="Y891">
        <f t="shared" si="27"/>
        <v>5.0173050020676628</v>
      </c>
    </row>
    <row r="892" spans="1:25">
      <c r="A892" s="12" t="s">
        <v>335</v>
      </c>
      <c r="B892" s="12" t="s">
        <v>371</v>
      </c>
      <c r="C892" s="12">
        <v>245</v>
      </c>
      <c r="D892" s="12">
        <v>2.35</v>
      </c>
      <c r="E892" s="12" t="s">
        <v>372</v>
      </c>
      <c r="F892" s="13">
        <v>41687</v>
      </c>
      <c r="G892" s="12">
        <v>55.8</v>
      </c>
      <c r="I892" s="13">
        <v>41731</v>
      </c>
      <c r="J892" s="12">
        <v>62.2</v>
      </c>
      <c r="L892" s="12">
        <v>44</v>
      </c>
      <c r="M892" s="12">
        <v>6.4000000000000057</v>
      </c>
      <c r="O892" s="17">
        <v>103.4</v>
      </c>
      <c r="P892" s="17"/>
      <c r="Q892" s="17">
        <v>145.45454545454558</v>
      </c>
      <c r="R892" s="14">
        <v>19.147219090909097</v>
      </c>
      <c r="S892" s="12">
        <v>15</v>
      </c>
      <c r="T892" s="12">
        <v>1.2000000000000028</v>
      </c>
      <c r="U892" s="14">
        <v>35.25</v>
      </c>
      <c r="V892" s="17">
        <v>80.000000000000199</v>
      </c>
      <c r="W892" s="14">
        <v>15.92031000000001</v>
      </c>
      <c r="X892">
        <f t="shared" si="26"/>
        <v>17.100000000000001</v>
      </c>
      <c r="Y892">
        <f t="shared" si="27"/>
        <v>15.92031000000001</v>
      </c>
    </row>
    <row r="893" spans="1:25">
      <c r="A893" s="12" t="s">
        <v>335</v>
      </c>
      <c r="B893" s="12" t="s">
        <v>371</v>
      </c>
      <c r="C893" s="12">
        <v>245</v>
      </c>
      <c r="D893" s="12">
        <v>2.35</v>
      </c>
      <c r="E893" s="12" t="s">
        <v>373</v>
      </c>
      <c r="F893" s="13">
        <v>41687</v>
      </c>
      <c r="G893" s="12">
        <v>56.2</v>
      </c>
      <c r="I893" s="13">
        <v>41731</v>
      </c>
      <c r="J893" s="12">
        <v>64</v>
      </c>
      <c r="L893" s="12">
        <v>44</v>
      </c>
      <c r="M893" s="12">
        <v>7.7999999999999972</v>
      </c>
      <c r="O893" s="17">
        <v>103.4</v>
      </c>
      <c r="P893" s="17"/>
      <c r="Q893" s="17">
        <v>177.27272727272722</v>
      </c>
      <c r="R893" s="14">
        <v>20.90185445454545</v>
      </c>
      <c r="S893" s="12">
        <v>15</v>
      </c>
      <c r="T893" s="12">
        <v>3.5</v>
      </c>
      <c r="U893" s="14">
        <v>35.25</v>
      </c>
      <c r="V893" s="17">
        <v>233.33333333333334</v>
      </c>
      <c r="W893" s="14">
        <v>23.665642333333331</v>
      </c>
      <c r="X893">
        <f t="shared" si="26"/>
        <v>17.100000000000001</v>
      </c>
      <c r="Y893">
        <f t="shared" si="27"/>
        <v>23.665642333333331</v>
      </c>
    </row>
    <row r="894" spans="1:25">
      <c r="A894" s="12" t="s">
        <v>335</v>
      </c>
      <c r="B894" s="12" t="s">
        <v>371</v>
      </c>
      <c r="C894" s="12">
        <v>245</v>
      </c>
      <c r="D894" s="12">
        <v>2.35</v>
      </c>
      <c r="E894" s="12" t="s">
        <v>374</v>
      </c>
      <c r="F894" s="13">
        <v>41687</v>
      </c>
      <c r="G894" s="12">
        <v>54</v>
      </c>
      <c r="I894" s="13">
        <v>41731</v>
      </c>
      <c r="J894" s="12">
        <v>58.8</v>
      </c>
      <c r="L894" s="12">
        <v>44</v>
      </c>
      <c r="M894" s="12">
        <v>4.7999999999999972</v>
      </c>
      <c r="O894" s="17">
        <v>103.4</v>
      </c>
      <c r="P894" s="17"/>
      <c r="Q894" s="17">
        <v>109.09090909090904</v>
      </c>
      <c r="R894" s="14">
        <v>16.914857818181815</v>
      </c>
      <c r="S894" s="12">
        <v>15</v>
      </c>
      <c r="T894" s="12">
        <v>2.7999999999999972</v>
      </c>
      <c r="U894" s="14">
        <v>35.25</v>
      </c>
      <c r="V894" s="17">
        <v>186.66666666666649</v>
      </c>
      <c r="W894" s="14">
        <v>20.739342666666658</v>
      </c>
      <c r="X894">
        <f t="shared" si="26"/>
        <v>17.100000000000001</v>
      </c>
      <c r="Y894">
        <f t="shared" si="27"/>
        <v>20.739342666666658</v>
      </c>
    </row>
    <row r="895" spans="1:25">
      <c r="A895" s="12" t="s">
        <v>335</v>
      </c>
      <c r="B895" s="12" t="s">
        <v>371</v>
      </c>
      <c r="C895" s="12">
        <v>245</v>
      </c>
      <c r="D895" s="12">
        <v>2.35</v>
      </c>
      <c r="E895" s="12" t="s">
        <v>375</v>
      </c>
      <c r="F895" s="13">
        <v>41687</v>
      </c>
      <c r="G895" s="12">
        <v>58</v>
      </c>
      <c r="I895" s="13">
        <v>41731</v>
      </c>
      <c r="J895" s="12">
        <v>62.6</v>
      </c>
      <c r="L895" s="12">
        <v>44</v>
      </c>
      <c r="M895" s="12">
        <v>4.6000000000000014</v>
      </c>
      <c r="O895" s="17">
        <v>103.4</v>
      </c>
      <c r="P895" s="17"/>
      <c r="Q895" s="17">
        <v>104.54545454545458</v>
      </c>
      <c r="R895" s="14">
        <v>17.350217909090908</v>
      </c>
      <c r="S895" s="12">
        <v>15</v>
      </c>
      <c r="T895" s="12">
        <v>0.60000000000000142</v>
      </c>
      <c r="U895" s="14">
        <v>35.25</v>
      </c>
      <c r="V895" s="17">
        <v>40.000000000000099</v>
      </c>
      <c r="W895" s="14">
        <v>14.168127000000004</v>
      </c>
      <c r="X895">
        <f t="shared" si="26"/>
        <v>17.100000000000001</v>
      </c>
      <c r="Y895">
        <f t="shared" si="27"/>
        <v>14.168127000000004</v>
      </c>
    </row>
    <row r="896" spans="1:25">
      <c r="A896" s="12" t="s">
        <v>335</v>
      </c>
      <c r="B896" s="12" t="s">
        <v>371</v>
      </c>
      <c r="C896" s="12">
        <v>245</v>
      </c>
      <c r="D896" s="12">
        <v>2.35</v>
      </c>
      <c r="E896" s="12" t="s">
        <v>376</v>
      </c>
      <c r="F896" s="13">
        <v>41687</v>
      </c>
      <c r="G896" s="12">
        <v>58.8</v>
      </c>
      <c r="I896" s="13">
        <v>41731</v>
      </c>
      <c r="J896" s="12">
        <v>64.599999999999994</v>
      </c>
      <c r="L896" s="12">
        <v>44</v>
      </c>
      <c r="M896" s="12">
        <v>5.7999999999999972</v>
      </c>
      <c r="O896" s="17">
        <v>103.4</v>
      </c>
      <c r="P896" s="17"/>
      <c r="Q896" s="17">
        <v>131.81818181818176</v>
      </c>
      <c r="R896" s="14">
        <v>18.931489363636359</v>
      </c>
      <c r="S896" s="12">
        <v>15</v>
      </c>
      <c r="T896" s="12">
        <v>-1.9000000000000057</v>
      </c>
      <c r="U896" s="14">
        <v>35.25</v>
      </c>
      <c r="V896" s="17">
        <v>-126.66666666666704</v>
      </c>
      <c r="W896" s="14">
        <v>6.1881863333333129</v>
      </c>
      <c r="X896">
        <f t="shared" si="26"/>
        <v>17.100000000000001</v>
      </c>
      <c r="Y896">
        <f t="shared" si="27"/>
        <v>6.1881863333333129</v>
      </c>
    </row>
    <row r="897" spans="1:25">
      <c r="A897" s="12" t="s">
        <v>335</v>
      </c>
      <c r="B897" s="12" t="s">
        <v>371</v>
      </c>
      <c r="C897" s="12">
        <v>245</v>
      </c>
      <c r="D897" s="12">
        <v>2.35</v>
      </c>
      <c r="E897" s="12" t="s">
        <v>377</v>
      </c>
      <c r="F897" s="13">
        <v>41687</v>
      </c>
      <c r="G897" s="12">
        <v>52.2</v>
      </c>
      <c r="I897" s="13">
        <v>41731</v>
      </c>
      <c r="J897" s="12">
        <v>59</v>
      </c>
      <c r="L897" s="12">
        <v>44</v>
      </c>
      <c r="M897" s="12">
        <v>6.7999999999999972</v>
      </c>
      <c r="O897" s="17">
        <v>103.4</v>
      </c>
      <c r="P897" s="17"/>
      <c r="Q897" s="17">
        <v>154.54545454545448</v>
      </c>
      <c r="R897" s="14">
        <v>19.020494909090907</v>
      </c>
      <c r="S897" s="12">
        <v>15</v>
      </c>
      <c r="T897" s="12">
        <v>2</v>
      </c>
      <c r="U897" s="14">
        <v>35.25</v>
      </c>
      <c r="V897" s="17">
        <v>133.33333333333334</v>
      </c>
      <c r="W897" s="14">
        <v>17.974737333333334</v>
      </c>
      <c r="X897">
        <f t="shared" si="26"/>
        <v>17.100000000000001</v>
      </c>
      <c r="Y897">
        <f t="shared" si="27"/>
        <v>17.974737333333334</v>
      </c>
    </row>
    <row r="898" spans="1:25">
      <c r="A898" s="12" t="s">
        <v>335</v>
      </c>
      <c r="B898" s="12" t="s">
        <v>371</v>
      </c>
      <c r="C898" s="12">
        <v>245</v>
      </c>
      <c r="D898" s="12">
        <v>2.35</v>
      </c>
      <c r="E898" s="12" t="s">
        <v>378</v>
      </c>
      <c r="F898" s="13">
        <v>41687</v>
      </c>
      <c r="G898" s="12">
        <v>54.6</v>
      </c>
      <c r="I898" s="13">
        <v>41731</v>
      </c>
      <c r="J898" s="12">
        <v>60.2</v>
      </c>
      <c r="L898" s="12">
        <v>44</v>
      </c>
      <c r="M898" s="12">
        <v>5.6000000000000014</v>
      </c>
      <c r="O898" s="17">
        <v>103.4</v>
      </c>
      <c r="P898" s="17"/>
      <c r="Q898" s="17">
        <v>127.27272727272731</v>
      </c>
      <c r="R898" s="14">
        <v>17.980311454545458</v>
      </c>
      <c r="S898" s="12">
        <v>15</v>
      </c>
      <c r="T898" s="12">
        <v>4.2000000000000028</v>
      </c>
      <c r="U898" s="14">
        <v>35.25</v>
      </c>
      <c r="V898" s="17">
        <v>280.00000000000017</v>
      </c>
      <c r="W898" s="14">
        <v>25.50976600000001</v>
      </c>
      <c r="X898">
        <f t="shared" si="26"/>
        <v>17.100000000000001</v>
      </c>
      <c r="Y898">
        <f t="shared" si="27"/>
        <v>25.50976600000001</v>
      </c>
    </row>
    <row r="899" spans="1:25">
      <c r="A899" s="12" t="s">
        <v>335</v>
      </c>
      <c r="B899" s="12" t="s">
        <v>371</v>
      </c>
      <c r="C899" s="12">
        <v>245</v>
      </c>
      <c r="D899" s="12">
        <v>2.35</v>
      </c>
      <c r="E899" s="12" t="s">
        <v>379</v>
      </c>
      <c r="F899" s="13">
        <v>41687</v>
      </c>
      <c r="G899" s="12">
        <v>54.6</v>
      </c>
      <c r="I899" s="13">
        <v>41731</v>
      </c>
      <c r="J899" s="12">
        <v>64.599999999999994</v>
      </c>
      <c r="L899" s="12">
        <v>44</v>
      </c>
      <c r="M899" s="12">
        <v>9.9999999999999929</v>
      </c>
      <c r="O899" s="17">
        <v>103.4</v>
      </c>
      <c r="P899" s="17"/>
      <c r="Q899" s="17">
        <v>227.27272727272711</v>
      </c>
      <c r="R899" s="14">
        <v>23.282309454545445</v>
      </c>
      <c r="S899" s="12">
        <v>15</v>
      </c>
      <c r="T899" s="12">
        <v>4.0999999999999943</v>
      </c>
      <c r="U899" s="14">
        <v>35.25</v>
      </c>
      <c r="V899" s="17">
        <v>273.33333333333292</v>
      </c>
      <c r="W899" s="14">
        <v>25.553097333333312</v>
      </c>
      <c r="X899">
        <f t="shared" ref="X899:X962" si="28">IF(H899&gt;0,-4.1485*H899 + 28.398,17.1)</f>
        <v>17.100000000000001</v>
      </c>
      <c r="Y899">
        <f t="shared" ref="Y899:Y962" si="29">W899*X899/17.1</f>
        <v>25.553097333333312</v>
      </c>
    </row>
    <row r="900" spans="1:25">
      <c r="A900" s="12" t="s">
        <v>335</v>
      </c>
      <c r="B900" s="12" t="s">
        <v>371</v>
      </c>
      <c r="C900" s="12">
        <v>245</v>
      </c>
      <c r="D900" s="12">
        <v>2.35</v>
      </c>
      <c r="E900" s="12" t="s">
        <v>380</v>
      </c>
      <c r="F900" s="13">
        <v>41687</v>
      </c>
      <c r="G900" s="12">
        <v>54</v>
      </c>
      <c r="I900" s="13">
        <v>41731</v>
      </c>
      <c r="J900" s="12">
        <v>63</v>
      </c>
      <c r="L900" s="12">
        <v>44</v>
      </c>
      <c r="M900" s="12">
        <v>9</v>
      </c>
      <c r="O900" s="17">
        <v>103.4</v>
      </c>
      <c r="P900" s="17"/>
      <c r="Q900" s="17">
        <v>204.54545454545456</v>
      </c>
      <c r="R900" s="14">
        <v>21.97585590909091</v>
      </c>
      <c r="S900" s="12">
        <v>15</v>
      </c>
      <c r="T900" s="12">
        <v>3</v>
      </c>
      <c r="U900" s="14">
        <v>35.25</v>
      </c>
      <c r="V900" s="17">
        <v>200</v>
      </c>
      <c r="W900" s="14">
        <v>21.751764999999999</v>
      </c>
      <c r="X900">
        <f t="shared" si="28"/>
        <v>17.100000000000001</v>
      </c>
      <c r="Y900">
        <f t="shared" si="29"/>
        <v>21.751764999999999</v>
      </c>
    </row>
    <row r="901" spans="1:25">
      <c r="A901" s="12" t="s">
        <v>335</v>
      </c>
      <c r="B901" s="12" t="s">
        <v>371</v>
      </c>
      <c r="C901" s="12">
        <v>245</v>
      </c>
      <c r="D901" s="12">
        <v>2.35</v>
      </c>
      <c r="E901" s="12" t="s">
        <v>381</v>
      </c>
      <c r="F901" s="13">
        <v>41687</v>
      </c>
      <c r="G901" s="12">
        <v>57.2</v>
      </c>
      <c r="I901" s="13">
        <v>41731</v>
      </c>
      <c r="J901" s="12">
        <v>61</v>
      </c>
      <c r="L901" s="12">
        <v>44</v>
      </c>
      <c r="M901" s="12">
        <v>3.7999999999999972</v>
      </c>
      <c r="O901" s="17">
        <v>103.4</v>
      </c>
      <c r="P901" s="17"/>
      <c r="Q901" s="17">
        <v>86.363636363636289</v>
      </c>
      <c r="R901" s="14">
        <v>16.250946272727269</v>
      </c>
      <c r="S901" s="12">
        <v>15</v>
      </c>
      <c r="T901" s="12">
        <v>0.5</v>
      </c>
      <c r="U901" s="14">
        <v>35.25</v>
      </c>
      <c r="V901" s="17">
        <v>33.333333333333336</v>
      </c>
      <c r="W901" s="14">
        <v>13.636552333333332</v>
      </c>
      <c r="X901">
        <f t="shared" si="28"/>
        <v>17.100000000000001</v>
      </c>
      <c r="Y901">
        <f t="shared" si="29"/>
        <v>13.636552333333332</v>
      </c>
    </row>
    <row r="902" spans="1:25">
      <c r="A902" s="12" t="s">
        <v>335</v>
      </c>
      <c r="B902" s="12" t="s">
        <v>371</v>
      </c>
      <c r="C902" s="12">
        <v>245</v>
      </c>
      <c r="D902" s="12">
        <v>2.35</v>
      </c>
      <c r="E902" s="12" t="s">
        <v>382</v>
      </c>
      <c r="F902" s="13">
        <v>41687</v>
      </c>
      <c r="G902" s="12">
        <v>64.2</v>
      </c>
      <c r="I902" s="13">
        <v>41731</v>
      </c>
      <c r="J902" s="12">
        <v>68.400000000000006</v>
      </c>
      <c r="L902" s="12">
        <v>44</v>
      </c>
      <c r="M902" s="12">
        <v>4.2000000000000028</v>
      </c>
      <c r="O902" s="17">
        <v>103.4</v>
      </c>
      <c r="P902" s="17"/>
      <c r="Q902" s="17">
        <v>95.45454545454551</v>
      </c>
      <c r="R902" s="14">
        <v>17.916576090909096</v>
      </c>
      <c r="S902" s="12">
        <v>15</v>
      </c>
      <c r="T902" s="12">
        <v>-3.0999999999999943</v>
      </c>
      <c r="U902" s="14">
        <v>35.25</v>
      </c>
      <c r="V902" s="17">
        <v>-206.66666666666629</v>
      </c>
      <c r="W902" s="14">
        <v>3.022000333333354</v>
      </c>
      <c r="X902">
        <f t="shared" si="28"/>
        <v>17.100000000000001</v>
      </c>
      <c r="Y902">
        <f t="shared" si="29"/>
        <v>3.022000333333354</v>
      </c>
    </row>
    <row r="903" spans="1:25">
      <c r="A903" s="12" t="s">
        <v>335</v>
      </c>
      <c r="B903" s="12" t="s">
        <v>371</v>
      </c>
      <c r="C903" s="12">
        <v>245</v>
      </c>
      <c r="D903" s="12">
        <v>2.35</v>
      </c>
      <c r="E903" s="12" t="s">
        <v>383</v>
      </c>
      <c r="F903" s="13">
        <v>41687</v>
      </c>
      <c r="G903" s="12">
        <v>48.4</v>
      </c>
      <c r="I903" s="13">
        <v>41731</v>
      </c>
      <c r="J903" s="12">
        <v>53.8</v>
      </c>
      <c r="L903" s="12">
        <v>44</v>
      </c>
      <c r="M903" s="12">
        <v>5.3999999999999986</v>
      </c>
      <c r="O903" s="17">
        <v>103.4</v>
      </c>
      <c r="P903" s="17"/>
      <c r="Q903" s="17">
        <v>122.72727272727271</v>
      </c>
      <c r="R903" s="14">
        <v>16.690953545454541</v>
      </c>
      <c r="S903" s="12">
        <v>15</v>
      </c>
      <c r="T903" s="12">
        <v>-0.70000000000000284</v>
      </c>
      <c r="U903" s="14">
        <v>35.25</v>
      </c>
      <c r="V903" s="17">
        <v>-46.666666666666856</v>
      </c>
      <c r="W903" s="14">
        <v>8.3398323333333231</v>
      </c>
      <c r="X903">
        <f t="shared" si="28"/>
        <v>17.100000000000001</v>
      </c>
      <c r="Y903">
        <f t="shared" si="29"/>
        <v>8.3398323333333231</v>
      </c>
    </row>
    <row r="904" spans="1:25">
      <c r="A904" s="12" t="s">
        <v>335</v>
      </c>
      <c r="B904" s="12" t="s">
        <v>371</v>
      </c>
      <c r="C904" s="12">
        <v>245</v>
      </c>
      <c r="D904" s="12">
        <v>2.35</v>
      </c>
      <c r="E904" s="12" t="s">
        <v>384</v>
      </c>
      <c r="F904" s="13">
        <v>41687</v>
      </c>
      <c r="G904" s="12">
        <v>55</v>
      </c>
      <c r="I904" s="13">
        <v>41731</v>
      </c>
      <c r="J904" s="12">
        <v>59.2</v>
      </c>
      <c r="L904" s="12">
        <v>44</v>
      </c>
      <c r="M904" s="12">
        <v>4.2000000000000028</v>
      </c>
      <c r="O904" s="17">
        <v>103.4</v>
      </c>
      <c r="P904" s="17"/>
      <c r="Q904" s="17">
        <v>95.45454545454551</v>
      </c>
      <c r="R904" s="14">
        <v>16.360948090909094</v>
      </c>
      <c r="S904" s="12">
        <v>15</v>
      </c>
      <c r="T904" s="12">
        <v>0.20000000000000284</v>
      </c>
      <c r="U904" s="14">
        <v>35.25</v>
      </c>
      <c r="V904" s="17">
        <v>13.333333333333524</v>
      </c>
      <c r="W904" s="14">
        <v>12.312372333333343</v>
      </c>
      <c r="X904">
        <f t="shared" si="28"/>
        <v>17.100000000000001</v>
      </c>
      <c r="Y904">
        <f t="shared" si="29"/>
        <v>12.312372333333343</v>
      </c>
    </row>
    <row r="905" spans="1:25">
      <c r="A905" s="12" t="s">
        <v>335</v>
      </c>
      <c r="B905" s="12" t="s">
        <v>371</v>
      </c>
      <c r="C905" s="12">
        <v>245</v>
      </c>
      <c r="D905" s="12">
        <v>2.35</v>
      </c>
      <c r="E905" s="12" t="s">
        <v>385</v>
      </c>
      <c r="F905" s="13">
        <v>41687</v>
      </c>
      <c r="G905" s="12">
        <v>50.6</v>
      </c>
      <c r="I905" s="13">
        <v>41731</v>
      </c>
      <c r="J905" s="12">
        <v>56.8</v>
      </c>
      <c r="L905" s="12">
        <v>44</v>
      </c>
      <c r="M905" s="12">
        <v>6.1999999999999957</v>
      </c>
      <c r="O905" s="17">
        <v>103.4</v>
      </c>
      <c r="P905" s="17"/>
      <c r="Q905" s="17">
        <v>140.90909090909082</v>
      </c>
      <c r="R905" s="14">
        <v>18.026951181818177</v>
      </c>
      <c r="S905" s="12">
        <v>15</v>
      </c>
      <c r="T905" s="12">
        <v>1.2999999999999972</v>
      </c>
      <c r="U905" s="14">
        <v>35.25</v>
      </c>
      <c r="V905" s="17">
        <v>86.666666666666472</v>
      </c>
      <c r="W905" s="14">
        <v>15.352799666666657</v>
      </c>
      <c r="X905">
        <f t="shared" si="28"/>
        <v>17.100000000000001</v>
      </c>
      <c r="Y905">
        <f t="shared" si="29"/>
        <v>15.352799666666655</v>
      </c>
    </row>
    <row r="906" spans="1:25">
      <c r="A906" s="12" t="s">
        <v>335</v>
      </c>
      <c r="B906" s="12" t="s">
        <v>371</v>
      </c>
      <c r="C906" s="12">
        <v>245</v>
      </c>
      <c r="D906" s="12">
        <v>2.35</v>
      </c>
      <c r="E906" s="12" t="s">
        <v>386</v>
      </c>
      <c r="F906" s="13">
        <v>41687</v>
      </c>
      <c r="G906" s="12">
        <v>51.6</v>
      </c>
      <c r="I906" s="13">
        <v>41731</v>
      </c>
      <c r="J906" s="12">
        <v>56.8</v>
      </c>
      <c r="L906" s="12">
        <v>44</v>
      </c>
      <c r="M906" s="12">
        <v>5.1999999999999957</v>
      </c>
      <c r="O906" s="17">
        <v>103.4</v>
      </c>
      <c r="P906" s="17"/>
      <c r="Q906" s="17">
        <v>118.18181818181809</v>
      </c>
      <c r="R906" s="14">
        <v>16.991041636363633</v>
      </c>
      <c r="S906" s="12">
        <v>15</v>
      </c>
      <c r="T906" s="12">
        <v>0.79999999999999716</v>
      </c>
      <c r="U906" s="14">
        <v>35.25</v>
      </c>
      <c r="V906" s="17">
        <v>53.333333333333144</v>
      </c>
      <c r="W906" s="14">
        <v>13.794011333333325</v>
      </c>
      <c r="X906">
        <f t="shared" si="28"/>
        <v>17.100000000000001</v>
      </c>
      <c r="Y906">
        <f t="shared" si="29"/>
        <v>13.794011333333325</v>
      </c>
    </row>
    <row r="907" spans="1:25">
      <c r="A907" s="12" t="s">
        <v>335</v>
      </c>
      <c r="B907" s="12" t="s">
        <v>371</v>
      </c>
      <c r="C907" s="12">
        <v>245</v>
      </c>
      <c r="D907" s="12">
        <v>2.35</v>
      </c>
      <c r="E907" s="12" t="s">
        <v>387</v>
      </c>
      <c r="F907" s="13">
        <v>41687</v>
      </c>
      <c r="G907" s="12">
        <v>49.6</v>
      </c>
      <c r="I907" s="13">
        <v>41731</v>
      </c>
      <c r="J907" s="12">
        <v>55.4</v>
      </c>
      <c r="L907" s="12">
        <v>44</v>
      </c>
      <c r="M907" s="12">
        <v>5.7999999999999972</v>
      </c>
      <c r="O907" s="17">
        <v>103.4</v>
      </c>
      <c r="P907" s="17"/>
      <c r="Q907" s="17">
        <v>131.81818181818176</v>
      </c>
      <c r="R907" s="14">
        <v>17.375861363636361</v>
      </c>
      <c r="S907" s="12">
        <v>15</v>
      </c>
      <c r="T907" s="12">
        <v>1.8999999999999986</v>
      </c>
      <c r="U907" s="14">
        <v>35.25</v>
      </c>
      <c r="V907" s="17">
        <v>126.66666666666657</v>
      </c>
      <c r="W907" s="14">
        <v>17.121891666666659</v>
      </c>
      <c r="X907">
        <f t="shared" si="28"/>
        <v>17.100000000000001</v>
      </c>
      <c r="Y907">
        <f t="shared" si="29"/>
        <v>17.121891666666659</v>
      </c>
    </row>
    <row r="908" spans="1:25">
      <c r="A908" s="12" t="s">
        <v>335</v>
      </c>
      <c r="B908" s="12" t="s">
        <v>371</v>
      </c>
      <c r="C908" s="12">
        <v>245</v>
      </c>
      <c r="D908" s="12">
        <v>2.35</v>
      </c>
      <c r="E908" s="12" t="s">
        <v>388</v>
      </c>
      <c r="F908" s="13">
        <v>41687</v>
      </c>
      <c r="G908" s="12">
        <v>52.4</v>
      </c>
      <c r="I908" s="13">
        <v>41731</v>
      </c>
      <c r="J908" s="12">
        <v>62.6</v>
      </c>
      <c r="L908" s="12">
        <v>44</v>
      </c>
      <c r="M908" s="12">
        <v>10.200000000000003</v>
      </c>
      <c r="O908" s="17">
        <v>103.4</v>
      </c>
      <c r="P908" s="17"/>
      <c r="Q908" s="17">
        <v>231.8181818181819</v>
      </c>
      <c r="R908" s="14">
        <v>23.151311363636367</v>
      </c>
      <c r="S908" s="12">
        <v>15</v>
      </c>
      <c r="T908" s="12">
        <v>2.6000000000000014</v>
      </c>
      <c r="U908" s="14">
        <v>35.25</v>
      </c>
      <c r="V908" s="17">
        <v>173.33333333333343</v>
      </c>
      <c r="W908" s="14">
        <v>20.268008333333334</v>
      </c>
      <c r="X908">
        <f t="shared" si="28"/>
        <v>17.100000000000001</v>
      </c>
      <c r="Y908">
        <f t="shared" si="29"/>
        <v>20.268008333333334</v>
      </c>
    </row>
    <row r="909" spans="1:25">
      <c r="A909" s="12" t="s">
        <v>335</v>
      </c>
      <c r="B909" s="12" t="s">
        <v>371</v>
      </c>
      <c r="C909" s="12">
        <v>245</v>
      </c>
      <c r="D909" s="12">
        <v>2.35</v>
      </c>
      <c r="E909" s="12" t="s">
        <v>389</v>
      </c>
      <c r="F909" s="13">
        <v>41687</v>
      </c>
      <c r="G909" s="12">
        <v>50.6</v>
      </c>
      <c r="I909" s="13">
        <v>41731</v>
      </c>
      <c r="J909" s="12">
        <v>55.6</v>
      </c>
      <c r="L909" s="12">
        <v>44</v>
      </c>
      <c r="M909" s="12">
        <v>5</v>
      </c>
      <c r="O909" s="17">
        <v>103.4</v>
      </c>
      <c r="P909" s="17"/>
      <c r="Q909" s="17">
        <v>113.63636363636363</v>
      </c>
      <c r="R909" s="14">
        <v>16.580951727272726</v>
      </c>
      <c r="S909" s="12">
        <v>15</v>
      </c>
      <c r="T909" s="12">
        <v>1.1000000000000014</v>
      </c>
      <c r="U909" s="14">
        <v>35.25</v>
      </c>
      <c r="V909" s="17">
        <v>73.333333333333428</v>
      </c>
      <c r="W909" s="14">
        <v>14.594012333333337</v>
      </c>
      <c r="X909">
        <f t="shared" si="28"/>
        <v>17.100000000000001</v>
      </c>
      <c r="Y909">
        <f t="shared" si="29"/>
        <v>14.594012333333337</v>
      </c>
    </row>
    <row r="910" spans="1:25">
      <c r="A910" s="12" t="s">
        <v>335</v>
      </c>
      <c r="B910" s="12" t="s">
        <v>371</v>
      </c>
      <c r="C910" s="12">
        <v>245</v>
      </c>
      <c r="D910" s="12">
        <v>2.35</v>
      </c>
      <c r="E910" s="12" t="s">
        <v>390</v>
      </c>
      <c r="F910" s="13">
        <v>41687</v>
      </c>
      <c r="G910" s="12">
        <v>50</v>
      </c>
      <c r="I910" s="13">
        <v>41731</v>
      </c>
      <c r="J910" s="12">
        <v>55.2</v>
      </c>
      <c r="L910" s="12">
        <v>44</v>
      </c>
      <c r="M910" s="12">
        <v>5.2000000000000028</v>
      </c>
      <c r="O910" s="17">
        <v>103.4</v>
      </c>
      <c r="P910" s="17"/>
      <c r="Q910" s="17">
        <v>118.18181818181824</v>
      </c>
      <c r="R910" s="14">
        <v>16.720497636363639</v>
      </c>
      <c r="S910" s="12">
        <v>15</v>
      </c>
      <c r="T910" s="12">
        <v>0.70000000000000284</v>
      </c>
      <c r="U910" s="14">
        <v>35.25</v>
      </c>
      <c r="V910" s="17">
        <v>46.666666666666856</v>
      </c>
      <c r="W910" s="14">
        <v>13.194800666666675</v>
      </c>
      <c r="X910">
        <f t="shared" si="28"/>
        <v>17.100000000000001</v>
      </c>
      <c r="Y910">
        <f t="shared" si="29"/>
        <v>13.194800666666675</v>
      </c>
    </row>
    <row r="911" spans="1:25">
      <c r="A911" s="12" t="s">
        <v>335</v>
      </c>
      <c r="B911" s="12" t="s">
        <v>371</v>
      </c>
      <c r="C911" s="12">
        <v>245</v>
      </c>
      <c r="D911" s="12">
        <v>2.35</v>
      </c>
      <c r="E911" s="12" t="s">
        <v>391</v>
      </c>
      <c r="F911" s="13">
        <v>41687</v>
      </c>
      <c r="G911" s="12">
        <v>55.4</v>
      </c>
      <c r="I911" s="13">
        <v>41731</v>
      </c>
      <c r="J911" s="12">
        <v>66.8</v>
      </c>
      <c r="L911" s="12">
        <v>44</v>
      </c>
      <c r="M911" s="12">
        <v>11.399999999999999</v>
      </c>
      <c r="O911" s="17">
        <v>103.4</v>
      </c>
      <c r="P911" s="17"/>
      <c r="Q911" s="17">
        <v>259.09090909090907</v>
      </c>
      <c r="R911" s="14">
        <v>25.104580818181816</v>
      </c>
      <c r="S911" s="12">
        <v>15</v>
      </c>
      <c r="T911" s="12">
        <v>4.2999999999999972</v>
      </c>
      <c r="U911" s="14">
        <v>35.25</v>
      </c>
      <c r="V911" s="17">
        <v>286.66666666666646</v>
      </c>
      <c r="W911" s="14">
        <v>26.464065666666656</v>
      </c>
      <c r="X911">
        <f t="shared" si="28"/>
        <v>17.100000000000001</v>
      </c>
      <c r="Y911">
        <f t="shared" si="29"/>
        <v>26.464065666666656</v>
      </c>
    </row>
    <row r="912" spans="1:25">
      <c r="A912" s="12" t="s">
        <v>335</v>
      </c>
      <c r="B912" s="12" t="s">
        <v>371</v>
      </c>
      <c r="C912" s="12">
        <v>245</v>
      </c>
      <c r="D912" s="12">
        <v>2.35</v>
      </c>
      <c r="E912" s="12" t="s">
        <v>392</v>
      </c>
      <c r="F912" s="13">
        <v>41687</v>
      </c>
      <c r="G912" s="12">
        <v>56.2</v>
      </c>
      <c r="I912" s="13">
        <v>41731</v>
      </c>
      <c r="J912" s="12">
        <v>65.8</v>
      </c>
      <c r="L912" s="12">
        <v>44</v>
      </c>
      <c r="M912" s="12">
        <v>9.5999999999999943</v>
      </c>
      <c r="O912" s="17">
        <v>103.4</v>
      </c>
      <c r="P912" s="17"/>
      <c r="Q912" s="17">
        <v>218.18181818181807</v>
      </c>
      <c r="R912" s="14">
        <v>23.07085363636363</v>
      </c>
      <c r="S912" s="12">
        <v>15</v>
      </c>
      <c r="T912" s="12">
        <v>4.2999999999999972</v>
      </c>
      <c r="U912" s="14">
        <v>35.25</v>
      </c>
      <c r="V912" s="17">
        <v>286.66666666666646</v>
      </c>
      <c r="W912" s="14">
        <v>26.447156666666654</v>
      </c>
      <c r="X912">
        <f t="shared" si="28"/>
        <v>17.100000000000001</v>
      </c>
      <c r="Y912">
        <f t="shared" si="29"/>
        <v>26.447156666666654</v>
      </c>
    </row>
    <row r="913" spans="1:25">
      <c r="A913" s="12" t="s">
        <v>335</v>
      </c>
      <c r="B913" s="12" t="s">
        <v>371</v>
      </c>
      <c r="C913" s="12">
        <v>245</v>
      </c>
      <c r="D913" s="12">
        <v>2.35</v>
      </c>
      <c r="E913" s="12" t="s">
        <v>393</v>
      </c>
      <c r="F913" s="13">
        <v>41687</v>
      </c>
      <c r="G913" s="12">
        <v>51</v>
      </c>
      <c r="I913" s="13">
        <v>41731</v>
      </c>
      <c r="J913" s="12">
        <v>56.2</v>
      </c>
      <c r="L913" s="12">
        <v>44</v>
      </c>
      <c r="M913" s="12">
        <v>5.2000000000000028</v>
      </c>
      <c r="O913" s="17">
        <v>103.4</v>
      </c>
      <c r="P913" s="17"/>
      <c r="Q913" s="17">
        <v>118.18181818181824</v>
      </c>
      <c r="R913" s="14">
        <v>16.88958763636364</v>
      </c>
      <c r="S913" s="12">
        <v>15</v>
      </c>
      <c r="T913" s="12">
        <v>1.2000000000000028</v>
      </c>
      <c r="U913" s="14">
        <v>35.25</v>
      </c>
      <c r="V913" s="17">
        <v>80.000000000000199</v>
      </c>
      <c r="W913" s="14">
        <v>15.00722400000001</v>
      </c>
      <c r="X913">
        <f t="shared" si="28"/>
        <v>17.100000000000001</v>
      </c>
      <c r="Y913">
        <f t="shared" si="29"/>
        <v>15.007224000000008</v>
      </c>
    </row>
    <row r="914" spans="1:25">
      <c r="A914" s="12" t="s">
        <v>335</v>
      </c>
      <c r="B914" s="12" t="s">
        <v>371</v>
      </c>
      <c r="C914" s="12">
        <v>245</v>
      </c>
      <c r="D914" s="12">
        <v>2.35</v>
      </c>
      <c r="E914" s="12" t="s">
        <v>394</v>
      </c>
      <c r="F914" s="13">
        <v>41687</v>
      </c>
      <c r="G914" s="12">
        <v>51.4</v>
      </c>
      <c r="I914" s="13">
        <v>41731</v>
      </c>
      <c r="J914" s="12">
        <v>58.6</v>
      </c>
      <c r="L914" s="12">
        <v>44</v>
      </c>
      <c r="M914" s="12">
        <v>7.2000000000000028</v>
      </c>
      <c r="O914" s="17">
        <v>103.4</v>
      </c>
      <c r="P914" s="17"/>
      <c r="Q914" s="17">
        <v>163.63636363636368</v>
      </c>
      <c r="R914" s="14">
        <v>19.367222727272729</v>
      </c>
      <c r="S914" s="12">
        <v>15</v>
      </c>
      <c r="T914" s="12">
        <v>-0.89999999999999858</v>
      </c>
      <c r="U914" s="14">
        <v>35.25</v>
      </c>
      <c r="V914" s="17">
        <v>-59.999999999999908</v>
      </c>
      <c r="W914" s="14">
        <v>8.3419500000000042</v>
      </c>
      <c r="X914">
        <f t="shared" si="28"/>
        <v>17.100000000000001</v>
      </c>
      <c r="Y914">
        <f t="shared" si="29"/>
        <v>8.3419500000000042</v>
      </c>
    </row>
    <row r="915" spans="1:25">
      <c r="A915" s="12" t="s">
        <v>335</v>
      </c>
      <c r="B915" s="12" t="s">
        <v>371</v>
      </c>
      <c r="C915" s="12">
        <v>245</v>
      </c>
      <c r="D915" s="12">
        <v>2.35</v>
      </c>
      <c r="E915" s="12" t="s">
        <v>395</v>
      </c>
      <c r="F915" s="13">
        <v>41687</v>
      </c>
      <c r="G915" s="12">
        <v>48.6</v>
      </c>
      <c r="I915" s="13">
        <v>41731</v>
      </c>
      <c r="J915" s="12">
        <v>53.4</v>
      </c>
      <c r="L915" s="12">
        <v>44</v>
      </c>
      <c r="M915" s="12">
        <v>4.7999999999999972</v>
      </c>
      <c r="O915" s="17">
        <v>103.4</v>
      </c>
      <c r="P915" s="17"/>
      <c r="Q915" s="17">
        <v>109.09090909090904</v>
      </c>
      <c r="R915" s="14">
        <v>16.001771818181815</v>
      </c>
      <c r="S915" s="12">
        <v>15</v>
      </c>
      <c r="T915" s="12">
        <v>2.3999999999999986</v>
      </c>
      <c r="U915" s="14">
        <v>35.25</v>
      </c>
      <c r="V915" s="17">
        <v>159.99999999999989</v>
      </c>
      <c r="W915" s="14">
        <v>18.511589999999995</v>
      </c>
      <c r="X915">
        <f t="shared" si="28"/>
        <v>17.100000000000001</v>
      </c>
      <c r="Y915">
        <f t="shared" si="29"/>
        <v>18.511589999999995</v>
      </c>
    </row>
    <row r="916" spans="1:25">
      <c r="A916" s="12" t="s">
        <v>335</v>
      </c>
      <c r="B916" s="12" t="s">
        <v>371</v>
      </c>
      <c r="C916" s="12">
        <v>245</v>
      </c>
      <c r="D916" s="12">
        <v>2.35</v>
      </c>
      <c r="E916" s="12" t="s">
        <v>396</v>
      </c>
      <c r="F916" s="13">
        <v>41687</v>
      </c>
      <c r="G916" s="12">
        <v>48.6</v>
      </c>
      <c r="I916" s="13">
        <v>41731</v>
      </c>
      <c r="J916" s="12">
        <v>49.4</v>
      </c>
      <c r="L916" s="12">
        <v>44</v>
      </c>
      <c r="M916" s="12">
        <v>0.79999999999999716</v>
      </c>
      <c r="O916" s="17">
        <v>103.4</v>
      </c>
      <c r="P916" s="17"/>
      <c r="Q916" s="17">
        <v>18.181818181818119</v>
      </c>
      <c r="R916" s="14">
        <v>11.181773636363632</v>
      </c>
      <c r="S916" s="12">
        <v>15</v>
      </c>
      <c r="T916" s="12">
        <v>-1.1000000000000014</v>
      </c>
      <c r="U916" s="14">
        <v>35.25</v>
      </c>
      <c r="V916" s="17">
        <v>-73.333333333333428</v>
      </c>
      <c r="W916" s="14">
        <v>6.6700766666666613</v>
      </c>
      <c r="X916">
        <f t="shared" si="28"/>
        <v>17.100000000000001</v>
      </c>
      <c r="Y916">
        <f t="shared" si="29"/>
        <v>6.6700766666666613</v>
      </c>
    </row>
    <row r="917" spans="1:25">
      <c r="A917" s="12" t="s">
        <v>335</v>
      </c>
      <c r="B917" s="12" t="s">
        <v>371</v>
      </c>
      <c r="C917" s="12">
        <v>245</v>
      </c>
      <c r="D917" s="12">
        <v>2.35</v>
      </c>
      <c r="E917" s="12" t="s">
        <v>397</v>
      </c>
      <c r="F917" s="13">
        <v>41687</v>
      </c>
      <c r="G917" s="12">
        <v>62.8</v>
      </c>
      <c r="I917" s="13">
        <v>41731</v>
      </c>
      <c r="J917" s="12">
        <v>68</v>
      </c>
      <c r="L917" s="12">
        <v>44</v>
      </c>
      <c r="M917" s="12">
        <v>5.2000000000000028</v>
      </c>
      <c r="O917" s="17">
        <v>103.4</v>
      </c>
      <c r="P917" s="17"/>
      <c r="Q917" s="17">
        <v>118.18181818181824</v>
      </c>
      <c r="R917" s="14">
        <v>18.88484963636364</v>
      </c>
      <c r="S917" s="12">
        <v>15</v>
      </c>
      <c r="T917" s="12">
        <v>1.5</v>
      </c>
      <c r="U917" s="14">
        <v>35.25</v>
      </c>
      <c r="V917" s="17">
        <v>100</v>
      </c>
      <c r="W917" s="14">
        <v>17.988486000000002</v>
      </c>
      <c r="X917">
        <f t="shared" si="28"/>
        <v>17.100000000000001</v>
      </c>
      <c r="Y917">
        <f t="shared" si="29"/>
        <v>17.988486000000002</v>
      </c>
    </row>
    <row r="918" spans="1:25">
      <c r="A918" s="12" t="s">
        <v>335</v>
      </c>
      <c r="B918" s="12" t="s">
        <v>371</v>
      </c>
      <c r="C918" s="12">
        <v>245</v>
      </c>
      <c r="D918" s="12">
        <v>2.35</v>
      </c>
      <c r="E918" s="12" t="s">
        <v>398</v>
      </c>
      <c r="F918" s="13">
        <v>41687</v>
      </c>
      <c r="G918" s="12">
        <v>55</v>
      </c>
      <c r="I918" s="13">
        <v>41731</v>
      </c>
      <c r="J918" s="12">
        <v>62.4</v>
      </c>
      <c r="L918" s="12">
        <v>44</v>
      </c>
      <c r="M918" s="12">
        <v>7.3999999999999986</v>
      </c>
      <c r="O918" s="17">
        <v>103.4</v>
      </c>
      <c r="P918" s="17"/>
      <c r="Q918" s="17">
        <v>168.18181818181816</v>
      </c>
      <c r="R918" s="14">
        <v>20.216946636363634</v>
      </c>
      <c r="S918" s="12">
        <v>15</v>
      </c>
      <c r="T918" s="12">
        <v>1.3999999999999986</v>
      </c>
      <c r="U918" s="14">
        <v>35.25</v>
      </c>
      <c r="V918" s="17">
        <v>93.333333333333243</v>
      </c>
      <c r="W918" s="14">
        <v>16.526916333333329</v>
      </c>
      <c r="X918">
        <f t="shared" si="28"/>
        <v>17.100000000000001</v>
      </c>
      <c r="Y918">
        <f t="shared" si="29"/>
        <v>16.526916333333329</v>
      </c>
    </row>
    <row r="919" spans="1:25">
      <c r="A919" s="12" t="s">
        <v>335</v>
      </c>
      <c r="B919" s="12" t="s">
        <v>371</v>
      </c>
      <c r="C919" s="12">
        <v>245</v>
      </c>
      <c r="D919" s="12">
        <v>2.35</v>
      </c>
      <c r="E919" s="12" t="s">
        <v>399</v>
      </c>
      <c r="F919" s="13">
        <v>41687</v>
      </c>
      <c r="G919" s="12">
        <v>63.2</v>
      </c>
      <c r="I919" s="13">
        <v>41731</v>
      </c>
      <c r="J919" s="12">
        <v>67.8</v>
      </c>
      <c r="L919" s="12">
        <v>44</v>
      </c>
      <c r="M919" s="12">
        <v>4.5999999999999943</v>
      </c>
      <c r="O919" s="17">
        <v>103.4</v>
      </c>
      <c r="P919" s="17"/>
      <c r="Q919" s="17">
        <v>104.54545454545442</v>
      </c>
      <c r="R919" s="14">
        <v>18.229485909090901</v>
      </c>
      <c r="S919" s="12">
        <v>15</v>
      </c>
      <c r="T919" s="12">
        <v>6.2999999999999972</v>
      </c>
      <c r="U919" s="14">
        <v>35.25</v>
      </c>
      <c r="V919" s="17">
        <v>419.99999999999983</v>
      </c>
      <c r="W919" s="14">
        <v>33.781394999999989</v>
      </c>
      <c r="X919">
        <f t="shared" si="28"/>
        <v>17.100000000000001</v>
      </c>
      <c r="Y919">
        <f t="shared" si="29"/>
        <v>33.781394999999989</v>
      </c>
    </row>
    <row r="920" spans="1:25">
      <c r="A920" s="12" t="s">
        <v>335</v>
      </c>
      <c r="B920" s="12" t="s">
        <v>371</v>
      </c>
      <c r="C920" s="12">
        <v>245</v>
      </c>
      <c r="D920" s="12">
        <v>2.35</v>
      </c>
      <c r="E920" s="12" t="s">
        <v>400</v>
      </c>
      <c r="F920" s="13">
        <v>41687</v>
      </c>
      <c r="G920" s="12">
        <v>51.8</v>
      </c>
      <c r="I920" s="13">
        <v>41731</v>
      </c>
      <c r="J920" s="12">
        <v>58.2</v>
      </c>
      <c r="L920" s="12">
        <v>44</v>
      </c>
      <c r="M920" s="12">
        <v>6.4000000000000057</v>
      </c>
      <c r="O920" s="17">
        <v>103.4</v>
      </c>
      <c r="P920" s="17"/>
      <c r="Q920" s="17">
        <v>145.45454545454558</v>
      </c>
      <c r="R920" s="14">
        <v>18.470859090909094</v>
      </c>
      <c r="S920" s="12">
        <v>15</v>
      </c>
      <c r="T920" s="12">
        <v>2.2000000000000028</v>
      </c>
      <c r="U920" s="14">
        <v>35.25</v>
      </c>
      <c r="V920" s="17">
        <v>146.66666666666686</v>
      </c>
      <c r="W920" s="14">
        <v>18.530616666666674</v>
      </c>
      <c r="X920">
        <f t="shared" si="28"/>
        <v>17.100000000000001</v>
      </c>
      <c r="Y920">
        <f t="shared" si="29"/>
        <v>18.530616666666674</v>
      </c>
    </row>
    <row r="921" spans="1:25">
      <c r="A921" s="12" t="s">
        <v>335</v>
      </c>
      <c r="B921" s="12" t="s">
        <v>371</v>
      </c>
      <c r="C921" s="12">
        <v>245</v>
      </c>
      <c r="D921" s="12">
        <v>2.35</v>
      </c>
      <c r="E921" s="12" t="s">
        <v>401</v>
      </c>
      <c r="F921" s="13">
        <v>41687</v>
      </c>
      <c r="G921" s="12">
        <v>56.2</v>
      </c>
      <c r="I921" s="13">
        <v>41731</v>
      </c>
      <c r="J921" s="12">
        <v>63</v>
      </c>
      <c r="L921" s="12">
        <v>44</v>
      </c>
      <c r="M921" s="12">
        <v>6.7999999999999972</v>
      </c>
      <c r="O921" s="17">
        <v>103.4</v>
      </c>
      <c r="P921" s="17"/>
      <c r="Q921" s="17">
        <v>154.54545454545448</v>
      </c>
      <c r="R921" s="14">
        <v>19.696854909090906</v>
      </c>
      <c r="S921" s="12">
        <v>15</v>
      </c>
      <c r="T921" s="12">
        <v>0.5</v>
      </c>
      <c r="U921" s="14">
        <v>35.25</v>
      </c>
      <c r="V921" s="17">
        <v>33.333333333333336</v>
      </c>
      <c r="W921" s="14">
        <v>13.721097333333333</v>
      </c>
      <c r="X921">
        <f t="shared" si="28"/>
        <v>17.100000000000001</v>
      </c>
      <c r="Y921">
        <f t="shared" si="29"/>
        <v>13.721097333333333</v>
      </c>
    </row>
    <row r="922" spans="1:25">
      <c r="A922" s="12" t="s">
        <v>335</v>
      </c>
      <c r="B922" s="12" t="s">
        <v>371</v>
      </c>
      <c r="C922" s="12">
        <v>245</v>
      </c>
      <c r="D922" s="12">
        <v>2.35</v>
      </c>
      <c r="E922" s="12" t="s">
        <v>402</v>
      </c>
      <c r="F922" s="13">
        <v>41687</v>
      </c>
      <c r="G922" s="12">
        <v>59.6</v>
      </c>
      <c r="I922" s="13">
        <v>41731</v>
      </c>
      <c r="J922" s="12">
        <v>65.2</v>
      </c>
      <c r="L922" s="12">
        <v>44</v>
      </c>
      <c r="M922" s="12">
        <v>5.6000000000000014</v>
      </c>
      <c r="O922" s="17">
        <v>103.4</v>
      </c>
      <c r="P922" s="17"/>
      <c r="Q922" s="17">
        <v>127.27272727272731</v>
      </c>
      <c r="R922" s="14">
        <v>18.825761454545457</v>
      </c>
      <c r="S922" s="12">
        <v>15</v>
      </c>
      <c r="T922" s="12">
        <v>0.20000000000000284</v>
      </c>
      <c r="U922" s="14">
        <v>35.25</v>
      </c>
      <c r="V922" s="17">
        <v>13.333333333333524</v>
      </c>
      <c r="W922" s="14">
        <v>13.208549333333343</v>
      </c>
      <c r="X922">
        <f t="shared" si="28"/>
        <v>17.100000000000001</v>
      </c>
      <c r="Y922">
        <f t="shared" si="29"/>
        <v>13.208549333333343</v>
      </c>
    </row>
    <row r="923" spans="1:25">
      <c r="A923" s="12" t="s">
        <v>335</v>
      </c>
      <c r="B923" s="12" t="s">
        <v>371</v>
      </c>
      <c r="C923" s="12">
        <v>245</v>
      </c>
      <c r="D923" s="12">
        <v>2.35</v>
      </c>
      <c r="E923" s="12" t="s">
        <v>403</v>
      </c>
      <c r="F923" s="13">
        <v>41687</v>
      </c>
      <c r="G923" s="12">
        <v>49.4</v>
      </c>
      <c r="I923" s="13">
        <v>41731</v>
      </c>
      <c r="J923" s="12">
        <v>55</v>
      </c>
      <c r="L923" s="12">
        <v>44</v>
      </c>
      <c r="M923" s="12">
        <v>5.6000000000000014</v>
      </c>
      <c r="O923" s="17">
        <v>103.4</v>
      </c>
      <c r="P923" s="17"/>
      <c r="Q923" s="17">
        <v>127.27272727272731</v>
      </c>
      <c r="R923" s="14">
        <v>17.101043454545458</v>
      </c>
      <c r="S923" s="12">
        <v>15</v>
      </c>
      <c r="T923" s="12">
        <v>2</v>
      </c>
      <c r="U923" s="14">
        <v>35.25</v>
      </c>
      <c r="V923" s="17">
        <v>133.33333333333334</v>
      </c>
      <c r="W923" s="14">
        <v>17.399831333333335</v>
      </c>
      <c r="X923">
        <f t="shared" si="28"/>
        <v>17.100000000000001</v>
      </c>
      <c r="Y923">
        <f t="shared" si="29"/>
        <v>17.399831333333335</v>
      </c>
    </row>
    <row r="924" spans="1:25">
      <c r="A924" s="12" t="s">
        <v>335</v>
      </c>
      <c r="B924" s="12" t="s">
        <v>371</v>
      </c>
      <c r="C924" s="12">
        <v>245</v>
      </c>
      <c r="D924" s="12">
        <v>2.35</v>
      </c>
      <c r="E924" s="12" t="s">
        <v>404</v>
      </c>
      <c r="F924" s="13">
        <v>41687</v>
      </c>
      <c r="G924" s="12">
        <v>52.8</v>
      </c>
      <c r="I924" s="13">
        <v>41731</v>
      </c>
      <c r="J924" s="12">
        <v>62.4</v>
      </c>
      <c r="L924" s="12">
        <v>44</v>
      </c>
      <c r="M924" s="12">
        <v>9.6000000000000014</v>
      </c>
      <c r="O924" s="17">
        <v>103.4</v>
      </c>
      <c r="P924" s="17"/>
      <c r="Q924" s="17">
        <v>218.18181818181822</v>
      </c>
      <c r="R924" s="14">
        <v>22.495947636363638</v>
      </c>
      <c r="S924" s="12">
        <v>15</v>
      </c>
      <c r="T924" s="12">
        <v>2.3999999999999986</v>
      </c>
      <c r="U924" s="14">
        <v>35.25</v>
      </c>
      <c r="V924" s="17">
        <v>159.99999999999989</v>
      </c>
      <c r="W924" s="14">
        <v>19.627583999999992</v>
      </c>
      <c r="X924">
        <f t="shared" si="28"/>
        <v>17.100000000000001</v>
      </c>
      <c r="Y924">
        <f t="shared" si="29"/>
        <v>19.627583999999992</v>
      </c>
    </row>
    <row r="925" spans="1:25">
      <c r="A925" s="12" t="s">
        <v>335</v>
      </c>
      <c r="B925" s="12" t="s">
        <v>371</v>
      </c>
      <c r="C925" s="12">
        <v>245</v>
      </c>
      <c r="D925" s="12">
        <v>2.35</v>
      </c>
      <c r="E925" s="12" t="s">
        <v>405</v>
      </c>
      <c r="F925" s="13">
        <v>41687</v>
      </c>
      <c r="G925" s="12">
        <v>61.2</v>
      </c>
      <c r="I925" s="13">
        <v>41731</v>
      </c>
      <c r="J925" s="12">
        <v>65</v>
      </c>
      <c r="L925" s="12">
        <v>44</v>
      </c>
      <c r="M925" s="12">
        <v>3.7999999999999972</v>
      </c>
      <c r="O925" s="17">
        <v>103.4</v>
      </c>
      <c r="P925" s="17"/>
      <c r="Q925" s="17">
        <v>86.363636363636289</v>
      </c>
      <c r="R925" s="14">
        <v>16.927306272727268</v>
      </c>
      <c r="S925" s="12">
        <v>15</v>
      </c>
      <c r="T925" s="12">
        <v>3</v>
      </c>
      <c r="U925" s="14">
        <v>35.25</v>
      </c>
      <c r="V925" s="17">
        <v>200</v>
      </c>
      <c r="W925" s="14">
        <v>22.529578999999998</v>
      </c>
      <c r="X925">
        <f t="shared" si="28"/>
        <v>17.100000000000001</v>
      </c>
      <c r="Y925">
        <f t="shared" si="29"/>
        <v>22.529578999999998</v>
      </c>
    </row>
    <row r="926" spans="1:25">
      <c r="A926" s="12" t="s">
        <v>335</v>
      </c>
      <c r="B926" s="12" t="s">
        <v>371</v>
      </c>
      <c r="C926" s="12">
        <v>245</v>
      </c>
      <c r="D926" s="12">
        <v>2.35</v>
      </c>
      <c r="E926" s="12" t="s">
        <v>406</v>
      </c>
      <c r="F926" s="13">
        <v>41687</v>
      </c>
      <c r="G926" s="12">
        <v>50.6</v>
      </c>
      <c r="I926" s="13">
        <v>41731</v>
      </c>
      <c r="J926" s="12">
        <v>56.2</v>
      </c>
      <c r="L926" s="12">
        <v>44</v>
      </c>
      <c r="M926" s="12">
        <v>5.6000000000000014</v>
      </c>
      <c r="O926" s="17">
        <v>103.4</v>
      </c>
      <c r="P926" s="17"/>
      <c r="Q926" s="17">
        <v>127.27272727272731</v>
      </c>
      <c r="R926" s="14">
        <v>17.303951454545455</v>
      </c>
      <c r="S926" s="12">
        <v>15</v>
      </c>
      <c r="T926" s="12">
        <v>-0.79999999999999716</v>
      </c>
      <c r="U926" s="14">
        <v>35.25</v>
      </c>
      <c r="V926" s="17">
        <v>-53.333333333333144</v>
      </c>
      <c r="W926" s="14">
        <v>8.4000726666666754</v>
      </c>
      <c r="X926">
        <f t="shared" si="28"/>
        <v>17.100000000000001</v>
      </c>
      <c r="Y926">
        <f t="shared" si="29"/>
        <v>8.4000726666666754</v>
      </c>
    </row>
    <row r="927" spans="1:25">
      <c r="A927" s="12" t="s">
        <v>335</v>
      </c>
      <c r="B927" s="12" t="s">
        <v>371</v>
      </c>
      <c r="C927" s="12">
        <v>245</v>
      </c>
      <c r="D927" s="12">
        <v>2.35</v>
      </c>
      <c r="E927" s="12" t="s">
        <v>407</v>
      </c>
      <c r="F927" s="13">
        <v>41687</v>
      </c>
      <c r="G927" s="12">
        <v>50.4</v>
      </c>
      <c r="I927" s="13">
        <v>41731</v>
      </c>
      <c r="J927" s="12">
        <v>57.8</v>
      </c>
      <c r="L927" s="12">
        <v>44</v>
      </c>
      <c r="M927" s="12">
        <v>7.3999999999999986</v>
      </c>
      <c r="O927" s="17">
        <v>103.4</v>
      </c>
      <c r="P927" s="17"/>
      <c r="Q927" s="17">
        <v>168.18181818181816</v>
      </c>
      <c r="R927" s="14">
        <v>19.439132636363631</v>
      </c>
      <c r="S927" s="12">
        <v>15</v>
      </c>
      <c r="T927" s="12">
        <v>2.7999999999999972</v>
      </c>
      <c r="U927" s="14">
        <v>35.25</v>
      </c>
      <c r="V927" s="17">
        <v>186.66666666666649</v>
      </c>
      <c r="W927" s="14">
        <v>20.350435666666655</v>
      </c>
      <c r="X927">
        <f t="shared" si="28"/>
        <v>17.100000000000001</v>
      </c>
      <c r="Y927">
        <f t="shared" si="29"/>
        <v>20.350435666666655</v>
      </c>
    </row>
    <row r="928" spans="1:25">
      <c r="A928" s="12" t="s">
        <v>335</v>
      </c>
      <c r="B928" s="12" t="s">
        <v>371</v>
      </c>
      <c r="C928" s="12">
        <v>245</v>
      </c>
      <c r="D928" s="12">
        <v>2.35</v>
      </c>
      <c r="E928" s="12" t="s">
        <v>408</v>
      </c>
      <c r="F928" s="13">
        <v>41687</v>
      </c>
      <c r="G928" s="12">
        <v>56.4</v>
      </c>
      <c r="I928" s="13">
        <v>41731</v>
      </c>
      <c r="J928" s="12">
        <v>62.6</v>
      </c>
      <c r="L928" s="12">
        <v>44</v>
      </c>
      <c r="M928" s="12">
        <v>6.2000000000000028</v>
      </c>
      <c r="O928" s="17">
        <v>103.4</v>
      </c>
      <c r="P928" s="17"/>
      <c r="Q928" s="17">
        <v>140.90909090909099</v>
      </c>
      <c r="R928" s="14">
        <v>19.007673181818184</v>
      </c>
      <c r="S928" s="12">
        <v>15</v>
      </c>
      <c r="T928" s="12">
        <v>5.1000000000000014</v>
      </c>
      <c r="U928" s="14">
        <v>35.25</v>
      </c>
      <c r="V928" s="17">
        <v>340.00000000000006</v>
      </c>
      <c r="W928" s="14">
        <v>28.822855000000004</v>
      </c>
      <c r="X928">
        <f t="shared" si="28"/>
        <v>17.100000000000001</v>
      </c>
      <c r="Y928">
        <f t="shared" si="29"/>
        <v>28.822855000000004</v>
      </c>
    </row>
    <row r="929" spans="1:25">
      <c r="A929" s="12" t="s">
        <v>335</v>
      </c>
      <c r="B929" s="12" t="s">
        <v>371</v>
      </c>
      <c r="C929" s="12">
        <v>245</v>
      </c>
      <c r="D929" s="12">
        <v>2.35</v>
      </c>
      <c r="E929" s="12" t="s">
        <v>409</v>
      </c>
      <c r="F929" s="13">
        <v>41687</v>
      </c>
      <c r="G929" s="12">
        <v>58.2</v>
      </c>
      <c r="I929" s="13">
        <v>41731</v>
      </c>
      <c r="J929" s="12">
        <v>58.4</v>
      </c>
      <c r="L929" s="12">
        <v>44</v>
      </c>
      <c r="M929" s="12">
        <v>0.19999999999999574</v>
      </c>
      <c r="O929" s="17">
        <v>103.4</v>
      </c>
      <c r="P929" s="17"/>
      <c r="Q929" s="17">
        <v>4.545454545454449</v>
      </c>
      <c r="R929" s="14">
        <v>12.082037909090904</v>
      </c>
      <c r="S929" s="12">
        <v>15</v>
      </c>
      <c r="T929" s="12">
        <v>-1.1000000000000014</v>
      </c>
      <c r="U929" s="14">
        <v>35.25</v>
      </c>
      <c r="V929" s="17">
        <v>-73.333333333333428</v>
      </c>
      <c r="W929" s="14">
        <v>8.2426136666666618</v>
      </c>
      <c r="X929">
        <f t="shared" si="28"/>
        <v>17.100000000000001</v>
      </c>
      <c r="Y929">
        <f t="shared" si="29"/>
        <v>8.2426136666666618</v>
      </c>
    </row>
    <row r="930" spans="1:25">
      <c r="A930" s="12" t="s">
        <v>335</v>
      </c>
      <c r="B930" s="12" t="s">
        <v>371</v>
      </c>
      <c r="C930" s="12">
        <v>245</v>
      </c>
      <c r="D930" s="12">
        <v>2.35</v>
      </c>
      <c r="E930" s="12" t="s">
        <v>410</v>
      </c>
      <c r="F930" s="13">
        <v>41687</v>
      </c>
      <c r="G930" s="12">
        <v>53.8</v>
      </c>
      <c r="I930" s="13">
        <v>41731</v>
      </c>
      <c r="J930" s="12">
        <v>59</v>
      </c>
      <c r="L930" s="12">
        <v>44</v>
      </c>
      <c r="M930" s="12">
        <v>5.2000000000000028</v>
      </c>
      <c r="O930" s="17">
        <v>103.4</v>
      </c>
      <c r="P930" s="17"/>
      <c r="Q930" s="17">
        <v>118.18181818181824</v>
      </c>
      <c r="R930" s="14">
        <v>17.363039636363638</v>
      </c>
      <c r="S930" s="12">
        <v>15</v>
      </c>
      <c r="T930" s="12">
        <v>0</v>
      </c>
      <c r="U930" s="14">
        <v>35.25</v>
      </c>
      <c r="V930" s="17">
        <v>0</v>
      </c>
      <c r="W930" s="14">
        <v>11.536676</v>
      </c>
      <c r="X930">
        <f t="shared" si="28"/>
        <v>17.100000000000001</v>
      </c>
      <c r="Y930">
        <f t="shared" si="29"/>
        <v>11.536676</v>
      </c>
    </row>
    <row r="931" spans="1:25">
      <c r="A931" s="12" t="s">
        <v>335</v>
      </c>
      <c r="B931" s="12" t="s">
        <v>371</v>
      </c>
      <c r="C931" s="12">
        <v>245</v>
      </c>
      <c r="D931" s="12">
        <v>2.35</v>
      </c>
      <c r="E931" s="12" t="s">
        <v>411</v>
      </c>
      <c r="F931" s="13">
        <v>41687</v>
      </c>
      <c r="G931" s="12">
        <v>59.2</v>
      </c>
      <c r="I931" s="13">
        <v>41731</v>
      </c>
      <c r="J931" s="12">
        <v>59.4</v>
      </c>
      <c r="L931" s="12">
        <v>44</v>
      </c>
      <c r="M931" s="12">
        <v>0.19999999999999574</v>
      </c>
      <c r="O931" s="17">
        <v>103.4</v>
      </c>
      <c r="P931" s="17"/>
      <c r="Q931" s="17">
        <v>4.545454545454449</v>
      </c>
      <c r="R931" s="14">
        <v>12.251127909090902</v>
      </c>
      <c r="S931" s="12">
        <v>15</v>
      </c>
      <c r="T931" s="12">
        <v>1.3999999999999986</v>
      </c>
      <c r="U931" s="14">
        <v>35.25</v>
      </c>
      <c r="V931" s="17">
        <v>93.333333333333243</v>
      </c>
      <c r="W931" s="14">
        <v>16.628370333333326</v>
      </c>
      <c r="X931">
        <f t="shared" si="28"/>
        <v>17.100000000000001</v>
      </c>
      <c r="Y931">
        <f t="shared" si="29"/>
        <v>16.628370333333326</v>
      </c>
    </row>
    <row r="932" spans="1:25">
      <c r="A932" s="12" t="s">
        <v>335</v>
      </c>
      <c r="B932" s="12" t="s">
        <v>371</v>
      </c>
      <c r="C932" s="12">
        <v>245</v>
      </c>
      <c r="D932" s="12">
        <v>2.35</v>
      </c>
      <c r="E932" s="12" t="s">
        <v>412</v>
      </c>
      <c r="F932" s="13">
        <v>41687</v>
      </c>
      <c r="G932" s="12">
        <v>52</v>
      </c>
      <c r="I932" s="13">
        <v>41731</v>
      </c>
      <c r="J932" s="12">
        <v>60.8</v>
      </c>
      <c r="L932" s="12">
        <v>44</v>
      </c>
      <c r="M932" s="12">
        <v>8.7999999999999972</v>
      </c>
      <c r="O932" s="17">
        <v>103.4</v>
      </c>
      <c r="P932" s="17"/>
      <c r="Q932" s="17">
        <v>199.99999999999991</v>
      </c>
      <c r="R932" s="14">
        <v>21.396675999999996</v>
      </c>
      <c r="S932" s="12">
        <v>15</v>
      </c>
      <c r="T932" s="12">
        <v>1.2999999999999972</v>
      </c>
      <c r="U932" s="14">
        <v>35.25</v>
      </c>
      <c r="V932" s="17">
        <v>86.666666666666472</v>
      </c>
      <c r="W932" s="14">
        <v>15.809342666666657</v>
      </c>
      <c r="X932">
        <f t="shared" si="28"/>
        <v>17.100000000000001</v>
      </c>
      <c r="Y932">
        <f t="shared" si="29"/>
        <v>15.809342666666657</v>
      </c>
    </row>
    <row r="933" spans="1:25">
      <c r="A933" s="12" t="s">
        <v>335</v>
      </c>
      <c r="B933" s="12" t="s">
        <v>371</v>
      </c>
      <c r="C933" s="12">
        <v>245</v>
      </c>
      <c r="D933" s="12">
        <v>2.35</v>
      </c>
      <c r="E933" s="12" t="s">
        <v>413</v>
      </c>
      <c r="F933" s="13">
        <v>41687</v>
      </c>
      <c r="G933" s="12">
        <v>60.6</v>
      </c>
      <c r="I933" s="13">
        <v>41731</v>
      </c>
      <c r="J933" s="12">
        <v>65.599999999999994</v>
      </c>
      <c r="L933" s="12">
        <v>44</v>
      </c>
      <c r="M933" s="12">
        <v>4.9999999999999929</v>
      </c>
      <c r="O933" s="17">
        <v>103.4</v>
      </c>
      <c r="P933" s="17"/>
      <c r="Q933" s="17">
        <v>113.63636363636348</v>
      </c>
      <c r="R933" s="14">
        <v>18.271851727272718</v>
      </c>
      <c r="S933" s="12">
        <v>15</v>
      </c>
      <c r="T933" s="12">
        <v>3.0999999999999943</v>
      </c>
      <c r="U933" s="14">
        <v>35.25</v>
      </c>
      <c r="V933" s="17">
        <v>206.66666666666629</v>
      </c>
      <c r="W933" s="14">
        <v>22.858245666666647</v>
      </c>
      <c r="X933">
        <f t="shared" si="28"/>
        <v>17.100000000000001</v>
      </c>
      <c r="Y933">
        <f t="shared" si="29"/>
        <v>22.858245666666647</v>
      </c>
    </row>
    <row r="934" spans="1:25">
      <c r="A934" s="12" t="s">
        <v>335</v>
      </c>
      <c r="B934" s="12" t="s">
        <v>371</v>
      </c>
      <c r="C934" s="12">
        <v>245</v>
      </c>
      <c r="D934" s="12">
        <v>2.35</v>
      </c>
      <c r="E934" s="12" t="s">
        <v>414</v>
      </c>
      <c r="F934" s="13">
        <v>41687</v>
      </c>
      <c r="G934" s="12">
        <v>51.2</v>
      </c>
      <c r="I934" s="13">
        <v>41731</v>
      </c>
      <c r="J934" s="12">
        <v>53.2</v>
      </c>
      <c r="L934" s="12">
        <v>44</v>
      </c>
      <c r="M934" s="12">
        <v>2</v>
      </c>
      <c r="O934" s="17">
        <v>103.4</v>
      </c>
      <c r="P934" s="17"/>
      <c r="Q934" s="17">
        <v>45.454545454545453</v>
      </c>
      <c r="R934" s="14">
        <v>13.067407090909091</v>
      </c>
      <c r="S934" s="12">
        <v>15</v>
      </c>
      <c r="T934" s="12">
        <v>-1.7999999999999972</v>
      </c>
      <c r="U934" s="14">
        <v>35.25</v>
      </c>
      <c r="V934" s="17">
        <v>-119.99999999999982</v>
      </c>
      <c r="W934" s="14">
        <v>4.9104980000000102</v>
      </c>
      <c r="X934">
        <f t="shared" si="28"/>
        <v>17.100000000000001</v>
      </c>
      <c r="Y934">
        <f t="shared" si="29"/>
        <v>4.9104980000000102</v>
      </c>
    </row>
    <row r="935" spans="1:25">
      <c r="A935" s="12" t="s">
        <v>335</v>
      </c>
      <c r="B935" s="12" t="s">
        <v>371</v>
      </c>
      <c r="C935" s="12">
        <v>245</v>
      </c>
      <c r="D935" s="12">
        <v>2.35</v>
      </c>
      <c r="E935" s="12" t="s">
        <v>415</v>
      </c>
      <c r="F935" s="13">
        <v>41687</v>
      </c>
      <c r="G935" s="12">
        <v>63.4</v>
      </c>
      <c r="I935" s="13">
        <v>41731</v>
      </c>
      <c r="J935" s="12">
        <v>71.599999999999994</v>
      </c>
      <c r="L935" s="12">
        <v>44</v>
      </c>
      <c r="M935" s="12">
        <v>8.1999999999999957</v>
      </c>
      <c r="O935" s="17">
        <v>103.4</v>
      </c>
      <c r="P935" s="17"/>
      <c r="Q935" s="17">
        <v>186.36363636363626</v>
      </c>
      <c r="R935" s="14">
        <v>22.601302272727267</v>
      </c>
      <c r="S935" s="12">
        <v>15</v>
      </c>
      <c r="T935" s="12">
        <v>0.59999999999999432</v>
      </c>
      <c r="U935" s="14">
        <v>35.25</v>
      </c>
      <c r="V935" s="17">
        <v>39.999999999999616</v>
      </c>
      <c r="W935" s="14">
        <v>15.385574999999982</v>
      </c>
      <c r="X935">
        <f t="shared" si="28"/>
        <v>17.100000000000001</v>
      </c>
      <c r="Y935">
        <f t="shared" si="29"/>
        <v>15.38557499999998</v>
      </c>
    </row>
    <row r="936" spans="1:25">
      <c r="A936" s="12" t="s">
        <v>335</v>
      </c>
      <c r="B936" s="12" t="s">
        <v>371</v>
      </c>
      <c r="C936" s="12">
        <v>245</v>
      </c>
      <c r="D936" s="12">
        <v>2.35</v>
      </c>
      <c r="E936" s="12" t="s">
        <v>416</v>
      </c>
      <c r="F936" s="13">
        <v>41687</v>
      </c>
      <c r="G936" s="12">
        <v>57.4</v>
      </c>
      <c r="I936" s="13">
        <v>41731</v>
      </c>
      <c r="J936" s="12">
        <v>61</v>
      </c>
      <c r="L936" s="12">
        <v>44</v>
      </c>
      <c r="M936" s="12">
        <v>3.6000000000000014</v>
      </c>
      <c r="O936" s="17">
        <v>103.4</v>
      </c>
      <c r="P936" s="17"/>
      <c r="Q936" s="17">
        <v>81.818181818181841</v>
      </c>
      <c r="R936" s="14">
        <v>16.043764363636363</v>
      </c>
      <c r="S936" s="12">
        <v>15</v>
      </c>
      <c r="T936" s="12">
        <v>1</v>
      </c>
      <c r="U936" s="14">
        <v>35.25</v>
      </c>
      <c r="V936" s="17">
        <v>66.666666666666671</v>
      </c>
      <c r="W936" s="14">
        <v>15.296794666666667</v>
      </c>
      <c r="X936">
        <f t="shared" si="28"/>
        <v>17.100000000000001</v>
      </c>
      <c r="Y936">
        <f t="shared" si="29"/>
        <v>15.296794666666667</v>
      </c>
    </row>
    <row r="937" spans="1:25">
      <c r="A937" s="12" t="s">
        <v>335</v>
      </c>
      <c r="B937" s="12" t="s">
        <v>371</v>
      </c>
      <c r="C937" s="12">
        <v>245</v>
      </c>
      <c r="D937" s="12">
        <v>2.35</v>
      </c>
      <c r="E937" s="12" t="s">
        <v>417</v>
      </c>
      <c r="F937" s="13">
        <v>41687</v>
      </c>
      <c r="G937" s="12">
        <v>56.8</v>
      </c>
      <c r="I937" s="13">
        <v>41731</v>
      </c>
      <c r="J937" s="12">
        <v>65</v>
      </c>
      <c r="L937" s="12">
        <v>44</v>
      </c>
      <c r="M937" s="12">
        <v>8.2000000000000028</v>
      </c>
      <c r="O937" s="17">
        <v>103.4</v>
      </c>
      <c r="P937" s="17"/>
      <c r="Q937" s="17">
        <v>186.36363636363643</v>
      </c>
      <c r="R937" s="14">
        <v>21.485308272727274</v>
      </c>
      <c r="S937" s="12">
        <v>15</v>
      </c>
      <c r="T937" s="12">
        <v>2</v>
      </c>
      <c r="U937" s="14">
        <v>35.25</v>
      </c>
      <c r="V937" s="17">
        <v>133.33333333333334</v>
      </c>
      <c r="W937" s="14">
        <v>18.870914333333332</v>
      </c>
      <c r="X937">
        <f t="shared" si="28"/>
        <v>17.100000000000001</v>
      </c>
      <c r="Y937">
        <f t="shared" si="29"/>
        <v>18.870914333333332</v>
      </c>
    </row>
    <row r="938" spans="1:25">
      <c r="A938" s="12" t="s">
        <v>335</v>
      </c>
      <c r="B938" s="12" t="s">
        <v>371</v>
      </c>
      <c r="C938" s="12">
        <v>245</v>
      </c>
      <c r="D938" s="12">
        <v>2.35</v>
      </c>
      <c r="E938" s="12" t="s">
        <v>418</v>
      </c>
      <c r="F938" s="13">
        <v>41687</v>
      </c>
      <c r="G938" s="12">
        <v>54.4</v>
      </c>
      <c r="I938" s="13">
        <v>41731</v>
      </c>
      <c r="J938" s="12">
        <v>61</v>
      </c>
      <c r="L938" s="12">
        <v>44</v>
      </c>
      <c r="M938" s="12">
        <v>6.6000000000000014</v>
      </c>
      <c r="O938" s="17">
        <v>103.4</v>
      </c>
      <c r="P938" s="17"/>
      <c r="Q938" s="17">
        <v>150.00000000000003</v>
      </c>
      <c r="R938" s="14">
        <v>19.151493000000002</v>
      </c>
      <c r="S938" s="12">
        <v>15</v>
      </c>
      <c r="T938" s="12">
        <v>2</v>
      </c>
      <c r="U938" s="14">
        <v>35.25</v>
      </c>
      <c r="V938" s="17">
        <v>133.33333333333334</v>
      </c>
      <c r="W938" s="14">
        <v>18.329826333333333</v>
      </c>
      <c r="X938">
        <f t="shared" si="28"/>
        <v>17.100000000000001</v>
      </c>
      <c r="Y938">
        <f t="shared" si="29"/>
        <v>18.329826333333333</v>
      </c>
    </row>
    <row r="939" spans="1:25">
      <c r="A939" s="12" t="s">
        <v>335</v>
      </c>
      <c r="B939" s="12" t="s">
        <v>371</v>
      </c>
      <c r="C939" s="12">
        <v>245</v>
      </c>
      <c r="D939" s="12">
        <v>2.35</v>
      </c>
      <c r="E939" s="12" t="s">
        <v>419</v>
      </c>
      <c r="F939" s="13">
        <v>41687</v>
      </c>
      <c r="G939" s="12">
        <v>52.4</v>
      </c>
      <c r="I939" s="13">
        <v>41731</v>
      </c>
      <c r="J939" s="12">
        <v>57</v>
      </c>
      <c r="L939" s="12">
        <v>44</v>
      </c>
      <c r="M939" s="12">
        <v>4.6000000000000014</v>
      </c>
      <c r="O939" s="17">
        <v>103.4</v>
      </c>
      <c r="P939" s="17"/>
      <c r="Q939" s="17">
        <v>104.54545454545458</v>
      </c>
      <c r="R939" s="14">
        <v>16.403313909090912</v>
      </c>
      <c r="S939" s="12">
        <v>15</v>
      </c>
      <c r="T939" s="12">
        <v>-1.5</v>
      </c>
      <c r="U939" s="14">
        <v>35.25</v>
      </c>
      <c r="V939" s="17">
        <v>-100</v>
      </c>
      <c r="W939" s="14">
        <v>6.3192230000000009</v>
      </c>
      <c r="X939">
        <f t="shared" si="28"/>
        <v>17.100000000000001</v>
      </c>
      <c r="Y939">
        <f t="shared" si="29"/>
        <v>6.3192230000000009</v>
      </c>
    </row>
    <row r="940" spans="1:25">
      <c r="A940" s="12" t="s">
        <v>335</v>
      </c>
      <c r="B940" s="12" t="s">
        <v>371</v>
      </c>
      <c r="C940" s="12">
        <v>245</v>
      </c>
      <c r="D940" s="12">
        <v>2.35</v>
      </c>
      <c r="E940" s="12" t="s">
        <v>420</v>
      </c>
      <c r="F940" s="13">
        <v>41687</v>
      </c>
      <c r="G940" s="12">
        <v>52.8</v>
      </c>
      <c r="I940" s="13">
        <v>41731</v>
      </c>
      <c r="J940" s="12">
        <v>55</v>
      </c>
      <c r="L940" s="12">
        <v>44</v>
      </c>
      <c r="M940" s="12">
        <v>2.2000000000000028</v>
      </c>
      <c r="O940" s="17">
        <v>103.4</v>
      </c>
      <c r="P940" s="17"/>
      <c r="Q940" s="17">
        <v>50.000000000000064</v>
      </c>
      <c r="R940" s="14">
        <v>13.578951000000002</v>
      </c>
      <c r="S940" s="12">
        <v>15</v>
      </c>
      <c r="T940" s="12">
        <v>-1</v>
      </c>
      <c r="U940" s="14">
        <v>35.25</v>
      </c>
      <c r="V940" s="17">
        <v>-66.666666666666671</v>
      </c>
      <c r="W940" s="14">
        <v>7.8272843333333313</v>
      </c>
      <c r="X940">
        <f t="shared" si="28"/>
        <v>17.100000000000001</v>
      </c>
      <c r="Y940">
        <f t="shared" si="29"/>
        <v>7.8272843333333313</v>
      </c>
    </row>
    <row r="941" spans="1:25">
      <c r="A941" s="12" t="s">
        <v>335</v>
      </c>
      <c r="B941" s="12" t="s">
        <v>371</v>
      </c>
      <c r="C941" s="12">
        <v>245</v>
      </c>
      <c r="D941" s="12">
        <v>2.35</v>
      </c>
      <c r="E941" s="12" t="s">
        <v>421</v>
      </c>
      <c r="F941" s="13">
        <v>41687</v>
      </c>
      <c r="G941" s="12">
        <v>54.4</v>
      </c>
      <c r="I941" s="13">
        <v>41731</v>
      </c>
      <c r="J941" s="12">
        <v>62.8</v>
      </c>
      <c r="L941" s="12">
        <v>44</v>
      </c>
      <c r="M941" s="12">
        <v>8.3999999999999986</v>
      </c>
      <c r="O941" s="17">
        <v>103.4</v>
      </c>
      <c r="P941" s="17"/>
      <c r="Q941" s="17">
        <v>190.90909090909088</v>
      </c>
      <c r="R941" s="14">
        <v>21.320492181818178</v>
      </c>
      <c r="S941" s="12">
        <v>15</v>
      </c>
      <c r="T941" s="12">
        <v>-0.20000000000000284</v>
      </c>
      <c r="U941" s="14">
        <v>35.25</v>
      </c>
      <c r="V941" s="17">
        <v>-13.333333333333524</v>
      </c>
      <c r="W941" s="14">
        <v>11.251340666666655</v>
      </c>
      <c r="X941">
        <f t="shared" si="28"/>
        <v>17.100000000000001</v>
      </c>
      <c r="Y941">
        <f t="shared" si="29"/>
        <v>11.251340666666655</v>
      </c>
    </row>
    <row r="942" spans="1:25">
      <c r="A942" s="12" t="s">
        <v>335</v>
      </c>
      <c r="B942" s="12" t="s">
        <v>371</v>
      </c>
      <c r="C942" s="12">
        <v>245</v>
      </c>
      <c r="D942" s="12">
        <v>2.35</v>
      </c>
      <c r="E942" s="12" t="s">
        <v>422</v>
      </c>
      <c r="F942" s="13">
        <v>41687</v>
      </c>
      <c r="G942" s="12">
        <v>57</v>
      </c>
      <c r="I942" s="13">
        <v>41731</v>
      </c>
      <c r="J942" s="12">
        <v>71.599999999999994</v>
      </c>
      <c r="L942" s="12">
        <v>44</v>
      </c>
      <c r="M942" s="12">
        <v>14.599999999999994</v>
      </c>
      <c r="O942" s="17">
        <v>103.4</v>
      </c>
      <c r="P942" s="17"/>
      <c r="Q942" s="17">
        <v>331.8181818181817</v>
      </c>
      <c r="R942" s="14">
        <v>29.231123363636357</v>
      </c>
      <c r="S942" s="12">
        <v>15</v>
      </c>
      <c r="T942" s="12">
        <v>18.599999999999994</v>
      </c>
      <c r="U942" s="14">
        <v>35.25</v>
      </c>
      <c r="V942" s="17">
        <v>1239.9999999999995</v>
      </c>
      <c r="W942" s="14">
        <v>74.004486999999983</v>
      </c>
      <c r="X942">
        <f t="shared" si="28"/>
        <v>17.100000000000001</v>
      </c>
      <c r="Y942">
        <f t="shared" si="29"/>
        <v>74.004486999999983</v>
      </c>
    </row>
    <row r="943" spans="1:25">
      <c r="A943" s="12" t="s">
        <v>335</v>
      </c>
      <c r="B943" s="12" t="s">
        <v>371</v>
      </c>
      <c r="C943" s="12">
        <v>245</v>
      </c>
      <c r="D943" s="12">
        <v>2.35</v>
      </c>
      <c r="E943" s="12" t="s">
        <v>423</v>
      </c>
      <c r="F943" s="13">
        <v>41687</v>
      </c>
      <c r="G943" s="12">
        <v>54.2</v>
      </c>
      <c r="I943" s="13">
        <v>41731</v>
      </c>
      <c r="J943" s="12">
        <v>61.2</v>
      </c>
      <c r="L943" s="12">
        <v>44</v>
      </c>
      <c r="M943" s="12">
        <v>7</v>
      </c>
      <c r="O943" s="17">
        <v>103.4</v>
      </c>
      <c r="P943" s="17"/>
      <c r="Q943" s="17">
        <v>159.09090909090909</v>
      </c>
      <c r="R943" s="14">
        <v>19.599674818181818</v>
      </c>
      <c r="S943" s="12">
        <v>15</v>
      </c>
      <c r="T943" s="12">
        <v>0.70000000000000284</v>
      </c>
      <c r="U943" s="14">
        <v>35.25</v>
      </c>
      <c r="V943" s="17">
        <v>46.666666666666856</v>
      </c>
      <c r="W943" s="14">
        <v>14.057159666666676</v>
      </c>
      <c r="X943">
        <f t="shared" si="28"/>
        <v>17.100000000000001</v>
      </c>
      <c r="Y943">
        <f t="shared" si="29"/>
        <v>14.057159666666676</v>
      </c>
    </row>
    <row r="944" spans="1:25">
      <c r="A944" s="12" t="s">
        <v>335</v>
      </c>
      <c r="B944" s="12" t="s">
        <v>371</v>
      </c>
      <c r="C944" s="12">
        <v>245</v>
      </c>
      <c r="D944" s="12">
        <v>2.35</v>
      </c>
      <c r="E944" s="12" t="s">
        <v>424</v>
      </c>
      <c r="F944" s="13">
        <v>41687</v>
      </c>
      <c r="G944" s="12">
        <v>54.4</v>
      </c>
      <c r="I944" s="13">
        <v>41731</v>
      </c>
      <c r="J944" s="12">
        <v>59.2</v>
      </c>
      <c r="L944" s="12">
        <v>44</v>
      </c>
      <c r="M944" s="12">
        <v>4.8000000000000043</v>
      </c>
      <c r="O944" s="17">
        <v>103.4</v>
      </c>
      <c r="P944" s="17"/>
      <c r="Q944" s="17">
        <v>109.09090909090918</v>
      </c>
      <c r="R944" s="14">
        <v>16.982493818181823</v>
      </c>
      <c r="S944" s="12">
        <v>15</v>
      </c>
      <c r="T944" s="12">
        <v>-0.29999999999999716</v>
      </c>
      <c r="U944" s="14">
        <v>35.25</v>
      </c>
      <c r="V944" s="17">
        <v>-19.999999999999808</v>
      </c>
      <c r="W944" s="14">
        <v>10.618312000000008</v>
      </c>
      <c r="X944">
        <f t="shared" si="28"/>
        <v>17.100000000000001</v>
      </c>
      <c r="Y944">
        <f t="shared" si="29"/>
        <v>10.618312000000008</v>
      </c>
    </row>
    <row r="945" spans="1:25">
      <c r="A945" s="12" t="s">
        <v>335</v>
      </c>
      <c r="B945" s="12" t="s">
        <v>425</v>
      </c>
      <c r="C945" s="12">
        <v>161</v>
      </c>
      <c r="D945" s="12">
        <v>2.36</v>
      </c>
      <c r="E945" s="12" t="s">
        <v>426</v>
      </c>
      <c r="F945" s="13">
        <v>41687</v>
      </c>
      <c r="G945" s="12">
        <v>53.2</v>
      </c>
      <c r="I945" s="13">
        <v>41731</v>
      </c>
      <c r="J945" s="12">
        <v>60.2</v>
      </c>
      <c r="L945" s="12">
        <v>44</v>
      </c>
      <c r="M945" s="12">
        <v>7</v>
      </c>
      <c r="O945" s="17">
        <v>103.83999999999999</v>
      </c>
      <c r="P945" s="17"/>
      <c r="Q945" s="17">
        <v>159.09090909090909</v>
      </c>
      <c r="R945" s="14">
        <v>19.430584818181817</v>
      </c>
      <c r="S945" s="12">
        <v>15</v>
      </c>
      <c r="T945" s="12">
        <v>1.7000000000000028</v>
      </c>
      <c r="U945" s="14">
        <v>35.4</v>
      </c>
      <c r="V945" s="17">
        <v>113.33333333333353</v>
      </c>
      <c r="W945" s="14">
        <v>17.174736333333342</v>
      </c>
      <c r="X945">
        <f t="shared" si="28"/>
        <v>17.100000000000001</v>
      </c>
      <c r="Y945">
        <f t="shared" si="29"/>
        <v>17.174736333333342</v>
      </c>
    </row>
    <row r="946" spans="1:25">
      <c r="A946" s="12" t="s">
        <v>335</v>
      </c>
      <c r="B946" s="12" t="s">
        <v>425</v>
      </c>
      <c r="C946" s="12">
        <v>161</v>
      </c>
      <c r="D946" s="12">
        <v>2.36</v>
      </c>
      <c r="E946" s="12" t="s">
        <v>427</v>
      </c>
      <c r="F946" s="13">
        <v>41687</v>
      </c>
      <c r="G946" s="12">
        <v>54.4</v>
      </c>
      <c r="I946" s="13">
        <v>41731</v>
      </c>
      <c r="J946" s="12">
        <v>60.8</v>
      </c>
      <c r="L946" s="12">
        <v>44</v>
      </c>
      <c r="M946" s="12">
        <v>6.3999999999999986</v>
      </c>
      <c r="O946" s="17">
        <v>103.83999999999999</v>
      </c>
      <c r="P946" s="17"/>
      <c r="Q946" s="17">
        <v>145.45454545454541</v>
      </c>
      <c r="R946" s="14">
        <v>18.910493090909089</v>
      </c>
      <c r="S946" s="12">
        <v>15</v>
      </c>
      <c r="T946" s="12">
        <v>0.79999999999999716</v>
      </c>
      <c r="U946" s="14">
        <v>35.4</v>
      </c>
      <c r="V946" s="17">
        <v>53.333333333333144</v>
      </c>
      <c r="W946" s="14">
        <v>14.368917333333323</v>
      </c>
      <c r="X946">
        <f t="shared" si="28"/>
        <v>17.100000000000001</v>
      </c>
      <c r="Y946">
        <f t="shared" si="29"/>
        <v>14.368917333333323</v>
      </c>
    </row>
    <row r="947" spans="1:25">
      <c r="A947" s="12" t="s">
        <v>335</v>
      </c>
      <c r="B947" s="12" t="s">
        <v>425</v>
      </c>
      <c r="C947" s="12">
        <v>161</v>
      </c>
      <c r="D947" s="12">
        <v>2.36</v>
      </c>
      <c r="E947" s="12" t="s">
        <v>428</v>
      </c>
      <c r="F947" s="13">
        <v>41687</v>
      </c>
      <c r="G947" s="12">
        <v>53.2</v>
      </c>
      <c r="I947" s="13">
        <v>41731</v>
      </c>
      <c r="J947" s="12">
        <v>60</v>
      </c>
      <c r="L947" s="12">
        <v>44</v>
      </c>
      <c r="M947" s="12">
        <v>6.7999999999999972</v>
      </c>
      <c r="O947" s="17">
        <v>103.83999999999999</v>
      </c>
      <c r="P947" s="17"/>
      <c r="Q947" s="17">
        <v>154.54545454545448</v>
      </c>
      <c r="R947" s="14">
        <v>19.189584909090904</v>
      </c>
      <c r="S947" s="12">
        <v>15</v>
      </c>
      <c r="T947" s="12">
        <v>0</v>
      </c>
      <c r="U947" s="14">
        <v>35.4</v>
      </c>
      <c r="V947" s="17">
        <v>0</v>
      </c>
      <c r="W947" s="14">
        <v>11.570494</v>
      </c>
      <c r="X947">
        <f t="shared" si="28"/>
        <v>17.100000000000001</v>
      </c>
      <c r="Y947">
        <f t="shared" si="29"/>
        <v>11.570494</v>
      </c>
    </row>
    <row r="948" spans="1:25">
      <c r="A948" s="12" t="s">
        <v>335</v>
      </c>
      <c r="B948" s="12" t="s">
        <v>425</v>
      </c>
      <c r="C948" s="12">
        <v>161</v>
      </c>
      <c r="D948" s="12">
        <v>2.36</v>
      </c>
      <c r="E948" s="12" t="s">
        <v>429</v>
      </c>
      <c r="F948" s="13">
        <v>41687</v>
      </c>
      <c r="G948" s="12">
        <v>52.4</v>
      </c>
      <c r="I948" s="13">
        <v>41731</v>
      </c>
      <c r="J948" s="12">
        <v>59.8</v>
      </c>
      <c r="L948" s="12">
        <v>44</v>
      </c>
      <c r="M948" s="12">
        <v>7.3999999999999986</v>
      </c>
      <c r="O948" s="17">
        <v>103.83999999999999</v>
      </c>
      <c r="P948" s="17"/>
      <c r="Q948" s="17">
        <v>168.18181818181816</v>
      </c>
      <c r="R948" s="14">
        <v>19.777312636363632</v>
      </c>
      <c r="S948" s="12">
        <v>15</v>
      </c>
      <c r="T948" s="12">
        <v>2.2999999999999972</v>
      </c>
      <c r="U948" s="14">
        <v>35.4</v>
      </c>
      <c r="V948" s="17">
        <v>153.33333333333314</v>
      </c>
      <c r="W948" s="14">
        <v>19.045282333333322</v>
      </c>
      <c r="X948">
        <f t="shared" si="28"/>
        <v>17.100000000000001</v>
      </c>
      <c r="Y948">
        <f t="shared" si="29"/>
        <v>19.045282333333322</v>
      </c>
    </row>
    <row r="949" spans="1:25">
      <c r="A949" s="12" t="s">
        <v>335</v>
      </c>
      <c r="B949" s="12" t="s">
        <v>425</v>
      </c>
      <c r="C949" s="12">
        <v>161</v>
      </c>
      <c r="D949" s="12">
        <v>2.36</v>
      </c>
      <c r="E949" s="12" t="s">
        <v>430</v>
      </c>
      <c r="F949" s="13">
        <v>41687</v>
      </c>
      <c r="G949" s="12">
        <v>54.8</v>
      </c>
      <c r="I949" s="13">
        <v>41731</v>
      </c>
      <c r="J949" s="12">
        <v>64.599999999999994</v>
      </c>
      <c r="L949" s="12">
        <v>44</v>
      </c>
      <c r="M949" s="12">
        <v>9.7999999999999972</v>
      </c>
      <c r="O949" s="17">
        <v>103.83999999999999</v>
      </c>
      <c r="P949" s="17"/>
      <c r="Q949" s="17">
        <v>222.72727272727266</v>
      </c>
      <c r="R949" s="14">
        <v>23.075127545454542</v>
      </c>
      <c r="S949" s="12">
        <v>15</v>
      </c>
      <c r="T949" s="12">
        <v>9.9999999999994316E-2</v>
      </c>
      <c r="U949" s="14">
        <v>35.4</v>
      </c>
      <c r="V949" s="17">
        <v>6.6666666666662877</v>
      </c>
      <c r="W949" s="14">
        <v>12.423339666666646</v>
      </c>
      <c r="X949">
        <f t="shared" si="28"/>
        <v>17.100000000000001</v>
      </c>
      <c r="Y949">
        <f t="shared" si="29"/>
        <v>12.423339666666646</v>
      </c>
    </row>
    <row r="950" spans="1:25">
      <c r="A950" s="12" t="s">
        <v>335</v>
      </c>
      <c r="B950" s="12" t="s">
        <v>425</v>
      </c>
      <c r="C950" s="12">
        <v>161</v>
      </c>
      <c r="D950" s="12">
        <v>2.36</v>
      </c>
      <c r="E950" s="12" t="s">
        <v>431</v>
      </c>
      <c r="F950" s="13">
        <v>41687</v>
      </c>
      <c r="G950" s="12">
        <v>54.6</v>
      </c>
      <c r="I950" s="13">
        <v>41731</v>
      </c>
      <c r="J950" s="12">
        <v>64.8</v>
      </c>
      <c r="L950" s="12">
        <v>44</v>
      </c>
      <c r="M950" s="12">
        <v>10.199999999999996</v>
      </c>
      <c r="O950" s="17">
        <v>103.83999999999999</v>
      </c>
      <c r="P950" s="17"/>
      <c r="Q950" s="17">
        <v>231.81818181818173</v>
      </c>
      <c r="R950" s="14">
        <v>23.523309363636358</v>
      </c>
      <c r="S950" s="12">
        <v>15</v>
      </c>
      <c r="T950" s="12">
        <v>2.2999999999999972</v>
      </c>
      <c r="U950" s="14">
        <v>35.4</v>
      </c>
      <c r="V950" s="17">
        <v>153.33333333333314</v>
      </c>
      <c r="W950" s="14">
        <v>19.654006333333324</v>
      </c>
      <c r="X950">
        <f t="shared" si="28"/>
        <v>17.100000000000001</v>
      </c>
      <c r="Y950">
        <f t="shared" si="29"/>
        <v>19.654006333333324</v>
      </c>
    </row>
    <row r="951" spans="1:25">
      <c r="A951" s="12" t="s">
        <v>335</v>
      </c>
      <c r="B951" s="12" t="s">
        <v>425</v>
      </c>
      <c r="C951" s="12">
        <v>161</v>
      </c>
      <c r="D951" s="12">
        <v>2.36</v>
      </c>
      <c r="E951" s="12" t="s">
        <v>432</v>
      </c>
      <c r="F951" s="13">
        <v>41687</v>
      </c>
      <c r="G951" s="12">
        <v>50.6</v>
      </c>
      <c r="I951" s="13">
        <v>41731</v>
      </c>
      <c r="J951" s="12">
        <v>59.6</v>
      </c>
      <c r="L951" s="12">
        <v>44</v>
      </c>
      <c r="M951" s="12">
        <v>9</v>
      </c>
      <c r="O951" s="17">
        <v>103.83999999999999</v>
      </c>
      <c r="P951" s="17"/>
      <c r="Q951" s="17">
        <v>204.54545454545456</v>
      </c>
      <c r="R951" s="14">
        <v>21.400949909090908</v>
      </c>
      <c r="S951" s="12">
        <v>15</v>
      </c>
      <c r="T951" s="12">
        <v>2.6000000000000014</v>
      </c>
      <c r="U951" s="14">
        <v>35.4</v>
      </c>
      <c r="V951" s="17">
        <v>173.33333333333343</v>
      </c>
      <c r="W951" s="14">
        <v>19.862192333333336</v>
      </c>
      <c r="X951">
        <f t="shared" si="28"/>
        <v>17.100000000000001</v>
      </c>
      <c r="Y951">
        <f t="shared" si="29"/>
        <v>19.862192333333336</v>
      </c>
    </row>
    <row r="952" spans="1:25">
      <c r="A952" s="12" t="s">
        <v>335</v>
      </c>
      <c r="B952" s="12" t="s">
        <v>425</v>
      </c>
      <c r="C952" s="12">
        <v>161</v>
      </c>
      <c r="D952" s="12">
        <v>2.36</v>
      </c>
      <c r="E952" s="12" t="s">
        <v>433</v>
      </c>
      <c r="F952" s="13">
        <v>41687</v>
      </c>
      <c r="G952" s="12">
        <v>54.6</v>
      </c>
      <c r="I952" s="13">
        <v>41731</v>
      </c>
      <c r="J952" s="12">
        <v>63.6</v>
      </c>
      <c r="L952" s="12">
        <v>44</v>
      </c>
      <c r="M952" s="12">
        <v>9</v>
      </c>
      <c r="O952" s="17">
        <v>103.83999999999999</v>
      </c>
      <c r="P952" s="17"/>
      <c r="Q952" s="17">
        <v>204.54545454545456</v>
      </c>
      <c r="R952" s="14">
        <v>22.077309909090907</v>
      </c>
      <c r="S952" s="12">
        <v>15</v>
      </c>
      <c r="T952" s="12">
        <v>1.1000000000000014</v>
      </c>
      <c r="U952" s="14">
        <v>35.4</v>
      </c>
      <c r="V952" s="17">
        <v>73.333333333333428</v>
      </c>
      <c r="W952" s="14">
        <v>15.608552333333337</v>
      </c>
      <c r="X952">
        <f t="shared" si="28"/>
        <v>17.100000000000001</v>
      </c>
      <c r="Y952">
        <f t="shared" si="29"/>
        <v>15.608552333333337</v>
      </c>
    </row>
    <row r="953" spans="1:25">
      <c r="A953" s="12" t="s">
        <v>335</v>
      </c>
      <c r="B953" s="12" t="s">
        <v>425</v>
      </c>
      <c r="C953" s="12">
        <v>161</v>
      </c>
      <c r="D953" s="12">
        <v>2.36</v>
      </c>
      <c r="E953" s="12" t="s">
        <v>434</v>
      </c>
      <c r="F953" s="13">
        <v>41687</v>
      </c>
      <c r="G953" s="12">
        <v>51</v>
      </c>
      <c r="I953" s="13">
        <v>41731</v>
      </c>
      <c r="J953" s="12">
        <v>58.6</v>
      </c>
      <c r="L953" s="12">
        <v>44</v>
      </c>
      <c r="M953" s="12">
        <v>7.6000000000000014</v>
      </c>
      <c r="O953" s="17">
        <v>103.83999999999999</v>
      </c>
      <c r="P953" s="17"/>
      <c r="Q953" s="17">
        <v>172.72727272727275</v>
      </c>
      <c r="R953" s="14">
        <v>19.781586545454545</v>
      </c>
      <c r="S953" s="12">
        <v>15</v>
      </c>
      <c r="T953" s="12">
        <v>0.10000000000000142</v>
      </c>
      <c r="U953" s="14">
        <v>35.4</v>
      </c>
      <c r="V953" s="17">
        <v>6.666666666666762</v>
      </c>
      <c r="W953" s="14">
        <v>11.594798666666669</v>
      </c>
      <c r="X953">
        <f t="shared" si="28"/>
        <v>17.100000000000001</v>
      </c>
      <c r="Y953">
        <f t="shared" si="29"/>
        <v>11.594798666666669</v>
      </c>
    </row>
    <row r="954" spans="1:25">
      <c r="A954" s="12" t="s">
        <v>335</v>
      </c>
      <c r="B954" s="12" t="s">
        <v>425</v>
      </c>
      <c r="C954" s="12">
        <v>161</v>
      </c>
      <c r="D954" s="12">
        <v>2.36</v>
      </c>
      <c r="E954" s="12" t="s">
        <v>435</v>
      </c>
      <c r="F954" s="13">
        <v>41687</v>
      </c>
      <c r="G954" s="12">
        <v>52.8</v>
      </c>
      <c r="I954" s="13">
        <v>41731</v>
      </c>
      <c r="J954" s="12">
        <v>58.4</v>
      </c>
      <c r="L954" s="12">
        <v>44</v>
      </c>
      <c r="M954" s="12">
        <v>5.6000000000000014</v>
      </c>
      <c r="O954" s="17">
        <v>103.83999999999999</v>
      </c>
      <c r="P954" s="17"/>
      <c r="Q954" s="17">
        <v>127.27272727272731</v>
      </c>
      <c r="R954" s="14">
        <v>17.675949454545453</v>
      </c>
      <c r="S954" s="12">
        <v>15</v>
      </c>
      <c r="T954" s="12">
        <v>-1.1000000000000014</v>
      </c>
      <c r="U954" s="14">
        <v>35.4</v>
      </c>
      <c r="V954" s="17">
        <v>-73.333333333333428</v>
      </c>
      <c r="W954" s="14">
        <v>7.7860706666666601</v>
      </c>
      <c r="X954">
        <f t="shared" si="28"/>
        <v>17.100000000000001</v>
      </c>
      <c r="Y954">
        <f t="shared" si="29"/>
        <v>7.7860706666666593</v>
      </c>
    </row>
    <row r="955" spans="1:25">
      <c r="A955" s="12" t="s">
        <v>335</v>
      </c>
      <c r="B955" s="12" t="s">
        <v>425</v>
      </c>
      <c r="C955" s="12">
        <v>161</v>
      </c>
      <c r="D955" s="12">
        <v>2.36</v>
      </c>
      <c r="E955" s="12" t="s">
        <v>436</v>
      </c>
      <c r="F955" s="13">
        <v>41687</v>
      </c>
      <c r="G955" s="12">
        <v>56.2</v>
      </c>
      <c r="I955" s="13">
        <v>41731</v>
      </c>
      <c r="J955" s="12">
        <v>60.8</v>
      </c>
      <c r="L955" s="12">
        <v>44</v>
      </c>
      <c r="M955" s="12">
        <v>4.5999999999999943</v>
      </c>
      <c r="O955" s="17">
        <v>103.83999999999999</v>
      </c>
      <c r="P955" s="17"/>
      <c r="Q955" s="17">
        <v>104.54545454545442</v>
      </c>
      <c r="R955" s="14">
        <v>17.045855909090903</v>
      </c>
      <c r="S955" s="12">
        <v>15</v>
      </c>
      <c r="T955" s="12">
        <v>-1.7000000000000028</v>
      </c>
      <c r="U955" s="14">
        <v>35.4</v>
      </c>
      <c r="V955" s="17">
        <v>-113.33333333333353</v>
      </c>
      <c r="W955" s="14">
        <v>6.3044316666666571</v>
      </c>
      <c r="X955">
        <f t="shared" si="28"/>
        <v>17.100000000000001</v>
      </c>
      <c r="Y955">
        <f t="shared" si="29"/>
        <v>6.3044316666666571</v>
      </c>
    </row>
    <row r="956" spans="1:25">
      <c r="A956" s="12" t="s">
        <v>335</v>
      </c>
      <c r="B956" s="12" t="s">
        <v>425</v>
      </c>
      <c r="C956" s="12">
        <v>161</v>
      </c>
      <c r="D956" s="12">
        <v>2.36</v>
      </c>
      <c r="E956" s="12" t="s">
        <v>437</v>
      </c>
      <c r="F956" s="13">
        <v>41687</v>
      </c>
      <c r="G956" s="12">
        <v>53.4</v>
      </c>
      <c r="I956" s="13">
        <v>41731</v>
      </c>
      <c r="J956" s="12">
        <v>55.2</v>
      </c>
      <c r="L956" s="12">
        <v>44</v>
      </c>
      <c r="M956" s="12">
        <v>1.8000000000000043</v>
      </c>
      <c r="O956" s="17">
        <v>103.83999999999999</v>
      </c>
      <c r="P956" s="17"/>
      <c r="Q956" s="17">
        <v>40.909090909091006</v>
      </c>
      <c r="R956" s="14">
        <v>13.198405181818185</v>
      </c>
      <c r="S956" s="12">
        <v>15</v>
      </c>
      <c r="T956" s="12">
        <v>-1.2999999999999972</v>
      </c>
      <c r="U956" s="14">
        <v>35.4</v>
      </c>
      <c r="V956" s="17">
        <v>-86.666666666666472</v>
      </c>
      <c r="W956" s="14">
        <v>6.9089203333333415</v>
      </c>
      <c r="X956">
        <f t="shared" si="28"/>
        <v>17.100000000000001</v>
      </c>
      <c r="Y956">
        <f t="shared" si="29"/>
        <v>6.9089203333333415</v>
      </c>
    </row>
    <row r="957" spans="1:25">
      <c r="A957" s="12" t="s">
        <v>335</v>
      </c>
      <c r="B957" s="12" t="s">
        <v>425</v>
      </c>
      <c r="C957" s="12">
        <v>161</v>
      </c>
      <c r="D957" s="12">
        <v>2.36</v>
      </c>
      <c r="E957" s="12" t="s">
        <v>438</v>
      </c>
      <c r="F957" s="13">
        <v>41687</v>
      </c>
      <c r="G957" s="12">
        <v>55.4</v>
      </c>
      <c r="I957" s="13">
        <v>41731</v>
      </c>
      <c r="J957" s="12">
        <v>60.6</v>
      </c>
      <c r="L957" s="12">
        <v>44</v>
      </c>
      <c r="M957" s="12">
        <v>5.2000000000000028</v>
      </c>
      <c r="O957" s="17">
        <v>103.83999999999999</v>
      </c>
      <c r="P957" s="17"/>
      <c r="Q957" s="17">
        <v>118.18181818181824</v>
      </c>
      <c r="R957" s="14">
        <v>17.633583636363639</v>
      </c>
      <c r="S957" s="12">
        <v>15</v>
      </c>
      <c r="T957" s="12">
        <v>0.10000000000000142</v>
      </c>
      <c r="U957" s="14">
        <v>35.4</v>
      </c>
      <c r="V957" s="17">
        <v>6.666666666666762</v>
      </c>
      <c r="W957" s="14">
        <v>12.135886666666671</v>
      </c>
      <c r="X957">
        <f t="shared" si="28"/>
        <v>17.100000000000001</v>
      </c>
      <c r="Y957">
        <f t="shared" si="29"/>
        <v>12.135886666666671</v>
      </c>
    </row>
    <row r="958" spans="1:25">
      <c r="A958" s="12" t="s">
        <v>335</v>
      </c>
      <c r="B958" s="12" t="s">
        <v>425</v>
      </c>
      <c r="C958" s="12">
        <v>161</v>
      </c>
      <c r="D958" s="12">
        <v>2.36</v>
      </c>
      <c r="E958" s="12" t="s">
        <v>439</v>
      </c>
      <c r="F958" s="13">
        <v>41687</v>
      </c>
      <c r="G958" s="12">
        <v>61.2</v>
      </c>
      <c r="I958" s="13">
        <v>41731</v>
      </c>
      <c r="J958" s="12">
        <v>69.400000000000006</v>
      </c>
      <c r="L958" s="12">
        <v>44</v>
      </c>
      <c r="M958" s="12">
        <v>8.2000000000000028</v>
      </c>
      <c r="O958" s="17">
        <v>103.83999999999999</v>
      </c>
      <c r="P958" s="17"/>
      <c r="Q958" s="17">
        <v>186.36363636363643</v>
      </c>
      <c r="R958" s="14">
        <v>22.229304272727276</v>
      </c>
      <c r="S958" s="12">
        <v>15</v>
      </c>
      <c r="T958" s="12">
        <v>-0.59999999999999432</v>
      </c>
      <c r="U958" s="14">
        <v>35.4</v>
      </c>
      <c r="V958" s="17">
        <v>-39.999999999999616</v>
      </c>
      <c r="W958" s="14">
        <v>11.06957700000002</v>
      </c>
      <c r="X958">
        <f t="shared" si="28"/>
        <v>17.100000000000001</v>
      </c>
      <c r="Y958">
        <f t="shared" si="29"/>
        <v>11.06957700000002</v>
      </c>
    </row>
    <row r="959" spans="1:25">
      <c r="A959" s="12" t="s">
        <v>335</v>
      </c>
      <c r="B959" s="12" t="s">
        <v>425</v>
      </c>
      <c r="C959" s="12">
        <v>161</v>
      </c>
      <c r="D959" s="12">
        <v>2.36</v>
      </c>
      <c r="E959" s="12" t="s">
        <v>440</v>
      </c>
      <c r="F959" s="13">
        <v>41687</v>
      </c>
      <c r="G959" s="12">
        <v>51</v>
      </c>
      <c r="I959" s="13">
        <v>41731</v>
      </c>
      <c r="J959" s="12">
        <v>51</v>
      </c>
      <c r="L959" s="12">
        <v>44</v>
      </c>
      <c r="M959" s="12">
        <v>0</v>
      </c>
      <c r="O959" s="17">
        <v>103.83999999999999</v>
      </c>
      <c r="P959" s="17"/>
      <c r="Q959" s="17">
        <v>0</v>
      </c>
      <c r="R959" s="14">
        <v>10.62359</v>
      </c>
      <c r="S959" s="12">
        <v>15</v>
      </c>
      <c r="T959" s="12">
        <v>-3</v>
      </c>
      <c r="U959" s="14">
        <v>35.4</v>
      </c>
      <c r="V959" s="17">
        <v>-200</v>
      </c>
      <c r="W959" s="14">
        <v>0.76359000000000066</v>
      </c>
      <c r="X959">
        <f t="shared" si="28"/>
        <v>17.100000000000001</v>
      </c>
      <c r="Y959">
        <f t="shared" si="29"/>
        <v>0.76359000000000066</v>
      </c>
    </row>
    <row r="960" spans="1:25">
      <c r="A960" s="12" t="s">
        <v>335</v>
      </c>
      <c r="B960" s="12" t="s">
        <v>425</v>
      </c>
      <c r="C960" s="12">
        <v>161</v>
      </c>
      <c r="D960" s="12">
        <v>2.36</v>
      </c>
      <c r="E960" s="12" t="s">
        <v>441</v>
      </c>
      <c r="F960" s="13">
        <v>41687</v>
      </c>
      <c r="G960" s="12">
        <v>51.4</v>
      </c>
      <c r="I960" s="13">
        <v>41731</v>
      </c>
      <c r="J960" s="12">
        <v>55.6</v>
      </c>
      <c r="L960" s="12">
        <v>44</v>
      </c>
      <c r="M960" s="12">
        <v>4.2000000000000028</v>
      </c>
      <c r="O960" s="17">
        <v>103.83999999999999</v>
      </c>
      <c r="P960" s="17"/>
      <c r="Q960" s="17">
        <v>95.45454545454551</v>
      </c>
      <c r="R960" s="14">
        <v>15.752224090909094</v>
      </c>
      <c r="S960" s="12">
        <v>15</v>
      </c>
      <c r="T960" s="12">
        <v>0.60000000000000142</v>
      </c>
      <c r="U960" s="14">
        <v>35.4</v>
      </c>
      <c r="V960" s="17">
        <v>40.000000000000099</v>
      </c>
      <c r="W960" s="14">
        <v>13.018315000000005</v>
      </c>
      <c r="X960">
        <f t="shared" si="28"/>
        <v>17.100000000000001</v>
      </c>
      <c r="Y960">
        <f t="shared" si="29"/>
        <v>13.018315000000005</v>
      </c>
    </row>
    <row r="961" spans="1:25">
      <c r="A961" s="12" t="s">
        <v>335</v>
      </c>
      <c r="B961" s="12" t="s">
        <v>425</v>
      </c>
      <c r="C961" s="12">
        <v>161</v>
      </c>
      <c r="D961" s="12">
        <v>2.36</v>
      </c>
      <c r="E961" s="12" t="s">
        <v>442</v>
      </c>
      <c r="F961" s="13">
        <v>41687</v>
      </c>
      <c r="G961" s="12">
        <v>54.2</v>
      </c>
      <c r="I961" s="13">
        <v>41731</v>
      </c>
      <c r="J961" s="12">
        <v>58.8</v>
      </c>
      <c r="L961" s="12">
        <v>44</v>
      </c>
      <c r="M961" s="12">
        <v>4.5999999999999943</v>
      </c>
      <c r="O961" s="17">
        <v>103.83999999999999</v>
      </c>
      <c r="P961" s="17"/>
      <c r="Q961" s="17">
        <v>104.54545454545442</v>
      </c>
      <c r="R961" s="14">
        <v>16.707675909090902</v>
      </c>
      <c r="S961" s="12">
        <v>15</v>
      </c>
      <c r="T961" s="12">
        <v>-0.70000000000000284</v>
      </c>
      <c r="U961" s="14">
        <v>35.4</v>
      </c>
      <c r="V961" s="17">
        <v>-46.666666666666856</v>
      </c>
      <c r="W961" s="14">
        <v>9.2529183333333247</v>
      </c>
      <c r="X961">
        <f t="shared" si="28"/>
        <v>17.100000000000001</v>
      </c>
      <c r="Y961">
        <f t="shared" si="29"/>
        <v>9.2529183333333247</v>
      </c>
    </row>
    <row r="962" spans="1:25">
      <c r="A962" s="12" t="s">
        <v>335</v>
      </c>
      <c r="B962" s="12" t="s">
        <v>425</v>
      </c>
      <c r="C962" s="12">
        <v>161</v>
      </c>
      <c r="D962" s="12">
        <v>2.36</v>
      </c>
      <c r="E962" s="12" t="s">
        <v>443</v>
      </c>
      <c r="F962" s="13">
        <v>41687</v>
      </c>
      <c r="G962" s="12">
        <v>56</v>
      </c>
      <c r="I962" s="13">
        <v>41731</v>
      </c>
      <c r="J962" s="12">
        <v>63.2</v>
      </c>
      <c r="L962" s="12">
        <v>44</v>
      </c>
      <c r="M962" s="12">
        <v>7.2000000000000028</v>
      </c>
      <c r="O962" s="17">
        <v>103.83999999999999</v>
      </c>
      <c r="P962" s="17"/>
      <c r="Q962" s="17">
        <v>163.63636363636368</v>
      </c>
      <c r="R962" s="14">
        <v>20.145036727272732</v>
      </c>
      <c r="S962" s="12">
        <v>15</v>
      </c>
      <c r="T962" s="12">
        <v>3.2000000000000028</v>
      </c>
      <c r="U962" s="14">
        <v>35.4</v>
      </c>
      <c r="V962" s="17">
        <v>213.33333333333351</v>
      </c>
      <c r="W962" s="14">
        <v>22.595097333333342</v>
      </c>
      <c r="X962">
        <f t="shared" si="28"/>
        <v>17.100000000000001</v>
      </c>
      <c r="Y962">
        <f t="shared" si="29"/>
        <v>22.595097333333342</v>
      </c>
    </row>
    <row r="963" spans="1:25">
      <c r="A963" s="12" t="s">
        <v>335</v>
      </c>
      <c r="B963" s="12" t="s">
        <v>425</v>
      </c>
      <c r="C963" s="12">
        <v>161</v>
      </c>
      <c r="D963" s="12">
        <v>2.36</v>
      </c>
      <c r="E963" s="12" t="s">
        <v>444</v>
      </c>
      <c r="F963" s="13">
        <v>41687</v>
      </c>
      <c r="G963" s="12">
        <v>63.2</v>
      </c>
      <c r="I963" s="13">
        <v>41731</v>
      </c>
      <c r="J963" s="12">
        <v>70.599999999999994</v>
      </c>
      <c r="L963" s="12">
        <v>44</v>
      </c>
      <c r="M963" s="12">
        <v>7.3999999999999915</v>
      </c>
      <c r="O963" s="17">
        <v>103.83999999999999</v>
      </c>
      <c r="P963" s="17"/>
      <c r="Q963" s="17">
        <v>168.18181818181799</v>
      </c>
      <c r="R963" s="14">
        <v>21.603484636363625</v>
      </c>
      <c r="S963" s="12">
        <v>15</v>
      </c>
      <c r="T963" s="12">
        <v>2.5999999999999943</v>
      </c>
      <c r="U963" s="14">
        <v>35.4</v>
      </c>
      <c r="V963" s="17">
        <v>173.33333333333294</v>
      </c>
      <c r="W963" s="14">
        <v>21.857454333333315</v>
      </c>
      <c r="X963">
        <f t="shared" ref="X963:X1026" si="30">IF(H963&gt;0,-4.1485*H963 + 28.398,17.1)</f>
        <v>17.100000000000001</v>
      </c>
      <c r="Y963">
        <f t="shared" ref="Y963:Y1026" si="31">W963*X963/17.1</f>
        <v>21.857454333333315</v>
      </c>
    </row>
    <row r="964" spans="1:25">
      <c r="A964" s="12" t="s">
        <v>335</v>
      </c>
      <c r="B964" s="12" t="s">
        <v>425</v>
      </c>
      <c r="C964" s="12">
        <v>161</v>
      </c>
      <c r="D964" s="12">
        <v>2.36</v>
      </c>
      <c r="E964" s="12" t="s">
        <v>445</v>
      </c>
      <c r="F964" s="13">
        <v>41687</v>
      </c>
      <c r="G964" s="12">
        <v>55.6</v>
      </c>
      <c r="I964" s="13">
        <v>41731</v>
      </c>
      <c r="J964" s="12">
        <v>64</v>
      </c>
      <c r="L964" s="12">
        <v>44</v>
      </c>
      <c r="M964" s="12">
        <v>8.3999999999999986</v>
      </c>
      <c r="O964" s="17">
        <v>103.83999999999999</v>
      </c>
      <c r="P964" s="17"/>
      <c r="Q964" s="17">
        <v>190.90909090909088</v>
      </c>
      <c r="R964" s="14">
        <v>21.523400181818179</v>
      </c>
      <c r="S964" s="12">
        <v>15</v>
      </c>
      <c r="T964" s="12">
        <v>3</v>
      </c>
      <c r="U964" s="14">
        <v>35.4</v>
      </c>
      <c r="V964" s="17">
        <v>200</v>
      </c>
      <c r="W964" s="14">
        <v>21.971581999999998</v>
      </c>
      <c r="X964">
        <f t="shared" si="30"/>
        <v>17.100000000000001</v>
      </c>
      <c r="Y964">
        <f t="shared" si="31"/>
        <v>21.971581999999998</v>
      </c>
    </row>
    <row r="965" spans="1:25">
      <c r="A965" s="12" t="s">
        <v>335</v>
      </c>
      <c r="B965" s="12" t="s">
        <v>425</v>
      </c>
      <c r="C965" s="12">
        <v>161</v>
      </c>
      <c r="D965" s="12">
        <v>2.36</v>
      </c>
      <c r="E965" s="12" t="s">
        <v>446</v>
      </c>
      <c r="F965" s="13">
        <v>41687</v>
      </c>
      <c r="G965" s="12">
        <v>58.4</v>
      </c>
      <c r="I965" s="13">
        <v>41731</v>
      </c>
      <c r="J965" s="12">
        <v>63</v>
      </c>
      <c r="L965" s="12">
        <v>44</v>
      </c>
      <c r="M965" s="12">
        <v>4.6000000000000014</v>
      </c>
      <c r="O965" s="17">
        <v>103.83999999999999</v>
      </c>
      <c r="P965" s="17"/>
      <c r="Q965" s="17">
        <v>104.54545454545458</v>
      </c>
      <c r="R965" s="14">
        <v>17.417853909090908</v>
      </c>
      <c r="S965" s="12">
        <v>15</v>
      </c>
      <c r="T965" s="12">
        <v>1</v>
      </c>
      <c r="U965" s="14">
        <v>35.4</v>
      </c>
      <c r="V965" s="17">
        <v>66.666666666666671</v>
      </c>
      <c r="W965" s="14">
        <v>15.550429666666666</v>
      </c>
      <c r="X965">
        <f t="shared" si="30"/>
        <v>17.100000000000001</v>
      </c>
      <c r="Y965">
        <f t="shared" si="31"/>
        <v>15.550429666666666</v>
      </c>
    </row>
    <row r="966" spans="1:25">
      <c r="A966" s="12" t="s">
        <v>335</v>
      </c>
      <c r="B966" s="12" t="s">
        <v>425</v>
      </c>
      <c r="C966" s="12">
        <v>161</v>
      </c>
      <c r="D966" s="12">
        <v>2.36</v>
      </c>
      <c r="E966" s="12" t="s">
        <v>447</v>
      </c>
      <c r="F966" s="13">
        <v>41687</v>
      </c>
      <c r="G966" s="12">
        <v>53.4</v>
      </c>
      <c r="I966" s="13">
        <v>41731</v>
      </c>
      <c r="J966" s="12">
        <v>57</v>
      </c>
      <c r="L966" s="12">
        <v>44</v>
      </c>
      <c r="M966" s="12">
        <v>3.6000000000000014</v>
      </c>
      <c r="O966" s="17">
        <v>103.83999999999999</v>
      </c>
      <c r="P966" s="17"/>
      <c r="Q966" s="17">
        <v>81.818181818181841</v>
      </c>
      <c r="R966" s="14">
        <v>15.367404363636364</v>
      </c>
      <c r="S966" s="12">
        <v>15</v>
      </c>
      <c r="T966" s="12">
        <v>0.5</v>
      </c>
      <c r="U966" s="14">
        <v>35.4</v>
      </c>
      <c r="V966" s="17">
        <v>33.333333333333336</v>
      </c>
      <c r="W966" s="14">
        <v>12.977101333333332</v>
      </c>
      <c r="X966">
        <f t="shared" si="30"/>
        <v>17.100000000000001</v>
      </c>
      <c r="Y966">
        <f t="shared" si="31"/>
        <v>12.977101333333332</v>
      </c>
    </row>
    <row r="967" spans="1:25">
      <c r="A967" s="12" t="s">
        <v>335</v>
      </c>
      <c r="B967" s="12" t="s">
        <v>425</v>
      </c>
      <c r="C967" s="12">
        <v>161</v>
      </c>
      <c r="D967" s="12">
        <v>2.36</v>
      </c>
      <c r="E967" s="12" t="s">
        <v>448</v>
      </c>
      <c r="F967" s="13">
        <v>41687</v>
      </c>
      <c r="G967" s="12">
        <v>51.4</v>
      </c>
      <c r="I967" s="13">
        <v>41731</v>
      </c>
      <c r="J967" s="12">
        <v>58</v>
      </c>
      <c r="L967" s="12">
        <v>44</v>
      </c>
      <c r="M967" s="12">
        <v>6.6000000000000014</v>
      </c>
      <c r="O967" s="17">
        <v>103.83999999999999</v>
      </c>
      <c r="P967" s="17"/>
      <c r="Q967" s="17">
        <v>150.00000000000003</v>
      </c>
      <c r="R967" s="14">
        <v>18.644223</v>
      </c>
      <c r="S967" s="12">
        <v>15</v>
      </c>
      <c r="T967" s="12">
        <v>0.5</v>
      </c>
      <c r="U967" s="14">
        <v>35.4</v>
      </c>
      <c r="V967" s="17">
        <v>33.333333333333336</v>
      </c>
      <c r="W967" s="14">
        <v>12.892556333333333</v>
      </c>
      <c r="X967">
        <f t="shared" si="30"/>
        <v>17.100000000000001</v>
      </c>
      <c r="Y967">
        <f t="shared" si="31"/>
        <v>12.892556333333333</v>
      </c>
    </row>
    <row r="968" spans="1:25">
      <c r="A968" s="12" t="s">
        <v>335</v>
      </c>
      <c r="B968" s="12" t="s">
        <v>425</v>
      </c>
      <c r="C968" s="12">
        <v>161</v>
      </c>
      <c r="D968" s="12">
        <v>2.36</v>
      </c>
      <c r="E968" s="12" t="s">
        <v>449</v>
      </c>
      <c r="F968" s="13">
        <v>41687</v>
      </c>
      <c r="G968" s="12">
        <v>51.6</v>
      </c>
      <c r="I968" s="13">
        <v>41731</v>
      </c>
      <c r="J968" s="12">
        <v>56.8</v>
      </c>
      <c r="L968" s="12">
        <v>44</v>
      </c>
      <c r="M968" s="12">
        <v>5.1999999999999957</v>
      </c>
      <c r="O968" s="17">
        <v>103.83999999999999</v>
      </c>
      <c r="P968" s="17"/>
      <c r="Q968" s="17">
        <v>118.18181818181809</v>
      </c>
      <c r="R968" s="14">
        <v>16.991041636363633</v>
      </c>
      <c r="S968" s="12">
        <v>15</v>
      </c>
      <c r="T968" s="12">
        <v>-1.7000000000000028</v>
      </c>
      <c r="U968" s="14">
        <v>35.4</v>
      </c>
      <c r="V968" s="17">
        <v>-113.33333333333353</v>
      </c>
      <c r="W968" s="14">
        <v>5.577344666666658</v>
      </c>
      <c r="X968">
        <f t="shared" si="30"/>
        <v>17.100000000000001</v>
      </c>
      <c r="Y968">
        <f t="shared" si="31"/>
        <v>5.577344666666658</v>
      </c>
    </row>
    <row r="969" spans="1:25">
      <c r="A969" s="12" t="s">
        <v>335</v>
      </c>
      <c r="B969" s="12" t="s">
        <v>425</v>
      </c>
      <c r="C969" s="12">
        <v>161</v>
      </c>
      <c r="D969" s="12">
        <v>2.36</v>
      </c>
      <c r="E969" s="12" t="s">
        <v>450</v>
      </c>
      <c r="F969" s="13">
        <v>41687</v>
      </c>
      <c r="G969" s="12">
        <v>55.8</v>
      </c>
      <c r="I969" s="13">
        <v>41731</v>
      </c>
      <c r="J969" s="12">
        <v>61</v>
      </c>
      <c r="L969" s="12">
        <v>44</v>
      </c>
      <c r="M969" s="12">
        <v>5.2000000000000028</v>
      </c>
      <c r="O969" s="17">
        <v>103.83999999999999</v>
      </c>
      <c r="P969" s="17"/>
      <c r="Q969" s="17">
        <v>118.18181818181824</v>
      </c>
      <c r="R969" s="14">
        <v>17.701219636363639</v>
      </c>
      <c r="S969" s="12">
        <v>15</v>
      </c>
      <c r="T969" s="12">
        <v>-0.5</v>
      </c>
      <c r="U969" s="14">
        <v>35.4</v>
      </c>
      <c r="V969" s="17">
        <v>-33.333333333333336</v>
      </c>
      <c r="W969" s="14">
        <v>10.231522666666667</v>
      </c>
      <c r="X969">
        <f t="shared" si="30"/>
        <v>17.100000000000001</v>
      </c>
      <c r="Y969">
        <f t="shared" si="31"/>
        <v>10.231522666666667</v>
      </c>
    </row>
    <row r="970" spans="1:25">
      <c r="A970" s="12" t="s">
        <v>335</v>
      </c>
      <c r="B970" s="12" t="s">
        <v>425</v>
      </c>
      <c r="C970" s="12">
        <v>161</v>
      </c>
      <c r="D970" s="12">
        <v>2.36</v>
      </c>
      <c r="E970" s="12" t="s">
        <v>451</v>
      </c>
      <c r="F970" s="13">
        <v>41687</v>
      </c>
      <c r="G970" s="12">
        <v>55.6</v>
      </c>
      <c r="I970" s="13">
        <v>41731</v>
      </c>
      <c r="J970" s="12">
        <v>60.8</v>
      </c>
      <c r="L970" s="12">
        <v>44</v>
      </c>
      <c r="M970" s="12">
        <v>5.1999999999999957</v>
      </c>
      <c r="O970" s="17">
        <v>103.83999999999999</v>
      </c>
      <c r="P970" s="17"/>
      <c r="Q970" s="17">
        <v>118.18181818181809</v>
      </c>
      <c r="R970" s="14">
        <v>17.667401636363628</v>
      </c>
      <c r="S970" s="12">
        <v>15</v>
      </c>
      <c r="T970" s="12">
        <v>-0.70000000000000284</v>
      </c>
      <c r="U970" s="14">
        <v>35.4</v>
      </c>
      <c r="V970" s="17">
        <v>-46.666666666666856</v>
      </c>
      <c r="W970" s="14">
        <v>9.540371333333324</v>
      </c>
      <c r="X970">
        <f t="shared" si="30"/>
        <v>17.100000000000001</v>
      </c>
      <c r="Y970">
        <f t="shared" si="31"/>
        <v>9.540371333333324</v>
      </c>
    </row>
    <row r="971" spans="1:25">
      <c r="A971" s="12" t="s">
        <v>335</v>
      </c>
      <c r="B971" s="12" t="s">
        <v>425</v>
      </c>
      <c r="C971" s="12">
        <v>161</v>
      </c>
      <c r="D971" s="12">
        <v>2.36</v>
      </c>
      <c r="E971" s="12" t="s">
        <v>452</v>
      </c>
      <c r="F971" s="13">
        <v>41687</v>
      </c>
      <c r="G971" s="12">
        <v>53.6</v>
      </c>
      <c r="I971" s="13">
        <v>41731</v>
      </c>
      <c r="J971" s="12">
        <v>54.8</v>
      </c>
      <c r="L971" s="12">
        <v>44</v>
      </c>
      <c r="M971" s="12">
        <v>1.1999999999999957</v>
      </c>
      <c r="O971" s="17">
        <v>103.83999999999999</v>
      </c>
      <c r="P971" s="17"/>
      <c r="Q971" s="17">
        <v>27.272727272727174</v>
      </c>
      <c r="R971" s="14">
        <v>12.509223454545451</v>
      </c>
      <c r="S971" s="12">
        <v>15</v>
      </c>
      <c r="T971" s="12">
        <v>-2.7000000000000028</v>
      </c>
      <c r="U971" s="14">
        <v>35.4</v>
      </c>
      <c r="V971" s="17">
        <v>-180.0000000000002</v>
      </c>
      <c r="W971" s="14">
        <v>2.2906779999999909</v>
      </c>
      <c r="X971">
        <f t="shared" si="30"/>
        <v>17.100000000000001</v>
      </c>
      <c r="Y971">
        <f t="shared" si="31"/>
        <v>2.2906779999999909</v>
      </c>
    </row>
    <row r="972" spans="1:25">
      <c r="A972" s="12" t="s">
        <v>335</v>
      </c>
      <c r="B972" s="12" t="s">
        <v>425</v>
      </c>
      <c r="C972" s="12">
        <v>161</v>
      </c>
      <c r="D972" s="12">
        <v>2.36</v>
      </c>
      <c r="E972" s="12" t="s">
        <v>453</v>
      </c>
      <c r="F972" s="13">
        <v>41687</v>
      </c>
      <c r="G972" s="12">
        <v>57.6</v>
      </c>
      <c r="I972" s="13">
        <v>41731</v>
      </c>
      <c r="J972" s="12">
        <v>60.6</v>
      </c>
      <c r="L972" s="12">
        <v>44</v>
      </c>
      <c r="M972" s="12">
        <v>3</v>
      </c>
      <c r="O972" s="17">
        <v>103.83999999999999</v>
      </c>
      <c r="P972" s="17"/>
      <c r="Q972" s="17">
        <v>68.181818181818173</v>
      </c>
      <c r="R972" s="14">
        <v>15.354582636363636</v>
      </c>
      <c r="S972" s="12">
        <v>15</v>
      </c>
      <c r="T972" s="12">
        <v>-1.3999999999999986</v>
      </c>
      <c r="U972" s="14">
        <v>35.4</v>
      </c>
      <c r="V972" s="17">
        <v>-93.333333333333243</v>
      </c>
      <c r="W972" s="14">
        <v>7.3918856666666715</v>
      </c>
      <c r="X972">
        <f t="shared" si="30"/>
        <v>17.100000000000001</v>
      </c>
      <c r="Y972">
        <f t="shared" si="31"/>
        <v>7.3918856666666715</v>
      </c>
    </row>
    <row r="973" spans="1:25">
      <c r="A973" s="12" t="s">
        <v>335</v>
      </c>
      <c r="B973" s="12" t="s">
        <v>425</v>
      </c>
      <c r="C973" s="12">
        <v>161</v>
      </c>
      <c r="D973" s="12">
        <v>2.36</v>
      </c>
      <c r="E973" s="12" t="s">
        <v>454</v>
      </c>
      <c r="F973" s="13">
        <v>41687</v>
      </c>
      <c r="G973" s="12">
        <v>50.4</v>
      </c>
      <c r="I973" s="13">
        <v>41731</v>
      </c>
      <c r="J973" s="12">
        <v>52.2</v>
      </c>
      <c r="L973" s="12">
        <v>44</v>
      </c>
      <c r="M973" s="12">
        <v>1.8000000000000043</v>
      </c>
      <c r="O973" s="17">
        <v>103.83999999999999</v>
      </c>
      <c r="P973" s="17"/>
      <c r="Q973" s="17">
        <v>40.909090909091006</v>
      </c>
      <c r="R973" s="14">
        <v>12.691135181818185</v>
      </c>
      <c r="S973" s="12">
        <v>15</v>
      </c>
      <c r="T973" s="12">
        <v>0.20000000000000284</v>
      </c>
      <c r="U973" s="14">
        <v>35.4</v>
      </c>
      <c r="V973" s="17">
        <v>13.333333333333524</v>
      </c>
      <c r="W973" s="14">
        <v>11.331650333333341</v>
      </c>
      <c r="X973">
        <f t="shared" si="30"/>
        <v>17.100000000000001</v>
      </c>
      <c r="Y973">
        <f t="shared" si="31"/>
        <v>11.331650333333341</v>
      </c>
    </row>
    <row r="974" spans="1:25">
      <c r="A974" s="12" t="s">
        <v>335</v>
      </c>
      <c r="B974" s="12" t="s">
        <v>425</v>
      </c>
      <c r="C974" s="12">
        <v>161</v>
      </c>
      <c r="D974" s="12">
        <v>2.36</v>
      </c>
      <c r="E974" s="12" t="s">
        <v>455</v>
      </c>
      <c r="F974" s="13">
        <v>41687</v>
      </c>
      <c r="G974" s="12">
        <v>49.6</v>
      </c>
      <c r="I974" s="13">
        <v>41731</v>
      </c>
      <c r="J974" s="12">
        <v>56.6</v>
      </c>
      <c r="L974" s="12">
        <v>44</v>
      </c>
      <c r="M974" s="12">
        <v>7</v>
      </c>
      <c r="O974" s="17">
        <v>103.83999999999999</v>
      </c>
      <c r="P974" s="17"/>
      <c r="Q974" s="17">
        <v>159.09090909090909</v>
      </c>
      <c r="R974" s="14">
        <v>18.821860818181818</v>
      </c>
      <c r="S974" s="12">
        <v>15</v>
      </c>
      <c r="T974" s="12">
        <v>0.10000000000000142</v>
      </c>
      <c r="U974" s="14">
        <v>35.4</v>
      </c>
      <c r="V974" s="17">
        <v>6.666666666666762</v>
      </c>
      <c r="W974" s="14">
        <v>11.30734566666667</v>
      </c>
      <c r="X974">
        <f t="shared" si="30"/>
        <v>17.100000000000001</v>
      </c>
      <c r="Y974">
        <f t="shared" si="31"/>
        <v>11.30734566666667</v>
      </c>
    </row>
    <row r="975" spans="1:25">
      <c r="A975" s="12" t="s">
        <v>335</v>
      </c>
      <c r="B975" s="12" t="s">
        <v>425</v>
      </c>
      <c r="C975" s="12">
        <v>161</v>
      </c>
      <c r="D975" s="12">
        <v>2.36</v>
      </c>
      <c r="E975" s="12" t="s">
        <v>456</v>
      </c>
      <c r="F975" s="13">
        <v>41687</v>
      </c>
      <c r="G975" s="12">
        <v>49.4</v>
      </c>
      <c r="I975" s="13">
        <v>41731</v>
      </c>
      <c r="J975" s="12">
        <v>55.6</v>
      </c>
      <c r="L975" s="12">
        <v>44</v>
      </c>
      <c r="M975" s="12">
        <v>6.2000000000000028</v>
      </c>
      <c r="O975" s="17">
        <v>103.83999999999999</v>
      </c>
      <c r="P975" s="17"/>
      <c r="Q975" s="17">
        <v>140.90909090909099</v>
      </c>
      <c r="R975" s="14">
        <v>17.824043181818183</v>
      </c>
      <c r="S975" s="12">
        <v>15</v>
      </c>
      <c r="T975" s="12">
        <v>1.6000000000000014</v>
      </c>
      <c r="U975" s="14">
        <v>35.4</v>
      </c>
      <c r="V975" s="17">
        <v>106.66666666666676</v>
      </c>
      <c r="W975" s="14">
        <v>16.135891666666669</v>
      </c>
      <c r="X975">
        <f t="shared" si="30"/>
        <v>17.100000000000001</v>
      </c>
      <c r="Y975">
        <f t="shared" si="31"/>
        <v>16.135891666666669</v>
      </c>
    </row>
    <row r="976" spans="1:25">
      <c r="A976" s="12" t="s">
        <v>335</v>
      </c>
      <c r="B976" s="12" t="s">
        <v>425</v>
      </c>
      <c r="C976" s="12">
        <v>161</v>
      </c>
      <c r="D976" s="12">
        <v>2.36</v>
      </c>
      <c r="E976" s="12" t="s">
        <v>457</v>
      </c>
      <c r="F976" s="13">
        <v>41687</v>
      </c>
      <c r="G976" s="12">
        <v>60.4</v>
      </c>
      <c r="I976" s="13">
        <v>41731</v>
      </c>
      <c r="J976" s="12">
        <v>68</v>
      </c>
      <c r="L976" s="12">
        <v>44</v>
      </c>
      <c r="M976" s="12">
        <v>7.6000000000000014</v>
      </c>
      <c r="O976" s="17">
        <v>103.83999999999999</v>
      </c>
      <c r="P976" s="17"/>
      <c r="Q976" s="17">
        <v>172.72727272727275</v>
      </c>
      <c r="R976" s="14">
        <v>21.371032545454547</v>
      </c>
      <c r="S976" s="12">
        <v>15</v>
      </c>
      <c r="T976" s="12">
        <v>4.5</v>
      </c>
      <c r="U976" s="14">
        <v>35.4</v>
      </c>
      <c r="V976" s="17">
        <v>300</v>
      </c>
      <c r="W976" s="14">
        <v>27.645578</v>
      </c>
      <c r="X976">
        <f t="shared" si="30"/>
        <v>17.100000000000001</v>
      </c>
      <c r="Y976">
        <f t="shared" si="31"/>
        <v>27.645578</v>
      </c>
    </row>
    <row r="977" spans="1:25">
      <c r="A977" s="12" t="s">
        <v>335</v>
      </c>
      <c r="B977" s="12" t="s">
        <v>425</v>
      </c>
      <c r="C977" s="12">
        <v>161</v>
      </c>
      <c r="D977" s="12">
        <v>2.36</v>
      </c>
      <c r="E977" s="12" t="s">
        <v>458</v>
      </c>
      <c r="F977" s="13">
        <v>41687</v>
      </c>
      <c r="G977" s="12">
        <v>58</v>
      </c>
      <c r="I977" s="13">
        <v>41731</v>
      </c>
      <c r="J977" s="12">
        <v>71.599999999999994</v>
      </c>
      <c r="L977" s="12">
        <v>44</v>
      </c>
      <c r="M977" s="12">
        <v>13.599999999999994</v>
      </c>
      <c r="O977" s="17">
        <v>103.83999999999999</v>
      </c>
      <c r="P977" s="17"/>
      <c r="Q977" s="17">
        <v>309.09090909090895</v>
      </c>
      <c r="R977" s="14">
        <v>28.195213818181809</v>
      </c>
      <c r="S977" s="12">
        <v>15</v>
      </c>
      <c r="T977" s="12">
        <v>4.5999999999999943</v>
      </c>
      <c r="U977" s="14">
        <v>35.4</v>
      </c>
      <c r="V977" s="17">
        <v>306.66666666666629</v>
      </c>
      <c r="W977" s="14">
        <v>28.075698666666646</v>
      </c>
      <c r="X977">
        <f t="shared" si="30"/>
        <v>17.100000000000001</v>
      </c>
      <c r="Y977">
        <f t="shared" si="31"/>
        <v>28.075698666666646</v>
      </c>
    </row>
    <row r="978" spans="1:25">
      <c r="A978" s="12" t="s">
        <v>335</v>
      </c>
      <c r="B978" s="12" t="s">
        <v>425</v>
      </c>
      <c r="C978" s="12">
        <v>161</v>
      </c>
      <c r="D978" s="12">
        <v>2.36</v>
      </c>
      <c r="E978" s="12" t="s">
        <v>459</v>
      </c>
      <c r="F978" s="13">
        <v>41687</v>
      </c>
      <c r="G978" s="12">
        <v>52.6</v>
      </c>
      <c r="I978" s="13">
        <v>41731</v>
      </c>
      <c r="J978" s="12">
        <v>52.8</v>
      </c>
      <c r="L978" s="12">
        <v>44</v>
      </c>
      <c r="M978" s="12">
        <v>0.19999999999999574</v>
      </c>
      <c r="O978" s="17">
        <v>103.83999999999999</v>
      </c>
      <c r="P978" s="17"/>
      <c r="Q978" s="17">
        <v>4.545454545454449</v>
      </c>
      <c r="R978" s="14">
        <v>11.135133909090904</v>
      </c>
      <c r="S978" s="12">
        <v>15</v>
      </c>
      <c r="T978" s="12">
        <v>0.29999999999999716</v>
      </c>
      <c r="U978" s="14">
        <v>35.4</v>
      </c>
      <c r="V978" s="17">
        <v>19.999999999999808</v>
      </c>
      <c r="W978" s="14">
        <v>11.897042999999989</v>
      </c>
      <c r="X978">
        <f t="shared" si="30"/>
        <v>17.100000000000001</v>
      </c>
      <c r="Y978">
        <f t="shared" si="31"/>
        <v>11.897042999999989</v>
      </c>
    </row>
    <row r="979" spans="1:25">
      <c r="A979" s="12" t="s">
        <v>335</v>
      </c>
      <c r="B979" s="12" t="s">
        <v>425</v>
      </c>
      <c r="C979" s="12">
        <v>161</v>
      </c>
      <c r="D979" s="12">
        <v>2.36</v>
      </c>
      <c r="E979" s="12" t="s">
        <v>460</v>
      </c>
      <c r="F979" s="13">
        <v>41687</v>
      </c>
      <c r="G979" s="12">
        <v>56.6</v>
      </c>
      <c r="I979" s="13">
        <v>41731</v>
      </c>
      <c r="J979" s="12">
        <v>58.6</v>
      </c>
      <c r="L979" s="12">
        <v>44</v>
      </c>
      <c r="M979" s="12">
        <v>2</v>
      </c>
      <c r="O979" s="17">
        <v>103.83999999999999</v>
      </c>
      <c r="P979" s="17"/>
      <c r="Q979" s="17">
        <v>45.454545454545453</v>
      </c>
      <c r="R979" s="14">
        <v>13.980493090909089</v>
      </c>
      <c r="S979" s="12">
        <v>15</v>
      </c>
      <c r="T979" s="12">
        <v>-2.8999999999999986</v>
      </c>
      <c r="U979" s="14">
        <v>35.4</v>
      </c>
      <c r="V979" s="17">
        <v>-193.33333333333326</v>
      </c>
      <c r="W979" s="14">
        <v>2.2082506666666699</v>
      </c>
      <c r="X979">
        <f t="shared" si="30"/>
        <v>17.100000000000001</v>
      </c>
      <c r="Y979">
        <f t="shared" si="31"/>
        <v>2.2082506666666699</v>
      </c>
    </row>
    <row r="980" spans="1:25">
      <c r="A980" s="12" t="s">
        <v>335</v>
      </c>
      <c r="B980" s="12" t="s">
        <v>425</v>
      </c>
      <c r="C980" s="12">
        <v>161</v>
      </c>
      <c r="D980" s="12">
        <v>2.36</v>
      </c>
      <c r="E980" s="12" t="s">
        <v>461</v>
      </c>
      <c r="F980" s="13">
        <v>41687</v>
      </c>
      <c r="G980" s="12">
        <v>58.6</v>
      </c>
      <c r="I980" s="13">
        <v>41731</v>
      </c>
      <c r="J980" s="12">
        <v>68.400000000000006</v>
      </c>
      <c r="L980" s="12">
        <v>44</v>
      </c>
      <c r="M980" s="12">
        <v>9.8000000000000043</v>
      </c>
      <c r="O980" s="17">
        <v>103.83999999999999</v>
      </c>
      <c r="P980" s="17"/>
      <c r="Q980" s="17">
        <v>222.72727272727283</v>
      </c>
      <c r="R980" s="14">
        <v>23.717669545454548</v>
      </c>
      <c r="S980" s="12">
        <v>15</v>
      </c>
      <c r="T980" s="12">
        <v>3.9000000000000057</v>
      </c>
      <c r="U980" s="14">
        <v>35.4</v>
      </c>
      <c r="V980" s="17">
        <v>260.0000000000004</v>
      </c>
      <c r="W980" s="14">
        <v>25.555215000000018</v>
      </c>
      <c r="X980">
        <f t="shared" si="30"/>
        <v>17.100000000000001</v>
      </c>
      <c r="Y980">
        <f t="shared" si="31"/>
        <v>25.555215000000018</v>
      </c>
    </row>
    <row r="981" spans="1:25">
      <c r="A981" s="12" t="s">
        <v>335</v>
      </c>
      <c r="B981" s="12" t="s">
        <v>425</v>
      </c>
      <c r="C981" s="12">
        <v>161</v>
      </c>
      <c r="D981" s="12">
        <v>2.36</v>
      </c>
      <c r="E981" s="12" t="s">
        <v>462</v>
      </c>
      <c r="F981" s="13">
        <v>41687</v>
      </c>
      <c r="G981" s="12">
        <v>56.6</v>
      </c>
      <c r="I981" s="13">
        <v>41731</v>
      </c>
      <c r="J981" s="12">
        <v>58.2</v>
      </c>
      <c r="L981" s="12">
        <v>44</v>
      </c>
      <c r="M981" s="12">
        <v>1.6000000000000014</v>
      </c>
      <c r="O981" s="17">
        <v>103.83999999999999</v>
      </c>
      <c r="P981" s="17"/>
      <c r="Q981" s="17">
        <v>36.363636363636395</v>
      </c>
      <c r="R981" s="14">
        <v>13.498493272727275</v>
      </c>
      <c r="S981" s="12">
        <v>15</v>
      </c>
      <c r="T981" s="12">
        <v>-0.79999999999999716</v>
      </c>
      <c r="U981" s="14">
        <v>35.4</v>
      </c>
      <c r="V981" s="17">
        <v>-53.333333333333144</v>
      </c>
      <c r="W981" s="14">
        <v>9.0764326666666761</v>
      </c>
      <c r="X981">
        <f t="shared" si="30"/>
        <v>17.100000000000001</v>
      </c>
      <c r="Y981">
        <f t="shared" si="31"/>
        <v>9.0764326666666761</v>
      </c>
    </row>
    <row r="982" spans="1:25">
      <c r="A982" s="12" t="s">
        <v>335</v>
      </c>
      <c r="B982" s="12" t="s">
        <v>425</v>
      </c>
      <c r="C982" s="12">
        <v>161</v>
      </c>
      <c r="D982" s="12">
        <v>2.36</v>
      </c>
      <c r="E982" s="12" t="s">
        <v>463</v>
      </c>
      <c r="F982" s="13">
        <v>41687</v>
      </c>
      <c r="G982" s="12">
        <v>64</v>
      </c>
      <c r="I982" s="13">
        <v>41731</v>
      </c>
      <c r="J982" s="12">
        <v>70.2</v>
      </c>
      <c r="L982" s="12">
        <v>44</v>
      </c>
      <c r="M982" s="12">
        <v>6.2000000000000028</v>
      </c>
      <c r="O982" s="17">
        <v>103.83999999999999</v>
      </c>
      <c r="P982" s="17"/>
      <c r="Q982" s="17">
        <v>140.90909090909099</v>
      </c>
      <c r="R982" s="14">
        <v>20.292757181818182</v>
      </c>
      <c r="S982" s="12">
        <v>15</v>
      </c>
      <c r="T982" s="12">
        <v>1.7000000000000028</v>
      </c>
      <c r="U982" s="14">
        <v>35.4</v>
      </c>
      <c r="V982" s="17">
        <v>113.33333333333353</v>
      </c>
      <c r="W982" s="14">
        <v>18.933272333333342</v>
      </c>
      <c r="X982">
        <f t="shared" si="30"/>
        <v>17.100000000000001</v>
      </c>
      <c r="Y982">
        <f t="shared" si="31"/>
        <v>18.933272333333342</v>
      </c>
    </row>
    <row r="983" spans="1:25">
      <c r="A983" s="12" t="s">
        <v>335</v>
      </c>
      <c r="B983" s="12" t="s">
        <v>425</v>
      </c>
      <c r="C983" s="12">
        <v>161</v>
      </c>
      <c r="D983" s="12">
        <v>2.36</v>
      </c>
      <c r="E983" s="12" t="s">
        <v>464</v>
      </c>
      <c r="F983" s="13">
        <v>41687</v>
      </c>
      <c r="G983" s="12">
        <v>51.4</v>
      </c>
      <c r="I983" s="13">
        <v>41731</v>
      </c>
      <c r="J983" s="12">
        <v>60.2</v>
      </c>
      <c r="L983" s="12">
        <v>44</v>
      </c>
      <c r="M983" s="12">
        <v>8.8000000000000043</v>
      </c>
      <c r="O983" s="17">
        <v>103.83999999999999</v>
      </c>
      <c r="P983" s="17"/>
      <c r="Q983" s="17">
        <v>200.00000000000009</v>
      </c>
      <c r="R983" s="14">
        <v>21.295222000000003</v>
      </c>
      <c r="S983" s="12">
        <v>15</v>
      </c>
      <c r="T983" s="12">
        <v>3.7000000000000028</v>
      </c>
      <c r="U983" s="14">
        <v>35.4</v>
      </c>
      <c r="V983" s="17">
        <v>246.66666666666686</v>
      </c>
      <c r="W983" s="14">
        <v>23.595888666666674</v>
      </c>
      <c r="X983">
        <f t="shared" si="30"/>
        <v>17.100000000000001</v>
      </c>
      <c r="Y983">
        <f t="shared" si="31"/>
        <v>23.595888666666674</v>
      </c>
    </row>
    <row r="984" spans="1:25">
      <c r="A984" s="12" t="s">
        <v>335</v>
      </c>
      <c r="B984" s="12" t="s">
        <v>425</v>
      </c>
      <c r="C984" s="12">
        <v>161</v>
      </c>
      <c r="D984" s="12">
        <v>2.36</v>
      </c>
      <c r="E984" s="12" t="s">
        <v>465</v>
      </c>
      <c r="F984" s="13">
        <v>41687</v>
      </c>
      <c r="G984" s="12">
        <v>49</v>
      </c>
      <c r="I984" s="13">
        <v>41731</v>
      </c>
      <c r="J984" s="12">
        <v>51.8</v>
      </c>
      <c r="L984" s="12">
        <v>44</v>
      </c>
      <c r="M984" s="12">
        <v>2.7999999999999972</v>
      </c>
      <c r="O984" s="17">
        <v>103.83999999999999</v>
      </c>
      <c r="P984" s="17"/>
      <c r="Q984" s="17">
        <v>63.636363636363576</v>
      </c>
      <c r="R984" s="14">
        <v>13.659408727272723</v>
      </c>
      <c r="S984" s="12">
        <v>15</v>
      </c>
      <c r="T984" s="12">
        <v>2.2999999999999972</v>
      </c>
      <c r="U984" s="14">
        <v>35.4</v>
      </c>
      <c r="V984" s="17">
        <v>153.33333333333314</v>
      </c>
      <c r="W984" s="14">
        <v>18.081469333333324</v>
      </c>
      <c r="X984">
        <f t="shared" si="30"/>
        <v>17.100000000000001</v>
      </c>
      <c r="Y984">
        <f t="shared" si="31"/>
        <v>18.081469333333324</v>
      </c>
    </row>
    <row r="985" spans="1:25">
      <c r="A985" s="12" t="s">
        <v>335</v>
      </c>
      <c r="B985" s="12" t="s">
        <v>425</v>
      </c>
      <c r="C985" s="12">
        <v>161</v>
      </c>
      <c r="D985" s="12">
        <v>2.36</v>
      </c>
      <c r="E985" s="12" t="s">
        <v>466</v>
      </c>
      <c r="F985" s="13">
        <v>41687</v>
      </c>
      <c r="G985" s="12">
        <v>53</v>
      </c>
      <c r="I985" s="13">
        <v>41731</v>
      </c>
      <c r="J985" s="12">
        <v>59.6</v>
      </c>
      <c r="L985" s="12">
        <v>44</v>
      </c>
      <c r="M985" s="12">
        <v>6.6000000000000014</v>
      </c>
      <c r="O985" s="17">
        <v>103.83999999999999</v>
      </c>
      <c r="P985" s="17"/>
      <c r="Q985" s="17">
        <v>150.00000000000003</v>
      </c>
      <c r="R985" s="14">
        <v>18.914766999999998</v>
      </c>
      <c r="S985" s="12">
        <v>15</v>
      </c>
      <c r="T985" s="12">
        <v>0.60000000000000142</v>
      </c>
      <c r="U985" s="14">
        <v>35.4</v>
      </c>
      <c r="V985" s="17">
        <v>40.000000000000099</v>
      </c>
      <c r="W985" s="14">
        <v>13.491767000000003</v>
      </c>
      <c r="X985">
        <f t="shared" si="30"/>
        <v>17.100000000000001</v>
      </c>
      <c r="Y985">
        <f t="shared" si="31"/>
        <v>13.491767000000003</v>
      </c>
    </row>
    <row r="986" spans="1:25">
      <c r="A986" s="12" t="s">
        <v>335</v>
      </c>
      <c r="B986" s="12" t="s">
        <v>425</v>
      </c>
      <c r="C986" s="12">
        <v>161</v>
      </c>
      <c r="D986" s="12">
        <v>2.36</v>
      </c>
      <c r="E986" s="12" t="s">
        <v>467</v>
      </c>
      <c r="F986" s="13">
        <v>41687</v>
      </c>
      <c r="G986" s="12">
        <v>53.8</v>
      </c>
      <c r="I986" s="13">
        <v>41731</v>
      </c>
      <c r="J986" s="12">
        <v>59.2</v>
      </c>
      <c r="L986" s="12">
        <v>44</v>
      </c>
      <c r="M986" s="12">
        <v>5.4000000000000057</v>
      </c>
      <c r="O986" s="17">
        <v>103.83999999999999</v>
      </c>
      <c r="P986" s="17"/>
      <c r="Q986" s="17">
        <v>122.72727272727285</v>
      </c>
      <c r="R986" s="14">
        <v>17.604039545454551</v>
      </c>
      <c r="S986" s="12">
        <v>15</v>
      </c>
      <c r="T986" s="12">
        <v>-0.79999999999999716</v>
      </c>
      <c r="U986" s="14">
        <v>35.4</v>
      </c>
      <c r="V986" s="17">
        <v>-53.333333333333144</v>
      </c>
      <c r="W986" s="14">
        <v>8.9242516666666756</v>
      </c>
      <c r="X986">
        <f t="shared" si="30"/>
        <v>17.100000000000001</v>
      </c>
      <c r="Y986">
        <f t="shared" si="31"/>
        <v>8.9242516666666756</v>
      </c>
    </row>
    <row r="987" spans="1:25">
      <c r="A987" s="12" t="s">
        <v>335</v>
      </c>
      <c r="B987" s="12" t="s">
        <v>425</v>
      </c>
      <c r="C987" s="12">
        <v>161</v>
      </c>
      <c r="D987" s="12">
        <v>2.36</v>
      </c>
      <c r="E987" s="12" t="s">
        <v>468</v>
      </c>
      <c r="F987" s="13">
        <v>41687</v>
      </c>
      <c r="G987" s="12">
        <v>52.2</v>
      </c>
      <c r="I987" s="13">
        <v>41731</v>
      </c>
      <c r="J987" s="12">
        <v>58.3</v>
      </c>
      <c r="L987" s="12">
        <v>44</v>
      </c>
      <c r="M987" s="12">
        <v>6.0999999999999943</v>
      </c>
      <c r="O987" s="17">
        <v>103.83999999999999</v>
      </c>
      <c r="P987" s="17"/>
      <c r="Q987" s="17">
        <v>138.63636363636351</v>
      </c>
      <c r="R987" s="14">
        <v>18.17699522727272</v>
      </c>
      <c r="S987" s="12">
        <v>15</v>
      </c>
      <c r="T987" s="12">
        <v>0.29999999999999716</v>
      </c>
      <c r="U987" s="14">
        <v>35.4</v>
      </c>
      <c r="V987" s="17">
        <v>19.999999999999808</v>
      </c>
      <c r="W987" s="14">
        <v>12.32822249999999</v>
      </c>
      <c r="X987">
        <f t="shared" si="30"/>
        <v>17.100000000000001</v>
      </c>
      <c r="Y987">
        <f t="shared" si="31"/>
        <v>12.32822249999999</v>
      </c>
    </row>
    <row r="988" spans="1:25">
      <c r="A988" s="12" t="s">
        <v>335</v>
      </c>
      <c r="B988" s="12" t="s">
        <v>425</v>
      </c>
      <c r="C988" s="12">
        <v>161</v>
      </c>
      <c r="D988" s="12">
        <v>2.36</v>
      </c>
      <c r="E988" s="12" t="s">
        <v>469</v>
      </c>
      <c r="F988" s="13">
        <v>41687</v>
      </c>
      <c r="G988" s="12">
        <v>55.2</v>
      </c>
      <c r="I988" s="13">
        <v>41731</v>
      </c>
      <c r="J988" s="12">
        <v>59.8</v>
      </c>
      <c r="L988" s="12">
        <v>44</v>
      </c>
      <c r="M988" s="12">
        <v>4.5999999999999943</v>
      </c>
      <c r="O988" s="17">
        <v>103.83999999999999</v>
      </c>
      <c r="P988" s="17"/>
      <c r="Q988" s="17">
        <v>104.54545454545442</v>
      </c>
      <c r="R988" s="14">
        <v>16.876765909090899</v>
      </c>
      <c r="S988" s="12">
        <v>15</v>
      </c>
      <c r="T988" s="12">
        <v>0.79999999999999716</v>
      </c>
      <c r="U988" s="14">
        <v>35.4</v>
      </c>
      <c r="V988" s="17">
        <v>53.333333333333144</v>
      </c>
      <c r="W988" s="14">
        <v>14.352008333333323</v>
      </c>
      <c r="X988">
        <f t="shared" si="30"/>
        <v>17.100000000000001</v>
      </c>
      <c r="Y988">
        <f t="shared" si="31"/>
        <v>14.352008333333323</v>
      </c>
    </row>
    <row r="989" spans="1:25">
      <c r="A989" s="12" t="s">
        <v>335</v>
      </c>
      <c r="B989" s="12" t="s">
        <v>425</v>
      </c>
      <c r="C989" s="12">
        <v>161</v>
      </c>
      <c r="D989" s="12">
        <v>2.36</v>
      </c>
      <c r="E989" s="12" t="s">
        <v>470</v>
      </c>
      <c r="F989" s="13">
        <v>41687</v>
      </c>
      <c r="G989" s="12">
        <v>51.6</v>
      </c>
      <c r="I989" s="13">
        <v>41731</v>
      </c>
      <c r="J989" s="12">
        <v>57.4</v>
      </c>
      <c r="L989" s="12">
        <v>44</v>
      </c>
      <c r="M989" s="12">
        <v>5.7999999999999972</v>
      </c>
      <c r="O989" s="17">
        <v>103.83999999999999</v>
      </c>
      <c r="P989" s="17"/>
      <c r="Q989" s="17">
        <v>131.81818181818176</v>
      </c>
      <c r="R989" s="14">
        <v>17.714041363636358</v>
      </c>
      <c r="S989" s="12">
        <v>15</v>
      </c>
      <c r="T989" s="12">
        <v>-3.1000000000000014</v>
      </c>
      <c r="U989" s="14">
        <v>35.4</v>
      </c>
      <c r="V989" s="17">
        <v>-206.66666666666674</v>
      </c>
      <c r="W989" s="14">
        <v>1.0267383333333289</v>
      </c>
      <c r="X989">
        <f t="shared" si="30"/>
        <v>17.100000000000001</v>
      </c>
      <c r="Y989">
        <f t="shared" si="31"/>
        <v>1.0267383333333289</v>
      </c>
    </row>
    <row r="990" spans="1:25">
      <c r="A990" s="12" t="s">
        <v>335</v>
      </c>
      <c r="B990" s="12" t="s">
        <v>425</v>
      </c>
      <c r="C990" s="12">
        <v>161</v>
      </c>
      <c r="D990" s="12">
        <v>2.36</v>
      </c>
      <c r="E990" s="12" t="s">
        <v>471</v>
      </c>
      <c r="F990" s="13">
        <v>41687</v>
      </c>
      <c r="G990" s="12">
        <v>51.6</v>
      </c>
      <c r="I990" s="13">
        <v>41731</v>
      </c>
      <c r="J990" s="12">
        <v>54.2</v>
      </c>
      <c r="L990" s="12">
        <v>44</v>
      </c>
      <c r="M990" s="12">
        <v>2.6000000000000014</v>
      </c>
      <c r="O990" s="17">
        <v>103.83999999999999</v>
      </c>
      <c r="P990" s="17"/>
      <c r="Q990" s="17">
        <v>59.090909090909122</v>
      </c>
      <c r="R990" s="14">
        <v>13.858042818181822</v>
      </c>
      <c r="S990" s="12">
        <v>15</v>
      </c>
      <c r="T990" s="12">
        <v>0.70000000000000284</v>
      </c>
      <c r="U990" s="14">
        <v>35.4</v>
      </c>
      <c r="V990" s="17">
        <v>46.666666666666856</v>
      </c>
      <c r="W990" s="14">
        <v>13.245527666666677</v>
      </c>
      <c r="X990">
        <f t="shared" si="30"/>
        <v>17.100000000000001</v>
      </c>
      <c r="Y990">
        <f t="shared" si="31"/>
        <v>13.245527666666677</v>
      </c>
    </row>
    <row r="991" spans="1:25">
      <c r="A991" s="12" t="s">
        <v>335</v>
      </c>
      <c r="B991" s="12" t="s">
        <v>425</v>
      </c>
      <c r="C991" s="12">
        <v>161</v>
      </c>
      <c r="D991" s="12">
        <v>2.36</v>
      </c>
      <c r="E991" s="12" t="s">
        <v>472</v>
      </c>
      <c r="F991" s="13">
        <v>41687</v>
      </c>
      <c r="G991" s="12">
        <v>52.2</v>
      </c>
      <c r="I991" s="13">
        <v>41731</v>
      </c>
      <c r="J991" s="12">
        <v>58.2</v>
      </c>
      <c r="L991" s="12">
        <v>44</v>
      </c>
      <c r="M991" s="12">
        <v>6</v>
      </c>
      <c r="O991" s="17">
        <v>103.83999999999999</v>
      </c>
      <c r="P991" s="17"/>
      <c r="Q991" s="17">
        <v>136.36363636363635</v>
      </c>
      <c r="R991" s="14">
        <v>18.056495272727272</v>
      </c>
      <c r="S991" s="12">
        <v>15</v>
      </c>
      <c r="T991" s="12">
        <v>-0.29999999999999716</v>
      </c>
      <c r="U991" s="14">
        <v>35.4</v>
      </c>
      <c r="V991" s="17">
        <v>-19.999999999999808</v>
      </c>
      <c r="W991" s="14">
        <v>10.347768000000009</v>
      </c>
      <c r="X991">
        <f t="shared" si="30"/>
        <v>17.100000000000001</v>
      </c>
      <c r="Y991">
        <f t="shared" si="31"/>
        <v>10.347768000000009</v>
      </c>
    </row>
    <row r="992" spans="1:25">
      <c r="A992" s="12" t="s">
        <v>335</v>
      </c>
      <c r="B992" s="12" t="s">
        <v>425</v>
      </c>
      <c r="C992" s="12">
        <v>161</v>
      </c>
      <c r="D992" s="12">
        <v>2.36</v>
      </c>
      <c r="E992" s="12" t="s">
        <v>473</v>
      </c>
      <c r="F992" s="13">
        <v>41687</v>
      </c>
      <c r="G992" s="12">
        <v>55.4</v>
      </c>
      <c r="I992" s="13">
        <v>41731</v>
      </c>
      <c r="J992" s="12">
        <v>59.6</v>
      </c>
      <c r="L992" s="12">
        <v>44</v>
      </c>
      <c r="M992" s="12">
        <v>4.2000000000000028</v>
      </c>
      <c r="O992" s="17">
        <v>103.83999999999999</v>
      </c>
      <c r="P992" s="17"/>
      <c r="Q992" s="17">
        <v>95.45454545454551</v>
      </c>
      <c r="R992" s="14">
        <v>16.428584090909091</v>
      </c>
      <c r="S992" s="12">
        <v>15</v>
      </c>
      <c r="T992" s="12">
        <v>-0.39999999999999858</v>
      </c>
      <c r="U992" s="14">
        <v>35.4</v>
      </c>
      <c r="V992" s="17">
        <v>-26.666666666666572</v>
      </c>
      <c r="W992" s="14">
        <v>10.408008333333337</v>
      </c>
      <c r="X992">
        <f t="shared" si="30"/>
        <v>17.100000000000001</v>
      </c>
      <c r="Y992">
        <f t="shared" si="31"/>
        <v>10.408008333333337</v>
      </c>
    </row>
    <row r="993" spans="1:25">
      <c r="A993" s="12" t="s">
        <v>335</v>
      </c>
      <c r="B993" s="12" t="s">
        <v>425</v>
      </c>
      <c r="C993" s="12">
        <v>161</v>
      </c>
      <c r="D993" s="12">
        <v>2.36</v>
      </c>
      <c r="E993" s="12" t="s">
        <v>474</v>
      </c>
      <c r="F993" s="13">
        <v>41687</v>
      </c>
      <c r="G993" s="12">
        <v>57.8</v>
      </c>
      <c r="I993" s="13">
        <v>41731</v>
      </c>
      <c r="J993" s="12">
        <v>60.2</v>
      </c>
      <c r="L993" s="12">
        <v>44</v>
      </c>
      <c r="M993" s="12">
        <v>2.4000000000000057</v>
      </c>
      <c r="O993" s="17">
        <v>103.83999999999999</v>
      </c>
      <c r="P993" s="17"/>
      <c r="Q993" s="17">
        <v>54.545454545454675</v>
      </c>
      <c r="R993" s="14">
        <v>14.665400909090915</v>
      </c>
      <c r="S993" s="12">
        <v>15</v>
      </c>
      <c r="T993" s="12">
        <v>-2.2999999999999972</v>
      </c>
      <c r="U993" s="14">
        <v>35.4</v>
      </c>
      <c r="V993" s="17">
        <v>-153.33333333333314</v>
      </c>
      <c r="W993" s="14">
        <v>4.4169766666666757</v>
      </c>
      <c r="X993">
        <f t="shared" si="30"/>
        <v>17.100000000000001</v>
      </c>
      <c r="Y993">
        <f t="shared" si="31"/>
        <v>4.4169766666666757</v>
      </c>
    </row>
    <row r="994" spans="1:25">
      <c r="A994" s="12" t="s">
        <v>335</v>
      </c>
      <c r="B994" s="12" t="s">
        <v>425</v>
      </c>
      <c r="C994" s="12">
        <v>161</v>
      </c>
      <c r="D994" s="12">
        <v>2.36</v>
      </c>
      <c r="E994" s="12" t="s">
        <v>475</v>
      </c>
      <c r="F994" s="13">
        <v>41687</v>
      </c>
      <c r="G994" s="12">
        <v>62.4</v>
      </c>
      <c r="I994" s="13">
        <v>41731</v>
      </c>
      <c r="J994" s="12">
        <v>63.6</v>
      </c>
      <c r="L994" s="12">
        <v>44</v>
      </c>
      <c r="M994" s="12">
        <v>1.2000000000000028</v>
      </c>
      <c r="O994" s="17">
        <v>103.83999999999999</v>
      </c>
      <c r="P994" s="17"/>
      <c r="Q994" s="17">
        <v>27.272727272727337</v>
      </c>
      <c r="R994" s="14">
        <v>13.997215454545456</v>
      </c>
      <c r="S994" s="12">
        <v>15</v>
      </c>
      <c r="T994" s="12">
        <v>-1.3999999999999986</v>
      </c>
      <c r="U994" s="14">
        <v>35.4</v>
      </c>
      <c r="V994" s="17">
        <v>-93.333333333333243</v>
      </c>
      <c r="W994" s="14">
        <v>8.0513366666666712</v>
      </c>
      <c r="X994">
        <f t="shared" si="30"/>
        <v>17.100000000000001</v>
      </c>
      <c r="Y994">
        <f t="shared" si="31"/>
        <v>8.0513366666666712</v>
      </c>
    </row>
    <row r="995" spans="1:25">
      <c r="A995" s="12" t="s">
        <v>335</v>
      </c>
      <c r="B995" s="12" t="s">
        <v>425</v>
      </c>
      <c r="C995" s="12">
        <v>161</v>
      </c>
      <c r="D995" s="12">
        <v>2.36</v>
      </c>
      <c r="E995" s="12" t="s">
        <v>476</v>
      </c>
      <c r="F995" s="13">
        <v>41687</v>
      </c>
      <c r="G995" s="12">
        <v>50.2</v>
      </c>
      <c r="I995" s="13">
        <v>41731</v>
      </c>
      <c r="J995" s="12">
        <v>56.6</v>
      </c>
      <c r="L995" s="12">
        <v>44</v>
      </c>
      <c r="M995" s="12">
        <v>6.3999999999999986</v>
      </c>
      <c r="O995" s="17">
        <v>103.83999999999999</v>
      </c>
      <c r="P995" s="17"/>
      <c r="Q995" s="17">
        <v>145.45454545454541</v>
      </c>
      <c r="R995" s="14">
        <v>18.20031509090909</v>
      </c>
      <c r="S995" s="12">
        <v>15</v>
      </c>
      <c r="T995" s="12">
        <v>0.60000000000000142</v>
      </c>
      <c r="U995" s="14">
        <v>35.4</v>
      </c>
      <c r="V995" s="17">
        <v>40.000000000000099</v>
      </c>
      <c r="W995" s="14">
        <v>13.001406000000005</v>
      </c>
      <c r="X995">
        <f t="shared" si="30"/>
        <v>17.100000000000001</v>
      </c>
      <c r="Y995">
        <f t="shared" si="31"/>
        <v>13.001406000000005</v>
      </c>
    </row>
    <row r="996" spans="1:25">
      <c r="A996" s="12" t="s">
        <v>335</v>
      </c>
      <c r="B996" s="12" t="s">
        <v>425</v>
      </c>
      <c r="C996" s="12">
        <v>161</v>
      </c>
      <c r="D996" s="12">
        <v>2.36</v>
      </c>
      <c r="E996" s="12" t="s">
        <v>477</v>
      </c>
      <c r="F996" s="13">
        <v>41687</v>
      </c>
      <c r="G996" s="12">
        <v>52.2</v>
      </c>
      <c r="I996" s="13">
        <v>41731</v>
      </c>
      <c r="J996" s="12">
        <v>60.4</v>
      </c>
      <c r="L996" s="12">
        <v>44</v>
      </c>
      <c r="M996" s="12">
        <v>8.1999999999999957</v>
      </c>
      <c r="O996" s="17">
        <v>103.83999999999999</v>
      </c>
      <c r="P996" s="17"/>
      <c r="Q996" s="17">
        <v>186.36363636363626</v>
      </c>
      <c r="R996" s="14">
        <v>20.707494272727267</v>
      </c>
      <c r="S996" s="12">
        <v>15</v>
      </c>
      <c r="T996" s="12">
        <v>-0.10000000000000142</v>
      </c>
      <c r="U996" s="14">
        <v>35.4</v>
      </c>
      <c r="V996" s="17">
        <v>-6.666666666666762</v>
      </c>
      <c r="W996" s="14">
        <v>11.191100333333328</v>
      </c>
      <c r="X996">
        <f t="shared" si="30"/>
        <v>17.100000000000001</v>
      </c>
      <c r="Y996">
        <f t="shared" si="31"/>
        <v>11.191100333333328</v>
      </c>
    </row>
    <row r="997" spans="1:25">
      <c r="A997" s="12" t="s">
        <v>299</v>
      </c>
      <c r="B997" s="12" t="s">
        <v>300</v>
      </c>
      <c r="C997" s="12">
        <v>14</v>
      </c>
      <c r="D997" s="12">
        <v>1.98</v>
      </c>
      <c r="E997" s="12" t="s">
        <v>301</v>
      </c>
      <c r="F997" s="13">
        <v>39476</v>
      </c>
      <c r="G997" s="12">
        <v>54</v>
      </c>
      <c r="H997" s="12">
        <v>2.5</v>
      </c>
      <c r="I997" s="13">
        <v>39525</v>
      </c>
      <c r="J997" s="12">
        <v>62.2</v>
      </c>
      <c r="K997" s="12">
        <v>2.75</v>
      </c>
      <c r="L997" s="12">
        <v>49</v>
      </c>
      <c r="M997" s="12">
        <v>8.2000000000000028</v>
      </c>
      <c r="N997" s="12">
        <v>0.25</v>
      </c>
      <c r="O997" s="17">
        <v>97.02</v>
      </c>
      <c r="P997" s="17"/>
      <c r="Q997" s="17">
        <v>167.34693877551027</v>
      </c>
      <c r="R997" s="14">
        <v>20.074333081632656</v>
      </c>
      <c r="S997" s="12">
        <v>7</v>
      </c>
      <c r="T997" s="12">
        <v>0.20000000000000284</v>
      </c>
      <c r="U997" s="14">
        <v>13.86</v>
      </c>
      <c r="V997" s="17">
        <v>28.571428571428978</v>
      </c>
      <c r="W997" s="14">
        <v>13.232700428571448</v>
      </c>
      <c r="X997">
        <f t="shared" si="30"/>
        <v>18.02675</v>
      </c>
      <c r="Y997">
        <f t="shared" si="31"/>
        <v>13.949858622850897</v>
      </c>
    </row>
    <row r="998" spans="1:25">
      <c r="A998" s="12" t="s">
        <v>299</v>
      </c>
      <c r="B998" s="12" t="s">
        <v>300</v>
      </c>
      <c r="C998" s="12">
        <v>14</v>
      </c>
      <c r="D998" s="12">
        <v>1.98</v>
      </c>
      <c r="E998" s="12" t="s">
        <v>302</v>
      </c>
      <c r="F998" s="13">
        <v>39476</v>
      </c>
      <c r="G998" s="12">
        <v>56.6</v>
      </c>
      <c r="H998" s="12">
        <v>2.5</v>
      </c>
      <c r="I998" s="13">
        <v>39525</v>
      </c>
      <c r="J998" s="12">
        <v>62.2</v>
      </c>
      <c r="K998" s="12">
        <v>2.5</v>
      </c>
      <c r="L998" s="12">
        <v>49</v>
      </c>
      <c r="M998" s="12">
        <v>5.6000000000000014</v>
      </c>
      <c r="N998" s="12">
        <v>0</v>
      </c>
      <c r="O998" s="17">
        <v>97.02</v>
      </c>
      <c r="P998" s="17"/>
      <c r="Q998" s="17">
        <v>114.28571428571431</v>
      </c>
      <c r="R998" s="14">
        <v>17.678231714285715</v>
      </c>
      <c r="S998" s="12">
        <v>7</v>
      </c>
      <c r="T998" s="12">
        <v>-1</v>
      </c>
      <c r="U998" s="14">
        <v>13.86</v>
      </c>
      <c r="V998" s="17">
        <v>-142.85714285714286</v>
      </c>
      <c r="W998" s="14">
        <v>5.0010888571428582</v>
      </c>
      <c r="X998">
        <f t="shared" si="30"/>
        <v>18.02675</v>
      </c>
      <c r="Y998">
        <f t="shared" si="31"/>
        <v>5.2721274009064327</v>
      </c>
    </row>
    <row r="999" spans="1:25">
      <c r="A999" s="12" t="s">
        <v>299</v>
      </c>
      <c r="B999" s="12" t="s">
        <v>300</v>
      </c>
      <c r="C999" s="12">
        <v>14</v>
      </c>
      <c r="D999" s="12">
        <v>1.98</v>
      </c>
      <c r="E999" s="12" t="s">
        <v>303</v>
      </c>
      <c r="F999" s="13">
        <v>39476</v>
      </c>
      <c r="G999" s="12">
        <v>56.6</v>
      </c>
      <c r="H999" s="12">
        <v>3.25</v>
      </c>
      <c r="I999" s="13">
        <v>39525</v>
      </c>
      <c r="J999" s="12">
        <v>64</v>
      </c>
      <c r="K999" s="12">
        <v>3</v>
      </c>
      <c r="L999" s="12">
        <v>49</v>
      </c>
      <c r="M999" s="12">
        <v>7.3999999999999986</v>
      </c>
      <c r="N999" s="12">
        <v>-0.25</v>
      </c>
      <c r="O999" s="17">
        <v>97.02</v>
      </c>
      <c r="P999" s="17"/>
      <c r="Q999" s="17">
        <v>151.02040816326527</v>
      </c>
      <c r="R999" s="14">
        <v>19.641433122448976</v>
      </c>
      <c r="S999" s="12">
        <v>7</v>
      </c>
      <c r="T999" s="12">
        <v>-1.2000000000000028</v>
      </c>
      <c r="U999" s="14">
        <v>13.86</v>
      </c>
      <c r="V999" s="17">
        <v>-171.42857142857184</v>
      </c>
      <c r="W999" s="14">
        <v>3.7446984285714073</v>
      </c>
      <c r="X999">
        <f t="shared" si="30"/>
        <v>14.915374999999999</v>
      </c>
      <c r="Y999">
        <f t="shared" si="31"/>
        <v>3.2662913055001899</v>
      </c>
    </row>
    <row r="1000" spans="1:25">
      <c r="A1000" s="12" t="s">
        <v>299</v>
      </c>
      <c r="B1000" s="12" t="s">
        <v>300</v>
      </c>
      <c r="C1000" s="12">
        <v>14</v>
      </c>
      <c r="D1000" s="12">
        <v>1.98</v>
      </c>
      <c r="E1000" s="12" t="s">
        <v>304</v>
      </c>
      <c r="F1000" s="13">
        <v>39476</v>
      </c>
      <c r="G1000" s="12">
        <v>63.6</v>
      </c>
      <c r="H1000" s="12">
        <v>3.25</v>
      </c>
      <c r="I1000" s="13">
        <v>39525</v>
      </c>
      <c r="J1000" s="12">
        <v>68.2</v>
      </c>
      <c r="K1000" s="12">
        <v>3</v>
      </c>
      <c r="L1000" s="12">
        <v>49</v>
      </c>
      <c r="M1000" s="12">
        <v>4.6000000000000014</v>
      </c>
      <c r="N1000" s="12">
        <v>-0.25</v>
      </c>
      <c r="O1000" s="17">
        <v>97.02</v>
      </c>
      <c r="P1000" s="17"/>
      <c r="Q1000" s="17">
        <v>93.877551020408191</v>
      </c>
      <c r="R1000" s="14">
        <v>17.771194265306125</v>
      </c>
      <c r="S1000" s="12">
        <v>7</v>
      </c>
      <c r="T1000" s="12">
        <v>-0.59999999999999432</v>
      </c>
      <c r="U1000" s="14">
        <v>13.86</v>
      </c>
      <c r="V1000" s="17">
        <v>-85.714285714284898</v>
      </c>
      <c r="W1000" s="14">
        <v>8.9173167142857555</v>
      </c>
      <c r="X1000">
        <f t="shared" si="30"/>
        <v>14.915374999999999</v>
      </c>
      <c r="Y1000">
        <f t="shared" si="31"/>
        <v>7.7780773559847889</v>
      </c>
    </row>
    <row r="1001" spans="1:25">
      <c r="A1001" s="12" t="s">
        <v>299</v>
      </c>
      <c r="B1001" s="12" t="s">
        <v>300</v>
      </c>
      <c r="C1001" s="12">
        <v>14</v>
      </c>
      <c r="D1001" s="12">
        <v>1.98</v>
      </c>
      <c r="E1001" s="12" t="s">
        <v>305</v>
      </c>
      <c r="F1001" s="13">
        <v>39476</v>
      </c>
      <c r="G1001" s="12">
        <v>52.4</v>
      </c>
      <c r="H1001" s="12">
        <v>2</v>
      </c>
      <c r="I1001" s="13">
        <v>39525</v>
      </c>
      <c r="J1001" s="12">
        <v>60</v>
      </c>
      <c r="K1001" s="12">
        <v>2</v>
      </c>
      <c r="L1001" s="12">
        <v>49</v>
      </c>
      <c r="M1001" s="12">
        <v>7.6000000000000014</v>
      </c>
      <c r="N1001" s="12">
        <v>0</v>
      </c>
      <c r="O1001" s="17">
        <v>97.02</v>
      </c>
      <c r="P1001" s="17"/>
      <c r="Q1001" s="17">
        <v>155.10204081632656</v>
      </c>
      <c r="R1001" s="14">
        <v>19.149388612244898</v>
      </c>
      <c r="S1001" s="12">
        <v>7</v>
      </c>
      <c r="T1001" s="12">
        <v>-0.60000000000000142</v>
      </c>
      <c r="U1001" s="14">
        <v>13.86</v>
      </c>
      <c r="V1001" s="17">
        <v>-85.714285714285921</v>
      </c>
      <c r="W1001" s="14">
        <v>7.2771437142857041</v>
      </c>
      <c r="X1001">
        <f t="shared" si="30"/>
        <v>20.100999999999999</v>
      </c>
      <c r="Y1001">
        <f t="shared" si="31"/>
        <v>8.5542611579448504</v>
      </c>
    </row>
    <row r="1002" spans="1:25">
      <c r="A1002" s="12" t="s">
        <v>299</v>
      </c>
      <c r="B1002" s="12" t="s">
        <v>300</v>
      </c>
      <c r="C1002" s="12">
        <v>14</v>
      </c>
      <c r="D1002" s="12">
        <v>1.98</v>
      </c>
      <c r="E1002" s="12" t="s">
        <v>306</v>
      </c>
      <c r="F1002" s="13">
        <v>39476</v>
      </c>
      <c r="G1002" s="12">
        <v>53.2</v>
      </c>
      <c r="H1002" s="12">
        <v>2.5</v>
      </c>
      <c r="I1002" s="13">
        <v>39525</v>
      </c>
      <c r="J1002" s="12">
        <v>60.8</v>
      </c>
      <c r="K1002" s="12">
        <v>2.5</v>
      </c>
      <c r="L1002" s="12">
        <v>49</v>
      </c>
      <c r="M1002" s="12">
        <v>7.5999999999999943</v>
      </c>
      <c r="N1002" s="12">
        <v>0</v>
      </c>
      <c r="O1002" s="17">
        <v>97.02</v>
      </c>
      <c r="P1002" s="17"/>
      <c r="Q1002" s="17">
        <v>155.10204081632642</v>
      </c>
      <c r="R1002" s="14">
        <v>19.284660612244892</v>
      </c>
      <c r="S1002" s="12">
        <v>7</v>
      </c>
      <c r="T1002" s="12">
        <v>0.39999999999999858</v>
      </c>
      <c r="U1002" s="14">
        <v>13.86</v>
      </c>
      <c r="V1002" s="17">
        <v>57.14285714285694</v>
      </c>
      <c r="W1002" s="14">
        <v>14.455272857142848</v>
      </c>
      <c r="X1002">
        <f t="shared" si="30"/>
        <v>18.02675</v>
      </c>
      <c r="Y1002">
        <f t="shared" si="31"/>
        <v>15.23868947236841</v>
      </c>
    </row>
    <row r="1003" spans="1:25">
      <c r="A1003" s="12" t="s">
        <v>299</v>
      </c>
      <c r="B1003" s="12" t="s">
        <v>300</v>
      </c>
      <c r="C1003" s="12">
        <v>14</v>
      </c>
      <c r="D1003" s="12">
        <v>1.98</v>
      </c>
      <c r="E1003" s="12" t="s">
        <v>307</v>
      </c>
      <c r="F1003" s="13">
        <v>39476</v>
      </c>
      <c r="G1003" s="12">
        <v>60.2</v>
      </c>
      <c r="H1003" s="12">
        <v>2.25</v>
      </c>
      <c r="I1003" s="13">
        <v>39525</v>
      </c>
      <c r="J1003" s="12">
        <v>65.8</v>
      </c>
      <c r="K1003" s="12">
        <v>1.75</v>
      </c>
      <c r="L1003" s="12">
        <v>49</v>
      </c>
      <c r="M1003" s="12">
        <v>5.5999999999999943</v>
      </c>
      <c r="N1003" s="12">
        <v>-0.5</v>
      </c>
      <c r="O1003" s="17">
        <v>97.02</v>
      </c>
      <c r="P1003" s="17"/>
      <c r="Q1003" s="17">
        <v>114.28571428571418</v>
      </c>
      <c r="R1003" s="14">
        <v>18.286955714285707</v>
      </c>
      <c r="S1003" s="12">
        <v>7</v>
      </c>
      <c r="T1003" s="12">
        <v>-2.7999999999999972</v>
      </c>
      <c r="U1003" s="14">
        <v>13.86</v>
      </c>
      <c r="V1003" s="17">
        <v>-399.9999999999996</v>
      </c>
      <c r="W1003" s="14">
        <v>-7.0673299999999788</v>
      </c>
      <c r="X1003">
        <f t="shared" si="30"/>
        <v>19.063874999999999</v>
      </c>
      <c r="Y1003">
        <f t="shared" si="31"/>
        <v>-7.8789880528508531</v>
      </c>
    </row>
    <row r="1004" spans="1:25">
      <c r="A1004" s="12" t="s">
        <v>299</v>
      </c>
      <c r="B1004" s="12" t="s">
        <v>300</v>
      </c>
      <c r="C1004" s="12">
        <v>14</v>
      </c>
      <c r="D1004" s="12">
        <v>1.98</v>
      </c>
      <c r="E1004" s="12" t="s">
        <v>308</v>
      </c>
      <c r="F1004" s="13">
        <v>39476</v>
      </c>
      <c r="G1004" s="12">
        <v>60.2</v>
      </c>
      <c r="H1004" s="12">
        <v>3</v>
      </c>
      <c r="I1004" s="13">
        <v>39525</v>
      </c>
      <c r="J1004" s="12">
        <v>69.2</v>
      </c>
      <c r="K1004" s="12">
        <v>3</v>
      </c>
      <c r="L1004" s="12">
        <v>49</v>
      </c>
      <c r="M1004" s="12">
        <v>9</v>
      </c>
      <c r="N1004" s="12">
        <v>0</v>
      </c>
      <c r="O1004" s="17">
        <v>97.02</v>
      </c>
      <c r="P1004" s="17"/>
      <c r="Q1004" s="17">
        <v>183.67346938775512</v>
      </c>
      <c r="R1004" s="14">
        <v>21.995225040816326</v>
      </c>
      <c r="S1004" s="12">
        <v>7</v>
      </c>
      <c r="T1004" s="12">
        <v>0.60000000000000853</v>
      </c>
      <c r="U1004" s="14">
        <v>13.86</v>
      </c>
      <c r="V1004" s="17">
        <v>85.71428571428693</v>
      </c>
      <c r="W1004" s="14">
        <v>17.165837285714346</v>
      </c>
      <c r="X1004">
        <f t="shared" si="30"/>
        <v>15.952499999999999</v>
      </c>
      <c r="Y1004">
        <f t="shared" si="31"/>
        <v>16.013919257330883</v>
      </c>
    </row>
    <row r="1005" spans="1:25">
      <c r="A1005" s="12" t="s">
        <v>299</v>
      </c>
      <c r="B1005" s="12" t="s">
        <v>300</v>
      </c>
      <c r="C1005" s="12">
        <v>14</v>
      </c>
      <c r="D1005" s="12">
        <v>1.98</v>
      </c>
      <c r="E1005" s="12" t="s">
        <v>309</v>
      </c>
      <c r="F1005" s="13">
        <v>39476</v>
      </c>
      <c r="G1005" s="12">
        <v>50.6</v>
      </c>
      <c r="H1005" s="12">
        <v>1.75</v>
      </c>
      <c r="I1005" s="13">
        <v>39525</v>
      </c>
      <c r="J1005" s="12">
        <v>62.6</v>
      </c>
      <c r="K1005" s="12">
        <v>1.75</v>
      </c>
      <c r="L1005" s="12">
        <v>49</v>
      </c>
      <c r="M1005" s="12">
        <v>12</v>
      </c>
      <c r="N1005" s="12">
        <v>0</v>
      </c>
      <c r="O1005" s="17">
        <v>97.02</v>
      </c>
      <c r="P1005" s="17"/>
      <c r="Q1005" s="17">
        <v>244.89795918367346</v>
      </c>
      <c r="R1005" s="14">
        <v>23.6439633877551</v>
      </c>
      <c r="S1005" s="12">
        <v>7</v>
      </c>
      <c r="T1005" s="12">
        <v>-1.1999999999999957</v>
      </c>
      <c r="U1005" s="14">
        <v>13.86</v>
      </c>
      <c r="V1005" s="17">
        <v>-171.42857142857082</v>
      </c>
      <c r="W1005" s="14">
        <v>3.1190654285714583</v>
      </c>
      <c r="X1005">
        <f t="shared" si="30"/>
        <v>21.138124999999999</v>
      </c>
      <c r="Y1005">
        <f t="shared" si="31"/>
        <v>3.8556254334691258</v>
      </c>
    </row>
    <row r="1006" spans="1:25">
      <c r="A1006" s="12" t="s">
        <v>299</v>
      </c>
      <c r="B1006" s="12" t="s">
        <v>300</v>
      </c>
      <c r="C1006" s="12">
        <v>14</v>
      </c>
      <c r="D1006" s="12">
        <v>1.98</v>
      </c>
      <c r="E1006" s="12" t="s">
        <v>310</v>
      </c>
      <c r="F1006" s="13">
        <v>39476</v>
      </c>
      <c r="G1006" s="12">
        <v>63.2</v>
      </c>
      <c r="H1006" s="12">
        <v>2.5</v>
      </c>
      <c r="I1006" s="13">
        <v>39525</v>
      </c>
      <c r="J1006" s="12">
        <v>69.2</v>
      </c>
      <c r="K1006" s="12">
        <v>2.5</v>
      </c>
      <c r="L1006" s="12">
        <v>49</v>
      </c>
      <c r="M1006" s="12">
        <v>6</v>
      </c>
      <c r="N1006" s="12">
        <v>0</v>
      </c>
      <c r="O1006" s="17">
        <v>97.02</v>
      </c>
      <c r="P1006" s="17"/>
      <c r="Q1006" s="17">
        <v>122.44897959183673</v>
      </c>
      <c r="R1006" s="14">
        <v>19.230492693877551</v>
      </c>
      <c r="S1006" s="12">
        <v>7</v>
      </c>
      <c r="T1006" s="12">
        <v>-2.7999999999999972</v>
      </c>
      <c r="U1006" s="14">
        <v>13.86</v>
      </c>
      <c r="V1006" s="17">
        <v>-399.9999999999996</v>
      </c>
      <c r="W1006" s="14">
        <v>-6.5262419999999786</v>
      </c>
      <c r="X1006">
        <f t="shared" si="30"/>
        <v>18.02675</v>
      </c>
      <c r="Y1006">
        <f t="shared" si="31"/>
        <v>-6.879937600789451</v>
      </c>
    </row>
    <row r="1007" spans="1:25">
      <c r="A1007" s="12" t="s">
        <v>299</v>
      </c>
      <c r="B1007" s="12" t="s">
        <v>300</v>
      </c>
      <c r="C1007" s="12">
        <v>14</v>
      </c>
      <c r="D1007" s="12">
        <v>1.98</v>
      </c>
      <c r="E1007" s="12" t="s">
        <v>311</v>
      </c>
      <c r="F1007" s="13">
        <v>39476</v>
      </c>
      <c r="G1007" s="12">
        <v>57.2</v>
      </c>
      <c r="H1007" s="12">
        <v>3.5</v>
      </c>
      <c r="I1007" s="13">
        <v>39525</v>
      </c>
      <c r="J1007" s="12">
        <v>64.2</v>
      </c>
      <c r="K1007" s="12">
        <v>3</v>
      </c>
      <c r="L1007" s="12">
        <v>49</v>
      </c>
      <c r="M1007" s="12">
        <v>7</v>
      </c>
      <c r="N1007" s="12">
        <v>-0.5</v>
      </c>
      <c r="O1007" s="17">
        <v>97.02</v>
      </c>
      <c r="P1007" s="17"/>
      <c r="Q1007" s="17">
        <v>142.85714285714286</v>
      </c>
      <c r="R1007" s="14">
        <v>19.306620142857142</v>
      </c>
      <c r="S1007" s="12">
        <v>7</v>
      </c>
      <c r="T1007" s="12">
        <v>-0.79999999999999716</v>
      </c>
      <c r="U1007" s="14">
        <v>13.86</v>
      </c>
      <c r="V1007" s="17">
        <v>-114.28571428571388</v>
      </c>
      <c r="W1007" s="14">
        <v>6.6294772857143052</v>
      </c>
      <c r="X1007">
        <f t="shared" si="30"/>
        <v>13.878249999999998</v>
      </c>
      <c r="Y1007">
        <f t="shared" si="31"/>
        <v>5.3804411193254111</v>
      </c>
    </row>
    <row r="1008" spans="1:25">
      <c r="A1008" s="12" t="s">
        <v>299</v>
      </c>
      <c r="B1008" s="12" t="s">
        <v>300</v>
      </c>
      <c r="C1008" s="12">
        <v>14</v>
      </c>
      <c r="D1008" s="12">
        <v>1.98</v>
      </c>
      <c r="E1008" s="12" t="s">
        <v>312</v>
      </c>
      <c r="F1008" s="13">
        <v>39476</v>
      </c>
      <c r="G1008" s="12">
        <v>48.2</v>
      </c>
      <c r="H1008" s="12">
        <v>2.25</v>
      </c>
      <c r="I1008" s="13">
        <v>39525</v>
      </c>
      <c r="J1008" s="12">
        <v>57.2</v>
      </c>
      <c r="K1008" s="12">
        <v>2.75</v>
      </c>
      <c r="L1008" s="12">
        <v>49</v>
      </c>
      <c r="M1008" s="12">
        <v>9</v>
      </c>
      <c r="N1008" s="12">
        <v>0.5</v>
      </c>
      <c r="O1008" s="17">
        <v>97.02</v>
      </c>
      <c r="P1008" s="17"/>
      <c r="Q1008" s="17">
        <v>183.67346938775512</v>
      </c>
      <c r="R1008" s="14">
        <v>19.966145040816325</v>
      </c>
      <c r="S1008" s="12">
        <v>7</v>
      </c>
      <c r="T1008" s="12">
        <v>-0.39999999999999858</v>
      </c>
      <c r="U1008" s="14">
        <v>13.86</v>
      </c>
      <c r="V1008" s="17">
        <v>-57.14285714285694</v>
      </c>
      <c r="W1008" s="14">
        <v>8.0939001428571515</v>
      </c>
      <c r="X1008">
        <f t="shared" si="30"/>
        <v>19.063874999999999</v>
      </c>
      <c r="Y1008">
        <f t="shared" si="31"/>
        <v>9.0234561746146706</v>
      </c>
    </row>
    <row r="1009" spans="1:25">
      <c r="A1009" s="12" t="s">
        <v>299</v>
      </c>
      <c r="B1009" s="12" t="s">
        <v>300</v>
      </c>
      <c r="C1009" s="12">
        <v>14</v>
      </c>
      <c r="D1009" s="12">
        <v>1.98</v>
      </c>
      <c r="E1009" s="12" t="s">
        <v>313</v>
      </c>
      <c r="F1009" s="13">
        <v>39476</v>
      </c>
      <c r="G1009" s="12">
        <v>66.400000000000006</v>
      </c>
      <c r="H1009" s="12">
        <v>2.5</v>
      </c>
      <c r="I1009" s="13">
        <v>39525</v>
      </c>
      <c r="J1009" s="12">
        <v>70</v>
      </c>
      <c r="K1009" s="12">
        <v>2.25</v>
      </c>
      <c r="L1009" s="12">
        <v>49</v>
      </c>
      <c r="M1009" s="12">
        <v>3.5999999999999943</v>
      </c>
      <c r="N1009" s="12">
        <v>-0.25</v>
      </c>
      <c r="O1009" s="17">
        <v>97.02</v>
      </c>
      <c r="P1009" s="17"/>
      <c r="Q1009" s="17">
        <v>73.46938775510192</v>
      </c>
      <c r="R1009" s="14">
        <v>17.153978816326525</v>
      </c>
      <c r="S1009" s="12">
        <v>7</v>
      </c>
      <c r="T1009" s="12">
        <v>-0.79999999999999716</v>
      </c>
      <c r="U1009" s="14">
        <v>13.86</v>
      </c>
      <c r="V1009" s="17">
        <v>-114.28571428571388</v>
      </c>
      <c r="W1009" s="14">
        <v>7.8976522857143063</v>
      </c>
      <c r="X1009">
        <f t="shared" si="30"/>
        <v>18.02675</v>
      </c>
      <c r="Y1009">
        <f t="shared" si="31"/>
        <v>8.3256727100292593</v>
      </c>
    </row>
    <row r="1010" spans="1:25">
      <c r="A1010" s="12" t="s">
        <v>299</v>
      </c>
      <c r="B1010" s="12" t="s">
        <v>300</v>
      </c>
      <c r="C1010" s="12">
        <v>14</v>
      </c>
      <c r="D1010" s="12">
        <v>1.98</v>
      </c>
      <c r="E1010" s="12" t="s">
        <v>314</v>
      </c>
      <c r="F1010" s="13">
        <v>39476</v>
      </c>
      <c r="G1010" s="12">
        <v>48.4</v>
      </c>
      <c r="H1010" s="12">
        <v>2</v>
      </c>
      <c r="I1010" s="13">
        <v>39525</v>
      </c>
      <c r="J1010" s="12">
        <v>53.2</v>
      </c>
      <c r="K1010" s="12">
        <v>2.25</v>
      </c>
      <c r="L1010" s="12">
        <v>49</v>
      </c>
      <c r="M1010" s="12">
        <v>4.8000000000000043</v>
      </c>
      <c r="N1010" s="12">
        <v>0.25</v>
      </c>
      <c r="O1010" s="17">
        <v>97.02</v>
      </c>
      <c r="P1010" s="17"/>
      <c r="Q1010" s="17">
        <v>97.959183673469482</v>
      </c>
      <c r="R1010" s="14">
        <v>15.419159755102044</v>
      </c>
      <c r="S1010" s="12">
        <v>7</v>
      </c>
      <c r="T1010" s="12">
        <v>-1.1999999999999957</v>
      </c>
      <c r="U1010" s="14">
        <v>13.86</v>
      </c>
      <c r="V1010" s="17">
        <v>-171.42857142857082</v>
      </c>
      <c r="W1010" s="14">
        <v>2.1383434285714564</v>
      </c>
      <c r="X1010">
        <f t="shared" si="30"/>
        <v>20.100999999999999</v>
      </c>
      <c r="Y1010">
        <f t="shared" si="31"/>
        <v>2.5136164478195813</v>
      </c>
    </row>
    <row r="1011" spans="1:25">
      <c r="A1011" s="12" t="s">
        <v>299</v>
      </c>
      <c r="B1011" s="12" t="s">
        <v>300</v>
      </c>
      <c r="C1011" s="12">
        <v>14</v>
      </c>
      <c r="D1011" s="12">
        <v>1.98</v>
      </c>
      <c r="E1011" s="12" t="s">
        <v>315</v>
      </c>
      <c r="F1011" s="13">
        <v>39476</v>
      </c>
      <c r="G1011" s="12">
        <v>53</v>
      </c>
      <c r="H1011" s="12">
        <v>2</v>
      </c>
      <c r="I1011" s="13">
        <v>39525</v>
      </c>
      <c r="J1011" s="12">
        <v>61.8</v>
      </c>
      <c r="K1011" s="12">
        <v>1.75</v>
      </c>
      <c r="L1011" s="12">
        <v>49</v>
      </c>
      <c r="M1011" s="12">
        <v>8.7999999999999972</v>
      </c>
      <c r="N1011" s="12">
        <v>-0.25</v>
      </c>
      <c r="O1011" s="17">
        <v>97.02</v>
      </c>
      <c r="P1011" s="17"/>
      <c r="Q1011" s="17">
        <v>179.5918367346938</v>
      </c>
      <c r="R1011" s="14">
        <v>20.559643551020404</v>
      </c>
      <c r="S1011" s="12">
        <v>7</v>
      </c>
      <c r="T1011" s="12">
        <v>0.39999999999999858</v>
      </c>
      <c r="U1011" s="14">
        <v>13.86</v>
      </c>
      <c r="V1011" s="17">
        <v>57.14285714285694</v>
      </c>
      <c r="W1011" s="14">
        <v>14.522908857142845</v>
      </c>
      <c r="X1011">
        <f t="shared" si="30"/>
        <v>20.100999999999999</v>
      </c>
      <c r="Y1011">
        <f t="shared" si="31"/>
        <v>17.071636896925632</v>
      </c>
    </row>
    <row r="1012" spans="1:25">
      <c r="A1012" s="12" t="s">
        <v>299</v>
      </c>
      <c r="B1012" s="12" t="s">
        <v>300</v>
      </c>
      <c r="C1012" s="12">
        <v>14</v>
      </c>
      <c r="D1012" s="12">
        <v>1.98</v>
      </c>
      <c r="E1012" s="12" t="s">
        <v>316</v>
      </c>
      <c r="F1012" s="13">
        <v>39476</v>
      </c>
      <c r="G1012" s="12">
        <v>60</v>
      </c>
      <c r="H1012" s="12">
        <v>2</v>
      </c>
      <c r="I1012" s="13">
        <v>39525</v>
      </c>
      <c r="J1012" s="12">
        <v>67.2</v>
      </c>
      <c r="K1012" s="12">
        <v>2.25</v>
      </c>
      <c r="L1012" s="12">
        <v>49</v>
      </c>
      <c r="M1012" s="12">
        <v>7.2000000000000028</v>
      </c>
      <c r="N1012" s="12">
        <v>0.25</v>
      </c>
      <c r="O1012" s="17">
        <v>97.02</v>
      </c>
      <c r="P1012" s="17"/>
      <c r="Q1012" s="17">
        <v>146.93877551020415</v>
      </c>
      <c r="R1012" s="14">
        <v>19.998205632653065</v>
      </c>
      <c r="S1012" s="12">
        <v>7</v>
      </c>
      <c r="T1012" s="12">
        <v>1.7999999999999972</v>
      </c>
      <c r="U1012" s="14">
        <v>13.86</v>
      </c>
      <c r="V1012" s="17">
        <v>257.14285714285671</v>
      </c>
      <c r="W1012" s="14">
        <v>25.431266857142838</v>
      </c>
      <c r="X1012">
        <f t="shared" si="30"/>
        <v>20.100999999999999</v>
      </c>
      <c r="Y1012">
        <f t="shared" si="31"/>
        <v>29.894379830141997</v>
      </c>
    </row>
    <row r="1013" spans="1:25">
      <c r="A1013" s="12" t="s">
        <v>299</v>
      </c>
      <c r="B1013" s="12" t="s">
        <v>300</v>
      </c>
      <c r="C1013" s="12">
        <v>14</v>
      </c>
      <c r="D1013" s="12">
        <v>1.98</v>
      </c>
      <c r="E1013" s="12" t="s">
        <v>317</v>
      </c>
      <c r="F1013" s="13">
        <v>39476</v>
      </c>
      <c r="G1013" s="12">
        <v>64.2</v>
      </c>
      <c r="H1013" s="12">
        <v>3</v>
      </c>
      <c r="I1013" s="13">
        <v>39525</v>
      </c>
      <c r="J1013" s="12">
        <v>69</v>
      </c>
      <c r="K1013" s="12">
        <v>3</v>
      </c>
      <c r="L1013" s="12">
        <v>49</v>
      </c>
      <c r="M1013" s="12">
        <v>4.7999999999999972</v>
      </c>
      <c r="N1013" s="12">
        <v>0</v>
      </c>
      <c r="O1013" s="17">
        <v>97.02</v>
      </c>
      <c r="P1013" s="17"/>
      <c r="Q1013" s="17">
        <v>97.959183673469326</v>
      </c>
      <c r="R1013" s="14">
        <v>18.090781755102036</v>
      </c>
      <c r="S1013" s="12">
        <v>7</v>
      </c>
      <c r="T1013" s="12">
        <v>-0.79999999999999716</v>
      </c>
      <c r="U1013" s="14">
        <v>13.86</v>
      </c>
      <c r="V1013" s="17">
        <v>-114.28571428571388</v>
      </c>
      <c r="W1013" s="14">
        <v>7.6271082857143053</v>
      </c>
      <c r="X1013">
        <f t="shared" si="30"/>
        <v>15.952499999999999</v>
      </c>
      <c r="Y1013">
        <f t="shared" si="31"/>
        <v>7.1152891770676865</v>
      </c>
    </row>
    <row r="1014" spans="1:25">
      <c r="A1014" s="12" t="s">
        <v>299</v>
      </c>
      <c r="B1014" s="12" t="s">
        <v>300</v>
      </c>
      <c r="C1014" s="12">
        <v>14</v>
      </c>
      <c r="D1014" s="12">
        <v>1.98</v>
      </c>
      <c r="E1014" s="12" t="s">
        <v>318</v>
      </c>
      <c r="F1014" s="13">
        <v>39476</v>
      </c>
      <c r="G1014" s="12">
        <v>56.4</v>
      </c>
      <c r="H1014" s="12">
        <v>2.5</v>
      </c>
      <c r="I1014" s="13">
        <v>39525</v>
      </c>
      <c r="J1014" s="12">
        <v>66</v>
      </c>
      <c r="K1014" s="12">
        <v>2</v>
      </c>
      <c r="L1014" s="12">
        <v>49</v>
      </c>
      <c r="M1014" s="12">
        <v>9.6000000000000014</v>
      </c>
      <c r="N1014" s="12">
        <v>-0.5</v>
      </c>
      <c r="O1014" s="17">
        <v>97.02</v>
      </c>
      <c r="P1014" s="17"/>
      <c r="Q1014" s="17">
        <v>195.91836734693879</v>
      </c>
      <c r="R1014" s="14">
        <v>22.007083510204083</v>
      </c>
      <c r="S1014" s="12">
        <v>7</v>
      </c>
      <c r="T1014" s="12">
        <v>0.40000000000000568</v>
      </c>
      <c r="U1014" s="14">
        <v>13.86</v>
      </c>
      <c r="V1014" s="17">
        <v>57.142857142857956</v>
      </c>
      <c r="W1014" s="14">
        <v>15.165450857142897</v>
      </c>
      <c r="X1014">
        <f t="shared" si="30"/>
        <v>18.02675</v>
      </c>
      <c r="Y1014">
        <f t="shared" si="31"/>
        <v>15.987356212807059</v>
      </c>
    </row>
    <row r="1015" spans="1:25">
      <c r="A1015" s="12" t="s">
        <v>299</v>
      </c>
      <c r="B1015" s="12" t="s">
        <v>300</v>
      </c>
      <c r="C1015" s="12">
        <v>14</v>
      </c>
      <c r="D1015" s="12">
        <v>1.98</v>
      </c>
      <c r="E1015" s="12" t="s">
        <v>319</v>
      </c>
      <c r="F1015" s="13">
        <v>39476</v>
      </c>
      <c r="G1015" s="12">
        <v>64</v>
      </c>
      <c r="H1015" s="12">
        <v>3</v>
      </c>
      <c r="I1015" s="13">
        <v>39525</v>
      </c>
      <c r="J1015" s="12">
        <v>69</v>
      </c>
      <c r="K1015" s="12">
        <v>3</v>
      </c>
      <c r="L1015" s="12">
        <v>49</v>
      </c>
      <c r="M1015" s="12">
        <v>5</v>
      </c>
      <c r="N1015" s="12">
        <v>0</v>
      </c>
      <c r="O1015" s="17">
        <v>97.02</v>
      </c>
      <c r="P1015" s="17"/>
      <c r="Q1015" s="17">
        <v>102.04081632653062</v>
      </c>
      <c r="R1015" s="14">
        <v>18.275097244897957</v>
      </c>
      <c r="S1015" s="12">
        <v>7</v>
      </c>
      <c r="T1015" s="12">
        <v>-2</v>
      </c>
      <c r="U1015" s="14">
        <v>13.86</v>
      </c>
      <c r="V1015" s="17">
        <v>-285.71428571428572</v>
      </c>
      <c r="W1015" s="14">
        <v>-0.84122928571428446</v>
      </c>
      <c r="X1015">
        <f t="shared" si="30"/>
        <v>15.952499999999999</v>
      </c>
      <c r="Y1015">
        <f t="shared" si="31"/>
        <v>-0.78477837312029941</v>
      </c>
    </row>
    <row r="1016" spans="1:25">
      <c r="A1016" s="12" t="s">
        <v>299</v>
      </c>
      <c r="B1016" s="12" t="s">
        <v>300</v>
      </c>
      <c r="C1016" s="12">
        <v>14</v>
      </c>
      <c r="D1016" s="12">
        <v>1.98</v>
      </c>
      <c r="E1016" s="12" t="s">
        <v>320</v>
      </c>
      <c r="F1016" s="13">
        <v>39476</v>
      </c>
      <c r="G1016" s="12">
        <v>54</v>
      </c>
      <c r="H1016" s="12">
        <v>2.5</v>
      </c>
      <c r="I1016" s="13">
        <v>39525</v>
      </c>
      <c r="J1016" s="12">
        <v>60.4</v>
      </c>
      <c r="K1016" s="12">
        <v>2.75</v>
      </c>
      <c r="L1016" s="12">
        <v>49</v>
      </c>
      <c r="M1016" s="12">
        <v>6.3999999999999986</v>
      </c>
      <c r="N1016" s="12">
        <v>0.25</v>
      </c>
      <c r="O1016" s="17">
        <v>97.02</v>
      </c>
      <c r="P1016" s="17"/>
      <c r="Q1016" s="17">
        <v>130.61224489795916</v>
      </c>
      <c r="R1016" s="14">
        <v>18.111131673469387</v>
      </c>
      <c r="S1016" s="12">
        <v>7</v>
      </c>
      <c r="T1016" s="12">
        <v>-1</v>
      </c>
      <c r="U1016" s="14">
        <v>13.86</v>
      </c>
      <c r="V1016" s="17">
        <v>-142.85714285714286</v>
      </c>
      <c r="W1016" s="14">
        <v>4.6290908571428586</v>
      </c>
      <c r="X1016">
        <f t="shared" si="30"/>
        <v>18.02675</v>
      </c>
      <c r="Y1016">
        <f t="shared" si="31"/>
        <v>4.879968632105264</v>
      </c>
    </row>
    <row r="1017" spans="1:25">
      <c r="A1017" s="12" t="s">
        <v>299</v>
      </c>
      <c r="B1017" s="12" t="s">
        <v>300</v>
      </c>
      <c r="C1017" s="12">
        <v>14</v>
      </c>
      <c r="D1017" s="12">
        <v>1.98</v>
      </c>
      <c r="E1017" s="12" t="s">
        <v>321</v>
      </c>
      <c r="F1017" s="13">
        <v>39476</v>
      </c>
      <c r="G1017" s="12">
        <v>59.2</v>
      </c>
      <c r="H1017" s="12">
        <v>1.75</v>
      </c>
      <c r="I1017" s="13">
        <v>39525</v>
      </c>
      <c r="J1017" s="12">
        <v>68.400000000000006</v>
      </c>
      <c r="K1017" s="12">
        <v>1.75</v>
      </c>
      <c r="L1017" s="12">
        <v>49</v>
      </c>
      <c r="M1017" s="12">
        <v>9.2000000000000028</v>
      </c>
      <c r="N1017" s="12">
        <v>0</v>
      </c>
      <c r="O1017" s="17">
        <v>97.02</v>
      </c>
      <c r="P1017" s="17"/>
      <c r="Q1017" s="17">
        <v>187.75510204081638</v>
      </c>
      <c r="R1017" s="14">
        <v>22.044268530612246</v>
      </c>
      <c r="S1017" s="12">
        <v>7</v>
      </c>
      <c r="T1017" s="12">
        <v>-1.7999999999999972</v>
      </c>
      <c r="U1017" s="14">
        <v>13.86</v>
      </c>
      <c r="V1017" s="17">
        <v>-257.14285714285671</v>
      </c>
      <c r="W1017" s="14">
        <v>0.11079914285716264</v>
      </c>
      <c r="X1017">
        <f t="shared" si="30"/>
        <v>21.138124999999999</v>
      </c>
      <c r="Y1017">
        <f t="shared" si="31"/>
        <v>0.13696410126360004</v>
      </c>
    </row>
    <row r="1018" spans="1:25">
      <c r="A1018" s="12" t="s">
        <v>299</v>
      </c>
      <c r="B1018" s="12" t="s">
        <v>300</v>
      </c>
      <c r="C1018" s="12">
        <v>14</v>
      </c>
      <c r="D1018" s="12">
        <v>1.98</v>
      </c>
      <c r="E1018" s="12" t="s">
        <v>322</v>
      </c>
      <c r="F1018" s="13">
        <v>39476</v>
      </c>
      <c r="G1018" s="12">
        <v>57.8</v>
      </c>
      <c r="H1018" s="12">
        <v>1.75</v>
      </c>
      <c r="I1018" s="13">
        <v>39525</v>
      </c>
      <c r="J1018" s="12">
        <v>64.2</v>
      </c>
      <c r="K1018" s="12">
        <v>2</v>
      </c>
      <c r="L1018" s="12">
        <v>49</v>
      </c>
      <c r="M1018" s="12">
        <v>6.4000000000000057</v>
      </c>
      <c r="N1018" s="12">
        <v>0.25</v>
      </c>
      <c r="O1018" s="17">
        <v>97.02</v>
      </c>
      <c r="P1018" s="17"/>
      <c r="Q1018" s="17">
        <v>130.6122448979593</v>
      </c>
      <c r="R1018" s="14">
        <v>18.753673673469393</v>
      </c>
      <c r="S1018" s="12">
        <v>7</v>
      </c>
      <c r="T1018" s="12">
        <v>-1</v>
      </c>
      <c r="U1018" s="14">
        <v>13.86</v>
      </c>
      <c r="V1018" s="17">
        <v>-142.85714285714286</v>
      </c>
      <c r="W1018" s="14">
        <v>5.2716328571428575</v>
      </c>
      <c r="X1018">
        <f t="shared" si="30"/>
        <v>21.138124999999999</v>
      </c>
      <c r="Y1018">
        <f t="shared" si="31"/>
        <v>6.5165166250522129</v>
      </c>
    </row>
    <row r="1019" spans="1:25">
      <c r="A1019" s="12" t="s">
        <v>299</v>
      </c>
      <c r="B1019" s="12" t="s">
        <v>300</v>
      </c>
      <c r="C1019" s="12">
        <v>14</v>
      </c>
      <c r="D1019" s="12">
        <v>1.98</v>
      </c>
      <c r="E1019" s="12" t="s">
        <v>323</v>
      </c>
      <c r="F1019" s="13">
        <v>39476</v>
      </c>
      <c r="G1019" s="12">
        <v>56.2</v>
      </c>
      <c r="H1019" s="12">
        <v>2.75</v>
      </c>
      <c r="I1019" s="13">
        <v>39525</v>
      </c>
      <c r="J1019" s="12">
        <v>68.2</v>
      </c>
      <c r="K1019" s="12">
        <v>3</v>
      </c>
      <c r="L1019" s="12">
        <v>49</v>
      </c>
      <c r="M1019" s="12">
        <v>12</v>
      </c>
      <c r="N1019" s="12">
        <v>0.25</v>
      </c>
      <c r="O1019" s="17">
        <v>97.02</v>
      </c>
      <c r="P1019" s="17"/>
      <c r="Q1019" s="17">
        <v>244.89795918367346</v>
      </c>
      <c r="R1019" s="14">
        <v>24.5908673877551</v>
      </c>
      <c r="S1019" s="12">
        <v>7</v>
      </c>
      <c r="T1019" s="12">
        <v>-0.39999999999999147</v>
      </c>
      <c r="U1019" s="14">
        <v>13.86</v>
      </c>
      <c r="V1019" s="17">
        <v>-57.142857142855924</v>
      </c>
      <c r="W1019" s="14">
        <v>9.7002551428572019</v>
      </c>
      <c r="X1019">
        <f t="shared" si="30"/>
        <v>16.989624999999997</v>
      </c>
      <c r="Y1019">
        <f t="shared" si="31"/>
        <v>9.637643115875159</v>
      </c>
    </row>
    <row r="1020" spans="1:25">
      <c r="A1020" s="12" t="s">
        <v>299</v>
      </c>
      <c r="B1020" s="12" t="s">
        <v>300</v>
      </c>
      <c r="C1020" s="12">
        <v>14</v>
      </c>
      <c r="D1020" s="12">
        <v>1.98</v>
      </c>
      <c r="E1020" s="12" t="s">
        <v>324</v>
      </c>
      <c r="F1020" s="13">
        <v>39476</v>
      </c>
      <c r="G1020" s="12">
        <v>58</v>
      </c>
      <c r="H1020" s="12">
        <v>2.25</v>
      </c>
      <c r="I1020" s="13">
        <v>39525</v>
      </c>
      <c r="J1020" s="12">
        <v>65</v>
      </c>
      <c r="K1020" s="12">
        <v>2.5</v>
      </c>
      <c r="L1020" s="12">
        <v>49</v>
      </c>
      <c r="M1020" s="12">
        <v>7</v>
      </c>
      <c r="N1020" s="12">
        <v>0.25</v>
      </c>
      <c r="O1020" s="17">
        <v>97.02</v>
      </c>
      <c r="P1020" s="17"/>
      <c r="Q1020" s="17">
        <v>142.85714285714286</v>
      </c>
      <c r="R1020" s="14">
        <v>19.441892142857142</v>
      </c>
      <c r="S1020" s="12">
        <v>7</v>
      </c>
      <c r="T1020" s="12">
        <v>-2.5999999999999943</v>
      </c>
      <c r="U1020" s="14">
        <v>13.86</v>
      </c>
      <c r="V1020" s="17">
        <v>-371.42857142857059</v>
      </c>
      <c r="W1020" s="14">
        <v>-5.9123935714285292</v>
      </c>
      <c r="X1020">
        <f t="shared" si="30"/>
        <v>19.063874999999999</v>
      </c>
      <c r="Y1020">
        <f t="shared" si="31"/>
        <v>-6.5914112278664936</v>
      </c>
    </row>
    <row r="1021" spans="1:25">
      <c r="A1021" s="12" t="s">
        <v>299</v>
      </c>
      <c r="B1021" s="12" t="s">
        <v>300</v>
      </c>
      <c r="C1021" s="12">
        <v>14</v>
      </c>
      <c r="D1021" s="12">
        <v>1.98</v>
      </c>
      <c r="E1021" s="12" t="s">
        <v>325</v>
      </c>
      <c r="F1021" s="13">
        <v>39476</v>
      </c>
      <c r="G1021" s="12">
        <v>67</v>
      </c>
      <c r="H1021" s="12">
        <v>2.25</v>
      </c>
      <c r="I1021" s="13">
        <v>39525</v>
      </c>
      <c r="J1021" s="12">
        <v>70.2</v>
      </c>
      <c r="K1021" s="12">
        <v>3</v>
      </c>
      <c r="L1021" s="12">
        <v>49</v>
      </c>
      <c r="M1021" s="12">
        <v>3.2000000000000028</v>
      </c>
      <c r="N1021" s="12">
        <v>0.75</v>
      </c>
      <c r="O1021" s="17">
        <v>97.02</v>
      </c>
      <c r="P1021" s="17"/>
      <c r="Q1021" s="17">
        <v>65.30612244897965</v>
      </c>
      <c r="R1021" s="14">
        <v>16.819165836734697</v>
      </c>
      <c r="S1021" s="12">
        <v>7</v>
      </c>
      <c r="T1021" s="12">
        <v>-1.3999999999999915</v>
      </c>
      <c r="U1021" s="14">
        <v>13.86</v>
      </c>
      <c r="V1021" s="17">
        <v>-199.99999999999878</v>
      </c>
      <c r="W1021" s="14">
        <v>3.7395740000000597</v>
      </c>
      <c r="X1021">
        <f t="shared" si="30"/>
        <v>19.063874999999999</v>
      </c>
      <c r="Y1021">
        <f t="shared" si="31"/>
        <v>4.1690509525877859</v>
      </c>
    </row>
    <row r="1022" spans="1:25">
      <c r="A1022" s="12" t="s">
        <v>299</v>
      </c>
      <c r="B1022" s="12" t="s">
        <v>300</v>
      </c>
      <c r="C1022" s="12">
        <v>14</v>
      </c>
      <c r="D1022" s="12">
        <v>1.98</v>
      </c>
      <c r="E1022" s="12" t="s">
        <v>326</v>
      </c>
      <c r="F1022" s="13">
        <v>39476</v>
      </c>
      <c r="G1022" s="12">
        <v>70.599999999999994</v>
      </c>
      <c r="H1022" s="12">
        <v>3</v>
      </c>
      <c r="I1022" s="13">
        <v>39525</v>
      </c>
      <c r="J1022" s="12">
        <v>77.599999999999994</v>
      </c>
      <c r="K1022" s="12">
        <v>3</v>
      </c>
      <c r="L1022" s="12">
        <v>49</v>
      </c>
      <c r="M1022" s="12">
        <v>7</v>
      </c>
      <c r="N1022" s="12">
        <v>0</v>
      </c>
      <c r="O1022" s="17">
        <v>97.02</v>
      </c>
      <c r="P1022" s="17"/>
      <c r="Q1022" s="17">
        <v>142.85714285714286</v>
      </c>
      <c r="R1022" s="14">
        <v>21.57242614285714</v>
      </c>
      <c r="S1022" s="12">
        <v>7</v>
      </c>
      <c r="T1022" s="12">
        <v>-1.8000000000000114</v>
      </c>
      <c r="U1022" s="14">
        <v>13.86</v>
      </c>
      <c r="V1022" s="17">
        <v>-257.14285714285876</v>
      </c>
      <c r="W1022" s="14">
        <v>1.8524261428570608</v>
      </c>
      <c r="X1022">
        <f t="shared" si="30"/>
        <v>15.952499999999999</v>
      </c>
      <c r="Y1022">
        <f t="shared" si="31"/>
        <v>1.7281185990600736</v>
      </c>
    </row>
    <row r="1023" spans="1:25">
      <c r="A1023" s="12" t="s">
        <v>299</v>
      </c>
      <c r="B1023" s="12" t="s">
        <v>300</v>
      </c>
      <c r="C1023" s="12">
        <v>14</v>
      </c>
      <c r="D1023" s="12">
        <v>1.98</v>
      </c>
      <c r="E1023" s="12" t="s">
        <v>327</v>
      </c>
      <c r="F1023" s="13">
        <v>39476</v>
      </c>
      <c r="G1023" s="12">
        <v>61.6</v>
      </c>
      <c r="H1023" s="12">
        <v>2.5</v>
      </c>
      <c r="I1023" s="13">
        <v>39525</v>
      </c>
      <c r="J1023" s="12">
        <v>70.8</v>
      </c>
      <c r="K1023" s="12">
        <v>1.75</v>
      </c>
      <c r="L1023" s="12">
        <v>49</v>
      </c>
      <c r="M1023" s="12">
        <v>9.1999999999999957</v>
      </c>
      <c r="N1023" s="12">
        <v>-0.75</v>
      </c>
      <c r="O1023" s="17">
        <v>97.02</v>
      </c>
      <c r="P1023" s="17"/>
      <c r="Q1023" s="17">
        <v>187.75510204081624</v>
      </c>
      <c r="R1023" s="14">
        <v>22.450084530612237</v>
      </c>
      <c r="S1023" s="12">
        <v>7</v>
      </c>
      <c r="T1023" s="12">
        <v>-0.60000000000000853</v>
      </c>
      <c r="U1023" s="14">
        <v>13.86</v>
      </c>
      <c r="V1023" s="17">
        <v>-85.71428571428693</v>
      </c>
      <c r="W1023" s="14">
        <v>8.9680437142856526</v>
      </c>
      <c r="X1023">
        <f t="shared" si="30"/>
        <v>18.02675</v>
      </c>
      <c r="Y1023">
        <f t="shared" si="31"/>
        <v>9.4540749723098756</v>
      </c>
    </row>
    <row r="1024" spans="1:25">
      <c r="A1024" s="12" t="s">
        <v>299</v>
      </c>
      <c r="B1024" s="12" t="s">
        <v>300</v>
      </c>
      <c r="C1024" s="12">
        <v>14</v>
      </c>
      <c r="D1024" s="12">
        <v>1.98</v>
      </c>
      <c r="E1024" s="12" t="s">
        <v>328</v>
      </c>
      <c r="F1024" s="13">
        <v>39476</v>
      </c>
      <c r="G1024" s="12">
        <v>60</v>
      </c>
      <c r="H1024" s="12">
        <v>2.5</v>
      </c>
      <c r="I1024" s="13">
        <v>39525</v>
      </c>
      <c r="J1024" s="12">
        <v>67.400000000000006</v>
      </c>
      <c r="K1024" s="12">
        <v>2.5</v>
      </c>
      <c r="L1024" s="12">
        <v>49</v>
      </c>
      <c r="M1024" s="12">
        <v>7.4000000000000057</v>
      </c>
      <c r="N1024" s="12">
        <v>0</v>
      </c>
      <c r="O1024" s="17">
        <v>97.02</v>
      </c>
      <c r="P1024" s="17"/>
      <c r="Q1024" s="17">
        <v>151.02040816326542</v>
      </c>
      <c r="R1024" s="14">
        <v>20.216339122448986</v>
      </c>
      <c r="S1024" s="12">
        <v>7</v>
      </c>
      <c r="T1024" s="12">
        <v>0.40000000000000568</v>
      </c>
      <c r="U1024" s="14">
        <v>13.86</v>
      </c>
      <c r="V1024" s="17">
        <v>57.142857142857956</v>
      </c>
      <c r="W1024" s="14">
        <v>15.588175857142897</v>
      </c>
      <c r="X1024">
        <f t="shared" si="30"/>
        <v>18.02675</v>
      </c>
      <c r="Y1024">
        <f t="shared" si="31"/>
        <v>16.432991177353845</v>
      </c>
    </row>
    <row r="1025" spans="1:25">
      <c r="A1025" s="12" t="s">
        <v>299</v>
      </c>
      <c r="B1025" s="12" t="s">
        <v>300</v>
      </c>
      <c r="C1025" s="12">
        <v>14</v>
      </c>
      <c r="D1025" s="12">
        <v>1.98</v>
      </c>
      <c r="E1025" s="12" t="s">
        <v>329</v>
      </c>
      <c r="F1025" s="13">
        <v>39476</v>
      </c>
      <c r="G1025" s="12">
        <v>58</v>
      </c>
      <c r="H1025" s="12">
        <v>3</v>
      </c>
      <c r="I1025" s="13">
        <v>39525</v>
      </c>
      <c r="J1025" s="12">
        <v>63.6</v>
      </c>
      <c r="K1025" s="12">
        <v>2.75</v>
      </c>
      <c r="L1025" s="12">
        <v>49</v>
      </c>
      <c r="M1025" s="12">
        <v>5.6000000000000014</v>
      </c>
      <c r="N1025" s="12">
        <v>-0.25</v>
      </c>
      <c r="O1025" s="17">
        <v>97.02</v>
      </c>
      <c r="P1025" s="17"/>
      <c r="Q1025" s="17">
        <v>114.28571428571431</v>
      </c>
      <c r="R1025" s="14">
        <v>17.914957714285713</v>
      </c>
      <c r="S1025" s="12">
        <v>7</v>
      </c>
      <c r="T1025" s="12">
        <v>-1.9999999999999929</v>
      </c>
      <c r="U1025" s="14">
        <v>13.86</v>
      </c>
      <c r="V1025" s="17">
        <v>-285.7142857142847</v>
      </c>
      <c r="W1025" s="14">
        <v>-1.8050422857142365</v>
      </c>
      <c r="X1025">
        <f t="shared" si="30"/>
        <v>15.952499999999999</v>
      </c>
      <c r="Y1025">
        <f t="shared" si="31"/>
        <v>-1.6839144481202546</v>
      </c>
    </row>
    <row r="1026" spans="1:25">
      <c r="A1026" s="12" t="s">
        <v>299</v>
      </c>
      <c r="B1026" s="12" t="s">
        <v>300</v>
      </c>
      <c r="C1026" s="12">
        <v>14</v>
      </c>
      <c r="D1026" s="12">
        <v>1.98</v>
      </c>
      <c r="E1026" s="12" t="s">
        <v>330</v>
      </c>
      <c r="F1026" s="13">
        <v>39476</v>
      </c>
      <c r="G1026" s="12">
        <v>55.2</v>
      </c>
      <c r="H1026" s="12">
        <v>2.5</v>
      </c>
      <c r="I1026" s="13">
        <v>39525</v>
      </c>
      <c r="J1026" s="12">
        <v>52.4</v>
      </c>
      <c r="K1026" s="12">
        <v>2.5</v>
      </c>
      <c r="L1026" s="12">
        <v>49</v>
      </c>
      <c r="M1026" s="12">
        <v>-2.8000000000000043</v>
      </c>
      <c r="N1026" s="12">
        <v>0</v>
      </c>
      <c r="O1026" s="17">
        <v>97.02</v>
      </c>
      <c r="P1026" s="17"/>
      <c r="Q1026" s="17">
        <v>-57.142857142857231</v>
      </c>
      <c r="R1026" s="14">
        <v>8.2798991428571362</v>
      </c>
      <c r="S1026" s="12">
        <v>7</v>
      </c>
      <c r="T1026" s="12">
        <v>-7.6000000000000014</v>
      </c>
      <c r="U1026" s="14">
        <v>13.86</v>
      </c>
      <c r="V1026" s="17">
        <v>-1085.7142857142858</v>
      </c>
      <c r="W1026" s="14">
        <v>-42.428672285714285</v>
      </c>
      <c r="X1026">
        <f t="shared" si="30"/>
        <v>18.02675</v>
      </c>
      <c r="Y1026">
        <f t="shared" si="31"/>
        <v>-44.728132638976604</v>
      </c>
    </row>
    <row r="1027" spans="1:25">
      <c r="A1027" s="12" t="s">
        <v>299</v>
      </c>
      <c r="B1027" s="12" t="s">
        <v>300</v>
      </c>
      <c r="C1027" s="12">
        <v>14</v>
      </c>
      <c r="D1027" s="12">
        <v>1.98</v>
      </c>
      <c r="E1027" s="12" t="s">
        <v>331</v>
      </c>
      <c r="F1027" s="13">
        <v>39476</v>
      </c>
      <c r="G1027" s="12">
        <v>60.6</v>
      </c>
      <c r="H1027" s="12">
        <v>2</v>
      </c>
      <c r="I1027" s="13">
        <v>39525</v>
      </c>
      <c r="J1027" s="12">
        <v>67.2</v>
      </c>
      <c r="K1027" s="12">
        <v>3</v>
      </c>
      <c r="L1027" s="12">
        <v>49</v>
      </c>
      <c r="M1027" s="12">
        <v>6.6000000000000014</v>
      </c>
      <c r="N1027" s="12">
        <v>1</v>
      </c>
      <c r="O1027" s="17">
        <v>97.02</v>
      </c>
      <c r="P1027" s="17"/>
      <c r="Q1027" s="17">
        <v>134.69387755102045</v>
      </c>
      <c r="R1027" s="14">
        <v>19.445259163265309</v>
      </c>
      <c r="S1027" s="12">
        <v>7</v>
      </c>
      <c r="T1027" s="12">
        <v>0.20000000000000284</v>
      </c>
      <c r="U1027" s="14">
        <v>13.86</v>
      </c>
      <c r="V1027" s="17">
        <v>28.571428571428978</v>
      </c>
      <c r="W1027" s="14">
        <v>14.21342242857145</v>
      </c>
      <c r="X1027">
        <f t="shared" ref="X1027:X1064" si="32">IF(H1027&gt;0,-4.1485*H1027 + 28.398,17.1)</f>
        <v>20.100999999999999</v>
      </c>
      <c r="Y1027">
        <f t="shared" ref="Y1027:Y1064" si="33">W1027*X1027/17.1</f>
        <v>16.707836505071032</v>
      </c>
    </row>
    <row r="1028" spans="1:25">
      <c r="A1028" s="12" t="s">
        <v>299</v>
      </c>
      <c r="B1028" s="12" t="s">
        <v>300</v>
      </c>
      <c r="C1028" s="12">
        <v>14</v>
      </c>
      <c r="D1028" s="12">
        <v>1.98</v>
      </c>
      <c r="E1028" s="12" t="s">
        <v>332</v>
      </c>
      <c r="F1028" s="13">
        <v>39476</v>
      </c>
      <c r="G1028" s="12">
        <v>64.400000000000006</v>
      </c>
      <c r="H1028" s="12">
        <v>1.75</v>
      </c>
      <c r="I1028" s="13">
        <v>39525</v>
      </c>
      <c r="J1028" s="12">
        <v>70.2</v>
      </c>
      <c r="K1028" s="12">
        <v>1.75</v>
      </c>
      <c r="L1028" s="12">
        <v>49</v>
      </c>
      <c r="M1028" s="12">
        <v>5.7999999999999972</v>
      </c>
      <c r="N1028" s="12">
        <v>0</v>
      </c>
      <c r="O1028" s="17">
        <v>97.02</v>
      </c>
      <c r="P1028" s="17"/>
      <c r="Q1028" s="17">
        <v>118.36734693877546</v>
      </c>
      <c r="R1028" s="14">
        <v>19.215267204081631</v>
      </c>
      <c r="S1028" s="12">
        <v>7</v>
      </c>
      <c r="T1028" s="12">
        <v>0.40000000000000568</v>
      </c>
      <c r="U1028" s="14">
        <v>13.86</v>
      </c>
      <c r="V1028" s="17">
        <v>57.142857142857956</v>
      </c>
      <c r="W1028" s="14">
        <v>16.196899857142899</v>
      </c>
      <c r="X1028">
        <f t="shared" si="32"/>
        <v>21.138124999999999</v>
      </c>
      <c r="Y1028">
        <f t="shared" si="33"/>
        <v>20.021759870922146</v>
      </c>
    </row>
    <row r="1029" spans="1:25">
      <c r="A1029" s="12" t="s">
        <v>299</v>
      </c>
      <c r="B1029" s="12" t="s">
        <v>300</v>
      </c>
      <c r="C1029" s="12">
        <v>14</v>
      </c>
      <c r="D1029" s="12">
        <v>1.98</v>
      </c>
      <c r="E1029" s="12" t="s">
        <v>333</v>
      </c>
      <c r="F1029" s="13">
        <v>39476</v>
      </c>
      <c r="G1029" s="12">
        <v>54</v>
      </c>
      <c r="H1029" s="12">
        <v>1.75</v>
      </c>
      <c r="I1029" s="13">
        <v>39525</v>
      </c>
      <c r="J1029" s="12">
        <v>65.400000000000006</v>
      </c>
      <c r="K1029" s="12">
        <v>1.75</v>
      </c>
      <c r="L1029" s="12">
        <v>49</v>
      </c>
      <c r="M1029" s="12">
        <v>11.400000000000006</v>
      </c>
      <c r="N1029" s="12">
        <v>0</v>
      </c>
      <c r="O1029" s="17">
        <v>97.02</v>
      </c>
      <c r="P1029" s="17"/>
      <c r="Q1029" s="17">
        <v>232.65306122448993</v>
      </c>
      <c r="R1029" s="14">
        <v>23.564468918367353</v>
      </c>
      <c r="S1029" s="12">
        <v>7</v>
      </c>
      <c r="T1029" s="12">
        <v>3.0000000000000071</v>
      </c>
      <c r="U1029" s="14">
        <v>13.86</v>
      </c>
      <c r="V1029" s="17">
        <v>428.57142857142958</v>
      </c>
      <c r="W1029" s="14">
        <v>33.223244428571476</v>
      </c>
      <c r="X1029">
        <f t="shared" si="32"/>
        <v>21.138124999999999</v>
      </c>
      <c r="Y1029">
        <f t="shared" si="33"/>
        <v>41.068835885186978</v>
      </c>
    </row>
    <row r="1030" spans="1:25">
      <c r="A1030" s="12" t="s">
        <v>299</v>
      </c>
      <c r="B1030" s="12" t="s">
        <v>300</v>
      </c>
      <c r="C1030" s="12">
        <v>14</v>
      </c>
      <c r="D1030" s="12">
        <v>1.98</v>
      </c>
      <c r="E1030" s="12" t="s">
        <v>334</v>
      </c>
      <c r="F1030" s="13">
        <v>39476</v>
      </c>
      <c r="G1030" s="12">
        <v>71</v>
      </c>
      <c r="H1030" s="12">
        <v>2</v>
      </c>
      <c r="I1030" s="13">
        <v>39525</v>
      </c>
      <c r="J1030" s="12">
        <v>72</v>
      </c>
      <c r="K1030" s="12">
        <v>2.25</v>
      </c>
      <c r="L1030" s="12">
        <v>49</v>
      </c>
      <c r="M1030" s="12">
        <v>1</v>
      </c>
      <c r="N1030" s="12">
        <v>0.25</v>
      </c>
      <c r="O1030" s="17">
        <v>97.02</v>
      </c>
      <c r="P1030" s="17"/>
      <c r="Q1030" s="17">
        <v>20.408163265306122</v>
      </c>
      <c r="R1030" s="14">
        <v>15.09605744897959</v>
      </c>
      <c r="S1030" s="12">
        <v>7</v>
      </c>
      <c r="T1030" s="12">
        <v>-0.79999999999999716</v>
      </c>
      <c r="U1030" s="14">
        <v>13.86</v>
      </c>
      <c r="V1030" s="17">
        <v>-114.28571428571388</v>
      </c>
      <c r="W1030" s="14">
        <v>8.4556492857143049</v>
      </c>
      <c r="X1030">
        <f t="shared" si="32"/>
        <v>20.100999999999999</v>
      </c>
      <c r="Y1030">
        <f t="shared" si="33"/>
        <v>9.9395910112364447</v>
      </c>
    </row>
    <row r="1031" spans="1:25">
      <c r="A1031" s="12" t="s">
        <v>299</v>
      </c>
      <c r="B1031" s="12" t="s">
        <v>300</v>
      </c>
      <c r="C1031" s="12">
        <v>14</v>
      </c>
      <c r="D1031" s="12">
        <v>1.98</v>
      </c>
      <c r="E1031" s="12" t="s">
        <v>301</v>
      </c>
      <c r="F1031" s="13">
        <v>39476</v>
      </c>
      <c r="G1031" s="12">
        <v>54</v>
      </c>
      <c r="H1031" s="12">
        <v>2.5</v>
      </c>
      <c r="I1031" s="13">
        <v>39532</v>
      </c>
      <c r="J1031" s="12">
        <v>58.2</v>
      </c>
      <c r="K1031" s="12">
        <v>2</v>
      </c>
      <c r="L1031" s="12">
        <v>56</v>
      </c>
      <c r="M1031" s="12">
        <v>4.2000000000000028</v>
      </c>
      <c r="N1031" s="12">
        <v>-0.5</v>
      </c>
      <c r="O1031" s="17">
        <v>110.88</v>
      </c>
      <c r="P1031" s="17"/>
      <c r="Q1031" s="17">
        <v>75.000000000000057</v>
      </c>
      <c r="R1031" s="14">
        <v>15.183449000000003</v>
      </c>
      <c r="S1031" s="12">
        <v>7</v>
      </c>
      <c r="T1031" s="12">
        <v>-4</v>
      </c>
      <c r="U1031" s="14">
        <v>13.86</v>
      </c>
      <c r="V1031" s="17">
        <v>-571.42857142857144</v>
      </c>
      <c r="W1031" s="14">
        <v>-16.685479571428566</v>
      </c>
      <c r="X1031">
        <f t="shared" si="32"/>
        <v>18.02675</v>
      </c>
      <c r="Y1031">
        <f t="shared" si="33"/>
        <v>-17.589764261067245</v>
      </c>
    </row>
    <row r="1032" spans="1:25">
      <c r="A1032" s="12" t="s">
        <v>299</v>
      </c>
      <c r="B1032" s="12" t="s">
        <v>300</v>
      </c>
      <c r="C1032" s="12">
        <v>14</v>
      </c>
      <c r="D1032" s="12">
        <v>1.98</v>
      </c>
      <c r="E1032" s="12" t="s">
        <v>302</v>
      </c>
      <c r="F1032" s="13">
        <v>39476</v>
      </c>
      <c r="G1032" s="12">
        <v>56.6</v>
      </c>
      <c r="H1032" s="12">
        <v>2.5</v>
      </c>
      <c r="I1032" s="13">
        <v>39532</v>
      </c>
      <c r="J1032" s="12">
        <v>57.8</v>
      </c>
      <c r="K1032" s="12">
        <v>2.5</v>
      </c>
      <c r="L1032" s="12">
        <v>56</v>
      </c>
      <c r="M1032" s="12">
        <v>1.1999999999999957</v>
      </c>
      <c r="N1032" s="12">
        <v>0</v>
      </c>
      <c r="O1032" s="17">
        <v>110.88</v>
      </c>
      <c r="P1032" s="17"/>
      <c r="Q1032" s="17">
        <v>21.428571428571352</v>
      </c>
      <c r="R1032" s="14">
        <v>12.728376571428567</v>
      </c>
      <c r="S1032" s="12">
        <v>7</v>
      </c>
      <c r="T1032" s="12">
        <v>-4.4000000000000057</v>
      </c>
      <c r="U1032" s="14">
        <v>13.86</v>
      </c>
      <c r="V1032" s="17">
        <v>-628.57142857142935</v>
      </c>
      <c r="W1032" s="14">
        <v>-19.316623428571464</v>
      </c>
      <c r="X1032">
        <f t="shared" si="32"/>
        <v>18.02675</v>
      </c>
      <c r="Y1032">
        <f t="shared" si="33"/>
        <v>-20.363505344502958</v>
      </c>
    </row>
    <row r="1033" spans="1:25">
      <c r="A1033" s="12" t="s">
        <v>299</v>
      </c>
      <c r="B1033" s="12" t="s">
        <v>300</v>
      </c>
      <c r="C1033" s="12">
        <v>14</v>
      </c>
      <c r="D1033" s="12">
        <v>1.98</v>
      </c>
      <c r="E1033" s="12" t="s">
        <v>303</v>
      </c>
      <c r="F1033" s="13">
        <v>39476</v>
      </c>
      <c r="G1033" s="12">
        <v>56.6</v>
      </c>
      <c r="H1033" s="12">
        <v>3.25</v>
      </c>
      <c r="I1033" s="13">
        <v>39532</v>
      </c>
      <c r="J1033" s="12">
        <v>62.6</v>
      </c>
      <c r="K1033" s="12">
        <v>2.75</v>
      </c>
      <c r="L1033" s="12">
        <v>56</v>
      </c>
      <c r="M1033" s="12">
        <v>6</v>
      </c>
      <c r="N1033" s="12">
        <v>-0.5</v>
      </c>
      <c r="O1033" s="17">
        <v>110.88</v>
      </c>
      <c r="P1033" s="17"/>
      <c r="Q1033" s="17">
        <v>107.14285714285714</v>
      </c>
      <c r="R1033" s="14">
        <v>17.359906857142857</v>
      </c>
      <c r="S1033" s="12">
        <v>7</v>
      </c>
      <c r="T1033" s="12">
        <v>-1.3999999999999986</v>
      </c>
      <c r="U1033" s="14">
        <v>13.86</v>
      </c>
      <c r="V1033" s="17">
        <v>-199.9999999999998</v>
      </c>
      <c r="W1033" s="14">
        <v>2.2177640000000114</v>
      </c>
      <c r="X1033">
        <f t="shared" si="32"/>
        <v>14.915374999999999</v>
      </c>
      <c r="Y1033">
        <f t="shared" si="33"/>
        <v>1.9344316796198928</v>
      </c>
    </row>
    <row r="1034" spans="1:25">
      <c r="A1034" s="12" t="s">
        <v>299</v>
      </c>
      <c r="B1034" s="12" t="s">
        <v>300</v>
      </c>
      <c r="C1034" s="12">
        <v>14</v>
      </c>
      <c r="D1034" s="12">
        <v>1.98</v>
      </c>
      <c r="E1034" s="12" t="s">
        <v>304</v>
      </c>
      <c r="F1034" s="13">
        <v>39476</v>
      </c>
      <c r="G1034" s="12">
        <v>63.6</v>
      </c>
      <c r="H1034" s="12">
        <v>3.25</v>
      </c>
      <c r="I1034" s="13">
        <v>39532</v>
      </c>
      <c r="J1034" s="12">
        <v>65.599999999999994</v>
      </c>
      <c r="K1034" s="12">
        <v>2.75</v>
      </c>
      <c r="L1034" s="12">
        <v>56</v>
      </c>
      <c r="M1034" s="12">
        <v>1.9999999999999929</v>
      </c>
      <c r="N1034" s="12">
        <v>-0.5</v>
      </c>
      <c r="O1034" s="17">
        <v>110.88</v>
      </c>
      <c r="P1034" s="17"/>
      <c r="Q1034" s="17">
        <v>35.714285714285587</v>
      </c>
      <c r="R1034" s="14">
        <v>14.683928285714277</v>
      </c>
      <c r="S1034" s="12">
        <v>7</v>
      </c>
      <c r="T1034" s="12">
        <v>-2.6000000000000085</v>
      </c>
      <c r="U1034" s="14">
        <v>13.86</v>
      </c>
      <c r="V1034" s="17">
        <v>-371.42857142857264</v>
      </c>
      <c r="W1034" s="14">
        <v>-5.3882145714286338</v>
      </c>
      <c r="X1034">
        <f t="shared" si="32"/>
        <v>14.915374999999999</v>
      </c>
      <c r="Y1034">
        <f t="shared" si="33"/>
        <v>-4.6998386499018912</v>
      </c>
    </row>
    <row r="1035" spans="1:25">
      <c r="A1035" s="12" t="s">
        <v>299</v>
      </c>
      <c r="B1035" s="12" t="s">
        <v>300</v>
      </c>
      <c r="C1035" s="12">
        <v>14</v>
      </c>
      <c r="D1035" s="12">
        <v>1.98</v>
      </c>
      <c r="E1035" s="12" t="s">
        <v>305</v>
      </c>
      <c r="F1035" s="13">
        <v>39476</v>
      </c>
      <c r="G1035" s="12">
        <v>52.4</v>
      </c>
      <c r="H1035" s="12">
        <v>2</v>
      </c>
      <c r="I1035" s="13">
        <v>39532</v>
      </c>
      <c r="J1035" s="12">
        <v>59</v>
      </c>
      <c r="K1035" s="12">
        <v>2</v>
      </c>
      <c r="L1035" s="12">
        <v>56</v>
      </c>
      <c r="M1035" s="12">
        <v>6.6000000000000014</v>
      </c>
      <c r="N1035" s="12">
        <v>0</v>
      </c>
      <c r="O1035" s="17">
        <v>110.88</v>
      </c>
      <c r="P1035" s="17"/>
      <c r="Q1035" s="17">
        <v>117.85714285714289</v>
      </c>
      <c r="R1035" s="14">
        <v>17.228670142857144</v>
      </c>
      <c r="S1035" s="12">
        <v>7</v>
      </c>
      <c r="T1035" s="12">
        <v>-1</v>
      </c>
      <c r="U1035" s="14">
        <v>13.86</v>
      </c>
      <c r="V1035" s="17">
        <v>-142.85714285714286</v>
      </c>
      <c r="W1035" s="14">
        <v>4.3754558571428577</v>
      </c>
      <c r="X1035">
        <f t="shared" si="32"/>
        <v>20.100999999999999</v>
      </c>
      <c r="Y1035">
        <f t="shared" si="33"/>
        <v>5.143335566340852</v>
      </c>
    </row>
    <row r="1036" spans="1:25">
      <c r="A1036" s="12" t="s">
        <v>299</v>
      </c>
      <c r="B1036" s="12" t="s">
        <v>300</v>
      </c>
      <c r="C1036" s="12">
        <v>14</v>
      </c>
      <c r="D1036" s="12">
        <v>1.98</v>
      </c>
      <c r="E1036" s="12" t="s">
        <v>306</v>
      </c>
      <c r="F1036" s="13">
        <v>39476</v>
      </c>
      <c r="G1036" s="12">
        <v>53.2</v>
      </c>
      <c r="H1036" s="12">
        <v>2.5</v>
      </c>
      <c r="I1036" s="13">
        <v>39532</v>
      </c>
      <c r="J1036" s="12">
        <v>58.4</v>
      </c>
      <c r="K1036" s="12">
        <v>2.25</v>
      </c>
      <c r="L1036" s="12">
        <v>56</v>
      </c>
      <c r="M1036" s="12">
        <v>5.1999999999999957</v>
      </c>
      <c r="N1036" s="12">
        <v>-0.25</v>
      </c>
      <c r="O1036" s="17">
        <v>110.88</v>
      </c>
      <c r="P1036" s="17"/>
      <c r="Q1036" s="17">
        <v>92.857142857142776</v>
      </c>
      <c r="R1036" s="14">
        <v>16.013079142857137</v>
      </c>
      <c r="S1036" s="12">
        <v>7</v>
      </c>
      <c r="T1036" s="12">
        <v>-2.3999999999999986</v>
      </c>
      <c r="U1036" s="14">
        <v>13.86</v>
      </c>
      <c r="V1036" s="17">
        <v>-342.85714285714266</v>
      </c>
      <c r="W1036" s="14">
        <v>-5.4676351428571301</v>
      </c>
      <c r="X1036">
        <f t="shared" si="32"/>
        <v>18.02675</v>
      </c>
      <c r="Y1036">
        <f t="shared" si="33"/>
        <v>-5.7639585854678224</v>
      </c>
    </row>
    <row r="1037" spans="1:25">
      <c r="A1037" s="12" t="s">
        <v>299</v>
      </c>
      <c r="B1037" s="12" t="s">
        <v>300</v>
      </c>
      <c r="C1037" s="12">
        <v>14</v>
      </c>
      <c r="D1037" s="12">
        <v>1.98</v>
      </c>
      <c r="E1037" s="12" t="s">
        <v>307</v>
      </c>
      <c r="F1037" s="13">
        <v>39476</v>
      </c>
      <c r="G1037" s="12">
        <v>60.2</v>
      </c>
      <c r="H1037" s="12">
        <v>2.25</v>
      </c>
      <c r="I1037" s="13">
        <v>39532</v>
      </c>
      <c r="J1037" s="12">
        <v>64.2</v>
      </c>
      <c r="K1037" s="12">
        <v>2.25</v>
      </c>
      <c r="L1037" s="12">
        <v>56</v>
      </c>
      <c r="M1037" s="12">
        <v>4</v>
      </c>
      <c r="N1037" s="12">
        <v>0</v>
      </c>
      <c r="O1037" s="17">
        <v>110.88</v>
      </c>
      <c r="P1037" s="17"/>
      <c r="Q1037" s="17">
        <v>71.428571428571431</v>
      </c>
      <c r="R1037" s="14">
        <v>16.038826571428572</v>
      </c>
      <c r="S1037" s="12">
        <v>7</v>
      </c>
      <c r="T1037" s="12">
        <v>-1.5999999999999943</v>
      </c>
      <c r="U1037" s="14">
        <v>13.86</v>
      </c>
      <c r="V1037" s="17">
        <v>-228.57142857142776</v>
      </c>
      <c r="W1037" s="14">
        <v>1.2488265714286122</v>
      </c>
      <c r="X1037">
        <f t="shared" si="32"/>
        <v>19.063874999999999</v>
      </c>
      <c r="Y1037">
        <f t="shared" si="33"/>
        <v>1.3922499213095689</v>
      </c>
    </row>
    <row r="1038" spans="1:25">
      <c r="A1038" s="12" t="s">
        <v>299</v>
      </c>
      <c r="B1038" s="12" t="s">
        <v>300</v>
      </c>
      <c r="C1038" s="12">
        <v>14</v>
      </c>
      <c r="D1038" s="12">
        <v>1.98</v>
      </c>
      <c r="E1038" s="12" t="s">
        <v>308</v>
      </c>
      <c r="F1038" s="13">
        <v>39476</v>
      </c>
      <c r="G1038" s="12">
        <v>60.2</v>
      </c>
      <c r="H1038" s="12">
        <v>3</v>
      </c>
      <c r="I1038" s="13">
        <v>39532</v>
      </c>
      <c r="J1038" s="12">
        <v>65.8</v>
      </c>
      <c r="K1038" s="12">
        <v>2.75</v>
      </c>
      <c r="L1038" s="12">
        <v>56</v>
      </c>
      <c r="M1038" s="12">
        <v>5.5999999999999943</v>
      </c>
      <c r="N1038" s="12">
        <v>-0.25</v>
      </c>
      <c r="O1038" s="17">
        <v>110.88</v>
      </c>
      <c r="P1038" s="17"/>
      <c r="Q1038" s="17">
        <v>99.999999999999901</v>
      </c>
      <c r="R1038" s="14">
        <v>17.582669999999993</v>
      </c>
      <c r="S1038" s="12">
        <v>7</v>
      </c>
      <c r="T1038" s="12">
        <v>-3.4000000000000057</v>
      </c>
      <c r="U1038" s="14">
        <v>13.86</v>
      </c>
      <c r="V1038" s="17">
        <v>-485.71428571428652</v>
      </c>
      <c r="W1038" s="14">
        <v>-11.293044285714325</v>
      </c>
      <c r="X1038">
        <f t="shared" si="32"/>
        <v>15.952499999999999</v>
      </c>
      <c r="Y1038">
        <f t="shared" si="33"/>
        <v>-10.535221577067706</v>
      </c>
    </row>
    <row r="1039" spans="1:25">
      <c r="A1039" s="12" t="s">
        <v>299</v>
      </c>
      <c r="B1039" s="12" t="s">
        <v>300</v>
      </c>
      <c r="C1039" s="12">
        <v>14</v>
      </c>
      <c r="D1039" s="12">
        <v>1.98</v>
      </c>
      <c r="E1039" s="12" t="s">
        <v>309</v>
      </c>
      <c r="F1039" s="13">
        <v>39476</v>
      </c>
      <c r="G1039" s="12">
        <v>50.6</v>
      </c>
      <c r="H1039" s="12">
        <v>1.75</v>
      </c>
      <c r="I1039" s="13">
        <v>39532</v>
      </c>
      <c r="J1039" s="12">
        <v>65.2</v>
      </c>
      <c r="K1039" s="12">
        <v>1.75</v>
      </c>
      <c r="L1039" s="12">
        <v>56</v>
      </c>
      <c r="M1039" s="12">
        <v>14.600000000000001</v>
      </c>
      <c r="N1039" s="12">
        <v>0</v>
      </c>
      <c r="O1039" s="17">
        <v>110.88</v>
      </c>
      <c r="P1039" s="17"/>
      <c r="Q1039" s="17">
        <v>260.71428571428572</v>
      </c>
      <c r="R1039" s="14">
        <v>24.643525285714286</v>
      </c>
      <c r="S1039" s="12">
        <v>7</v>
      </c>
      <c r="T1039" s="12">
        <v>2.6000000000000014</v>
      </c>
      <c r="U1039" s="14">
        <v>13.86</v>
      </c>
      <c r="V1039" s="17">
        <v>371.42857142857162</v>
      </c>
      <c r="W1039" s="14">
        <v>30.101739571428581</v>
      </c>
      <c r="X1039">
        <f t="shared" si="32"/>
        <v>21.138124999999999</v>
      </c>
      <c r="Y1039">
        <f t="shared" si="33"/>
        <v>37.210194957795537</v>
      </c>
    </row>
    <row r="1040" spans="1:25">
      <c r="A1040" s="12" t="s">
        <v>299</v>
      </c>
      <c r="B1040" s="12" t="s">
        <v>300</v>
      </c>
      <c r="C1040" s="12">
        <v>14</v>
      </c>
      <c r="D1040" s="12">
        <v>1.98</v>
      </c>
      <c r="E1040" s="12" t="s">
        <v>310</v>
      </c>
      <c r="F1040" s="13">
        <v>39476</v>
      </c>
      <c r="G1040" s="12">
        <v>63.2</v>
      </c>
      <c r="H1040" s="12">
        <v>2.5</v>
      </c>
      <c r="I1040" s="13">
        <v>39532</v>
      </c>
      <c r="J1040" s="12">
        <v>68.400000000000006</v>
      </c>
      <c r="K1040" s="12">
        <v>2.5</v>
      </c>
      <c r="L1040" s="12">
        <v>56</v>
      </c>
      <c r="M1040" s="12">
        <v>5.2000000000000028</v>
      </c>
      <c r="N1040" s="12">
        <v>0</v>
      </c>
      <c r="O1040" s="17">
        <v>110.88</v>
      </c>
      <c r="P1040" s="17"/>
      <c r="Q1040" s="17">
        <v>92.857142857142904</v>
      </c>
      <c r="R1040" s="14">
        <v>17.703979142857143</v>
      </c>
      <c r="S1040" s="12">
        <v>7</v>
      </c>
      <c r="T1040" s="12">
        <v>-0.79999999999999716</v>
      </c>
      <c r="U1040" s="14">
        <v>13.86</v>
      </c>
      <c r="V1040" s="17">
        <v>-114.28571428571388</v>
      </c>
      <c r="W1040" s="14">
        <v>7.4918362857143066</v>
      </c>
      <c r="X1040">
        <f t="shared" si="32"/>
        <v>18.02675</v>
      </c>
      <c r="Y1040">
        <f t="shared" si="33"/>
        <v>7.8978631440643481</v>
      </c>
    </row>
    <row r="1041" spans="1:25">
      <c r="A1041" s="12" t="s">
        <v>299</v>
      </c>
      <c r="B1041" s="12" t="s">
        <v>300</v>
      </c>
      <c r="C1041" s="12">
        <v>14</v>
      </c>
      <c r="D1041" s="12">
        <v>1.98</v>
      </c>
      <c r="E1041" s="12" t="s">
        <v>311</v>
      </c>
      <c r="F1041" s="13">
        <v>39476</v>
      </c>
      <c r="G1041" s="12">
        <v>57.2</v>
      </c>
      <c r="H1041" s="12">
        <v>3.5</v>
      </c>
      <c r="I1041" s="13">
        <v>39532</v>
      </c>
      <c r="J1041" s="12">
        <v>61.4</v>
      </c>
      <c r="K1041" s="12">
        <v>2.75</v>
      </c>
      <c r="L1041" s="12">
        <v>56</v>
      </c>
      <c r="M1041" s="12">
        <v>4.1999999999999957</v>
      </c>
      <c r="N1041" s="12">
        <v>-0.75</v>
      </c>
      <c r="O1041" s="17">
        <v>110.88</v>
      </c>
      <c r="P1041" s="17"/>
      <c r="Q1041" s="17">
        <v>74.999999999999929</v>
      </c>
      <c r="R1041" s="14">
        <v>15.724536999999994</v>
      </c>
      <c r="S1041" s="12">
        <v>7</v>
      </c>
      <c r="T1041" s="12">
        <v>-2.8000000000000043</v>
      </c>
      <c r="U1041" s="14">
        <v>13.86</v>
      </c>
      <c r="V1041" s="17">
        <v>-400.00000000000063</v>
      </c>
      <c r="W1041" s="14">
        <v>-7.6929630000000326</v>
      </c>
      <c r="X1041">
        <f t="shared" si="32"/>
        <v>13.878249999999998</v>
      </c>
      <c r="Y1041">
        <f t="shared" si="33"/>
        <v>-6.2435592839035339</v>
      </c>
    </row>
    <row r="1042" spans="1:25">
      <c r="A1042" s="12" t="s">
        <v>299</v>
      </c>
      <c r="B1042" s="12" t="s">
        <v>300</v>
      </c>
      <c r="C1042" s="12">
        <v>14</v>
      </c>
      <c r="D1042" s="12">
        <v>1.98</v>
      </c>
      <c r="E1042" s="12" t="s">
        <v>312</v>
      </c>
      <c r="F1042" s="13">
        <v>39476</v>
      </c>
      <c r="G1042" s="12">
        <v>48.2</v>
      </c>
      <c r="H1042" s="12">
        <v>2.25</v>
      </c>
      <c r="I1042" s="13">
        <v>39532</v>
      </c>
      <c r="J1042" s="12">
        <v>56</v>
      </c>
      <c r="K1042" s="12">
        <v>2.25</v>
      </c>
      <c r="L1042" s="12">
        <v>56</v>
      </c>
      <c r="M1042" s="12">
        <v>7.7999999999999972</v>
      </c>
      <c r="N1042" s="12">
        <v>0</v>
      </c>
      <c r="O1042" s="17">
        <v>110.88</v>
      </c>
      <c r="P1042" s="17"/>
      <c r="Q1042" s="17">
        <v>139.28571428571422</v>
      </c>
      <c r="R1042" s="14">
        <v>17.676374714285707</v>
      </c>
      <c r="S1042" s="12">
        <v>7</v>
      </c>
      <c r="T1042" s="12">
        <v>-1.2000000000000028</v>
      </c>
      <c r="U1042" s="14">
        <v>13.86</v>
      </c>
      <c r="V1042" s="17">
        <v>-171.42857142857184</v>
      </c>
      <c r="W1042" s="14">
        <v>2.3581604285714075</v>
      </c>
      <c r="X1042">
        <f t="shared" si="32"/>
        <v>19.063874999999999</v>
      </c>
      <c r="Y1042">
        <f t="shared" si="33"/>
        <v>2.6289868795457156</v>
      </c>
    </row>
    <row r="1043" spans="1:25">
      <c r="A1043" s="12" t="s">
        <v>299</v>
      </c>
      <c r="B1043" s="12" t="s">
        <v>300</v>
      </c>
      <c r="C1043" s="12">
        <v>14</v>
      </c>
      <c r="D1043" s="12">
        <v>1.98</v>
      </c>
      <c r="E1043" s="12" t="s">
        <v>313</v>
      </c>
      <c r="F1043" s="13">
        <v>39476</v>
      </c>
      <c r="G1043" s="12">
        <v>66.400000000000006</v>
      </c>
      <c r="H1043" s="12">
        <v>2.5</v>
      </c>
      <c r="I1043" s="13">
        <v>39532</v>
      </c>
      <c r="J1043" s="12">
        <v>68.599999999999994</v>
      </c>
      <c r="K1043" s="12">
        <v>2.5</v>
      </c>
      <c r="L1043" s="12">
        <v>56</v>
      </c>
      <c r="M1043" s="12">
        <v>2.1999999999999886</v>
      </c>
      <c r="N1043" s="12">
        <v>0</v>
      </c>
      <c r="O1043" s="17">
        <v>110.88</v>
      </c>
      <c r="P1043" s="17"/>
      <c r="Q1043" s="17">
        <v>39.285714285714086</v>
      </c>
      <c r="R1043" s="14">
        <v>15.350360714285705</v>
      </c>
      <c r="S1043" s="12">
        <v>7</v>
      </c>
      <c r="T1043" s="12">
        <v>-1.4000000000000057</v>
      </c>
      <c r="U1043" s="14">
        <v>13.86</v>
      </c>
      <c r="V1043" s="17">
        <v>-200.00000000000082</v>
      </c>
      <c r="W1043" s="14">
        <v>3.5535749999999595</v>
      </c>
      <c r="X1043">
        <f t="shared" si="32"/>
        <v>18.02675</v>
      </c>
      <c r="Y1043">
        <f t="shared" si="33"/>
        <v>3.7461642182017112</v>
      </c>
    </row>
    <row r="1044" spans="1:25">
      <c r="A1044" s="12" t="s">
        <v>299</v>
      </c>
      <c r="B1044" s="12" t="s">
        <v>300</v>
      </c>
      <c r="C1044" s="12">
        <v>14</v>
      </c>
      <c r="D1044" s="12">
        <v>1.98</v>
      </c>
      <c r="E1044" s="12" t="s">
        <v>314</v>
      </c>
      <c r="F1044" s="13">
        <v>39476</v>
      </c>
      <c r="G1044" s="12">
        <v>48.4</v>
      </c>
      <c r="H1044" s="12">
        <v>2</v>
      </c>
      <c r="I1044" s="13">
        <v>39532</v>
      </c>
      <c r="J1044" s="12">
        <v>51</v>
      </c>
      <c r="K1044" s="12">
        <v>2</v>
      </c>
      <c r="L1044" s="12">
        <v>56</v>
      </c>
      <c r="M1044" s="12">
        <v>2.6000000000000014</v>
      </c>
      <c r="N1044" s="12">
        <v>0</v>
      </c>
      <c r="O1044" s="17">
        <v>110.88</v>
      </c>
      <c r="P1044" s="17"/>
      <c r="Q1044" s="17">
        <v>46.428571428571452</v>
      </c>
      <c r="R1044" s="14">
        <v>12.692701571428572</v>
      </c>
      <c r="S1044" s="12">
        <v>7</v>
      </c>
      <c r="T1044" s="12">
        <v>-2.2000000000000028</v>
      </c>
      <c r="U1044" s="14">
        <v>13.86</v>
      </c>
      <c r="V1044" s="17">
        <v>-314.28571428571468</v>
      </c>
      <c r="W1044" s="14">
        <v>-5.0905127142857332</v>
      </c>
      <c r="X1044">
        <f t="shared" si="32"/>
        <v>20.100999999999999</v>
      </c>
      <c r="Y1044">
        <f t="shared" si="33"/>
        <v>-5.9838828111027782</v>
      </c>
    </row>
    <row r="1045" spans="1:25">
      <c r="A1045" s="12" t="s">
        <v>299</v>
      </c>
      <c r="B1045" s="12" t="s">
        <v>300</v>
      </c>
      <c r="C1045" s="12">
        <v>14</v>
      </c>
      <c r="D1045" s="12">
        <v>1.98</v>
      </c>
      <c r="E1045" s="12" t="s">
        <v>315</v>
      </c>
      <c r="F1045" s="13">
        <v>39476</v>
      </c>
      <c r="G1045" s="12">
        <v>53</v>
      </c>
      <c r="H1045" s="12">
        <v>2</v>
      </c>
      <c r="I1045" s="13">
        <v>39532</v>
      </c>
      <c r="J1045" s="12">
        <v>58.6</v>
      </c>
      <c r="K1045" s="12">
        <v>2</v>
      </c>
      <c r="L1045" s="12">
        <v>56</v>
      </c>
      <c r="M1045" s="12">
        <v>5.6000000000000014</v>
      </c>
      <c r="N1045" s="12">
        <v>0</v>
      </c>
      <c r="O1045" s="17">
        <v>110.88</v>
      </c>
      <c r="P1045" s="17"/>
      <c r="Q1045" s="17">
        <v>100.00000000000001</v>
      </c>
      <c r="R1045" s="14">
        <v>16.365221999999999</v>
      </c>
      <c r="S1045" s="12">
        <v>7</v>
      </c>
      <c r="T1045" s="12">
        <v>-3.1999999999999957</v>
      </c>
      <c r="U1045" s="14">
        <v>13.86</v>
      </c>
      <c r="V1045" s="17">
        <v>-457.14285714285654</v>
      </c>
      <c r="W1045" s="14">
        <v>-11.101920857142826</v>
      </c>
      <c r="X1045">
        <f t="shared" si="32"/>
        <v>20.100999999999999</v>
      </c>
      <c r="Y1045">
        <f t="shared" si="33"/>
        <v>-13.050275505814497</v>
      </c>
    </row>
    <row r="1046" spans="1:25">
      <c r="A1046" s="12" t="s">
        <v>299</v>
      </c>
      <c r="B1046" s="12" t="s">
        <v>300</v>
      </c>
      <c r="C1046" s="12">
        <v>14</v>
      </c>
      <c r="D1046" s="12">
        <v>1.98</v>
      </c>
      <c r="E1046" s="12" t="s">
        <v>316</v>
      </c>
      <c r="F1046" s="13">
        <v>39476</v>
      </c>
      <c r="G1046" s="12">
        <v>60</v>
      </c>
      <c r="H1046" s="12">
        <v>2</v>
      </c>
      <c r="I1046" s="13">
        <v>39532</v>
      </c>
      <c r="J1046" s="12">
        <v>70.400000000000006</v>
      </c>
      <c r="K1046" s="12">
        <v>2</v>
      </c>
      <c r="L1046" s="12">
        <v>56</v>
      </c>
      <c r="M1046" s="12">
        <v>10.400000000000006</v>
      </c>
      <c r="N1046" s="12">
        <v>0</v>
      </c>
      <c r="O1046" s="17">
        <v>110.88</v>
      </c>
      <c r="P1046" s="17"/>
      <c r="Q1046" s="17">
        <v>185.71428571428581</v>
      </c>
      <c r="R1046" s="14">
        <v>22.180382285714288</v>
      </c>
      <c r="S1046" s="12">
        <v>7</v>
      </c>
      <c r="T1046" s="12">
        <v>3.2000000000000028</v>
      </c>
      <c r="U1046" s="14">
        <v>13.86</v>
      </c>
      <c r="V1046" s="17">
        <v>457.14285714285757</v>
      </c>
      <c r="W1046" s="14">
        <v>35.561810857142881</v>
      </c>
      <c r="X1046">
        <f t="shared" si="32"/>
        <v>20.100999999999999</v>
      </c>
      <c r="Y1046">
        <f t="shared" si="33"/>
        <v>41.802804680668359</v>
      </c>
    </row>
    <row r="1047" spans="1:25">
      <c r="A1047" s="12" t="s">
        <v>299</v>
      </c>
      <c r="B1047" s="12" t="s">
        <v>300</v>
      </c>
      <c r="C1047" s="12">
        <v>14</v>
      </c>
      <c r="D1047" s="12">
        <v>1.98</v>
      </c>
      <c r="E1047" s="12" t="s">
        <v>317</v>
      </c>
      <c r="F1047" s="13">
        <v>39476</v>
      </c>
      <c r="G1047" s="12">
        <v>64.2</v>
      </c>
      <c r="H1047" s="12">
        <v>3</v>
      </c>
      <c r="I1047" s="13">
        <v>39532</v>
      </c>
      <c r="J1047" s="12">
        <v>65.599999999999994</v>
      </c>
      <c r="K1047" s="12">
        <v>2.5</v>
      </c>
      <c r="L1047" s="12">
        <v>56</v>
      </c>
      <c r="M1047" s="12">
        <v>1.3999999999999915</v>
      </c>
      <c r="N1047" s="12">
        <v>-0.5</v>
      </c>
      <c r="O1047" s="17">
        <v>110.88</v>
      </c>
      <c r="P1047" s="17"/>
      <c r="Q1047" s="17">
        <v>24.999999999999847</v>
      </c>
      <c r="R1047" s="14">
        <v>14.206440999999993</v>
      </c>
      <c r="S1047" s="12">
        <v>7</v>
      </c>
      <c r="T1047" s="12">
        <v>-3.4000000000000057</v>
      </c>
      <c r="U1047" s="14">
        <v>13.86</v>
      </c>
      <c r="V1047" s="17">
        <v>-485.71428571428652</v>
      </c>
      <c r="W1047" s="14">
        <v>-10.971773285714324</v>
      </c>
      <c r="X1047">
        <f t="shared" si="32"/>
        <v>15.952499999999999</v>
      </c>
      <c r="Y1047">
        <f t="shared" si="33"/>
        <v>-10.235509552067704</v>
      </c>
    </row>
    <row r="1048" spans="1:25">
      <c r="A1048" s="12" t="s">
        <v>299</v>
      </c>
      <c r="B1048" s="12" t="s">
        <v>300</v>
      </c>
      <c r="C1048" s="12">
        <v>14</v>
      </c>
      <c r="D1048" s="12">
        <v>1.98</v>
      </c>
      <c r="E1048" s="12" t="s">
        <v>318</v>
      </c>
      <c r="F1048" s="13">
        <v>39476</v>
      </c>
      <c r="G1048" s="12">
        <v>56.4</v>
      </c>
      <c r="H1048" s="12">
        <v>2.5</v>
      </c>
      <c r="I1048" s="13">
        <v>39532</v>
      </c>
      <c r="J1048" s="12">
        <v>61.6</v>
      </c>
      <c r="K1048" s="12">
        <v>2.5</v>
      </c>
      <c r="L1048" s="12">
        <v>56</v>
      </c>
      <c r="M1048" s="12">
        <v>5.2000000000000028</v>
      </c>
      <c r="N1048" s="12">
        <v>0</v>
      </c>
      <c r="O1048" s="17">
        <v>110.88</v>
      </c>
      <c r="P1048" s="17"/>
      <c r="Q1048" s="17">
        <v>92.857142857142904</v>
      </c>
      <c r="R1048" s="14">
        <v>16.554167142857146</v>
      </c>
      <c r="S1048" s="12">
        <v>7</v>
      </c>
      <c r="T1048" s="12">
        <v>-4.3999999999999986</v>
      </c>
      <c r="U1048" s="14">
        <v>13.86</v>
      </c>
      <c r="V1048" s="17">
        <v>-628.57142857142833</v>
      </c>
      <c r="W1048" s="14">
        <v>-19.012261428571414</v>
      </c>
      <c r="X1048">
        <f t="shared" si="32"/>
        <v>18.02675</v>
      </c>
      <c r="Y1048">
        <f t="shared" si="33"/>
        <v>-20.042648170029224</v>
      </c>
    </row>
    <row r="1049" spans="1:25">
      <c r="A1049" s="12" t="s">
        <v>299</v>
      </c>
      <c r="B1049" s="12" t="s">
        <v>300</v>
      </c>
      <c r="C1049" s="12">
        <v>14</v>
      </c>
      <c r="D1049" s="12">
        <v>1.98</v>
      </c>
      <c r="E1049" s="12" t="s">
        <v>319</v>
      </c>
      <c r="F1049" s="13">
        <v>39476</v>
      </c>
      <c r="G1049" s="12">
        <v>64</v>
      </c>
      <c r="H1049" s="12">
        <v>3</v>
      </c>
      <c r="I1049" s="13">
        <v>39532</v>
      </c>
      <c r="J1049" s="12">
        <v>66.2</v>
      </c>
      <c r="K1049" s="12">
        <v>2.75</v>
      </c>
      <c r="L1049" s="12">
        <v>56</v>
      </c>
      <c r="M1049" s="12">
        <v>2.2000000000000028</v>
      </c>
      <c r="N1049" s="12">
        <v>-0.25</v>
      </c>
      <c r="O1049" s="17">
        <v>110.88</v>
      </c>
      <c r="P1049" s="17"/>
      <c r="Q1049" s="17">
        <v>39.285714285714334</v>
      </c>
      <c r="R1049" s="14">
        <v>14.944544714285716</v>
      </c>
      <c r="S1049" s="12">
        <v>7</v>
      </c>
      <c r="T1049" s="12">
        <v>-2.7999999999999972</v>
      </c>
      <c r="U1049" s="14">
        <v>13.86</v>
      </c>
      <c r="V1049" s="17">
        <v>-399.9999999999996</v>
      </c>
      <c r="W1049" s="14">
        <v>-6.7122409999999793</v>
      </c>
      <c r="X1049">
        <f t="shared" si="32"/>
        <v>15.952499999999999</v>
      </c>
      <c r="Y1049">
        <f t="shared" si="33"/>
        <v>-6.261814301315769</v>
      </c>
    </row>
    <row r="1050" spans="1:25">
      <c r="A1050" s="12" t="s">
        <v>299</v>
      </c>
      <c r="B1050" s="12" t="s">
        <v>300</v>
      </c>
      <c r="C1050" s="12">
        <v>14</v>
      </c>
      <c r="D1050" s="12">
        <v>1.98</v>
      </c>
      <c r="E1050" s="12" t="s">
        <v>320</v>
      </c>
      <c r="F1050" s="13">
        <v>39476</v>
      </c>
      <c r="G1050" s="12">
        <v>54</v>
      </c>
      <c r="H1050" s="12">
        <v>2.5</v>
      </c>
      <c r="I1050" s="13">
        <v>39532</v>
      </c>
      <c r="J1050" s="12">
        <v>56</v>
      </c>
      <c r="K1050" s="12">
        <v>2.25</v>
      </c>
      <c r="L1050" s="12">
        <v>56</v>
      </c>
      <c r="M1050" s="12">
        <v>2</v>
      </c>
      <c r="N1050" s="12">
        <v>-0.25</v>
      </c>
      <c r="O1050" s="17">
        <v>110.88</v>
      </c>
      <c r="P1050" s="17"/>
      <c r="Q1050" s="17">
        <v>35.714285714285715</v>
      </c>
      <c r="R1050" s="14">
        <v>13.060664285714285</v>
      </c>
      <c r="S1050" s="12">
        <v>7</v>
      </c>
      <c r="T1050" s="12">
        <v>-4.3999999999999986</v>
      </c>
      <c r="U1050" s="14">
        <v>13.86</v>
      </c>
      <c r="V1050" s="17">
        <v>-628.57142857142833</v>
      </c>
      <c r="W1050" s="14">
        <v>-19.688621428571416</v>
      </c>
      <c r="X1050">
        <f t="shared" si="32"/>
        <v>18.02675</v>
      </c>
      <c r="Y1050">
        <f t="shared" si="33"/>
        <v>-20.755664113304078</v>
      </c>
    </row>
    <row r="1051" spans="1:25">
      <c r="A1051" s="12" t="s">
        <v>299</v>
      </c>
      <c r="B1051" s="12" t="s">
        <v>300</v>
      </c>
      <c r="C1051" s="12">
        <v>14</v>
      </c>
      <c r="D1051" s="12">
        <v>1.98</v>
      </c>
      <c r="E1051" s="12" t="s">
        <v>321</v>
      </c>
      <c r="F1051" s="13">
        <v>39476</v>
      </c>
      <c r="G1051" s="12">
        <v>59.2</v>
      </c>
      <c r="H1051" s="12">
        <v>1.75</v>
      </c>
      <c r="I1051" s="13">
        <v>39532</v>
      </c>
      <c r="J1051" s="12">
        <v>67.8</v>
      </c>
      <c r="K1051" s="12">
        <v>1.75</v>
      </c>
      <c r="L1051" s="12">
        <v>56</v>
      </c>
      <c r="M1051" s="12">
        <v>8.5999999999999943</v>
      </c>
      <c r="N1051" s="12">
        <v>0</v>
      </c>
      <c r="O1051" s="17">
        <v>110.88</v>
      </c>
      <c r="P1051" s="17"/>
      <c r="Q1051" s="17">
        <v>153.57142857142847</v>
      </c>
      <c r="R1051" s="14">
        <v>20.308286428571421</v>
      </c>
      <c r="S1051" s="12">
        <v>7</v>
      </c>
      <c r="T1051" s="12">
        <v>-0.60000000000000853</v>
      </c>
      <c r="U1051" s="14">
        <v>13.86</v>
      </c>
      <c r="V1051" s="17">
        <v>-85.71428571428693</v>
      </c>
      <c r="W1051" s="14">
        <v>8.5115007142856527</v>
      </c>
      <c r="X1051">
        <f t="shared" si="32"/>
        <v>21.138124999999999</v>
      </c>
      <c r="Y1051">
        <f t="shared" si="33"/>
        <v>10.521471698021017</v>
      </c>
    </row>
    <row r="1052" spans="1:25">
      <c r="A1052" s="12" t="s">
        <v>299</v>
      </c>
      <c r="B1052" s="12" t="s">
        <v>300</v>
      </c>
      <c r="C1052" s="12">
        <v>14</v>
      </c>
      <c r="D1052" s="12">
        <v>1.98</v>
      </c>
      <c r="E1052" s="12" t="s">
        <v>322</v>
      </c>
      <c r="F1052" s="13">
        <v>39476</v>
      </c>
      <c r="G1052" s="12">
        <v>57.8</v>
      </c>
      <c r="H1052" s="12">
        <v>1.75</v>
      </c>
      <c r="I1052" s="13">
        <v>39532</v>
      </c>
      <c r="J1052" s="12">
        <v>61</v>
      </c>
      <c r="K1052" s="12">
        <v>1.75</v>
      </c>
      <c r="L1052" s="12">
        <v>56</v>
      </c>
      <c r="M1052" s="12">
        <v>3.2000000000000028</v>
      </c>
      <c r="N1052" s="12">
        <v>0</v>
      </c>
      <c r="O1052" s="17">
        <v>110.88</v>
      </c>
      <c r="P1052" s="17"/>
      <c r="Q1052" s="17">
        <v>57.142857142857196</v>
      </c>
      <c r="R1052" s="14">
        <v>14.86108885714286</v>
      </c>
      <c r="S1052" s="12">
        <v>7</v>
      </c>
      <c r="T1052" s="12">
        <v>-3.2000000000000028</v>
      </c>
      <c r="U1052" s="14">
        <v>13.86</v>
      </c>
      <c r="V1052" s="17">
        <v>-457.14285714285757</v>
      </c>
      <c r="W1052" s="14">
        <v>-10.493196857142879</v>
      </c>
      <c r="X1052">
        <f t="shared" si="32"/>
        <v>21.138124999999999</v>
      </c>
      <c r="Y1052">
        <f t="shared" si="33"/>
        <v>-12.971140749467443</v>
      </c>
    </row>
    <row r="1053" spans="1:25">
      <c r="A1053" s="12" t="s">
        <v>299</v>
      </c>
      <c r="B1053" s="12" t="s">
        <v>300</v>
      </c>
      <c r="C1053" s="12">
        <v>14</v>
      </c>
      <c r="D1053" s="12">
        <v>1.98</v>
      </c>
      <c r="E1053" s="12" t="s">
        <v>323</v>
      </c>
      <c r="F1053" s="13">
        <v>39476</v>
      </c>
      <c r="G1053" s="12">
        <v>56.2</v>
      </c>
      <c r="H1053" s="12">
        <v>2.75</v>
      </c>
      <c r="I1053" s="13">
        <v>39532</v>
      </c>
      <c r="J1053" s="12">
        <v>65.8</v>
      </c>
      <c r="K1053" s="12">
        <v>2.75</v>
      </c>
      <c r="L1053" s="12">
        <v>56</v>
      </c>
      <c r="M1053" s="12">
        <v>9.5999999999999943</v>
      </c>
      <c r="N1053" s="12">
        <v>0</v>
      </c>
      <c r="O1053" s="17">
        <v>110.88</v>
      </c>
      <c r="P1053" s="17"/>
      <c r="Q1053" s="17">
        <v>171.42857142857133</v>
      </c>
      <c r="R1053" s="14">
        <v>20.765918571428564</v>
      </c>
      <c r="S1053" s="12">
        <v>7</v>
      </c>
      <c r="T1053" s="12">
        <v>-2.4000000000000057</v>
      </c>
      <c r="U1053" s="14">
        <v>13.86</v>
      </c>
      <c r="V1053" s="17">
        <v>-342.85714285714369</v>
      </c>
      <c r="W1053" s="14">
        <v>-4.5883671428571837</v>
      </c>
      <c r="X1053">
        <f t="shared" si="32"/>
        <v>16.989624999999997</v>
      </c>
      <c r="Y1053">
        <f t="shared" si="33"/>
        <v>-4.5587507087406403</v>
      </c>
    </row>
    <row r="1054" spans="1:25">
      <c r="A1054" s="12" t="s">
        <v>299</v>
      </c>
      <c r="B1054" s="12" t="s">
        <v>300</v>
      </c>
      <c r="C1054" s="12">
        <v>14</v>
      </c>
      <c r="D1054" s="12">
        <v>1.98</v>
      </c>
      <c r="E1054" s="12" t="s">
        <v>324</v>
      </c>
      <c r="F1054" s="13">
        <v>39476</v>
      </c>
      <c r="G1054" s="12">
        <v>58</v>
      </c>
      <c r="H1054" s="12">
        <v>2.25</v>
      </c>
      <c r="I1054" s="13">
        <v>39532</v>
      </c>
      <c r="J1054" s="12">
        <v>64</v>
      </c>
      <c r="K1054" s="12">
        <v>2.25</v>
      </c>
      <c r="L1054" s="12">
        <v>56</v>
      </c>
      <c r="M1054" s="12">
        <v>6</v>
      </c>
      <c r="N1054" s="12">
        <v>0</v>
      </c>
      <c r="O1054" s="17">
        <v>110.88</v>
      </c>
      <c r="P1054" s="17"/>
      <c r="Q1054" s="17">
        <v>107.14285714285714</v>
      </c>
      <c r="R1054" s="14">
        <v>17.596632857142858</v>
      </c>
      <c r="S1054" s="12">
        <v>7</v>
      </c>
      <c r="T1054" s="12">
        <v>-1</v>
      </c>
      <c r="U1054" s="14">
        <v>13.86</v>
      </c>
      <c r="V1054" s="17">
        <v>-142.85714285714286</v>
      </c>
      <c r="W1054" s="14">
        <v>5.2716328571428575</v>
      </c>
      <c r="X1054">
        <f t="shared" si="32"/>
        <v>19.063874999999999</v>
      </c>
      <c r="Y1054">
        <f t="shared" si="33"/>
        <v>5.8770613938283205</v>
      </c>
    </row>
    <row r="1055" spans="1:25">
      <c r="A1055" s="12" t="s">
        <v>299</v>
      </c>
      <c r="B1055" s="12" t="s">
        <v>300</v>
      </c>
      <c r="C1055" s="12">
        <v>14</v>
      </c>
      <c r="D1055" s="12">
        <v>1.98</v>
      </c>
      <c r="E1055" s="12" t="s">
        <v>325</v>
      </c>
      <c r="F1055" s="13">
        <v>39476</v>
      </c>
      <c r="G1055" s="12">
        <v>67</v>
      </c>
      <c r="H1055" s="12">
        <v>2.25</v>
      </c>
      <c r="I1055" s="13">
        <v>39532</v>
      </c>
      <c r="J1055" s="12">
        <v>69.400000000000006</v>
      </c>
      <c r="K1055" s="12">
        <v>2.25</v>
      </c>
      <c r="L1055" s="12">
        <v>56</v>
      </c>
      <c r="M1055" s="12">
        <v>2.4000000000000057</v>
      </c>
      <c r="N1055" s="12">
        <v>0</v>
      </c>
      <c r="O1055" s="17">
        <v>110.88</v>
      </c>
      <c r="P1055" s="17"/>
      <c r="Q1055" s="17">
        <v>42.857142857142961</v>
      </c>
      <c r="R1055" s="14">
        <v>15.644795142857149</v>
      </c>
      <c r="S1055" s="12">
        <v>7</v>
      </c>
      <c r="T1055" s="12">
        <v>-0.79999999999999716</v>
      </c>
      <c r="U1055" s="14">
        <v>13.86</v>
      </c>
      <c r="V1055" s="17">
        <v>-114.28571428571388</v>
      </c>
      <c r="W1055" s="14">
        <v>7.8976522857143063</v>
      </c>
      <c r="X1055">
        <f t="shared" si="32"/>
        <v>19.063874999999999</v>
      </c>
      <c r="Y1055">
        <f t="shared" si="33"/>
        <v>8.8046699396679422</v>
      </c>
    </row>
    <row r="1056" spans="1:25">
      <c r="A1056" s="12" t="s">
        <v>299</v>
      </c>
      <c r="B1056" s="12" t="s">
        <v>300</v>
      </c>
      <c r="C1056" s="12">
        <v>14</v>
      </c>
      <c r="D1056" s="12">
        <v>1.98</v>
      </c>
      <c r="E1056" s="12" t="s">
        <v>326</v>
      </c>
      <c r="F1056" s="13">
        <v>39476</v>
      </c>
      <c r="G1056" s="12">
        <v>70.599999999999994</v>
      </c>
      <c r="H1056" s="12">
        <v>3</v>
      </c>
      <c r="I1056" s="13">
        <v>39532</v>
      </c>
      <c r="J1056" s="12">
        <v>74.599999999999994</v>
      </c>
      <c r="K1056" s="12">
        <v>2.5</v>
      </c>
      <c r="L1056" s="12">
        <v>56</v>
      </c>
      <c r="M1056" s="12">
        <v>4</v>
      </c>
      <c r="N1056" s="12">
        <v>-0.5</v>
      </c>
      <c r="O1056" s="17">
        <v>110.88</v>
      </c>
      <c r="P1056" s="17"/>
      <c r="Q1056" s="17">
        <v>71.428571428571431</v>
      </c>
      <c r="R1056" s="14">
        <v>17.797362571428568</v>
      </c>
      <c r="S1056" s="12">
        <v>7</v>
      </c>
      <c r="T1056" s="12">
        <v>-3</v>
      </c>
      <c r="U1056" s="14">
        <v>13.86</v>
      </c>
      <c r="V1056" s="17">
        <v>-428.57142857142856</v>
      </c>
      <c r="W1056" s="14">
        <v>-6.8526374285714287</v>
      </c>
      <c r="X1056">
        <f t="shared" si="32"/>
        <v>15.952499999999999</v>
      </c>
      <c r="Y1056">
        <f t="shared" si="33"/>
        <v>-6.3927893906015028</v>
      </c>
    </row>
    <row r="1057" spans="1:25">
      <c r="A1057" s="12" t="s">
        <v>299</v>
      </c>
      <c r="B1057" s="12" t="s">
        <v>300</v>
      </c>
      <c r="C1057" s="12">
        <v>14</v>
      </c>
      <c r="D1057" s="12">
        <v>1.98</v>
      </c>
      <c r="E1057" s="12" t="s">
        <v>327</v>
      </c>
      <c r="F1057" s="13">
        <v>39476</v>
      </c>
      <c r="G1057" s="12">
        <v>61.6</v>
      </c>
      <c r="H1057" s="12">
        <v>2.5</v>
      </c>
      <c r="I1057" s="13">
        <v>39532</v>
      </c>
      <c r="J1057" s="12">
        <v>69.2</v>
      </c>
      <c r="K1057" s="12">
        <v>2.5</v>
      </c>
      <c r="L1057" s="12">
        <v>56</v>
      </c>
      <c r="M1057" s="12">
        <v>7.6000000000000014</v>
      </c>
      <c r="N1057" s="12">
        <v>0</v>
      </c>
      <c r="O1057" s="17">
        <v>110.88</v>
      </c>
      <c r="P1057" s="17"/>
      <c r="Q1057" s="17">
        <v>135.71428571428572</v>
      </c>
      <c r="R1057" s="14">
        <v>19.749200285714288</v>
      </c>
      <c r="S1057" s="12">
        <v>7</v>
      </c>
      <c r="T1057" s="12">
        <v>-1.5999999999999943</v>
      </c>
      <c r="U1057" s="14">
        <v>13.86</v>
      </c>
      <c r="V1057" s="17">
        <v>-228.57142857142776</v>
      </c>
      <c r="W1057" s="14">
        <v>1.7899145714286124</v>
      </c>
      <c r="X1057">
        <f t="shared" si="32"/>
        <v>18.02675</v>
      </c>
      <c r="Y1057">
        <f t="shared" si="33"/>
        <v>1.8869206140643706</v>
      </c>
    </row>
    <row r="1058" spans="1:25">
      <c r="A1058" s="12" t="s">
        <v>299</v>
      </c>
      <c r="B1058" s="12" t="s">
        <v>300</v>
      </c>
      <c r="C1058" s="12">
        <v>14</v>
      </c>
      <c r="D1058" s="12">
        <v>1.98</v>
      </c>
      <c r="E1058" s="12" t="s">
        <v>328</v>
      </c>
      <c r="F1058" s="13">
        <v>39476</v>
      </c>
      <c r="G1058" s="12">
        <v>60</v>
      </c>
      <c r="H1058" s="12">
        <v>2.5</v>
      </c>
      <c r="I1058" s="13">
        <v>39532</v>
      </c>
      <c r="J1058" s="12">
        <v>63.2</v>
      </c>
      <c r="K1058" s="12">
        <v>2.5</v>
      </c>
      <c r="L1058" s="12">
        <v>56</v>
      </c>
      <c r="M1058" s="12">
        <v>3.2000000000000028</v>
      </c>
      <c r="N1058" s="12">
        <v>0</v>
      </c>
      <c r="O1058" s="17">
        <v>110.88</v>
      </c>
      <c r="P1058" s="17"/>
      <c r="Q1058" s="17">
        <v>57.142857142857196</v>
      </c>
      <c r="R1058" s="14">
        <v>15.23308685714286</v>
      </c>
      <c r="S1058" s="12">
        <v>7</v>
      </c>
      <c r="T1058" s="12">
        <v>-4.2000000000000028</v>
      </c>
      <c r="U1058" s="14">
        <v>13.86</v>
      </c>
      <c r="V1058" s="17">
        <v>-600.00000000000045</v>
      </c>
      <c r="W1058" s="14">
        <v>-17.16405600000002</v>
      </c>
      <c r="X1058">
        <f t="shared" si="32"/>
        <v>18.02675</v>
      </c>
      <c r="Y1058">
        <f t="shared" si="33"/>
        <v>-18.094277572982477</v>
      </c>
    </row>
    <row r="1059" spans="1:25">
      <c r="A1059" s="12" t="s">
        <v>299</v>
      </c>
      <c r="B1059" s="12" t="s">
        <v>300</v>
      </c>
      <c r="C1059" s="12">
        <v>14</v>
      </c>
      <c r="D1059" s="12">
        <v>1.98</v>
      </c>
      <c r="E1059" s="12" t="s">
        <v>329</v>
      </c>
      <c r="F1059" s="13">
        <v>39476</v>
      </c>
      <c r="G1059" s="12">
        <v>58</v>
      </c>
      <c r="H1059" s="12">
        <v>3</v>
      </c>
      <c r="I1059" s="13">
        <v>39532</v>
      </c>
      <c r="J1059" s="12">
        <v>61.6</v>
      </c>
      <c r="K1059" s="12">
        <v>2.25</v>
      </c>
      <c r="L1059" s="12">
        <v>56</v>
      </c>
      <c r="M1059" s="12">
        <v>3.6000000000000014</v>
      </c>
      <c r="N1059" s="12">
        <v>-0.75</v>
      </c>
      <c r="O1059" s="17">
        <v>110.88</v>
      </c>
      <c r="P1059" s="17"/>
      <c r="Q1059" s="17">
        <v>64.285714285714306</v>
      </c>
      <c r="R1059" s="14">
        <v>15.280867714285714</v>
      </c>
      <c r="S1059" s="12">
        <v>7</v>
      </c>
      <c r="T1059" s="12">
        <v>-2</v>
      </c>
      <c r="U1059" s="14">
        <v>13.86</v>
      </c>
      <c r="V1059" s="17">
        <v>-285.71428571428572</v>
      </c>
      <c r="W1059" s="14">
        <v>-1.9741322857142851</v>
      </c>
      <c r="X1059">
        <f t="shared" si="32"/>
        <v>15.952499999999999</v>
      </c>
      <c r="Y1059">
        <f t="shared" si="33"/>
        <v>-1.8416576191729315</v>
      </c>
    </row>
    <row r="1060" spans="1:25">
      <c r="A1060" s="12" t="s">
        <v>299</v>
      </c>
      <c r="B1060" s="12" t="s">
        <v>300</v>
      </c>
      <c r="C1060" s="12">
        <v>14</v>
      </c>
      <c r="D1060" s="12">
        <v>1.98</v>
      </c>
      <c r="E1060" s="12" t="s">
        <v>330</v>
      </c>
      <c r="F1060" s="13">
        <v>39476</v>
      </c>
      <c r="G1060" s="12">
        <v>55.2</v>
      </c>
      <c r="H1060" s="12">
        <v>2.5</v>
      </c>
      <c r="I1060" s="13">
        <v>39532</v>
      </c>
      <c r="J1060" s="12">
        <v>61.2</v>
      </c>
      <c r="K1060" s="12">
        <v>2.5</v>
      </c>
      <c r="L1060" s="12">
        <v>56</v>
      </c>
      <c r="M1060" s="12">
        <v>6</v>
      </c>
      <c r="N1060" s="12">
        <v>0</v>
      </c>
      <c r="O1060" s="17">
        <v>110.88</v>
      </c>
      <c r="P1060" s="17"/>
      <c r="Q1060" s="17">
        <v>107.14285714285714</v>
      </c>
      <c r="R1060" s="14">
        <v>17.123180857142856</v>
      </c>
      <c r="S1060" s="12">
        <v>7</v>
      </c>
      <c r="T1060" s="12">
        <v>8.8000000000000043</v>
      </c>
      <c r="U1060" s="14">
        <v>13.86</v>
      </c>
      <c r="V1060" s="17">
        <v>1257.1428571428578</v>
      </c>
      <c r="W1060" s="14">
        <v>73.818180857142892</v>
      </c>
      <c r="X1060">
        <f t="shared" si="32"/>
        <v>18.02675</v>
      </c>
      <c r="Y1060">
        <f t="shared" si="33"/>
        <v>77.818824079912318</v>
      </c>
    </row>
    <row r="1061" spans="1:25">
      <c r="A1061" s="12" t="s">
        <v>299</v>
      </c>
      <c r="B1061" s="12" t="s">
        <v>300</v>
      </c>
      <c r="C1061" s="12">
        <v>14</v>
      </c>
      <c r="D1061" s="12">
        <v>1.98</v>
      </c>
      <c r="E1061" s="12" t="s">
        <v>331</v>
      </c>
      <c r="F1061" s="13">
        <v>39476</v>
      </c>
      <c r="G1061" s="12">
        <v>60.6</v>
      </c>
      <c r="H1061" s="12">
        <v>2</v>
      </c>
      <c r="I1061" s="13">
        <v>39532</v>
      </c>
      <c r="J1061" s="12">
        <v>70.400000000000006</v>
      </c>
      <c r="K1061" s="12">
        <v>2</v>
      </c>
      <c r="L1061" s="12">
        <v>56</v>
      </c>
      <c r="M1061" s="12">
        <v>9.8000000000000043</v>
      </c>
      <c r="N1061" s="12">
        <v>0</v>
      </c>
      <c r="O1061" s="17">
        <v>110.88</v>
      </c>
      <c r="P1061" s="17"/>
      <c r="Q1061" s="17">
        <v>175.00000000000009</v>
      </c>
      <c r="R1061" s="14">
        <v>21.702895000000002</v>
      </c>
      <c r="S1061" s="12">
        <v>7</v>
      </c>
      <c r="T1061" s="12">
        <v>3.2000000000000028</v>
      </c>
      <c r="U1061" s="14">
        <v>13.86</v>
      </c>
      <c r="V1061" s="17">
        <v>457.14285714285757</v>
      </c>
      <c r="W1061" s="14">
        <v>35.612537857142875</v>
      </c>
      <c r="X1061">
        <f t="shared" si="32"/>
        <v>20.100999999999999</v>
      </c>
      <c r="Y1061">
        <f t="shared" si="33"/>
        <v>41.862434120843794</v>
      </c>
    </row>
    <row r="1062" spans="1:25">
      <c r="A1062" s="12" t="s">
        <v>299</v>
      </c>
      <c r="B1062" s="12" t="s">
        <v>300</v>
      </c>
      <c r="C1062" s="12">
        <v>14</v>
      </c>
      <c r="D1062" s="12">
        <v>1.98</v>
      </c>
      <c r="E1062" s="12" t="s">
        <v>332</v>
      </c>
      <c r="F1062" s="13">
        <v>39476</v>
      </c>
      <c r="G1062" s="12">
        <v>64.400000000000006</v>
      </c>
      <c r="H1062" s="12">
        <v>1.75</v>
      </c>
      <c r="I1062" s="13">
        <v>39532</v>
      </c>
      <c r="J1062" s="12">
        <v>70.599999999999994</v>
      </c>
      <c r="K1062" s="12">
        <v>1.75</v>
      </c>
      <c r="L1062" s="12">
        <v>56</v>
      </c>
      <c r="M1062" s="12">
        <v>6.1999999999999886</v>
      </c>
      <c r="N1062" s="12">
        <v>0</v>
      </c>
      <c r="O1062" s="17">
        <v>110.88</v>
      </c>
      <c r="P1062" s="17"/>
      <c r="Q1062" s="17">
        <v>110.71428571428551</v>
      </c>
      <c r="R1062" s="14">
        <v>18.871789285714275</v>
      </c>
      <c r="S1062" s="12">
        <v>7</v>
      </c>
      <c r="T1062" s="12">
        <v>0.39999999999999147</v>
      </c>
      <c r="U1062" s="14">
        <v>13.86</v>
      </c>
      <c r="V1062" s="17">
        <v>57.142857142855924</v>
      </c>
      <c r="W1062" s="14">
        <v>16.230717857142796</v>
      </c>
      <c r="X1062">
        <f t="shared" si="32"/>
        <v>21.138124999999999</v>
      </c>
      <c r="Y1062">
        <f t="shared" si="33"/>
        <v>20.063563912515587</v>
      </c>
    </row>
    <row r="1063" spans="1:25">
      <c r="A1063" s="12" t="s">
        <v>299</v>
      </c>
      <c r="B1063" s="12" t="s">
        <v>300</v>
      </c>
      <c r="C1063" s="12">
        <v>14</v>
      </c>
      <c r="D1063" s="12">
        <v>1.98</v>
      </c>
      <c r="E1063" s="12" t="s">
        <v>333</v>
      </c>
      <c r="F1063" s="13">
        <v>39476</v>
      </c>
      <c r="G1063" s="12">
        <v>54</v>
      </c>
      <c r="H1063" s="12">
        <v>1.75</v>
      </c>
      <c r="I1063" s="13">
        <v>39532</v>
      </c>
      <c r="J1063" s="12">
        <v>66.400000000000006</v>
      </c>
      <c r="K1063" s="12">
        <v>1.75</v>
      </c>
      <c r="L1063" s="12">
        <v>56</v>
      </c>
      <c r="M1063" s="12">
        <v>12.400000000000006</v>
      </c>
      <c r="N1063" s="12">
        <v>0</v>
      </c>
      <c r="O1063" s="17">
        <v>110.88</v>
      </c>
      <c r="P1063" s="17"/>
      <c r="Q1063" s="17">
        <v>221.42857142857153</v>
      </c>
      <c r="R1063" s="14">
        <v>23.095646571428574</v>
      </c>
      <c r="S1063" s="12">
        <v>7</v>
      </c>
      <c r="T1063" s="12">
        <v>1</v>
      </c>
      <c r="U1063" s="14">
        <v>13.86</v>
      </c>
      <c r="V1063" s="17">
        <v>142.85714285714286</v>
      </c>
      <c r="W1063" s="14">
        <v>19.222075142857143</v>
      </c>
      <c r="X1063">
        <f t="shared" si="32"/>
        <v>21.138124999999999</v>
      </c>
      <c r="Y1063">
        <f t="shared" si="33"/>
        <v>23.761323223924393</v>
      </c>
    </row>
    <row r="1064" spans="1:25">
      <c r="A1064" s="12" t="s">
        <v>299</v>
      </c>
      <c r="B1064" s="12" t="s">
        <v>300</v>
      </c>
      <c r="C1064" s="12">
        <v>14</v>
      </c>
      <c r="D1064" s="12">
        <v>1.98</v>
      </c>
      <c r="E1064" s="12" t="s">
        <v>334</v>
      </c>
      <c r="F1064" s="13">
        <v>39476</v>
      </c>
      <c r="G1064" s="12">
        <v>71</v>
      </c>
      <c r="H1064" s="12">
        <v>2</v>
      </c>
      <c r="I1064" s="13">
        <v>39532</v>
      </c>
      <c r="J1064" s="12">
        <v>66.400000000000006</v>
      </c>
      <c r="K1064" s="12">
        <v>2</v>
      </c>
      <c r="L1064" s="12">
        <v>56</v>
      </c>
      <c r="M1064" s="12">
        <v>-4.5999999999999943</v>
      </c>
      <c r="N1064" s="12">
        <v>0</v>
      </c>
      <c r="O1064" s="17">
        <v>110.88</v>
      </c>
      <c r="P1064" s="17"/>
      <c r="Q1064" s="17">
        <v>-82.142857142857039</v>
      </c>
      <c r="R1064" s="14">
        <v>9.5668401428571492</v>
      </c>
      <c r="S1064" s="12">
        <v>7</v>
      </c>
      <c r="T1064" s="12">
        <v>-5.5999999999999943</v>
      </c>
      <c r="U1064" s="14">
        <v>13.86</v>
      </c>
      <c r="V1064" s="17">
        <v>-799.9999999999992</v>
      </c>
      <c r="W1064" s="14">
        <v>-25.823516999999953</v>
      </c>
      <c r="X1064">
        <f t="shared" si="32"/>
        <v>20.100999999999999</v>
      </c>
      <c r="Y1064">
        <f t="shared" si="33"/>
        <v>-30.355468726140291</v>
      </c>
    </row>
  </sheetData>
  <sortState xmlns:xlrd2="http://schemas.microsoft.com/office/spreadsheetml/2017/richdata2" ref="A2:W1064">
    <sortCondition ref="L2:L1064"/>
  </sortState>
  <customSheetViews>
    <customSheetView guid="{51F81FF1-EE1A-40FC-8953-32A9F2F33EA5}" state="hidden">
      <pageMargins left="0" right="0" top="0" bottom="0" header="0" footer="0"/>
    </customSheetView>
  </customSheetView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49423-20FF-44BE-AF2B-5D0F499F839E}">
  <sheetPr codeName="Sheet10"/>
  <dimension ref="A1:BE202"/>
  <sheetViews>
    <sheetView workbookViewId="0">
      <selection activeCell="A2" sqref="A2"/>
    </sheetView>
  </sheetViews>
  <sheetFormatPr defaultRowHeight="14.85"/>
  <cols>
    <col min="1" max="1" width="13.28515625" style="12" customWidth="1"/>
    <col min="2" max="2" width="8.7109375" style="12"/>
    <col min="3" max="3" width="11.7109375" style="12" customWidth="1"/>
    <col min="4" max="5" width="8.7109375" style="12"/>
    <col min="6" max="10" width="10.28515625" style="12" bestFit="1" customWidth="1"/>
    <col min="11" max="11" width="11.28515625" style="12" bestFit="1" customWidth="1"/>
    <col min="12" max="12" width="11.28515625" bestFit="1" customWidth="1"/>
    <col min="30" max="30" width="5.28515625" customWidth="1"/>
    <col min="31" max="31" width="6.5703125" customWidth="1"/>
    <col min="32" max="32" width="9.28515625" style="12" customWidth="1"/>
    <col min="33" max="33" width="8.28515625" style="12" customWidth="1"/>
    <col min="34" max="34" width="4.42578125" customWidth="1"/>
    <col min="37" max="37" width="14.140625" customWidth="1"/>
    <col min="38" max="38" width="9.85546875" style="12" customWidth="1"/>
    <col min="39" max="39" width="14.5703125" style="12" customWidth="1"/>
    <col min="40" max="40" width="12.7109375" style="12" customWidth="1"/>
    <col min="41" max="41" width="13.85546875" style="12" customWidth="1"/>
    <col min="42" max="42" width="12.7109375" style="12" customWidth="1"/>
    <col min="43" max="43" width="14.5703125" style="12" customWidth="1"/>
    <col min="44" max="44" width="12.7109375" style="12" customWidth="1"/>
    <col min="45" max="45" width="14.5703125" style="12" customWidth="1"/>
    <col min="47" max="48" width="8.7109375" style="12"/>
    <col min="49" max="50" width="14.42578125" bestFit="1" customWidth="1"/>
    <col min="57" max="57" width="12.140625" customWidth="1"/>
    <col min="65" max="65" width="12.5703125" customWidth="1"/>
  </cols>
  <sheetData>
    <row r="1" spans="1:51">
      <c r="A1" s="12" t="s">
        <v>185</v>
      </c>
      <c r="B1" s="12" t="s">
        <v>131</v>
      </c>
      <c r="C1" s="12" t="s">
        <v>576</v>
      </c>
      <c r="D1" s="17" t="s">
        <v>193</v>
      </c>
      <c r="E1" s="12" t="s">
        <v>577</v>
      </c>
      <c r="L1" s="12"/>
      <c r="AL1" s="12" t="s">
        <v>206</v>
      </c>
      <c r="AM1" s="12" t="s">
        <v>206</v>
      </c>
      <c r="AN1" s="12" t="s">
        <v>208</v>
      </c>
      <c r="AO1" s="12" t="s">
        <v>208</v>
      </c>
      <c r="AP1" s="12" t="s">
        <v>210</v>
      </c>
      <c r="AQ1" s="12" t="s">
        <v>210</v>
      </c>
      <c r="AR1" s="12" t="s">
        <v>212</v>
      </c>
      <c r="AS1" s="12" t="s">
        <v>212</v>
      </c>
      <c r="AU1" s="12" t="s">
        <v>206</v>
      </c>
      <c r="AV1" s="12" t="s">
        <v>206</v>
      </c>
      <c r="AW1" t="s">
        <v>206</v>
      </c>
      <c r="AX1" t="s">
        <v>206</v>
      </c>
    </row>
    <row r="2" spans="1:51">
      <c r="A2" s="12">
        <v>13.86</v>
      </c>
      <c r="B2" s="14">
        <v>42.993665810924355</v>
      </c>
      <c r="C2" s="14">
        <v>45.897532533676092</v>
      </c>
      <c r="D2" s="14">
        <v>4.3588235294117599</v>
      </c>
      <c r="E2" s="17">
        <f>D2/7*1000</f>
        <v>622.68907563025141</v>
      </c>
      <c r="F2" s="17"/>
      <c r="G2" s="17"/>
      <c r="H2" s="17"/>
      <c r="I2" s="17"/>
      <c r="J2" s="17"/>
      <c r="K2" s="17"/>
      <c r="AE2" t="s">
        <v>230</v>
      </c>
      <c r="AF2" s="12" t="s">
        <v>128</v>
      </c>
      <c r="AG2" s="12" t="s">
        <v>130</v>
      </c>
      <c r="AI2" t="s">
        <v>578</v>
      </c>
      <c r="AJ2" t="s">
        <v>193</v>
      </c>
      <c r="AK2" t="s">
        <v>579</v>
      </c>
      <c r="AL2" s="12" t="s">
        <v>193</v>
      </c>
      <c r="AM2" s="12" t="s">
        <v>579</v>
      </c>
      <c r="AN2" s="12" t="s">
        <v>193</v>
      </c>
      <c r="AO2" s="12" t="s">
        <v>579</v>
      </c>
      <c r="AP2" s="12" t="s">
        <v>193</v>
      </c>
      <c r="AQ2" s="12" t="s">
        <v>579</v>
      </c>
      <c r="AR2" s="12" t="s">
        <v>193</v>
      </c>
      <c r="AS2" s="12" t="s">
        <v>579</v>
      </c>
      <c r="AU2" s="12" t="s">
        <v>193</v>
      </c>
      <c r="AV2" s="12" t="s">
        <v>193</v>
      </c>
      <c r="AW2" t="s">
        <v>579</v>
      </c>
      <c r="AX2" t="s">
        <v>579</v>
      </c>
      <c r="AY2" t="s">
        <v>580</v>
      </c>
    </row>
    <row r="3" spans="1:51">
      <c r="A3" s="12">
        <v>27.72</v>
      </c>
      <c r="B3" s="14">
        <v>31.08</v>
      </c>
      <c r="C3" s="14">
        <v>34.822588133031381</v>
      </c>
      <c r="D3" s="14">
        <v>2.667647058823531</v>
      </c>
      <c r="E3" s="17">
        <f t="shared" ref="E3:E31" si="0">D3/7*1000</f>
        <v>381.09243697479019</v>
      </c>
      <c r="F3" s="17"/>
      <c r="G3" s="17"/>
      <c r="H3" s="17"/>
      <c r="I3" s="17"/>
      <c r="J3" s="17"/>
      <c r="K3" s="17"/>
      <c r="AE3" t="s">
        <v>581</v>
      </c>
      <c r="AF3" s="37">
        <v>-7.89</v>
      </c>
      <c r="AG3" s="12">
        <v>710</v>
      </c>
      <c r="AI3">
        <v>1</v>
      </c>
      <c r="AJ3">
        <f>(-7.3154*AI3+579.5)/1000</f>
        <v>0.57218460000000004</v>
      </c>
      <c r="AK3">
        <f>((-7.3154*AI3+579.5)/1000)</f>
        <v>0.57218460000000004</v>
      </c>
      <c r="AL3">
        <f>($AF3*$AI3+$AG3)/1000</f>
        <v>0.70211000000000001</v>
      </c>
      <c r="AM3">
        <f>(($AF3*$AI3+$AG3)/1000)</f>
        <v>0.70211000000000001</v>
      </c>
      <c r="AN3">
        <f>($AF4*$AI3+$AG4)/1000</f>
        <v>0.43436999999999998</v>
      </c>
      <c r="AO3">
        <f>(($AF4*$AI3+$AG4)/1000)</f>
        <v>0.43436999999999998</v>
      </c>
      <c r="AP3">
        <f>($AF5*$AI3+$AG5)/1000</f>
        <v>0.45535999999999999</v>
      </c>
      <c r="AQ3">
        <f>(($AF5*$AI3+$AG5)/1000)</f>
        <v>0.45535999999999999</v>
      </c>
      <c r="AR3">
        <f>($AF6*$AI3+$AG6)/1000</f>
        <v>0.30570999999999998</v>
      </c>
      <c r="AS3">
        <f>(($AF6*$AI3+$AG6)/1000)</f>
        <v>0.30570999999999998</v>
      </c>
      <c r="AU3" s="12">
        <f>($AF$3*$AI3+$AG$3)/1000</f>
        <v>0.70211000000000001</v>
      </c>
      <c r="AV3" s="12">
        <f>($AF$3*$AI3+$AG$3+120)/1000</f>
        <v>0.82211000000000001</v>
      </c>
      <c r="AW3">
        <f>(($AF3*$AI3+$AG3)/1000)</f>
        <v>0.70211000000000001</v>
      </c>
      <c r="AX3">
        <f>(($AF3*$AI3+$AG3)/1000)</f>
        <v>0.70211000000000001</v>
      </c>
      <c r="AY3">
        <v>1</v>
      </c>
    </row>
    <row r="4" spans="1:51">
      <c r="A4" s="12">
        <v>28.6</v>
      </c>
      <c r="B4" s="14">
        <v>28.827139243589741</v>
      </c>
      <c r="C4" s="14">
        <v>26.109017286544084</v>
      </c>
      <c r="D4" s="14">
        <v>4.3</v>
      </c>
      <c r="E4" s="17">
        <f t="shared" si="0"/>
        <v>614.28571428571422</v>
      </c>
      <c r="F4" s="17"/>
      <c r="G4" s="17"/>
      <c r="H4" s="17"/>
      <c r="I4" s="17"/>
      <c r="J4" s="17"/>
      <c r="K4" s="17"/>
      <c r="AE4" t="s">
        <v>208</v>
      </c>
      <c r="AF4" s="37">
        <v>-5.63</v>
      </c>
      <c r="AG4" s="12">
        <v>440</v>
      </c>
      <c r="AI4">
        <v>2</v>
      </c>
      <c r="AJ4">
        <f>(-7.3154*AI4+579.5)/1000</f>
        <v>0.56486919999999996</v>
      </c>
      <c r="AK4">
        <f>((-7.3154*AI4+579.5)/1000)+AJ3</f>
        <v>1.1370537999999999</v>
      </c>
      <c r="AL4">
        <f>($AF$3*$AI4+$AG$3)/1000</f>
        <v>0.69422000000000006</v>
      </c>
      <c r="AM4">
        <f>(($AF$3*$AI4+$AG$3)/1000)+AM3</f>
        <v>1.3963300000000001</v>
      </c>
      <c r="AN4">
        <f>($AF$4*$AI4+$AG$4)/1000</f>
        <v>0.42874000000000001</v>
      </c>
      <c r="AO4">
        <f>(($AF$4*$AI4+$AG$4)/1000)+AO3</f>
        <v>0.86311000000000004</v>
      </c>
      <c r="AP4">
        <f>($AF$5*$AI4+$AG$5)/1000</f>
        <v>0.44872000000000001</v>
      </c>
      <c r="AQ4">
        <f>(($AF$5*$AI4+$AG$5)/1000)+AQ3</f>
        <v>0.90407999999999999</v>
      </c>
      <c r="AR4">
        <f>($AF$6*$AI4+$AG$6)/1000</f>
        <v>0.30042000000000002</v>
      </c>
      <c r="AS4">
        <f>(($AF$6*$AI4+$AG$6)/1000)+AS3</f>
        <v>0.60613000000000006</v>
      </c>
      <c r="AU4" s="12">
        <f>($AF$3*$AI4+$AG$3)/1000</f>
        <v>0.69422000000000006</v>
      </c>
      <c r="AV4" s="12">
        <f t="shared" ref="AV4:AV67" si="1">($AF$3*$AI4+$AG$3+120)/1000</f>
        <v>0.81422000000000005</v>
      </c>
      <c r="AW4">
        <f>(($AF$3*$AI4+$AG$3)/1000)+AW3</f>
        <v>1.3963300000000001</v>
      </c>
      <c r="AX4">
        <f>AU4+AX3</f>
        <v>1.3963300000000001</v>
      </c>
      <c r="AY4">
        <v>2</v>
      </c>
    </row>
    <row r="5" spans="1:51">
      <c r="A5" s="12">
        <v>32.400000000000006</v>
      </c>
      <c r="B5" s="14">
        <v>21.048816972222212</v>
      </c>
      <c r="C5" s="14">
        <v>21.222964791797839</v>
      </c>
      <c r="D5" s="14">
        <v>2.5833333333333335</v>
      </c>
      <c r="E5" s="17">
        <f t="shared" si="0"/>
        <v>369.04761904761909</v>
      </c>
      <c r="F5" s="17"/>
      <c r="G5" s="17"/>
      <c r="H5" s="17"/>
      <c r="I5" s="17"/>
      <c r="J5" s="17"/>
      <c r="K5" s="17"/>
      <c r="AE5" t="s">
        <v>210</v>
      </c>
      <c r="AF5" s="37">
        <v>-6.64</v>
      </c>
      <c r="AG5" s="12">
        <v>462</v>
      </c>
      <c r="AI5">
        <v>3</v>
      </c>
      <c r="AJ5">
        <f t="shared" ref="AJ5:AJ67" si="2">(-7.3154*AI5+579.5)/1000</f>
        <v>0.55755379999999999</v>
      </c>
      <c r="AK5">
        <f>((-7.3154*AI5+579.5)/1000)+AK4</f>
        <v>1.6946075999999999</v>
      </c>
      <c r="AL5">
        <f t="shared" ref="AL5:AL68" si="3">($AF$3*$AI5+$AG$3)/1000</f>
        <v>0.68633</v>
      </c>
      <c r="AM5">
        <f t="shared" ref="AM5:AM68" si="4">(($AF$3*$AI5+$AG$3)/1000)+AM4</f>
        <v>2.0826600000000002</v>
      </c>
      <c r="AN5">
        <f t="shared" ref="AN5:AN68" si="5">($AF$4*$AI5+$AG$4)/1000</f>
        <v>0.42310999999999999</v>
      </c>
      <c r="AO5">
        <f t="shared" ref="AO5:AO68" si="6">(($AF$4*$AI5+$AG$4)/1000)+AO4</f>
        <v>1.2862200000000001</v>
      </c>
      <c r="AP5">
        <f t="shared" ref="AP5:AP68" si="7">($AF$5*$AI5+$AG$5)/1000</f>
        <v>0.44207999999999997</v>
      </c>
      <c r="AQ5">
        <f t="shared" ref="AQ5:AQ68" si="8">(($AF$5*$AI5+$AG$5)/1000)+AQ4</f>
        <v>1.34616</v>
      </c>
      <c r="AR5">
        <f t="shared" ref="AR5:AR68" si="9">($AF$6*$AI5+$AG$6)/1000</f>
        <v>0.29513</v>
      </c>
      <c r="AS5">
        <f t="shared" ref="AS5:AS68" si="10">(($AF$6*$AI5+$AG$6)/1000)+AS4</f>
        <v>0.90126000000000006</v>
      </c>
      <c r="AU5" s="12">
        <f t="shared" ref="AU5:AU68" si="11">($AF$3*$AI5+$AG$3)/1000</f>
        <v>0.68633</v>
      </c>
      <c r="AV5" s="12">
        <f t="shared" si="1"/>
        <v>0.80632999999999999</v>
      </c>
      <c r="AW5">
        <f t="shared" ref="AW5:AW68" si="12">(($AF$3*$AI5+$AG$3)/1000)+AW4</f>
        <v>2.0826600000000002</v>
      </c>
      <c r="AX5">
        <f t="shared" ref="AX5:AX68" si="13">AU5+AX4</f>
        <v>2.0826600000000002</v>
      </c>
      <c r="AY5">
        <v>3</v>
      </c>
    </row>
    <row r="6" spans="1:51">
      <c r="A6" s="12">
        <v>34.020000000000003</v>
      </c>
      <c r="B6" s="14">
        <v>21.518990832142858</v>
      </c>
      <c r="C6" s="14">
        <v>19.453358245765028</v>
      </c>
      <c r="D6" s="14">
        <v>2.7950000000000004</v>
      </c>
      <c r="E6" s="17">
        <f t="shared" si="0"/>
        <v>399.28571428571433</v>
      </c>
      <c r="F6" s="17"/>
      <c r="G6" s="17"/>
      <c r="H6" s="17"/>
      <c r="I6" s="17"/>
      <c r="J6" s="17"/>
      <c r="K6" s="17"/>
      <c r="AE6" t="s">
        <v>212</v>
      </c>
      <c r="AF6" s="37">
        <v>-5.29</v>
      </c>
      <c r="AG6" s="12">
        <v>311</v>
      </c>
      <c r="AI6">
        <v>4</v>
      </c>
      <c r="AJ6">
        <f t="shared" si="2"/>
        <v>0.55023839999999991</v>
      </c>
      <c r="AK6">
        <f t="shared" ref="AK6:AK36" si="14">((-7.3154*AI6+579.5)/1000)+AK5</f>
        <v>2.2448459999999999</v>
      </c>
      <c r="AL6">
        <f t="shared" si="3"/>
        <v>0.67844000000000004</v>
      </c>
      <c r="AM6">
        <f t="shared" si="4"/>
        <v>2.7611000000000003</v>
      </c>
      <c r="AN6">
        <f t="shared" si="5"/>
        <v>0.41748000000000002</v>
      </c>
      <c r="AO6">
        <f t="shared" si="6"/>
        <v>1.7037000000000002</v>
      </c>
      <c r="AP6">
        <f t="shared" si="7"/>
        <v>0.43543999999999999</v>
      </c>
      <c r="AQ6">
        <f t="shared" si="8"/>
        <v>1.7816000000000001</v>
      </c>
      <c r="AR6">
        <f t="shared" si="9"/>
        <v>0.28983999999999999</v>
      </c>
      <c r="AS6">
        <f t="shared" si="10"/>
        <v>1.1911</v>
      </c>
      <c r="AU6" s="12">
        <f t="shared" si="11"/>
        <v>0.67844000000000004</v>
      </c>
      <c r="AV6" s="12">
        <f t="shared" si="1"/>
        <v>0.79844000000000004</v>
      </c>
      <c r="AW6">
        <f t="shared" si="12"/>
        <v>2.7611000000000003</v>
      </c>
      <c r="AX6">
        <f t="shared" si="13"/>
        <v>2.7611000000000003</v>
      </c>
      <c r="AY6">
        <v>4</v>
      </c>
    </row>
    <row r="7" spans="1:51">
      <c r="A7" s="12">
        <v>34.580000000000005</v>
      </c>
      <c r="B7" s="14">
        <v>21.13247913928571</v>
      </c>
      <c r="C7" s="14">
        <v>19.760025251335573</v>
      </c>
      <c r="D7" s="14">
        <v>2.6849999999999996</v>
      </c>
      <c r="E7" s="17">
        <f t="shared" si="0"/>
        <v>383.5714285714285</v>
      </c>
      <c r="F7" s="17"/>
      <c r="G7" s="17"/>
      <c r="H7" s="17"/>
      <c r="I7" s="17"/>
      <c r="J7" s="17"/>
      <c r="K7" s="17"/>
      <c r="AI7">
        <v>5</v>
      </c>
      <c r="AJ7">
        <f t="shared" si="2"/>
        <v>0.54292300000000004</v>
      </c>
      <c r="AK7">
        <f t="shared" si="14"/>
        <v>2.7877689999999999</v>
      </c>
      <c r="AL7">
        <f t="shared" si="3"/>
        <v>0.67054999999999998</v>
      </c>
      <c r="AM7">
        <f t="shared" si="4"/>
        <v>3.4316500000000003</v>
      </c>
      <c r="AN7">
        <f t="shared" si="5"/>
        <v>0.41185000000000005</v>
      </c>
      <c r="AO7">
        <f t="shared" si="6"/>
        <v>2.1155500000000003</v>
      </c>
      <c r="AP7">
        <f t="shared" si="7"/>
        <v>0.42880000000000001</v>
      </c>
      <c r="AQ7">
        <f t="shared" si="8"/>
        <v>2.2103999999999999</v>
      </c>
      <c r="AR7">
        <f t="shared" si="9"/>
        <v>0.28455000000000003</v>
      </c>
      <c r="AS7">
        <f t="shared" si="10"/>
        <v>1.4756500000000001</v>
      </c>
      <c r="AU7" s="12">
        <f t="shared" si="11"/>
        <v>0.67054999999999998</v>
      </c>
      <c r="AV7" s="12">
        <f t="shared" si="1"/>
        <v>0.79054999999999997</v>
      </c>
      <c r="AW7">
        <f t="shared" si="12"/>
        <v>3.4316500000000003</v>
      </c>
      <c r="AX7">
        <f t="shared" si="13"/>
        <v>3.4316500000000003</v>
      </c>
      <c r="AY7">
        <v>5</v>
      </c>
    </row>
    <row r="8" spans="1:51">
      <c r="A8" s="12">
        <v>37.6</v>
      </c>
      <c r="B8" s="14">
        <v>12.926504037735846</v>
      </c>
      <c r="C8" s="14">
        <v>12.926504037735848</v>
      </c>
      <c r="D8" s="14">
        <v>0.52830188679245282</v>
      </c>
      <c r="E8" s="17">
        <f t="shared" si="0"/>
        <v>75.471698113207538</v>
      </c>
      <c r="F8" s="17"/>
      <c r="G8" s="17"/>
      <c r="H8" s="17"/>
      <c r="I8" s="17"/>
      <c r="J8" s="17"/>
      <c r="K8" s="17"/>
      <c r="AI8">
        <v>6</v>
      </c>
      <c r="AJ8">
        <f t="shared" si="2"/>
        <v>0.53560760000000007</v>
      </c>
      <c r="AK8">
        <f t="shared" si="14"/>
        <v>3.3233766</v>
      </c>
      <c r="AL8">
        <f t="shared" si="3"/>
        <v>0.66265999999999992</v>
      </c>
      <c r="AM8">
        <f t="shared" si="4"/>
        <v>4.0943100000000001</v>
      </c>
      <c r="AN8">
        <f t="shared" si="5"/>
        <v>0.40622000000000003</v>
      </c>
      <c r="AO8">
        <f t="shared" si="6"/>
        <v>2.5217700000000001</v>
      </c>
      <c r="AP8">
        <f t="shared" si="7"/>
        <v>0.42216000000000004</v>
      </c>
      <c r="AQ8">
        <f t="shared" si="8"/>
        <v>2.6325599999999998</v>
      </c>
      <c r="AR8">
        <f t="shared" si="9"/>
        <v>0.27926000000000001</v>
      </c>
      <c r="AS8">
        <f t="shared" si="10"/>
        <v>1.7549100000000002</v>
      </c>
      <c r="AU8" s="12">
        <f t="shared" si="11"/>
        <v>0.66265999999999992</v>
      </c>
      <c r="AV8" s="12">
        <f t="shared" si="1"/>
        <v>0.78266000000000002</v>
      </c>
      <c r="AW8">
        <f t="shared" si="12"/>
        <v>4.0943100000000001</v>
      </c>
      <c r="AX8">
        <f t="shared" si="13"/>
        <v>4.0943100000000001</v>
      </c>
      <c r="AY8">
        <v>6</v>
      </c>
    </row>
    <row r="9" spans="1:51">
      <c r="A9" s="12">
        <v>37.76</v>
      </c>
      <c r="B9" s="14">
        <v>26.693042692307682</v>
      </c>
      <c r="C9" s="14">
        <v>26.693042692307682</v>
      </c>
      <c r="D9" s="14">
        <v>4.8923076923076909</v>
      </c>
      <c r="E9" s="17">
        <f t="shared" si="0"/>
        <v>698.90109890109875</v>
      </c>
      <c r="F9" s="17"/>
      <c r="G9" s="17"/>
      <c r="H9" s="17"/>
      <c r="I9" s="17"/>
      <c r="J9" s="17"/>
      <c r="K9" s="17"/>
      <c r="AI9">
        <v>7</v>
      </c>
      <c r="AJ9">
        <f t="shared" si="2"/>
        <v>0.52829219999999999</v>
      </c>
      <c r="AK9">
        <f t="shared" si="14"/>
        <v>3.8516688000000001</v>
      </c>
      <c r="AL9">
        <f t="shared" si="3"/>
        <v>0.65476999999999996</v>
      </c>
      <c r="AM9">
        <f t="shared" si="4"/>
        <v>4.7490800000000002</v>
      </c>
      <c r="AN9">
        <f t="shared" si="5"/>
        <v>0.40059000000000006</v>
      </c>
      <c r="AO9">
        <f t="shared" si="6"/>
        <v>2.9223600000000003</v>
      </c>
      <c r="AP9">
        <f t="shared" si="7"/>
        <v>0.41552</v>
      </c>
      <c r="AQ9">
        <f t="shared" si="8"/>
        <v>3.0480799999999997</v>
      </c>
      <c r="AR9">
        <f t="shared" si="9"/>
        <v>0.27397000000000005</v>
      </c>
      <c r="AS9">
        <f t="shared" si="10"/>
        <v>2.02888</v>
      </c>
      <c r="AU9" s="12">
        <f t="shared" si="11"/>
        <v>0.65476999999999996</v>
      </c>
      <c r="AV9" s="12">
        <f t="shared" si="1"/>
        <v>0.77476999999999996</v>
      </c>
      <c r="AW9">
        <f t="shared" si="12"/>
        <v>4.7490800000000002</v>
      </c>
      <c r="AX9">
        <f t="shared" si="13"/>
        <v>4.7490800000000002</v>
      </c>
      <c r="AY9">
        <v>7</v>
      </c>
    </row>
    <row r="10" spans="1:51">
      <c r="A10" s="12">
        <v>41.58</v>
      </c>
      <c r="B10" s="14">
        <v>14.98765008823529</v>
      </c>
      <c r="C10" s="14">
        <v>16.159335322954405</v>
      </c>
      <c r="D10" s="14">
        <v>0.37058823529411705</v>
      </c>
      <c r="E10" s="17">
        <f t="shared" si="0"/>
        <v>52.941176470588154</v>
      </c>
      <c r="F10" s="17"/>
      <c r="G10" s="17"/>
      <c r="H10" s="17"/>
      <c r="I10" s="17"/>
      <c r="J10" s="17"/>
      <c r="K10" s="17"/>
      <c r="AI10">
        <v>8</v>
      </c>
      <c r="AJ10">
        <f t="shared" si="2"/>
        <v>0.52097680000000002</v>
      </c>
      <c r="AK10">
        <f t="shared" si="14"/>
        <v>4.3726456000000002</v>
      </c>
      <c r="AL10">
        <f t="shared" si="3"/>
        <v>0.64688000000000001</v>
      </c>
      <c r="AM10">
        <f t="shared" si="4"/>
        <v>5.3959600000000005</v>
      </c>
      <c r="AN10">
        <f t="shared" si="5"/>
        <v>0.39495999999999998</v>
      </c>
      <c r="AO10">
        <f t="shared" si="6"/>
        <v>3.3173200000000005</v>
      </c>
      <c r="AP10">
        <f t="shared" si="7"/>
        <v>0.40888000000000002</v>
      </c>
      <c r="AQ10">
        <f t="shared" si="8"/>
        <v>3.4569599999999996</v>
      </c>
      <c r="AR10">
        <f t="shared" si="9"/>
        <v>0.26868000000000003</v>
      </c>
      <c r="AS10">
        <f t="shared" si="10"/>
        <v>2.2975599999999998</v>
      </c>
      <c r="AU10" s="12">
        <f t="shared" si="11"/>
        <v>0.64688000000000001</v>
      </c>
      <c r="AV10" s="12">
        <f t="shared" si="1"/>
        <v>0.76688000000000001</v>
      </c>
      <c r="AW10">
        <f t="shared" si="12"/>
        <v>5.3959600000000005</v>
      </c>
      <c r="AX10">
        <f t="shared" si="13"/>
        <v>5.3959600000000005</v>
      </c>
      <c r="AY10">
        <v>8</v>
      </c>
    </row>
    <row r="11" spans="1:51">
      <c r="A11" s="12">
        <v>44.24</v>
      </c>
      <c r="B11" s="14">
        <v>13.244078845238095</v>
      </c>
      <c r="C11" s="14">
        <v>9.2422979154814087</v>
      </c>
      <c r="D11" s="14">
        <v>-0.41666666666666669</v>
      </c>
      <c r="E11" s="17">
        <f t="shared" si="0"/>
        <v>-59.523809523809526</v>
      </c>
      <c r="F11" s="17"/>
      <c r="G11" s="17"/>
      <c r="H11" s="17"/>
      <c r="I11" s="17"/>
      <c r="J11" s="17"/>
      <c r="K11" s="17"/>
      <c r="AI11">
        <v>9</v>
      </c>
      <c r="AJ11">
        <f t="shared" si="2"/>
        <v>0.51366139999999993</v>
      </c>
      <c r="AK11">
        <f t="shared" si="14"/>
        <v>4.8863070000000004</v>
      </c>
      <c r="AL11">
        <f t="shared" si="3"/>
        <v>0.63899000000000006</v>
      </c>
      <c r="AM11">
        <f t="shared" si="4"/>
        <v>6.0349500000000003</v>
      </c>
      <c r="AN11">
        <f t="shared" si="5"/>
        <v>0.38933000000000001</v>
      </c>
      <c r="AO11">
        <f t="shared" si="6"/>
        <v>3.7066500000000007</v>
      </c>
      <c r="AP11">
        <f t="shared" si="7"/>
        <v>0.40223999999999999</v>
      </c>
      <c r="AQ11">
        <f t="shared" si="8"/>
        <v>3.8591999999999995</v>
      </c>
      <c r="AR11">
        <f t="shared" si="9"/>
        <v>0.26339000000000001</v>
      </c>
      <c r="AS11">
        <f t="shared" si="10"/>
        <v>2.5609500000000001</v>
      </c>
      <c r="AU11" s="12">
        <f t="shared" si="11"/>
        <v>0.63899000000000006</v>
      </c>
      <c r="AV11" s="12">
        <f t="shared" si="1"/>
        <v>0.75899000000000005</v>
      </c>
      <c r="AW11">
        <f t="shared" si="12"/>
        <v>6.0349500000000003</v>
      </c>
      <c r="AX11">
        <f t="shared" si="13"/>
        <v>6.0349500000000003</v>
      </c>
      <c r="AY11">
        <v>9</v>
      </c>
    </row>
    <row r="12" spans="1:51">
      <c r="A12" s="12">
        <v>51.03</v>
      </c>
      <c r="B12" s="14">
        <v>3.1237154035714281</v>
      </c>
      <c r="C12" s="14">
        <v>2.7908208017594505</v>
      </c>
      <c r="D12" s="14">
        <v>-1.2</v>
      </c>
      <c r="E12" s="17">
        <f t="shared" si="0"/>
        <v>-171.42857142857142</v>
      </c>
      <c r="F12" s="17"/>
      <c r="G12" s="17"/>
      <c r="H12" s="17"/>
      <c r="I12" s="17"/>
      <c r="J12" s="17"/>
      <c r="K12" s="17"/>
      <c r="AI12">
        <v>10</v>
      </c>
      <c r="AJ12">
        <f t="shared" si="2"/>
        <v>0.50634599999999996</v>
      </c>
      <c r="AK12">
        <f t="shared" si="14"/>
        <v>5.3926530000000001</v>
      </c>
      <c r="AL12">
        <f t="shared" si="3"/>
        <v>0.63109999999999999</v>
      </c>
      <c r="AM12">
        <f t="shared" si="4"/>
        <v>6.6660500000000003</v>
      </c>
      <c r="AN12">
        <f t="shared" si="5"/>
        <v>0.38369999999999999</v>
      </c>
      <c r="AO12">
        <f t="shared" si="6"/>
        <v>4.0903500000000008</v>
      </c>
      <c r="AP12">
        <f t="shared" si="7"/>
        <v>0.39560000000000001</v>
      </c>
      <c r="AQ12">
        <f t="shared" si="8"/>
        <v>4.2547999999999995</v>
      </c>
      <c r="AR12">
        <f t="shared" si="9"/>
        <v>0.2581</v>
      </c>
      <c r="AS12">
        <f t="shared" si="10"/>
        <v>2.8190499999999998</v>
      </c>
      <c r="AU12" s="12">
        <f t="shared" si="11"/>
        <v>0.63109999999999999</v>
      </c>
      <c r="AV12" s="12">
        <f t="shared" si="1"/>
        <v>0.75109999999999999</v>
      </c>
      <c r="AW12">
        <f t="shared" si="12"/>
        <v>6.6660500000000003</v>
      </c>
      <c r="AX12">
        <f t="shared" si="13"/>
        <v>6.6660500000000003</v>
      </c>
      <c r="AY12">
        <v>10</v>
      </c>
    </row>
    <row r="13" spans="1:51">
      <c r="A13" s="12">
        <v>51.870000000000005</v>
      </c>
      <c r="B13" s="14">
        <v>12.9247388</v>
      </c>
      <c r="C13" s="14">
        <v>12.101700875981305</v>
      </c>
      <c r="D13" s="14">
        <v>0.17499999999999999</v>
      </c>
      <c r="E13" s="17">
        <f t="shared" si="0"/>
        <v>24.999999999999996</v>
      </c>
      <c r="F13" s="17"/>
      <c r="G13" s="17"/>
      <c r="H13" s="17"/>
      <c r="I13" s="17"/>
      <c r="J13" s="17"/>
      <c r="K13" s="17"/>
      <c r="AI13">
        <v>11</v>
      </c>
      <c r="AJ13">
        <f t="shared" si="2"/>
        <v>0.49903059999999999</v>
      </c>
      <c r="AK13">
        <f t="shared" si="14"/>
        <v>5.8916836000000004</v>
      </c>
      <c r="AL13">
        <f t="shared" si="3"/>
        <v>0.62321000000000004</v>
      </c>
      <c r="AM13">
        <f t="shared" si="4"/>
        <v>7.2892600000000005</v>
      </c>
      <c r="AN13">
        <f t="shared" si="5"/>
        <v>0.37807000000000002</v>
      </c>
      <c r="AO13">
        <f t="shared" si="6"/>
        <v>4.4684200000000009</v>
      </c>
      <c r="AP13">
        <f t="shared" si="7"/>
        <v>0.38896000000000003</v>
      </c>
      <c r="AQ13">
        <f t="shared" si="8"/>
        <v>4.6437599999999994</v>
      </c>
      <c r="AR13">
        <f t="shared" si="9"/>
        <v>0.25280999999999998</v>
      </c>
      <c r="AS13">
        <f t="shared" si="10"/>
        <v>3.07186</v>
      </c>
      <c r="AU13" s="12">
        <f t="shared" si="11"/>
        <v>0.62321000000000004</v>
      </c>
      <c r="AV13" s="12">
        <f t="shared" si="1"/>
        <v>0.74321000000000004</v>
      </c>
      <c r="AW13">
        <f t="shared" si="12"/>
        <v>7.2892600000000005</v>
      </c>
      <c r="AX13">
        <f t="shared" si="13"/>
        <v>7.2892600000000005</v>
      </c>
      <c r="AY13">
        <v>11</v>
      </c>
    </row>
    <row r="14" spans="1:51">
      <c r="A14" s="12">
        <v>53.46</v>
      </c>
      <c r="B14" s="14">
        <v>36.255841294117651</v>
      </c>
      <c r="C14" s="14">
        <v>38.334375988699691</v>
      </c>
      <c r="D14" s="14">
        <v>2.8764705882352941</v>
      </c>
      <c r="E14" s="17">
        <f t="shared" si="0"/>
        <v>410.92436974789916</v>
      </c>
      <c r="F14" s="17"/>
      <c r="G14" s="17"/>
      <c r="H14" s="17"/>
      <c r="I14" s="17"/>
      <c r="J14" s="17"/>
      <c r="K14" s="17"/>
      <c r="AI14">
        <v>12</v>
      </c>
      <c r="AJ14">
        <f t="shared" si="2"/>
        <v>0.49171519999999996</v>
      </c>
      <c r="AK14">
        <f t="shared" si="14"/>
        <v>6.3833988000000002</v>
      </c>
      <c r="AL14">
        <f t="shared" si="3"/>
        <v>0.61532000000000009</v>
      </c>
      <c r="AM14">
        <f t="shared" si="4"/>
        <v>7.904580000000001</v>
      </c>
      <c r="AN14">
        <f t="shared" si="5"/>
        <v>0.37243999999999999</v>
      </c>
      <c r="AO14">
        <f t="shared" si="6"/>
        <v>4.8408600000000011</v>
      </c>
      <c r="AP14">
        <f t="shared" si="7"/>
        <v>0.38231999999999999</v>
      </c>
      <c r="AQ14">
        <f t="shared" si="8"/>
        <v>5.0260799999999994</v>
      </c>
      <c r="AR14">
        <f t="shared" si="9"/>
        <v>0.24751999999999999</v>
      </c>
      <c r="AS14">
        <f t="shared" si="10"/>
        <v>3.3193800000000002</v>
      </c>
      <c r="AU14" s="12">
        <f t="shared" si="11"/>
        <v>0.61532000000000009</v>
      </c>
      <c r="AV14" s="12">
        <f t="shared" si="1"/>
        <v>0.73532000000000008</v>
      </c>
      <c r="AW14">
        <f t="shared" si="12"/>
        <v>7.904580000000001</v>
      </c>
      <c r="AX14">
        <f t="shared" si="13"/>
        <v>7.904580000000001</v>
      </c>
      <c r="AY14">
        <v>12</v>
      </c>
    </row>
    <row r="15" spans="1:51">
      <c r="A15" s="12">
        <v>55.44</v>
      </c>
      <c r="B15" s="14">
        <v>29.940576319327747</v>
      </c>
      <c r="C15" s="14">
        <v>33.520503789525321</v>
      </c>
      <c r="D15" s="14">
        <v>2.4823529411764724</v>
      </c>
      <c r="E15" s="17">
        <f t="shared" si="0"/>
        <v>354.62184873949604</v>
      </c>
      <c r="F15" s="17"/>
      <c r="G15" s="17"/>
      <c r="H15" s="17"/>
      <c r="I15" s="17"/>
      <c r="J15" s="17"/>
      <c r="K15" s="17"/>
      <c r="AI15">
        <v>13</v>
      </c>
      <c r="AJ15">
        <f t="shared" si="2"/>
        <v>0.48439980000000005</v>
      </c>
      <c r="AK15">
        <f t="shared" si="14"/>
        <v>6.8677986000000004</v>
      </c>
      <c r="AL15">
        <f t="shared" si="3"/>
        <v>0.60743000000000003</v>
      </c>
      <c r="AM15">
        <f t="shared" si="4"/>
        <v>8.5120100000000019</v>
      </c>
      <c r="AN15">
        <f t="shared" si="5"/>
        <v>0.36681000000000002</v>
      </c>
      <c r="AO15">
        <f t="shared" si="6"/>
        <v>5.2076700000000011</v>
      </c>
      <c r="AP15">
        <f t="shared" si="7"/>
        <v>0.37568000000000001</v>
      </c>
      <c r="AQ15">
        <f t="shared" si="8"/>
        <v>5.4017599999999995</v>
      </c>
      <c r="AR15">
        <f t="shared" si="9"/>
        <v>0.24223000000000003</v>
      </c>
      <c r="AS15">
        <f t="shared" si="10"/>
        <v>3.5616100000000004</v>
      </c>
      <c r="AU15" s="12">
        <f t="shared" si="11"/>
        <v>0.60743000000000003</v>
      </c>
      <c r="AV15" s="12">
        <f t="shared" si="1"/>
        <v>0.72743000000000002</v>
      </c>
      <c r="AW15">
        <f t="shared" si="12"/>
        <v>8.5120100000000019</v>
      </c>
      <c r="AX15">
        <f t="shared" si="13"/>
        <v>8.5120100000000019</v>
      </c>
      <c r="AY15">
        <v>13</v>
      </c>
    </row>
    <row r="16" spans="1:51">
      <c r="A16" s="12">
        <v>59.400000000000006</v>
      </c>
      <c r="B16" s="14">
        <v>8.3132469999999987</v>
      </c>
      <c r="C16" s="14">
        <v>7.6876350972784389</v>
      </c>
      <c r="D16" s="14">
        <v>-1.1666666666666667</v>
      </c>
      <c r="E16" s="17">
        <f t="shared" si="0"/>
        <v>-166.66666666666669</v>
      </c>
      <c r="F16" s="17"/>
      <c r="G16" s="17"/>
      <c r="H16" s="17"/>
      <c r="I16" s="17"/>
      <c r="J16" s="17"/>
      <c r="K16" s="17"/>
      <c r="AI16">
        <v>14</v>
      </c>
      <c r="AJ16">
        <f t="shared" si="2"/>
        <v>0.47708439999999996</v>
      </c>
      <c r="AK16">
        <f t="shared" si="14"/>
        <v>7.3448830000000003</v>
      </c>
      <c r="AL16">
        <f t="shared" si="3"/>
        <v>0.59953999999999996</v>
      </c>
      <c r="AM16">
        <f t="shared" si="4"/>
        <v>9.1115500000000011</v>
      </c>
      <c r="AN16">
        <f t="shared" si="5"/>
        <v>0.36118</v>
      </c>
      <c r="AO16">
        <f t="shared" si="6"/>
        <v>5.5688500000000012</v>
      </c>
      <c r="AP16">
        <f t="shared" si="7"/>
        <v>0.36904000000000003</v>
      </c>
      <c r="AQ16">
        <f t="shared" si="8"/>
        <v>5.7707999999999995</v>
      </c>
      <c r="AR16">
        <f t="shared" si="9"/>
        <v>0.23693999999999998</v>
      </c>
      <c r="AS16">
        <f t="shared" si="10"/>
        <v>3.7985500000000005</v>
      </c>
      <c r="AU16" s="12">
        <f t="shared" si="11"/>
        <v>0.59953999999999996</v>
      </c>
      <c r="AV16" s="12">
        <f t="shared" si="1"/>
        <v>0.71953999999999996</v>
      </c>
      <c r="AW16">
        <f t="shared" si="12"/>
        <v>9.1115500000000011</v>
      </c>
      <c r="AX16">
        <f>AU16+AX15</f>
        <v>9.1115500000000011</v>
      </c>
      <c r="AY16">
        <v>14</v>
      </c>
    </row>
    <row r="17" spans="1:57">
      <c r="A17" s="12">
        <v>60.480000000000004</v>
      </c>
      <c r="B17" s="14">
        <v>16.241271474358975</v>
      </c>
      <c r="C17" s="14">
        <v>16.367147400245816</v>
      </c>
      <c r="D17" s="14">
        <v>0.95</v>
      </c>
      <c r="E17" s="17">
        <f t="shared" si="0"/>
        <v>135.71428571428569</v>
      </c>
      <c r="F17" s="17"/>
      <c r="G17" s="17"/>
      <c r="H17" s="17"/>
      <c r="I17" s="17"/>
      <c r="J17" s="17"/>
      <c r="K17" s="17"/>
      <c r="AI17">
        <v>15</v>
      </c>
      <c r="AJ17">
        <f t="shared" si="2"/>
        <v>0.46976899999999999</v>
      </c>
      <c r="AK17">
        <f t="shared" si="14"/>
        <v>7.8146520000000006</v>
      </c>
      <c r="AL17">
        <f t="shared" si="3"/>
        <v>0.59165000000000001</v>
      </c>
      <c r="AM17">
        <f t="shared" si="4"/>
        <v>9.7032000000000007</v>
      </c>
      <c r="AN17">
        <f t="shared" si="5"/>
        <v>0.35555000000000003</v>
      </c>
      <c r="AO17">
        <f t="shared" si="6"/>
        <v>5.9244000000000012</v>
      </c>
      <c r="AP17">
        <f t="shared" si="7"/>
        <v>0.3624</v>
      </c>
      <c r="AQ17">
        <f t="shared" si="8"/>
        <v>6.1331999999999995</v>
      </c>
      <c r="AR17">
        <f t="shared" si="9"/>
        <v>0.23164999999999999</v>
      </c>
      <c r="AS17">
        <f t="shared" si="10"/>
        <v>4.0302000000000007</v>
      </c>
      <c r="AU17" s="12">
        <f t="shared" si="11"/>
        <v>0.59165000000000001</v>
      </c>
      <c r="AV17" s="12">
        <f t="shared" si="1"/>
        <v>0.71165</v>
      </c>
      <c r="AW17">
        <f t="shared" si="12"/>
        <v>9.7032000000000007</v>
      </c>
      <c r="AX17">
        <f t="shared" si="13"/>
        <v>9.7032000000000007</v>
      </c>
      <c r="AY17">
        <v>15</v>
      </c>
      <c r="BA17" s="16" t="s">
        <v>582</v>
      </c>
      <c r="BB17" s="12"/>
      <c r="BC17" s="12"/>
      <c r="BD17" s="12"/>
      <c r="BE17" s="12"/>
    </row>
    <row r="18" spans="1:57">
      <c r="A18" s="12">
        <v>68.040000000000006</v>
      </c>
      <c r="B18" s="14">
        <v>13.713364617857138</v>
      </c>
      <c r="C18" s="14">
        <v>12.906100854140345</v>
      </c>
      <c r="D18" s="14">
        <v>0.29999999999999927</v>
      </c>
      <c r="E18" s="17">
        <f t="shared" si="0"/>
        <v>42.857142857142755</v>
      </c>
      <c r="F18" s="17"/>
      <c r="G18" s="17"/>
      <c r="H18" s="17"/>
      <c r="I18" s="17"/>
      <c r="J18" s="17"/>
      <c r="K18" s="17"/>
      <c r="AI18">
        <v>16</v>
      </c>
      <c r="AJ18">
        <f t="shared" si="2"/>
        <v>0.46245360000000002</v>
      </c>
      <c r="AK18">
        <f t="shared" si="14"/>
        <v>8.2771056000000005</v>
      </c>
      <c r="AL18">
        <f t="shared" si="3"/>
        <v>0.58375999999999995</v>
      </c>
      <c r="AM18">
        <f t="shared" si="4"/>
        <v>10.286960000000001</v>
      </c>
      <c r="AN18">
        <f t="shared" si="5"/>
        <v>0.34992000000000001</v>
      </c>
      <c r="AO18">
        <f t="shared" si="6"/>
        <v>6.2743200000000012</v>
      </c>
      <c r="AP18">
        <f t="shared" si="7"/>
        <v>0.35575999999999997</v>
      </c>
      <c r="AQ18">
        <f t="shared" si="8"/>
        <v>6.4889599999999996</v>
      </c>
      <c r="AR18">
        <f t="shared" si="9"/>
        <v>0.22636000000000001</v>
      </c>
      <c r="AS18">
        <f t="shared" si="10"/>
        <v>4.2565600000000003</v>
      </c>
      <c r="AU18" s="12">
        <f t="shared" si="11"/>
        <v>0.58375999999999995</v>
      </c>
      <c r="AV18" s="12">
        <f t="shared" si="1"/>
        <v>0.70375999999999994</v>
      </c>
      <c r="AW18">
        <f t="shared" si="12"/>
        <v>10.286960000000001</v>
      </c>
      <c r="AX18">
        <f t="shared" si="13"/>
        <v>10.286960000000001</v>
      </c>
      <c r="AY18">
        <v>16</v>
      </c>
      <c r="BA18" s="12" t="s">
        <v>583</v>
      </c>
      <c r="BB18" s="12" t="s">
        <v>128</v>
      </c>
      <c r="BC18" s="12" t="s">
        <v>130</v>
      </c>
      <c r="BD18" s="12" t="s">
        <v>147</v>
      </c>
      <c r="BE18" s="12" t="s">
        <v>584</v>
      </c>
    </row>
    <row r="19" spans="1:57">
      <c r="A19" s="12">
        <v>68.150000000000006</v>
      </c>
      <c r="B19" s="14">
        <v>26.250158571843251</v>
      </c>
      <c r="C19" s="14">
        <v>26.250158571843251</v>
      </c>
      <c r="D19" s="14">
        <v>3.8566037735849052</v>
      </c>
      <c r="E19" s="17">
        <f t="shared" si="0"/>
        <v>550.94339622641508</v>
      </c>
      <c r="F19" s="17"/>
      <c r="G19" s="17"/>
      <c r="H19" s="17"/>
      <c r="I19" s="17"/>
      <c r="J19" s="17"/>
      <c r="K19" s="17"/>
      <c r="AI19">
        <v>17</v>
      </c>
      <c r="AJ19">
        <f t="shared" si="2"/>
        <v>0.45513819999999999</v>
      </c>
      <c r="AK19">
        <f t="shared" si="14"/>
        <v>8.7322438000000009</v>
      </c>
      <c r="AL19">
        <f t="shared" si="3"/>
        <v>0.57586999999999999</v>
      </c>
      <c r="AM19">
        <f t="shared" si="4"/>
        <v>10.862830000000001</v>
      </c>
      <c r="AN19">
        <f t="shared" si="5"/>
        <v>0.34429000000000004</v>
      </c>
      <c r="AO19">
        <f t="shared" si="6"/>
        <v>6.6186100000000012</v>
      </c>
      <c r="AP19">
        <f t="shared" si="7"/>
        <v>0.34911999999999999</v>
      </c>
      <c r="AQ19">
        <f t="shared" si="8"/>
        <v>6.8380799999999997</v>
      </c>
      <c r="AR19">
        <f t="shared" si="9"/>
        <v>0.22106999999999999</v>
      </c>
      <c r="AS19">
        <f t="shared" si="10"/>
        <v>4.4776300000000004</v>
      </c>
      <c r="AU19" s="12">
        <f t="shared" si="11"/>
        <v>0.57586999999999999</v>
      </c>
      <c r="AV19" s="12">
        <f t="shared" si="1"/>
        <v>0.69586999999999999</v>
      </c>
      <c r="AW19">
        <f t="shared" si="12"/>
        <v>10.862830000000001</v>
      </c>
      <c r="AX19">
        <f t="shared" si="13"/>
        <v>10.862830000000001</v>
      </c>
      <c r="AY19">
        <v>17</v>
      </c>
      <c r="AZ19">
        <v>100</v>
      </c>
      <c r="BA19" s="12">
        <v>40</v>
      </c>
      <c r="BB19" s="12">
        <v>-3.8999999999999998E-3</v>
      </c>
      <c r="BC19" s="12">
        <v>3.5999999999999997E-2</v>
      </c>
      <c r="BD19" s="12">
        <v>31.59</v>
      </c>
      <c r="BE19" s="12">
        <f>0.001*BA19-0.004</f>
        <v>3.6000000000000004E-2</v>
      </c>
    </row>
    <row r="20" spans="1:57">
      <c r="A20" s="12">
        <v>68.44</v>
      </c>
      <c r="B20" s="14">
        <v>12.871141254437866</v>
      </c>
      <c r="C20" s="14">
        <v>12.871141254437866</v>
      </c>
      <c r="D20" s="14">
        <v>0.32307692307692343</v>
      </c>
      <c r="E20" s="17">
        <f t="shared" si="0"/>
        <v>46.153846153846203</v>
      </c>
      <c r="F20" s="17"/>
      <c r="G20" s="17"/>
      <c r="H20" s="17"/>
      <c r="I20" s="17"/>
      <c r="J20" s="17"/>
      <c r="K20" s="17"/>
      <c r="AE20" t="s">
        <v>230</v>
      </c>
      <c r="AF20" s="12" t="s">
        <v>128</v>
      </c>
      <c r="AG20" s="12" t="s">
        <v>130</v>
      </c>
      <c r="AI20">
        <v>18</v>
      </c>
      <c r="AJ20">
        <f t="shared" si="2"/>
        <v>0.44782280000000002</v>
      </c>
      <c r="AK20">
        <f t="shared" si="14"/>
        <v>9.1800666000000017</v>
      </c>
      <c r="AL20">
        <f t="shared" si="3"/>
        <v>0.56798000000000004</v>
      </c>
      <c r="AM20">
        <f t="shared" si="4"/>
        <v>11.430810000000001</v>
      </c>
      <c r="AN20">
        <f t="shared" si="5"/>
        <v>0.33865999999999996</v>
      </c>
      <c r="AO20">
        <f t="shared" si="6"/>
        <v>6.9572700000000012</v>
      </c>
      <c r="AP20">
        <f t="shared" si="7"/>
        <v>0.34248000000000001</v>
      </c>
      <c r="AQ20">
        <f t="shared" si="8"/>
        <v>7.1805599999999998</v>
      </c>
      <c r="AR20">
        <f t="shared" si="9"/>
        <v>0.21578</v>
      </c>
      <c r="AS20">
        <f t="shared" si="10"/>
        <v>4.6934100000000001</v>
      </c>
      <c r="AU20" s="12">
        <f t="shared" si="11"/>
        <v>0.56798000000000004</v>
      </c>
      <c r="AV20" s="12">
        <f t="shared" si="1"/>
        <v>0.68798000000000004</v>
      </c>
      <c r="AW20">
        <f t="shared" si="12"/>
        <v>11.430810000000001</v>
      </c>
      <c r="AX20">
        <f t="shared" si="13"/>
        <v>11.430810000000001</v>
      </c>
      <c r="AY20">
        <v>18</v>
      </c>
      <c r="AZ20">
        <v>200</v>
      </c>
      <c r="BA20" s="12">
        <v>80</v>
      </c>
      <c r="BB20" s="12">
        <v>-3.8999999999999998E-3</v>
      </c>
      <c r="BC20" s="12">
        <v>7.5999999999999998E-2</v>
      </c>
      <c r="BD20" s="12">
        <v>31.59</v>
      </c>
      <c r="BE20" s="12">
        <f t="shared" ref="BE20:BE21" si="15">0.001*BA20-0.004</f>
        <v>7.5999999999999998E-2</v>
      </c>
    </row>
    <row r="21" spans="1:57">
      <c r="A21" s="12">
        <v>69.160000000000011</v>
      </c>
      <c r="B21" s="14">
        <v>13.188993250000005</v>
      </c>
      <c r="C21" s="14">
        <v>12.508935627100357</v>
      </c>
      <c r="D21" s="14">
        <v>0.21000000000000049</v>
      </c>
      <c r="E21" s="17">
        <f t="shared" si="0"/>
        <v>30.000000000000071</v>
      </c>
      <c r="F21" s="17"/>
      <c r="G21" s="17"/>
      <c r="H21" s="17"/>
      <c r="I21" s="17"/>
      <c r="J21" s="17"/>
      <c r="K21" s="17"/>
      <c r="AE21" t="s">
        <v>581</v>
      </c>
      <c r="AF21" s="33">
        <v>-3.8999999999999998E-3</v>
      </c>
      <c r="AG21" s="33">
        <v>0.70609999999999995</v>
      </c>
      <c r="AI21">
        <v>19</v>
      </c>
      <c r="AJ21">
        <f t="shared" si="2"/>
        <v>0.44050739999999994</v>
      </c>
      <c r="AK21">
        <f t="shared" si="14"/>
        <v>9.6205740000000013</v>
      </c>
      <c r="AL21">
        <f t="shared" si="3"/>
        <v>0.56008999999999998</v>
      </c>
      <c r="AM21">
        <f t="shared" si="4"/>
        <v>11.990900000000002</v>
      </c>
      <c r="AN21">
        <f t="shared" si="5"/>
        <v>0.33302999999999999</v>
      </c>
      <c r="AO21">
        <f t="shared" si="6"/>
        <v>7.2903000000000011</v>
      </c>
      <c r="AP21">
        <f t="shared" si="7"/>
        <v>0.33584000000000003</v>
      </c>
      <c r="AQ21">
        <f t="shared" si="8"/>
        <v>7.5164</v>
      </c>
      <c r="AR21">
        <f t="shared" si="9"/>
        <v>0.21049000000000001</v>
      </c>
      <c r="AS21">
        <f t="shared" si="10"/>
        <v>4.9039000000000001</v>
      </c>
      <c r="AU21" s="12">
        <f t="shared" si="11"/>
        <v>0.56008999999999998</v>
      </c>
      <c r="AV21" s="12">
        <f t="shared" si="1"/>
        <v>0.68009000000000008</v>
      </c>
      <c r="AW21">
        <f t="shared" si="12"/>
        <v>11.990900000000002</v>
      </c>
      <c r="AX21">
        <f t="shared" si="13"/>
        <v>11.990900000000002</v>
      </c>
      <c r="AY21">
        <v>19</v>
      </c>
      <c r="AZ21">
        <v>300</v>
      </c>
      <c r="BA21" s="12">
        <v>120</v>
      </c>
      <c r="BB21" s="12">
        <v>-3.8999999999999998E-3</v>
      </c>
      <c r="BC21" s="12">
        <v>0.11600000000000001</v>
      </c>
      <c r="BD21" s="12">
        <v>31.59</v>
      </c>
      <c r="BE21" s="12">
        <f t="shared" si="15"/>
        <v>0.11599999999999999</v>
      </c>
    </row>
    <row r="22" spans="1:57">
      <c r="A22" s="12">
        <v>69.3</v>
      </c>
      <c r="B22" s="14">
        <v>14.347965499999999</v>
      </c>
      <c r="C22" s="14">
        <v>15.744022633450507</v>
      </c>
      <c r="D22" s="14">
        <v>0.2764705882352943</v>
      </c>
      <c r="E22" s="17">
        <f t="shared" si="0"/>
        <v>39.495798319327754</v>
      </c>
      <c r="F22" s="17"/>
      <c r="G22" s="17"/>
      <c r="H22" s="17"/>
      <c r="I22" s="17"/>
      <c r="J22" s="17"/>
      <c r="K22" s="17"/>
      <c r="AE22" t="s">
        <v>208</v>
      </c>
      <c r="AF22" s="33">
        <v>-2.8E-3</v>
      </c>
      <c r="AG22" s="33">
        <v>0.43719999999999998</v>
      </c>
      <c r="AI22">
        <v>20</v>
      </c>
      <c r="AJ22">
        <f t="shared" si="2"/>
        <v>0.43319200000000002</v>
      </c>
      <c r="AK22">
        <f t="shared" si="14"/>
        <v>10.053766000000001</v>
      </c>
      <c r="AL22">
        <f t="shared" si="3"/>
        <v>0.55220000000000002</v>
      </c>
      <c r="AM22">
        <f t="shared" si="4"/>
        <v>12.543100000000003</v>
      </c>
      <c r="AN22">
        <f t="shared" si="5"/>
        <v>0.32739999999999997</v>
      </c>
      <c r="AO22">
        <f t="shared" si="6"/>
        <v>7.617700000000001</v>
      </c>
      <c r="AP22">
        <f t="shared" si="7"/>
        <v>0.32920000000000005</v>
      </c>
      <c r="AQ22">
        <f t="shared" si="8"/>
        <v>7.8456000000000001</v>
      </c>
      <c r="AR22">
        <f t="shared" si="9"/>
        <v>0.20519999999999999</v>
      </c>
      <c r="AS22">
        <f t="shared" si="10"/>
        <v>5.1090999999999998</v>
      </c>
      <c r="AU22" s="12">
        <f t="shared" si="11"/>
        <v>0.55220000000000002</v>
      </c>
      <c r="AV22" s="12">
        <f t="shared" si="1"/>
        <v>0.67220000000000002</v>
      </c>
      <c r="AW22">
        <f t="shared" si="12"/>
        <v>12.543100000000003</v>
      </c>
      <c r="AX22">
        <f t="shared" si="13"/>
        <v>12.543100000000003</v>
      </c>
      <c r="AY22">
        <v>20</v>
      </c>
    </row>
    <row r="23" spans="1:57">
      <c r="A23" s="12">
        <v>83.16</v>
      </c>
      <c r="B23" s="14">
        <v>3.41</v>
      </c>
      <c r="C23" s="14">
        <v>3.5284125230306707</v>
      </c>
      <c r="D23" s="14">
        <v>-1.2823529411764714</v>
      </c>
      <c r="E23" s="17">
        <f t="shared" si="0"/>
        <v>-183.19327731092446</v>
      </c>
      <c r="F23" s="17"/>
      <c r="G23" s="17"/>
      <c r="H23" s="17"/>
      <c r="I23" s="17"/>
      <c r="J23" s="17"/>
      <c r="K23" s="17"/>
      <c r="AE23" t="s">
        <v>210</v>
      </c>
      <c r="AF23" s="33">
        <v>-3.3E-3</v>
      </c>
      <c r="AG23" s="33">
        <v>0.4587</v>
      </c>
      <c r="AI23">
        <v>21</v>
      </c>
      <c r="AJ23">
        <f t="shared" si="2"/>
        <v>0.42587659999999999</v>
      </c>
      <c r="AK23">
        <f t="shared" si="14"/>
        <v>10.479642600000002</v>
      </c>
      <c r="AL23">
        <f t="shared" si="3"/>
        <v>0.54430999999999996</v>
      </c>
      <c r="AM23">
        <f t="shared" si="4"/>
        <v>13.087410000000002</v>
      </c>
      <c r="AN23">
        <f t="shared" si="5"/>
        <v>0.32177</v>
      </c>
      <c r="AO23">
        <f t="shared" si="6"/>
        <v>7.9394700000000009</v>
      </c>
      <c r="AP23">
        <f t="shared" si="7"/>
        <v>0.32256000000000001</v>
      </c>
      <c r="AQ23">
        <f t="shared" si="8"/>
        <v>8.1681600000000003</v>
      </c>
      <c r="AR23">
        <f t="shared" si="9"/>
        <v>0.19991</v>
      </c>
      <c r="AS23">
        <f t="shared" si="10"/>
        <v>5.3090099999999998</v>
      </c>
      <c r="AU23" s="12">
        <f t="shared" si="11"/>
        <v>0.54430999999999996</v>
      </c>
      <c r="AV23" s="12">
        <f t="shared" si="1"/>
        <v>0.66430999999999996</v>
      </c>
      <c r="AW23">
        <f t="shared" si="12"/>
        <v>13.087410000000002</v>
      </c>
      <c r="AX23">
        <f t="shared" si="13"/>
        <v>13.087410000000002</v>
      </c>
      <c r="AY23">
        <v>21</v>
      </c>
    </row>
    <row r="24" spans="1:57">
      <c r="A24" s="12">
        <v>88.48</v>
      </c>
      <c r="B24" s="14">
        <v>3.9535195952380948</v>
      </c>
      <c r="C24" s="14">
        <v>2.787747542405667</v>
      </c>
      <c r="D24" s="14">
        <v>-2.9833333333333334</v>
      </c>
      <c r="E24" s="17">
        <f t="shared" si="0"/>
        <v>-426.19047619047615</v>
      </c>
      <c r="F24" s="17"/>
      <c r="G24" s="17"/>
      <c r="H24" s="17"/>
      <c r="I24" s="17"/>
      <c r="J24" s="17"/>
      <c r="K24" s="17"/>
      <c r="AE24" t="s">
        <v>212</v>
      </c>
      <c r="AF24" s="33">
        <v>-2.5999999999999999E-3</v>
      </c>
      <c r="AG24" s="33">
        <v>0.30840000000000001</v>
      </c>
      <c r="AI24">
        <v>22</v>
      </c>
      <c r="AJ24">
        <f t="shared" si="2"/>
        <v>0.41856119999999997</v>
      </c>
      <c r="AK24">
        <f t="shared" si="14"/>
        <v>10.898203800000001</v>
      </c>
      <c r="AL24">
        <f t="shared" si="3"/>
        <v>0.53642000000000012</v>
      </c>
      <c r="AM24">
        <f t="shared" si="4"/>
        <v>13.623830000000002</v>
      </c>
      <c r="AN24">
        <f t="shared" si="5"/>
        <v>0.31613999999999998</v>
      </c>
      <c r="AO24">
        <f t="shared" si="6"/>
        <v>8.2556100000000008</v>
      </c>
      <c r="AP24">
        <f t="shared" si="7"/>
        <v>0.31592000000000003</v>
      </c>
      <c r="AQ24">
        <f t="shared" si="8"/>
        <v>8.4840800000000005</v>
      </c>
      <c r="AR24">
        <f t="shared" si="9"/>
        <v>0.19462000000000002</v>
      </c>
      <c r="AS24">
        <f t="shared" si="10"/>
        <v>5.5036299999999994</v>
      </c>
      <c r="AU24" s="12">
        <f t="shared" si="11"/>
        <v>0.53642000000000012</v>
      </c>
      <c r="AV24" s="12">
        <f t="shared" si="1"/>
        <v>0.65642000000000011</v>
      </c>
      <c r="AW24">
        <f t="shared" si="12"/>
        <v>13.623830000000002</v>
      </c>
      <c r="AX24">
        <f t="shared" si="13"/>
        <v>13.623830000000002</v>
      </c>
      <c r="AY24">
        <v>22</v>
      </c>
    </row>
    <row r="25" spans="1:57">
      <c r="A25" s="12">
        <v>97.02</v>
      </c>
      <c r="B25" s="14">
        <v>6.405515764705898</v>
      </c>
      <c r="C25" s="14">
        <v>7.0996143435702166</v>
      </c>
      <c r="D25" s="14">
        <v>-0.86470588235293899</v>
      </c>
      <c r="E25" s="17">
        <f t="shared" si="0"/>
        <v>-123.52941176470557</v>
      </c>
      <c r="F25" s="17"/>
      <c r="G25" s="17"/>
      <c r="H25" s="17"/>
      <c r="I25" s="17"/>
      <c r="J25" s="17"/>
      <c r="K25" s="17"/>
      <c r="AI25">
        <v>23</v>
      </c>
      <c r="AJ25">
        <f t="shared" si="2"/>
        <v>0.41124580000000005</v>
      </c>
      <c r="AK25">
        <f t="shared" si="14"/>
        <v>11.309449600000001</v>
      </c>
      <c r="AL25">
        <f t="shared" si="3"/>
        <v>0.52852999999999994</v>
      </c>
      <c r="AM25">
        <f t="shared" si="4"/>
        <v>14.152360000000002</v>
      </c>
      <c r="AN25">
        <f t="shared" si="5"/>
        <v>0.31051000000000001</v>
      </c>
      <c r="AO25">
        <f t="shared" si="6"/>
        <v>8.5661200000000015</v>
      </c>
      <c r="AP25">
        <f t="shared" si="7"/>
        <v>0.30928</v>
      </c>
      <c r="AQ25">
        <f t="shared" si="8"/>
        <v>8.7933599999999998</v>
      </c>
      <c r="AR25">
        <f t="shared" si="9"/>
        <v>0.18932999999999997</v>
      </c>
      <c r="AS25">
        <f t="shared" si="10"/>
        <v>5.6929599999999994</v>
      </c>
      <c r="AU25" s="12">
        <f t="shared" si="11"/>
        <v>0.52852999999999994</v>
      </c>
      <c r="AV25" s="12">
        <f t="shared" si="1"/>
        <v>0.64852999999999994</v>
      </c>
      <c r="AW25">
        <f t="shared" si="12"/>
        <v>14.152360000000002</v>
      </c>
      <c r="AX25">
        <f t="shared" si="13"/>
        <v>14.152360000000002</v>
      </c>
      <c r="AY25">
        <v>23</v>
      </c>
    </row>
    <row r="26" spans="1:57">
      <c r="A26" s="12">
        <v>102.06</v>
      </c>
      <c r="B26" s="14">
        <v>4.027962975000003</v>
      </c>
      <c r="C26" s="14">
        <v>3.5165826735723171</v>
      </c>
      <c r="D26" s="14">
        <v>-2.0999999999999992</v>
      </c>
      <c r="E26" s="17">
        <f t="shared" si="0"/>
        <v>-299.99999999999989</v>
      </c>
      <c r="F26" s="17"/>
      <c r="G26" s="17"/>
      <c r="H26" s="17"/>
      <c r="I26" s="17"/>
      <c r="J26" s="17"/>
      <c r="K26" s="17"/>
      <c r="AI26">
        <v>24</v>
      </c>
      <c r="AJ26">
        <f t="shared" si="2"/>
        <v>0.40393039999999997</v>
      </c>
      <c r="AK26">
        <f t="shared" si="14"/>
        <v>11.713380000000001</v>
      </c>
      <c r="AL26">
        <f t="shared" si="3"/>
        <v>0.52063999999999999</v>
      </c>
      <c r="AM26">
        <f t="shared" si="4"/>
        <v>14.673000000000002</v>
      </c>
      <c r="AN26">
        <f t="shared" si="5"/>
        <v>0.30487999999999998</v>
      </c>
      <c r="AO26">
        <f t="shared" si="6"/>
        <v>8.8710000000000022</v>
      </c>
      <c r="AP26">
        <f t="shared" si="7"/>
        <v>0.30263999999999996</v>
      </c>
      <c r="AQ26">
        <f t="shared" si="8"/>
        <v>9.0960000000000001</v>
      </c>
      <c r="AR26">
        <f t="shared" si="9"/>
        <v>0.18403999999999998</v>
      </c>
      <c r="AS26">
        <f t="shared" si="10"/>
        <v>5.8769999999999989</v>
      </c>
      <c r="AU26" s="12">
        <f t="shared" si="11"/>
        <v>0.52063999999999999</v>
      </c>
      <c r="AV26" s="12">
        <f t="shared" si="1"/>
        <v>0.64063999999999999</v>
      </c>
      <c r="AW26">
        <f t="shared" si="12"/>
        <v>14.673000000000002</v>
      </c>
      <c r="AX26">
        <f t="shared" si="13"/>
        <v>14.673000000000002</v>
      </c>
      <c r="AY26">
        <v>24</v>
      </c>
    </row>
    <row r="27" spans="1:57">
      <c r="A27" s="12">
        <v>103.4</v>
      </c>
      <c r="B27" s="14">
        <v>17.120441509433959</v>
      </c>
      <c r="C27" s="14">
        <v>17.120441509433959</v>
      </c>
      <c r="D27" s="14">
        <v>1.6301886792452827</v>
      </c>
      <c r="E27" s="17">
        <f t="shared" si="0"/>
        <v>232.88409703504038</v>
      </c>
      <c r="F27" s="17"/>
      <c r="G27" s="17"/>
      <c r="H27" s="17"/>
      <c r="I27" s="17"/>
      <c r="J27" s="17"/>
      <c r="K27" s="17"/>
      <c r="AI27">
        <v>25</v>
      </c>
      <c r="AJ27">
        <f t="shared" si="2"/>
        <v>0.396615</v>
      </c>
      <c r="AK27">
        <f t="shared" si="14"/>
        <v>12.109995000000001</v>
      </c>
      <c r="AL27">
        <f t="shared" si="3"/>
        <v>0.51275000000000004</v>
      </c>
      <c r="AM27">
        <f t="shared" si="4"/>
        <v>15.185750000000002</v>
      </c>
      <c r="AN27">
        <f t="shared" si="5"/>
        <v>0.29925000000000002</v>
      </c>
      <c r="AO27">
        <f t="shared" si="6"/>
        <v>9.1702500000000029</v>
      </c>
      <c r="AP27">
        <f t="shared" si="7"/>
        <v>0.29599999999999999</v>
      </c>
      <c r="AQ27">
        <f t="shared" si="8"/>
        <v>9.3919999999999995</v>
      </c>
      <c r="AR27">
        <f t="shared" si="9"/>
        <v>0.17874999999999999</v>
      </c>
      <c r="AS27">
        <f t="shared" si="10"/>
        <v>6.0557499999999989</v>
      </c>
      <c r="AU27" s="12">
        <f t="shared" si="11"/>
        <v>0.51275000000000004</v>
      </c>
      <c r="AV27" s="12">
        <f t="shared" si="1"/>
        <v>0.63275000000000003</v>
      </c>
      <c r="AW27">
        <f t="shared" si="12"/>
        <v>15.185750000000002</v>
      </c>
      <c r="AX27">
        <f t="shared" si="13"/>
        <v>15.185750000000002</v>
      </c>
      <c r="AY27">
        <v>25</v>
      </c>
    </row>
    <row r="28" spans="1:57">
      <c r="A28" s="12">
        <v>103.74000000000001</v>
      </c>
      <c r="B28" s="14">
        <v>2.6229398499999985</v>
      </c>
      <c r="C28" s="14">
        <v>2.3860593696160173</v>
      </c>
      <c r="D28" s="14">
        <v>-2.5200000000000005</v>
      </c>
      <c r="E28" s="17">
        <f t="shared" si="0"/>
        <v>-360.00000000000006</v>
      </c>
      <c r="F28" s="17"/>
      <c r="G28" s="17"/>
      <c r="H28" s="17"/>
      <c r="I28" s="17"/>
      <c r="J28" s="17"/>
      <c r="K28" s="17"/>
      <c r="AI28">
        <v>26</v>
      </c>
      <c r="AJ28">
        <f t="shared" si="2"/>
        <v>0.38929960000000002</v>
      </c>
      <c r="AK28">
        <f t="shared" si="14"/>
        <v>12.499294600000001</v>
      </c>
      <c r="AL28">
        <f t="shared" si="3"/>
        <v>0.50485999999999998</v>
      </c>
      <c r="AM28">
        <f t="shared" si="4"/>
        <v>15.690610000000003</v>
      </c>
      <c r="AN28">
        <f t="shared" si="5"/>
        <v>0.29361999999999999</v>
      </c>
      <c r="AO28">
        <f t="shared" si="6"/>
        <v>9.4638700000000036</v>
      </c>
      <c r="AP28">
        <f t="shared" si="7"/>
        <v>0.28936000000000001</v>
      </c>
      <c r="AQ28">
        <f t="shared" si="8"/>
        <v>9.6813599999999997</v>
      </c>
      <c r="AR28">
        <f t="shared" si="9"/>
        <v>0.17346</v>
      </c>
      <c r="AS28">
        <f t="shared" si="10"/>
        <v>6.2292099999999992</v>
      </c>
      <c r="AU28" s="12">
        <f t="shared" si="11"/>
        <v>0.50485999999999998</v>
      </c>
      <c r="AV28" s="12">
        <f t="shared" si="1"/>
        <v>0.62485999999999997</v>
      </c>
      <c r="AW28">
        <f t="shared" si="12"/>
        <v>15.690610000000003</v>
      </c>
      <c r="AX28">
        <f t="shared" si="13"/>
        <v>15.690610000000003</v>
      </c>
      <c r="AY28">
        <v>26</v>
      </c>
    </row>
    <row r="29" spans="1:57">
      <c r="A29" s="12">
        <v>103.83999999999999</v>
      </c>
      <c r="B29" s="14">
        <v>13.000901919871797</v>
      </c>
      <c r="C29" s="14">
        <v>13.000901919871797</v>
      </c>
      <c r="D29" s="14">
        <v>0.40192307692307705</v>
      </c>
      <c r="E29" s="17">
        <f t="shared" si="0"/>
        <v>57.417582417582437</v>
      </c>
      <c r="F29" s="17"/>
      <c r="G29" s="17"/>
      <c r="H29" s="17"/>
      <c r="I29" s="17"/>
      <c r="J29" s="17"/>
      <c r="K29" s="17"/>
      <c r="AI29">
        <v>27</v>
      </c>
      <c r="AJ29">
        <f t="shared" si="2"/>
        <v>0.3819842</v>
      </c>
      <c r="AK29">
        <f t="shared" si="14"/>
        <v>12.8812788</v>
      </c>
      <c r="AL29">
        <f t="shared" si="3"/>
        <v>0.49697000000000002</v>
      </c>
      <c r="AM29">
        <f t="shared" si="4"/>
        <v>16.187580000000004</v>
      </c>
      <c r="AN29">
        <f t="shared" si="5"/>
        <v>0.28799000000000002</v>
      </c>
      <c r="AO29">
        <f t="shared" si="6"/>
        <v>9.7518600000000042</v>
      </c>
      <c r="AP29">
        <f t="shared" si="7"/>
        <v>0.28272000000000003</v>
      </c>
      <c r="AQ29">
        <f t="shared" si="8"/>
        <v>9.9640799999999992</v>
      </c>
      <c r="AR29">
        <f t="shared" si="9"/>
        <v>0.16816999999999999</v>
      </c>
      <c r="AS29">
        <f t="shared" si="10"/>
        <v>6.3973799999999992</v>
      </c>
      <c r="AU29" s="12">
        <f t="shared" si="11"/>
        <v>0.49697000000000002</v>
      </c>
      <c r="AV29" s="12">
        <f t="shared" si="1"/>
        <v>0.61697000000000002</v>
      </c>
      <c r="AW29">
        <f t="shared" si="12"/>
        <v>16.187580000000004</v>
      </c>
      <c r="AX29">
        <f t="shared" si="13"/>
        <v>16.187580000000004</v>
      </c>
      <c r="AY29">
        <v>27</v>
      </c>
    </row>
    <row r="30" spans="1:57">
      <c r="A30" s="12">
        <v>106.92</v>
      </c>
      <c r="B30" s="14">
        <v>8.0682121470588211</v>
      </c>
      <c r="C30" s="14">
        <v>9.4776322315494159</v>
      </c>
      <c r="D30" s="14">
        <v>-0.51176470588235334</v>
      </c>
      <c r="E30" s="17">
        <f t="shared" si="0"/>
        <v>-73.109243697479044</v>
      </c>
      <c r="F30" s="17"/>
      <c r="G30" s="17"/>
      <c r="H30" s="17"/>
      <c r="I30" s="17"/>
      <c r="J30" s="17"/>
      <c r="K30" s="17"/>
      <c r="AI30">
        <v>28</v>
      </c>
      <c r="AJ30">
        <f t="shared" si="2"/>
        <v>0.37466879999999997</v>
      </c>
      <c r="AK30">
        <f t="shared" si="14"/>
        <v>13.255947600000001</v>
      </c>
      <c r="AL30">
        <f t="shared" si="3"/>
        <v>0.48908000000000001</v>
      </c>
      <c r="AM30">
        <f t="shared" si="4"/>
        <v>16.676660000000005</v>
      </c>
      <c r="AN30">
        <f t="shared" si="5"/>
        <v>0.28236</v>
      </c>
      <c r="AO30">
        <f t="shared" si="6"/>
        <v>10.034220000000005</v>
      </c>
      <c r="AP30">
        <f t="shared" si="7"/>
        <v>0.27608000000000005</v>
      </c>
      <c r="AQ30">
        <f t="shared" si="8"/>
        <v>10.240159999999999</v>
      </c>
      <c r="AR30">
        <f t="shared" si="9"/>
        <v>0.16288</v>
      </c>
      <c r="AS30">
        <f t="shared" si="10"/>
        <v>6.5602599999999995</v>
      </c>
      <c r="AU30" s="12">
        <f t="shared" si="11"/>
        <v>0.48908000000000001</v>
      </c>
      <c r="AV30" s="12">
        <f t="shared" si="1"/>
        <v>0.60908000000000007</v>
      </c>
      <c r="AW30">
        <f t="shared" si="12"/>
        <v>16.676660000000005</v>
      </c>
      <c r="AX30">
        <f t="shared" si="13"/>
        <v>16.676660000000005</v>
      </c>
      <c r="AY30">
        <v>28</v>
      </c>
    </row>
    <row r="31" spans="1:57">
      <c r="A31" s="12">
        <v>110.88</v>
      </c>
      <c r="B31" s="14">
        <v>1.4690053907562983</v>
      </c>
      <c r="C31" s="14">
        <v>2.2533109737550951</v>
      </c>
      <c r="D31" s="14">
        <v>-1.5470588235294125</v>
      </c>
      <c r="E31" s="17">
        <f t="shared" si="0"/>
        <v>-221.00840336134465</v>
      </c>
      <c r="F31" s="17"/>
      <c r="G31" s="17"/>
      <c r="H31" s="17"/>
      <c r="I31" s="17"/>
      <c r="J31" s="17"/>
      <c r="K31" s="17"/>
      <c r="AI31">
        <v>29</v>
      </c>
      <c r="AJ31">
        <f t="shared" si="2"/>
        <v>0.36735339999999994</v>
      </c>
      <c r="AK31">
        <f t="shared" si="14"/>
        <v>13.623301000000001</v>
      </c>
      <c r="AL31">
        <f t="shared" si="3"/>
        <v>0.48119000000000001</v>
      </c>
      <c r="AM31">
        <f t="shared" si="4"/>
        <v>17.157850000000007</v>
      </c>
      <c r="AN31">
        <f t="shared" si="5"/>
        <v>0.27673000000000003</v>
      </c>
      <c r="AO31">
        <f t="shared" si="6"/>
        <v>10.310950000000005</v>
      </c>
      <c r="AP31">
        <f t="shared" si="7"/>
        <v>0.26944000000000001</v>
      </c>
      <c r="AQ31">
        <f t="shared" si="8"/>
        <v>10.509599999999999</v>
      </c>
      <c r="AR31">
        <f t="shared" si="9"/>
        <v>0.15759000000000001</v>
      </c>
      <c r="AS31">
        <f t="shared" si="10"/>
        <v>6.7178499999999994</v>
      </c>
      <c r="AU31" s="12">
        <f t="shared" si="11"/>
        <v>0.48119000000000001</v>
      </c>
      <c r="AV31" s="12">
        <f t="shared" si="1"/>
        <v>0.60119</v>
      </c>
      <c r="AW31">
        <f t="shared" si="12"/>
        <v>17.157850000000007</v>
      </c>
      <c r="AX31">
        <f t="shared" si="13"/>
        <v>17.157850000000007</v>
      </c>
      <c r="AY31">
        <v>29</v>
      </c>
    </row>
    <row r="32" spans="1:57">
      <c r="E32" s="17">
        <f>AVERAGE(E2:E31)</f>
        <v>114.62161565158233</v>
      </c>
      <c r="AI32">
        <v>30</v>
      </c>
      <c r="AJ32">
        <f t="shared" si="2"/>
        <v>0.36003800000000002</v>
      </c>
      <c r="AK32">
        <f t="shared" si="14"/>
        <v>13.983339000000001</v>
      </c>
      <c r="AL32">
        <f t="shared" si="3"/>
        <v>0.4733</v>
      </c>
      <c r="AM32">
        <f t="shared" si="4"/>
        <v>17.631150000000005</v>
      </c>
      <c r="AN32">
        <f t="shared" si="5"/>
        <v>0.27110000000000001</v>
      </c>
      <c r="AO32">
        <f t="shared" si="6"/>
        <v>10.582050000000006</v>
      </c>
      <c r="AP32">
        <f t="shared" si="7"/>
        <v>0.26280000000000003</v>
      </c>
      <c r="AQ32">
        <f t="shared" si="8"/>
        <v>10.772399999999999</v>
      </c>
      <c r="AR32">
        <f t="shared" si="9"/>
        <v>0.15230000000000002</v>
      </c>
      <c r="AS32">
        <f t="shared" si="10"/>
        <v>6.8701499999999998</v>
      </c>
      <c r="AU32" s="12">
        <f t="shared" si="11"/>
        <v>0.4733</v>
      </c>
      <c r="AV32" s="12">
        <f t="shared" si="1"/>
        <v>0.59329999999999994</v>
      </c>
      <c r="AW32">
        <f t="shared" si="12"/>
        <v>17.631150000000005</v>
      </c>
      <c r="AX32">
        <f t="shared" si="13"/>
        <v>17.631150000000005</v>
      </c>
      <c r="AY32">
        <v>30</v>
      </c>
    </row>
    <row r="33" spans="1:51">
      <c r="A33" s="12" t="s">
        <v>585</v>
      </c>
      <c r="B33" s="12" t="s">
        <v>131</v>
      </c>
      <c r="C33" s="12" t="s">
        <v>586</v>
      </c>
      <c r="D33" s="12" t="s">
        <v>587</v>
      </c>
      <c r="W33" s="36" t="s">
        <v>160</v>
      </c>
      <c r="AI33">
        <v>31</v>
      </c>
      <c r="AJ33">
        <f t="shared" si="2"/>
        <v>0.3527226</v>
      </c>
      <c r="AK33">
        <f t="shared" si="14"/>
        <v>14.336061600000001</v>
      </c>
      <c r="AL33">
        <f t="shared" si="3"/>
        <v>0.46540999999999999</v>
      </c>
      <c r="AM33">
        <f t="shared" si="4"/>
        <v>18.096560000000004</v>
      </c>
      <c r="AN33">
        <f t="shared" si="5"/>
        <v>0.26547000000000004</v>
      </c>
      <c r="AO33">
        <f t="shared" si="6"/>
        <v>10.847520000000006</v>
      </c>
      <c r="AP33">
        <f t="shared" si="7"/>
        <v>0.25615999999999994</v>
      </c>
      <c r="AQ33">
        <f t="shared" si="8"/>
        <v>11.028559999999999</v>
      </c>
      <c r="AR33">
        <f t="shared" si="9"/>
        <v>0.14701</v>
      </c>
      <c r="AS33">
        <f t="shared" si="10"/>
        <v>7.0171599999999996</v>
      </c>
      <c r="AU33" s="12">
        <f t="shared" si="11"/>
        <v>0.46540999999999999</v>
      </c>
      <c r="AV33" s="12">
        <f t="shared" si="1"/>
        <v>0.58540999999999999</v>
      </c>
      <c r="AW33">
        <f t="shared" si="12"/>
        <v>18.096560000000004</v>
      </c>
      <c r="AX33">
        <f t="shared" si="13"/>
        <v>18.096560000000004</v>
      </c>
      <c r="AY33">
        <v>31</v>
      </c>
    </row>
    <row r="34" spans="1:51">
      <c r="A34" s="12">
        <v>1.5</v>
      </c>
      <c r="B34" s="14">
        <v>22.699320666666665</v>
      </c>
      <c r="C34" s="23">
        <v>0.22500000000000003</v>
      </c>
      <c r="D34" s="23">
        <f>-0.0755*A34+0.3134</f>
        <v>0.20015000000000002</v>
      </c>
      <c r="W34" t="s">
        <v>162</v>
      </c>
      <c r="AI34">
        <v>32</v>
      </c>
      <c r="AJ34">
        <f t="shared" si="2"/>
        <v>0.34540719999999997</v>
      </c>
      <c r="AK34">
        <f t="shared" si="14"/>
        <v>14.681468800000001</v>
      </c>
      <c r="AL34">
        <f t="shared" si="3"/>
        <v>0.45751999999999998</v>
      </c>
      <c r="AM34">
        <f t="shared" si="4"/>
        <v>18.554080000000003</v>
      </c>
      <c r="AN34">
        <f t="shared" si="5"/>
        <v>0.25984000000000002</v>
      </c>
      <c r="AO34">
        <f t="shared" si="6"/>
        <v>11.107360000000007</v>
      </c>
      <c r="AP34">
        <f t="shared" si="7"/>
        <v>0.24952000000000002</v>
      </c>
      <c r="AQ34">
        <f t="shared" si="8"/>
        <v>11.278079999999999</v>
      </c>
      <c r="AR34">
        <f t="shared" si="9"/>
        <v>0.14172000000000001</v>
      </c>
      <c r="AS34">
        <f t="shared" si="10"/>
        <v>7.1588799999999999</v>
      </c>
      <c r="AU34" s="12">
        <f t="shared" si="11"/>
        <v>0.45751999999999998</v>
      </c>
      <c r="AV34" s="12">
        <f t="shared" si="1"/>
        <v>0.57752000000000003</v>
      </c>
      <c r="AW34">
        <f t="shared" si="12"/>
        <v>18.554080000000003</v>
      </c>
      <c r="AX34">
        <f t="shared" si="13"/>
        <v>18.554080000000003</v>
      </c>
      <c r="AY34">
        <v>32</v>
      </c>
    </row>
    <row r="35" spans="1:51">
      <c r="A35" s="12">
        <v>1.75</v>
      </c>
      <c r="B35" s="14">
        <v>20.280941205513795</v>
      </c>
      <c r="C35" s="23">
        <v>0.16052631578947363</v>
      </c>
      <c r="D35" s="23">
        <f t="shared" ref="D35:D44" si="16">-0.0755*A35+0.3134</f>
        <v>0.18127500000000002</v>
      </c>
      <c r="M35" t="s">
        <v>185</v>
      </c>
      <c r="N35" t="s">
        <v>588</v>
      </c>
      <c r="W35" t="s">
        <v>164</v>
      </c>
      <c r="AI35">
        <v>33</v>
      </c>
      <c r="AJ35">
        <f t="shared" si="2"/>
        <v>0.3380918</v>
      </c>
      <c r="AK35">
        <f t="shared" si="14"/>
        <v>15.019560600000002</v>
      </c>
      <c r="AL35">
        <f t="shared" si="3"/>
        <v>0.44962999999999997</v>
      </c>
      <c r="AM35">
        <f t="shared" si="4"/>
        <v>19.003710000000002</v>
      </c>
      <c r="AN35">
        <f t="shared" si="5"/>
        <v>0.25420999999999999</v>
      </c>
      <c r="AO35">
        <f t="shared" si="6"/>
        <v>11.361570000000007</v>
      </c>
      <c r="AP35">
        <f t="shared" si="7"/>
        <v>0.24288000000000001</v>
      </c>
      <c r="AQ35">
        <f t="shared" si="8"/>
        <v>11.520959999999999</v>
      </c>
      <c r="AR35">
        <f t="shared" si="9"/>
        <v>0.13643</v>
      </c>
      <c r="AS35">
        <f t="shared" si="10"/>
        <v>7.2953099999999997</v>
      </c>
      <c r="AU35" s="12">
        <f t="shared" si="11"/>
        <v>0.44962999999999997</v>
      </c>
      <c r="AV35" s="12">
        <f t="shared" si="1"/>
        <v>0.56962999999999997</v>
      </c>
      <c r="AW35">
        <f t="shared" si="12"/>
        <v>19.003710000000002</v>
      </c>
      <c r="AX35">
        <f t="shared" si="13"/>
        <v>19.003710000000002</v>
      </c>
      <c r="AY35">
        <v>33</v>
      </c>
    </row>
    <row r="36" spans="1:51">
      <c r="A36" s="12">
        <v>2</v>
      </c>
      <c r="B36" s="14">
        <v>17.719700461484599</v>
      </c>
      <c r="C36" s="23">
        <v>0.11092436974789924</v>
      </c>
      <c r="D36" s="23">
        <f t="shared" si="16"/>
        <v>0.16240000000000002</v>
      </c>
      <c r="M36" s="19">
        <v>13.86</v>
      </c>
      <c r="N36" s="19">
        <v>708.57142857142844</v>
      </c>
      <c r="W36" t="s">
        <v>166</v>
      </c>
      <c r="AI36">
        <v>34</v>
      </c>
      <c r="AJ36">
        <f t="shared" si="2"/>
        <v>0.33077639999999997</v>
      </c>
      <c r="AK36">
        <f t="shared" si="14"/>
        <v>15.350337000000001</v>
      </c>
      <c r="AL36">
        <f t="shared" si="3"/>
        <v>0.44174000000000002</v>
      </c>
      <c r="AM36">
        <f t="shared" si="4"/>
        <v>19.445450000000001</v>
      </c>
      <c r="AN36">
        <f t="shared" si="5"/>
        <v>0.24858000000000002</v>
      </c>
      <c r="AO36">
        <f t="shared" si="6"/>
        <v>11.610150000000008</v>
      </c>
      <c r="AP36">
        <f t="shared" si="7"/>
        <v>0.23624000000000001</v>
      </c>
      <c r="AQ36">
        <f t="shared" si="8"/>
        <v>11.757199999999999</v>
      </c>
      <c r="AR36">
        <f t="shared" si="9"/>
        <v>0.13113999999999998</v>
      </c>
      <c r="AS36">
        <f t="shared" si="10"/>
        <v>7.42645</v>
      </c>
      <c r="AU36" s="12">
        <f t="shared" si="11"/>
        <v>0.44174000000000002</v>
      </c>
      <c r="AV36" s="12">
        <f t="shared" si="1"/>
        <v>0.56174000000000002</v>
      </c>
      <c r="AW36">
        <f t="shared" si="12"/>
        <v>19.445450000000001</v>
      </c>
      <c r="AX36">
        <f t="shared" si="13"/>
        <v>19.445450000000001</v>
      </c>
      <c r="AY36">
        <v>34</v>
      </c>
    </row>
    <row r="37" spans="1:51">
      <c r="A37" s="12">
        <v>2.25</v>
      </c>
      <c r="B37" s="14">
        <v>20.244406861344526</v>
      </c>
      <c r="C37" s="23">
        <v>0.16008403361344539</v>
      </c>
      <c r="D37" s="23">
        <f t="shared" si="16"/>
        <v>0.14352500000000001</v>
      </c>
      <c r="M37" s="19">
        <v>27.72</v>
      </c>
      <c r="N37" s="19">
        <v>560.71428571428532</v>
      </c>
      <c r="W37" t="s">
        <v>589</v>
      </c>
      <c r="AI37">
        <v>35</v>
      </c>
      <c r="AJ37">
        <f t="shared" si="2"/>
        <v>0.323461</v>
      </c>
      <c r="AK37">
        <f t="shared" ref="AK37:AK68" si="17">((-7.3154*AI37+579.5)/1000)+AK36</f>
        <v>15.673798000000001</v>
      </c>
      <c r="AL37">
        <f t="shared" si="3"/>
        <v>0.43385000000000001</v>
      </c>
      <c r="AM37">
        <f t="shared" si="4"/>
        <v>19.879300000000001</v>
      </c>
      <c r="AN37">
        <f t="shared" si="5"/>
        <v>0.24295000000000003</v>
      </c>
      <c r="AO37">
        <f t="shared" si="6"/>
        <v>11.853100000000008</v>
      </c>
      <c r="AP37">
        <f t="shared" si="7"/>
        <v>0.22960000000000003</v>
      </c>
      <c r="AQ37">
        <f t="shared" si="8"/>
        <v>11.986799999999999</v>
      </c>
      <c r="AR37">
        <f t="shared" si="9"/>
        <v>0.12584999999999999</v>
      </c>
      <c r="AS37">
        <f t="shared" si="10"/>
        <v>7.5522999999999998</v>
      </c>
      <c r="AU37" s="12">
        <f t="shared" si="11"/>
        <v>0.43385000000000001</v>
      </c>
      <c r="AV37" s="12">
        <f t="shared" si="1"/>
        <v>0.55385000000000006</v>
      </c>
      <c r="AW37">
        <f t="shared" si="12"/>
        <v>19.879300000000001</v>
      </c>
      <c r="AX37">
        <f t="shared" si="13"/>
        <v>19.879300000000001</v>
      </c>
      <c r="AY37">
        <v>35</v>
      </c>
    </row>
    <row r="38" spans="1:51">
      <c r="A38" s="12">
        <v>2.5</v>
      </c>
      <c r="B38" s="14">
        <v>16.746956815270924</v>
      </c>
      <c r="C38" s="23">
        <v>0.12635467980295564</v>
      </c>
      <c r="D38" s="23">
        <f t="shared" si="16"/>
        <v>0.12465000000000001</v>
      </c>
      <c r="M38" s="19">
        <v>41.58</v>
      </c>
      <c r="N38" s="19">
        <v>125.71428571428547</v>
      </c>
      <c r="AI38">
        <v>36</v>
      </c>
      <c r="AJ38">
        <f t="shared" si="2"/>
        <v>0.31614560000000003</v>
      </c>
      <c r="AK38">
        <f t="shared" si="17"/>
        <v>15.989943600000002</v>
      </c>
      <c r="AL38">
        <f t="shared" si="3"/>
        <v>0.42596000000000006</v>
      </c>
      <c r="AM38">
        <f t="shared" si="4"/>
        <v>20.305260000000001</v>
      </c>
      <c r="AN38">
        <f t="shared" si="5"/>
        <v>0.23732</v>
      </c>
      <c r="AO38">
        <f t="shared" si="6"/>
        <v>12.090420000000009</v>
      </c>
      <c r="AP38">
        <f t="shared" si="7"/>
        <v>0.22296000000000002</v>
      </c>
      <c r="AQ38">
        <f t="shared" si="8"/>
        <v>12.209759999999999</v>
      </c>
      <c r="AR38">
        <f t="shared" si="9"/>
        <v>0.12056</v>
      </c>
      <c r="AS38">
        <f t="shared" si="10"/>
        <v>7.67286</v>
      </c>
      <c r="AU38" s="12">
        <f t="shared" si="11"/>
        <v>0.42596000000000006</v>
      </c>
      <c r="AV38" s="12">
        <f t="shared" si="1"/>
        <v>0.54596</v>
      </c>
      <c r="AW38">
        <f t="shared" si="12"/>
        <v>20.305260000000001</v>
      </c>
      <c r="AX38">
        <f t="shared" si="13"/>
        <v>20.305260000000001</v>
      </c>
      <c r="AY38">
        <v>36</v>
      </c>
    </row>
    <row r="39" spans="1:51">
      <c r="A39" s="12">
        <v>2.75</v>
      </c>
      <c r="B39" s="14">
        <v>21.294623880952376</v>
      </c>
      <c r="C39" s="23">
        <v>0.17142857142857132</v>
      </c>
      <c r="D39" s="23">
        <f t="shared" si="16"/>
        <v>0.10577500000000001</v>
      </c>
      <c r="M39" s="19">
        <v>53.46</v>
      </c>
      <c r="N39" s="19">
        <v>520.00000000000034</v>
      </c>
      <c r="AI39">
        <v>37</v>
      </c>
      <c r="AJ39">
        <f t="shared" si="2"/>
        <v>0.3088302</v>
      </c>
      <c r="AK39">
        <f t="shared" si="17"/>
        <v>16.298773800000003</v>
      </c>
      <c r="AL39">
        <f t="shared" si="3"/>
        <v>0.41807</v>
      </c>
      <c r="AM39">
        <f t="shared" si="4"/>
        <v>20.723330000000001</v>
      </c>
      <c r="AN39">
        <f t="shared" si="5"/>
        <v>0.23169000000000001</v>
      </c>
      <c r="AO39">
        <f t="shared" si="6"/>
        <v>12.322110000000009</v>
      </c>
      <c r="AP39">
        <f t="shared" si="7"/>
        <v>0.21632000000000001</v>
      </c>
      <c r="AQ39">
        <f t="shared" si="8"/>
        <v>12.426079999999999</v>
      </c>
      <c r="AR39">
        <f t="shared" si="9"/>
        <v>0.11527000000000001</v>
      </c>
      <c r="AS39">
        <f t="shared" si="10"/>
        <v>7.7881299999999998</v>
      </c>
      <c r="AU39" s="12">
        <f t="shared" si="11"/>
        <v>0.41807</v>
      </c>
      <c r="AV39" s="12">
        <f t="shared" si="1"/>
        <v>0.53806999999999994</v>
      </c>
      <c r="AW39">
        <f t="shared" si="12"/>
        <v>20.723330000000001</v>
      </c>
      <c r="AX39">
        <f t="shared" si="13"/>
        <v>20.723330000000001</v>
      </c>
      <c r="AY39">
        <v>37</v>
      </c>
    </row>
    <row r="40" spans="1:51">
      <c r="A40" s="12">
        <v>3</v>
      </c>
      <c r="B40" s="14">
        <v>15.122831957695734</v>
      </c>
      <c r="C40" s="23">
        <v>6.7757009345794414E-2</v>
      </c>
      <c r="D40" s="23">
        <f t="shared" si="16"/>
        <v>8.6900000000000033E-2</v>
      </c>
      <c r="M40" s="19">
        <v>55.44</v>
      </c>
      <c r="N40" s="19">
        <v>272.72727272727315</v>
      </c>
      <c r="AI40">
        <v>38</v>
      </c>
      <c r="AJ40">
        <f t="shared" si="2"/>
        <v>0.30151479999999997</v>
      </c>
      <c r="AK40">
        <f t="shared" si="17"/>
        <v>16.600288600000003</v>
      </c>
      <c r="AL40">
        <f t="shared" si="3"/>
        <v>0.41017999999999999</v>
      </c>
      <c r="AM40">
        <f t="shared" si="4"/>
        <v>21.133510000000001</v>
      </c>
      <c r="AN40">
        <f t="shared" si="5"/>
        <v>0.22606000000000001</v>
      </c>
      <c r="AO40">
        <f t="shared" si="6"/>
        <v>12.54817000000001</v>
      </c>
      <c r="AP40">
        <f t="shared" si="7"/>
        <v>0.20968000000000001</v>
      </c>
      <c r="AQ40">
        <f t="shared" si="8"/>
        <v>12.635759999999999</v>
      </c>
      <c r="AR40">
        <f t="shared" si="9"/>
        <v>0.10997999999999999</v>
      </c>
      <c r="AS40">
        <f t="shared" si="10"/>
        <v>7.89811</v>
      </c>
      <c r="AU40" s="12">
        <f t="shared" si="11"/>
        <v>0.41017999999999999</v>
      </c>
      <c r="AV40" s="12">
        <f t="shared" si="1"/>
        <v>0.5301800000000001</v>
      </c>
      <c r="AW40">
        <f t="shared" si="12"/>
        <v>21.133510000000001</v>
      </c>
      <c r="AX40">
        <f t="shared" si="13"/>
        <v>21.133510000000001</v>
      </c>
      <c r="AY40">
        <v>38</v>
      </c>
    </row>
    <row r="41" spans="1:51">
      <c r="A41" s="12">
        <v>3.25</v>
      </c>
      <c r="B41" s="14">
        <v>16.963249562499993</v>
      </c>
      <c r="C41" s="23">
        <v>7.1428571428571369E-2</v>
      </c>
      <c r="D41" s="23">
        <f t="shared" si="16"/>
        <v>6.802500000000003E-2</v>
      </c>
      <c r="M41" s="19">
        <v>69.3</v>
      </c>
      <c r="N41" s="19">
        <v>44.999999999999922</v>
      </c>
      <c r="AI41">
        <v>39</v>
      </c>
      <c r="AJ41">
        <f t="shared" si="2"/>
        <v>0.29419939999999994</v>
      </c>
      <c r="AK41">
        <f t="shared" si="17"/>
        <v>16.894488000000003</v>
      </c>
      <c r="AL41">
        <f t="shared" si="3"/>
        <v>0.40229000000000004</v>
      </c>
      <c r="AM41">
        <f t="shared" si="4"/>
        <v>21.535800000000002</v>
      </c>
      <c r="AN41">
        <f t="shared" si="5"/>
        <v>0.22043000000000001</v>
      </c>
      <c r="AO41">
        <f t="shared" si="6"/>
        <v>12.76860000000001</v>
      </c>
      <c r="AP41">
        <f t="shared" si="7"/>
        <v>0.20304000000000003</v>
      </c>
      <c r="AQ41">
        <f t="shared" si="8"/>
        <v>12.838799999999999</v>
      </c>
      <c r="AR41">
        <f t="shared" si="9"/>
        <v>0.10468999999999999</v>
      </c>
      <c r="AS41">
        <f t="shared" si="10"/>
        <v>8.0028000000000006</v>
      </c>
      <c r="AU41" s="12">
        <f t="shared" si="11"/>
        <v>0.40229000000000004</v>
      </c>
      <c r="AV41" s="12">
        <f t="shared" si="1"/>
        <v>0.52228999999999992</v>
      </c>
      <c r="AW41">
        <f t="shared" si="12"/>
        <v>21.535800000000002</v>
      </c>
      <c r="AX41">
        <f t="shared" si="13"/>
        <v>21.535800000000002</v>
      </c>
      <c r="AY41">
        <v>39</v>
      </c>
    </row>
    <row r="42" spans="1:51">
      <c r="A42" s="12">
        <v>3.5</v>
      </c>
      <c r="B42" s="14">
        <v>12.515766631920453</v>
      </c>
      <c r="C42" s="23">
        <v>2.7346938775510202E-2</v>
      </c>
      <c r="D42" s="23">
        <f t="shared" si="16"/>
        <v>4.9150000000000027E-2</v>
      </c>
      <c r="M42" s="19">
        <v>83.16</v>
      </c>
      <c r="N42" s="19">
        <v>-225.00000000000017</v>
      </c>
      <c r="AI42">
        <v>40</v>
      </c>
      <c r="AJ42">
        <f t="shared" si="2"/>
        <v>0.28688400000000003</v>
      </c>
      <c r="AK42">
        <f t="shared" si="17"/>
        <v>17.181372000000003</v>
      </c>
      <c r="AL42">
        <f t="shared" si="3"/>
        <v>0.39440000000000003</v>
      </c>
      <c r="AM42">
        <f t="shared" si="4"/>
        <v>21.930200000000003</v>
      </c>
      <c r="AN42">
        <f t="shared" si="5"/>
        <v>0.21480000000000002</v>
      </c>
      <c r="AO42">
        <f t="shared" si="6"/>
        <v>12.98340000000001</v>
      </c>
      <c r="AP42">
        <f t="shared" si="7"/>
        <v>0.19640000000000005</v>
      </c>
      <c r="AQ42">
        <f t="shared" si="8"/>
        <v>13.0352</v>
      </c>
      <c r="AR42">
        <f t="shared" si="9"/>
        <v>9.9400000000000002E-2</v>
      </c>
      <c r="AS42">
        <f t="shared" si="10"/>
        <v>8.1021999999999998</v>
      </c>
      <c r="AU42" s="12">
        <f t="shared" si="11"/>
        <v>0.39440000000000003</v>
      </c>
      <c r="AV42" s="12">
        <f t="shared" si="1"/>
        <v>0.51440000000000008</v>
      </c>
      <c r="AW42">
        <f t="shared" si="12"/>
        <v>21.930200000000003</v>
      </c>
      <c r="AX42">
        <f t="shared" si="13"/>
        <v>21.930200000000003</v>
      </c>
      <c r="AY42">
        <v>40</v>
      </c>
    </row>
    <row r="43" spans="1:51">
      <c r="A43" s="12">
        <v>4</v>
      </c>
      <c r="B43" s="14">
        <v>10.275908119047621</v>
      </c>
      <c r="C43" s="23">
        <v>-0.11488095238095238</v>
      </c>
      <c r="D43" s="23">
        <f t="shared" si="16"/>
        <v>1.1400000000000021E-2</v>
      </c>
      <c r="M43" s="19">
        <v>97.02</v>
      </c>
      <c r="N43" s="19">
        <v>-17.142857142856563</v>
      </c>
      <c r="AI43">
        <v>41</v>
      </c>
      <c r="AJ43">
        <f t="shared" si="2"/>
        <v>0.2795686</v>
      </c>
      <c r="AK43">
        <f t="shared" si="17"/>
        <v>17.460940600000004</v>
      </c>
      <c r="AL43">
        <f t="shared" si="3"/>
        <v>0.38650999999999996</v>
      </c>
      <c r="AM43">
        <f t="shared" si="4"/>
        <v>22.316710000000004</v>
      </c>
      <c r="AN43">
        <f t="shared" si="5"/>
        <v>0.20917000000000002</v>
      </c>
      <c r="AO43">
        <f t="shared" si="6"/>
        <v>13.192570000000011</v>
      </c>
      <c r="AP43">
        <f t="shared" si="7"/>
        <v>0.18975999999999998</v>
      </c>
      <c r="AQ43">
        <f t="shared" si="8"/>
        <v>13.224959999999999</v>
      </c>
      <c r="AR43">
        <f t="shared" si="9"/>
        <v>9.4109999999999985E-2</v>
      </c>
      <c r="AS43">
        <f t="shared" si="10"/>
        <v>8.1963100000000004</v>
      </c>
      <c r="AU43" s="12">
        <f t="shared" si="11"/>
        <v>0.38650999999999996</v>
      </c>
      <c r="AV43" s="12">
        <f t="shared" si="1"/>
        <v>0.50651000000000002</v>
      </c>
      <c r="AW43">
        <f t="shared" si="12"/>
        <v>22.316710000000004</v>
      </c>
      <c r="AX43">
        <f t="shared" si="13"/>
        <v>22.316710000000004</v>
      </c>
      <c r="AY43">
        <v>41</v>
      </c>
    </row>
    <row r="44" spans="1:51">
      <c r="A44" s="12">
        <v>5</v>
      </c>
      <c r="B44" s="14">
        <v>7.8322052272727269</v>
      </c>
      <c r="C44" s="23">
        <v>-0.27272727272727276</v>
      </c>
      <c r="D44" s="23">
        <f t="shared" si="16"/>
        <v>-6.409999999999999E-2</v>
      </c>
      <c r="M44" s="19">
        <v>106.92</v>
      </c>
      <c r="N44" s="19">
        <v>-103.03030303030309</v>
      </c>
      <c r="AI44">
        <v>42</v>
      </c>
      <c r="AJ44">
        <f t="shared" si="2"/>
        <v>0.27225319999999997</v>
      </c>
      <c r="AK44">
        <f t="shared" si="17"/>
        <v>17.733193800000006</v>
      </c>
      <c r="AL44">
        <f t="shared" si="3"/>
        <v>0.37862000000000001</v>
      </c>
      <c r="AM44">
        <f t="shared" si="4"/>
        <v>22.695330000000006</v>
      </c>
      <c r="AN44">
        <f t="shared" si="5"/>
        <v>0.20354</v>
      </c>
      <c r="AO44">
        <f t="shared" si="6"/>
        <v>13.396110000000011</v>
      </c>
      <c r="AP44">
        <f t="shared" si="7"/>
        <v>0.18312</v>
      </c>
      <c r="AQ44">
        <f t="shared" si="8"/>
        <v>13.40808</v>
      </c>
      <c r="AR44">
        <f t="shared" si="9"/>
        <v>8.8819999999999996E-2</v>
      </c>
      <c r="AS44">
        <f t="shared" si="10"/>
        <v>8.2851300000000005</v>
      </c>
      <c r="AU44" s="12">
        <f t="shared" si="11"/>
        <v>0.37862000000000001</v>
      </c>
      <c r="AV44" s="12">
        <f t="shared" si="1"/>
        <v>0.49862000000000001</v>
      </c>
      <c r="AW44">
        <f t="shared" si="12"/>
        <v>22.695330000000006</v>
      </c>
      <c r="AX44">
        <f t="shared" si="13"/>
        <v>22.695330000000006</v>
      </c>
      <c r="AY44">
        <v>42</v>
      </c>
    </row>
    <row r="45" spans="1:51">
      <c r="M45" s="19">
        <v>110.88</v>
      </c>
      <c r="N45" s="19">
        <v>5.7142857142851771</v>
      </c>
      <c r="AI45">
        <v>43</v>
      </c>
      <c r="AJ45">
        <f t="shared" si="2"/>
        <v>0.2649378</v>
      </c>
      <c r="AK45">
        <f t="shared" si="17"/>
        <v>17.998131600000004</v>
      </c>
      <c r="AL45">
        <f t="shared" si="3"/>
        <v>0.37073</v>
      </c>
      <c r="AM45">
        <f t="shared" si="4"/>
        <v>23.066060000000007</v>
      </c>
      <c r="AN45">
        <f t="shared" si="5"/>
        <v>0.19791</v>
      </c>
      <c r="AO45">
        <f t="shared" si="6"/>
        <v>13.594020000000011</v>
      </c>
      <c r="AP45">
        <f t="shared" si="7"/>
        <v>0.17648000000000003</v>
      </c>
      <c r="AQ45">
        <f t="shared" si="8"/>
        <v>13.58456</v>
      </c>
      <c r="AR45">
        <f t="shared" si="9"/>
        <v>8.3530000000000007E-2</v>
      </c>
      <c r="AS45">
        <f t="shared" si="10"/>
        <v>8.3686600000000002</v>
      </c>
      <c r="AU45" s="12">
        <f t="shared" si="11"/>
        <v>0.37073</v>
      </c>
      <c r="AV45" s="12">
        <f t="shared" si="1"/>
        <v>0.49073</v>
      </c>
      <c r="AW45">
        <f t="shared" si="12"/>
        <v>23.066060000000007</v>
      </c>
      <c r="AX45">
        <f t="shared" si="13"/>
        <v>23.066060000000007</v>
      </c>
      <c r="AY45">
        <v>43</v>
      </c>
    </row>
    <row r="46" spans="1:51">
      <c r="C46" s="23">
        <f>AVERAGE(C34:C42)</f>
        <v>0.12453894332580237</v>
      </c>
      <c r="D46" s="23">
        <f>AVERAGE(D34:D44)</f>
        <v>9.7195454545454543E-2</v>
      </c>
      <c r="AI46">
        <v>44</v>
      </c>
      <c r="AJ46">
        <f t="shared" si="2"/>
        <v>0.25762239999999997</v>
      </c>
      <c r="AK46">
        <f t="shared" si="17"/>
        <v>18.255754000000003</v>
      </c>
      <c r="AL46">
        <f t="shared" si="3"/>
        <v>0.36284000000000005</v>
      </c>
      <c r="AM46">
        <f t="shared" si="4"/>
        <v>23.428900000000006</v>
      </c>
      <c r="AN46">
        <f t="shared" si="5"/>
        <v>0.19228000000000001</v>
      </c>
      <c r="AO46">
        <f t="shared" si="6"/>
        <v>13.786300000000011</v>
      </c>
      <c r="AP46">
        <f t="shared" si="7"/>
        <v>0.16984000000000002</v>
      </c>
      <c r="AQ46">
        <f t="shared" si="8"/>
        <v>13.7544</v>
      </c>
      <c r="AR46">
        <f t="shared" si="9"/>
        <v>7.8240000000000004E-2</v>
      </c>
      <c r="AS46">
        <f t="shared" si="10"/>
        <v>8.4468999999999994</v>
      </c>
      <c r="AU46" s="12">
        <f t="shared" si="11"/>
        <v>0.36284000000000005</v>
      </c>
      <c r="AV46" s="12">
        <f t="shared" si="1"/>
        <v>0.48284000000000005</v>
      </c>
      <c r="AW46">
        <f t="shared" si="12"/>
        <v>23.428900000000006</v>
      </c>
      <c r="AX46">
        <f t="shared" si="13"/>
        <v>23.428900000000006</v>
      </c>
      <c r="AY46">
        <v>44</v>
      </c>
    </row>
    <row r="47" spans="1:51">
      <c r="M47" t="s">
        <v>185</v>
      </c>
      <c r="N47" t="s">
        <v>124</v>
      </c>
      <c r="AI47">
        <v>45</v>
      </c>
      <c r="AJ47">
        <f t="shared" si="2"/>
        <v>0.25030699999999995</v>
      </c>
      <c r="AK47">
        <f t="shared" si="17"/>
        <v>18.506061000000003</v>
      </c>
      <c r="AL47">
        <f t="shared" si="3"/>
        <v>0.35494999999999999</v>
      </c>
      <c r="AM47">
        <f t="shared" si="4"/>
        <v>23.783850000000005</v>
      </c>
      <c r="AN47">
        <f t="shared" si="5"/>
        <v>0.18665000000000001</v>
      </c>
      <c r="AO47">
        <f t="shared" si="6"/>
        <v>13.972950000000012</v>
      </c>
      <c r="AP47">
        <f t="shared" si="7"/>
        <v>0.16319999999999998</v>
      </c>
      <c r="AQ47">
        <f t="shared" si="8"/>
        <v>13.9176</v>
      </c>
      <c r="AR47">
        <f t="shared" si="9"/>
        <v>7.2949999999999987E-2</v>
      </c>
      <c r="AS47">
        <f t="shared" si="10"/>
        <v>8.5198499999999999</v>
      </c>
      <c r="AU47" s="12">
        <f t="shared" si="11"/>
        <v>0.35494999999999999</v>
      </c>
      <c r="AV47" s="12">
        <f t="shared" si="1"/>
        <v>0.47494999999999998</v>
      </c>
      <c r="AW47">
        <f t="shared" si="12"/>
        <v>23.783850000000005</v>
      </c>
      <c r="AX47">
        <f t="shared" si="13"/>
        <v>23.783850000000005</v>
      </c>
      <c r="AY47">
        <v>45</v>
      </c>
    </row>
    <row r="48" spans="1:51">
      <c r="M48" s="19">
        <v>13.86</v>
      </c>
      <c r="N48" s="19">
        <v>625.85034013605423</v>
      </c>
      <c r="AI48">
        <v>46</v>
      </c>
      <c r="AJ48">
        <f t="shared" si="2"/>
        <v>0.2429916</v>
      </c>
      <c r="AK48">
        <f t="shared" si="17"/>
        <v>18.749052600000002</v>
      </c>
      <c r="AL48">
        <f t="shared" si="3"/>
        <v>0.34705999999999998</v>
      </c>
      <c r="AM48">
        <f t="shared" si="4"/>
        <v>24.130910000000004</v>
      </c>
      <c r="AN48">
        <f t="shared" si="5"/>
        <v>0.18101999999999999</v>
      </c>
      <c r="AO48">
        <f t="shared" si="6"/>
        <v>14.153970000000012</v>
      </c>
      <c r="AP48">
        <f t="shared" si="7"/>
        <v>0.15656</v>
      </c>
      <c r="AQ48">
        <f t="shared" si="8"/>
        <v>14.074160000000001</v>
      </c>
      <c r="AR48">
        <f t="shared" si="9"/>
        <v>6.7659999999999998E-2</v>
      </c>
      <c r="AS48">
        <f t="shared" si="10"/>
        <v>8.58751</v>
      </c>
      <c r="AU48" s="12">
        <f t="shared" si="11"/>
        <v>0.34705999999999998</v>
      </c>
      <c r="AV48" s="12">
        <f t="shared" si="1"/>
        <v>0.46705999999999998</v>
      </c>
      <c r="AW48">
        <f t="shared" si="12"/>
        <v>24.130910000000004</v>
      </c>
      <c r="AX48">
        <f t="shared" si="13"/>
        <v>24.130910000000004</v>
      </c>
      <c r="AY48">
        <v>46</v>
      </c>
    </row>
    <row r="49" spans="1:51">
      <c r="M49" s="19">
        <v>27.72</v>
      </c>
      <c r="N49" s="19">
        <v>331.13553113553121</v>
      </c>
      <c r="AI49">
        <v>47</v>
      </c>
      <c r="AJ49">
        <f t="shared" si="2"/>
        <v>0.2356762</v>
      </c>
      <c r="AK49">
        <f t="shared" si="17"/>
        <v>18.984728800000003</v>
      </c>
      <c r="AL49">
        <f t="shared" si="3"/>
        <v>0.33917000000000003</v>
      </c>
      <c r="AM49">
        <f t="shared" si="4"/>
        <v>24.470080000000003</v>
      </c>
      <c r="AN49">
        <f t="shared" si="5"/>
        <v>0.17538999999999999</v>
      </c>
      <c r="AO49">
        <f t="shared" si="6"/>
        <v>14.329360000000012</v>
      </c>
      <c r="AP49">
        <f t="shared" si="7"/>
        <v>0.14992000000000003</v>
      </c>
      <c r="AQ49">
        <f t="shared" si="8"/>
        <v>14.224080000000001</v>
      </c>
      <c r="AR49">
        <f t="shared" si="9"/>
        <v>6.2370000000000002E-2</v>
      </c>
      <c r="AS49">
        <f t="shared" si="10"/>
        <v>8.6498799999999996</v>
      </c>
      <c r="AU49" s="12">
        <f t="shared" si="11"/>
        <v>0.33917000000000003</v>
      </c>
      <c r="AV49" s="12">
        <f t="shared" si="1"/>
        <v>0.45917000000000002</v>
      </c>
      <c r="AW49">
        <f t="shared" si="12"/>
        <v>24.470080000000003</v>
      </c>
      <c r="AX49">
        <f t="shared" si="13"/>
        <v>24.470080000000003</v>
      </c>
      <c r="AY49">
        <v>47</v>
      </c>
    </row>
    <row r="50" spans="1:51">
      <c r="M50" s="19">
        <v>28.6</v>
      </c>
      <c r="N50" s="19">
        <v>-38.461538461538467</v>
      </c>
      <c r="AI50">
        <v>48</v>
      </c>
      <c r="AJ50">
        <f t="shared" si="2"/>
        <v>0.22836079999999997</v>
      </c>
      <c r="AK50">
        <f t="shared" si="17"/>
        <v>19.213089600000004</v>
      </c>
      <c r="AL50">
        <f t="shared" si="3"/>
        <v>0.33128000000000002</v>
      </c>
      <c r="AM50">
        <f t="shared" si="4"/>
        <v>24.801360000000003</v>
      </c>
      <c r="AN50">
        <f t="shared" si="5"/>
        <v>0.16975999999999999</v>
      </c>
      <c r="AO50">
        <f t="shared" si="6"/>
        <v>14.499120000000012</v>
      </c>
      <c r="AP50">
        <f t="shared" si="7"/>
        <v>0.14328000000000002</v>
      </c>
      <c r="AQ50">
        <f t="shared" si="8"/>
        <v>14.367360000000001</v>
      </c>
      <c r="AR50">
        <f t="shared" si="9"/>
        <v>5.7079999999999985E-2</v>
      </c>
      <c r="AS50">
        <f t="shared" si="10"/>
        <v>8.7069599999999987</v>
      </c>
      <c r="AU50" s="12">
        <f t="shared" si="11"/>
        <v>0.33128000000000002</v>
      </c>
      <c r="AV50" s="12">
        <f t="shared" si="1"/>
        <v>0.45128000000000001</v>
      </c>
      <c r="AW50">
        <f t="shared" si="12"/>
        <v>24.801360000000003</v>
      </c>
      <c r="AX50">
        <f t="shared" si="13"/>
        <v>24.801360000000003</v>
      </c>
      <c r="AY50">
        <v>48</v>
      </c>
    </row>
    <row r="51" spans="1:51">
      <c r="M51" s="19">
        <v>32.400000000000006</v>
      </c>
      <c r="N51" s="19">
        <v>190.74074074074073</v>
      </c>
      <c r="AI51">
        <v>49</v>
      </c>
      <c r="AJ51">
        <f t="shared" si="2"/>
        <v>0.22104539999999998</v>
      </c>
      <c r="AK51">
        <f t="shared" si="17"/>
        <v>19.434135000000005</v>
      </c>
      <c r="AL51">
        <f t="shared" si="3"/>
        <v>0.32339000000000007</v>
      </c>
      <c r="AM51">
        <f t="shared" si="4"/>
        <v>25.124750000000002</v>
      </c>
      <c r="AN51">
        <f t="shared" si="5"/>
        <v>0.16413</v>
      </c>
      <c r="AO51">
        <f t="shared" si="6"/>
        <v>14.663250000000012</v>
      </c>
      <c r="AP51">
        <f t="shared" si="7"/>
        <v>0.13664000000000004</v>
      </c>
      <c r="AQ51">
        <f t="shared" si="8"/>
        <v>14.504000000000001</v>
      </c>
      <c r="AR51">
        <f t="shared" si="9"/>
        <v>5.1790000000000024E-2</v>
      </c>
      <c r="AS51">
        <f t="shared" si="10"/>
        <v>8.7587499999999991</v>
      </c>
      <c r="AU51" s="12">
        <f t="shared" si="11"/>
        <v>0.32339000000000007</v>
      </c>
      <c r="AV51" s="12">
        <f t="shared" si="1"/>
        <v>0.44339000000000006</v>
      </c>
      <c r="AW51">
        <f t="shared" si="12"/>
        <v>25.124750000000002</v>
      </c>
      <c r="AX51">
        <f t="shared" si="13"/>
        <v>25.124750000000002</v>
      </c>
      <c r="AY51">
        <v>49</v>
      </c>
    </row>
    <row r="52" spans="1:51">
      <c r="M52" s="19">
        <v>34.020000000000003</v>
      </c>
      <c r="N52" s="19">
        <v>241.07142857142856</v>
      </c>
      <c r="AI52">
        <v>50</v>
      </c>
      <c r="AJ52">
        <f t="shared" si="2"/>
        <v>0.21372999999999995</v>
      </c>
      <c r="AK52">
        <f t="shared" si="17"/>
        <v>19.647865000000003</v>
      </c>
      <c r="AL52">
        <f t="shared" si="3"/>
        <v>0.3155</v>
      </c>
      <c r="AM52">
        <f t="shared" si="4"/>
        <v>25.440250000000002</v>
      </c>
      <c r="AN52">
        <f t="shared" si="5"/>
        <v>0.1585</v>
      </c>
      <c r="AO52">
        <f t="shared" si="6"/>
        <v>14.821750000000012</v>
      </c>
      <c r="AP52">
        <f t="shared" si="7"/>
        <v>0.13</v>
      </c>
      <c r="AQ52">
        <f t="shared" si="8"/>
        <v>14.634000000000002</v>
      </c>
      <c r="AR52">
        <f t="shared" si="9"/>
        <v>4.65E-2</v>
      </c>
      <c r="AS52">
        <f t="shared" si="10"/>
        <v>8.8052499999999991</v>
      </c>
      <c r="AU52" s="12">
        <f t="shared" si="11"/>
        <v>0.3155</v>
      </c>
      <c r="AV52" s="12">
        <f t="shared" si="1"/>
        <v>0.4355</v>
      </c>
      <c r="AW52">
        <f t="shared" si="12"/>
        <v>25.440250000000002</v>
      </c>
      <c r="AX52">
        <f t="shared" si="13"/>
        <v>25.440250000000002</v>
      </c>
      <c r="AY52">
        <v>50</v>
      </c>
    </row>
    <row r="53" spans="1:51">
      <c r="A53" s="12" t="s">
        <v>590</v>
      </c>
      <c r="B53" s="12" t="s">
        <v>131</v>
      </c>
      <c r="M53" s="19">
        <v>34.580000000000005</v>
      </c>
      <c r="N53" s="19">
        <v>278.57142857142856</v>
      </c>
      <c r="AI53">
        <v>51</v>
      </c>
      <c r="AJ53">
        <f t="shared" si="2"/>
        <v>0.2064146</v>
      </c>
      <c r="AK53">
        <f t="shared" si="17"/>
        <v>19.854279600000002</v>
      </c>
      <c r="AL53">
        <f t="shared" si="3"/>
        <v>0.30760999999999999</v>
      </c>
      <c r="AM53">
        <f t="shared" si="4"/>
        <v>25.747860000000003</v>
      </c>
      <c r="AN53">
        <f t="shared" si="5"/>
        <v>0.15287000000000001</v>
      </c>
      <c r="AO53">
        <f t="shared" si="6"/>
        <v>14.974620000000012</v>
      </c>
      <c r="AP53">
        <f t="shared" si="7"/>
        <v>0.12336000000000001</v>
      </c>
      <c r="AQ53">
        <f t="shared" si="8"/>
        <v>14.757360000000002</v>
      </c>
      <c r="AR53">
        <f t="shared" si="9"/>
        <v>4.1209999999999983E-2</v>
      </c>
      <c r="AS53">
        <f t="shared" si="10"/>
        <v>8.8464599999999987</v>
      </c>
      <c r="AU53" s="12">
        <f t="shared" si="11"/>
        <v>0.30760999999999999</v>
      </c>
      <c r="AV53" s="12">
        <f t="shared" si="1"/>
        <v>0.42760999999999999</v>
      </c>
      <c r="AW53">
        <f t="shared" si="12"/>
        <v>25.747860000000003</v>
      </c>
      <c r="AX53">
        <f t="shared" si="13"/>
        <v>25.747860000000003</v>
      </c>
      <c r="AY53">
        <v>51</v>
      </c>
    </row>
    <row r="54" spans="1:51">
      <c r="A54" s="12">
        <v>48.2</v>
      </c>
      <c r="B54" s="12">
        <v>18.075140077380951</v>
      </c>
      <c r="M54" s="19">
        <v>41.58</v>
      </c>
      <c r="N54" s="19">
        <v>73.469387755102048</v>
      </c>
      <c r="AI54">
        <v>52</v>
      </c>
      <c r="AJ54">
        <f t="shared" si="2"/>
        <v>0.1990992</v>
      </c>
      <c r="AK54">
        <f t="shared" si="17"/>
        <v>20.053378800000001</v>
      </c>
      <c r="AL54">
        <f t="shared" si="3"/>
        <v>0.29972000000000004</v>
      </c>
      <c r="AM54">
        <f t="shared" si="4"/>
        <v>26.047580000000004</v>
      </c>
      <c r="AN54">
        <f t="shared" si="5"/>
        <v>0.14724000000000001</v>
      </c>
      <c r="AO54">
        <f t="shared" si="6"/>
        <v>15.121860000000012</v>
      </c>
      <c r="AP54">
        <f t="shared" si="7"/>
        <v>0.11672000000000003</v>
      </c>
      <c r="AQ54">
        <f t="shared" si="8"/>
        <v>14.874080000000003</v>
      </c>
      <c r="AR54">
        <f t="shared" si="9"/>
        <v>3.5920000000000014E-2</v>
      </c>
      <c r="AS54">
        <f t="shared" si="10"/>
        <v>8.8823799999999995</v>
      </c>
      <c r="AU54" s="12">
        <f t="shared" si="11"/>
        <v>0.29972000000000004</v>
      </c>
      <c r="AV54" s="12">
        <f t="shared" si="1"/>
        <v>0.41972000000000004</v>
      </c>
      <c r="AW54">
        <f t="shared" si="12"/>
        <v>26.047580000000004</v>
      </c>
      <c r="AX54">
        <f t="shared" si="13"/>
        <v>26.047580000000004</v>
      </c>
      <c r="AY54">
        <v>52</v>
      </c>
    </row>
    <row r="55" spans="1:51">
      <c r="A55" s="12">
        <v>48.4</v>
      </c>
      <c r="B55" s="12">
        <v>13.84692227888778</v>
      </c>
      <c r="M55" s="19">
        <v>51.03</v>
      </c>
      <c r="N55" s="19">
        <v>-142.85714285714283</v>
      </c>
      <c r="AI55">
        <v>53</v>
      </c>
      <c r="AJ55">
        <f t="shared" si="2"/>
        <v>0.19178379999999998</v>
      </c>
      <c r="AK55">
        <f t="shared" si="17"/>
        <v>20.2451626</v>
      </c>
      <c r="AL55">
        <f t="shared" si="3"/>
        <v>0.29183000000000003</v>
      </c>
      <c r="AM55">
        <f t="shared" si="4"/>
        <v>26.339410000000004</v>
      </c>
      <c r="AN55">
        <f t="shared" si="5"/>
        <v>0.14161000000000001</v>
      </c>
      <c r="AO55">
        <f t="shared" si="6"/>
        <v>15.263470000000012</v>
      </c>
      <c r="AP55">
        <f t="shared" si="7"/>
        <v>0.11008000000000004</v>
      </c>
      <c r="AQ55">
        <f t="shared" si="8"/>
        <v>14.984160000000003</v>
      </c>
      <c r="AR55">
        <f t="shared" si="9"/>
        <v>3.0629999999999994E-2</v>
      </c>
      <c r="AS55">
        <f t="shared" si="10"/>
        <v>8.9130099999999999</v>
      </c>
      <c r="AU55" s="12">
        <f t="shared" si="11"/>
        <v>0.29183000000000003</v>
      </c>
      <c r="AV55" s="12">
        <f t="shared" si="1"/>
        <v>0.41183000000000003</v>
      </c>
      <c r="AW55">
        <f t="shared" si="12"/>
        <v>26.339410000000004</v>
      </c>
      <c r="AX55">
        <f t="shared" si="13"/>
        <v>26.339410000000004</v>
      </c>
      <c r="AY55">
        <v>53</v>
      </c>
    </row>
    <row r="56" spans="1:51">
      <c r="A56" s="12">
        <v>48.6</v>
      </c>
      <c r="B56" s="12">
        <v>13.870739899572646</v>
      </c>
      <c r="M56" s="19">
        <v>51.870000000000005</v>
      </c>
      <c r="N56" s="19">
        <v>35.714285714285708</v>
      </c>
      <c r="AI56">
        <v>54</v>
      </c>
      <c r="AJ56">
        <f t="shared" si="2"/>
        <v>0.18446839999999998</v>
      </c>
      <c r="AK56">
        <f t="shared" si="17"/>
        <v>20.429631000000001</v>
      </c>
      <c r="AL56">
        <f t="shared" si="3"/>
        <v>0.28393999999999997</v>
      </c>
      <c r="AM56">
        <f t="shared" si="4"/>
        <v>26.623350000000006</v>
      </c>
      <c r="AN56">
        <f t="shared" si="5"/>
        <v>0.13598000000000002</v>
      </c>
      <c r="AO56">
        <f t="shared" si="6"/>
        <v>15.399450000000012</v>
      </c>
      <c r="AP56">
        <f t="shared" si="7"/>
        <v>0.10344</v>
      </c>
      <c r="AQ56">
        <f t="shared" si="8"/>
        <v>15.087600000000004</v>
      </c>
      <c r="AR56">
        <f t="shared" si="9"/>
        <v>2.5339999999999974E-2</v>
      </c>
      <c r="AS56">
        <f t="shared" si="10"/>
        <v>8.9383499999999998</v>
      </c>
      <c r="AU56" s="12">
        <f t="shared" si="11"/>
        <v>0.28393999999999997</v>
      </c>
      <c r="AV56" s="12">
        <f t="shared" si="1"/>
        <v>0.40394000000000002</v>
      </c>
      <c r="AW56">
        <f t="shared" si="12"/>
        <v>26.623350000000006</v>
      </c>
      <c r="AX56">
        <f t="shared" si="13"/>
        <v>26.623350000000006</v>
      </c>
      <c r="AY56">
        <v>54</v>
      </c>
    </row>
    <row r="57" spans="1:51">
      <c r="A57" s="12">
        <v>49</v>
      </c>
      <c r="B57" s="12">
        <v>13.112563431623927</v>
      </c>
      <c r="M57" s="19">
        <v>53.46</v>
      </c>
      <c r="N57" s="19">
        <v>357.14285714285717</v>
      </c>
      <c r="AI57">
        <v>55</v>
      </c>
      <c r="AJ57">
        <f t="shared" si="2"/>
        <v>0.17715299999999995</v>
      </c>
      <c r="AK57">
        <f t="shared" si="17"/>
        <v>20.606784000000001</v>
      </c>
      <c r="AL57">
        <f t="shared" si="3"/>
        <v>0.27605000000000002</v>
      </c>
      <c r="AM57">
        <f t="shared" si="4"/>
        <v>26.899400000000007</v>
      </c>
      <c r="AN57">
        <f t="shared" si="5"/>
        <v>0.13035000000000002</v>
      </c>
      <c r="AO57">
        <f t="shared" si="6"/>
        <v>15.529800000000012</v>
      </c>
      <c r="AP57">
        <f t="shared" si="7"/>
        <v>9.6800000000000011E-2</v>
      </c>
      <c r="AQ57">
        <f t="shared" si="8"/>
        <v>15.184400000000004</v>
      </c>
      <c r="AR57">
        <f t="shared" si="9"/>
        <v>2.0050000000000012E-2</v>
      </c>
      <c r="AS57">
        <f t="shared" si="10"/>
        <v>8.9583999999999993</v>
      </c>
      <c r="AU57" s="12">
        <f t="shared" si="11"/>
        <v>0.27605000000000002</v>
      </c>
      <c r="AV57" s="12">
        <f t="shared" si="1"/>
        <v>0.39605000000000001</v>
      </c>
      <c r="AW57">
        <f t="shared" si="12"/>
        <v>26.899400000000007</v>
      </c>
      <c r="AX57">
        <f t="shared" si="13"/>
        <v>26.899400000000007</v>
      </c>
      <c r="AY57">
        <v>55</v>
      </c>
    </row>
    <row r="58" spans="1:51">
      <c r="A58" s="12">
        <v>49.4</v>
      </c>
      <c r="B58" s="12">
        <v>17.163170487179489</v>
      </c>
      <c r="M58" s="19">
        <v>55.44</v>
      </c>
      <c r="N58" s="19">
        <v>368.25396825396837</v>
      </c>
      <c r="AI58">
        <v>56</v>
      </c>
      <c r="AJ58">
        <f t="shared" si="2"/>
        <v>0.16983759999999995</v>
      </c>
      <c r="AK58">
        <f t="shared" si="17"/>
        <v>20.776621600000002</v>
      </c>
      <c r="AL58">
        <f t="shared" si="3"/>
        <v>0.26816000000000001</v>
      </c>
      <c r="AM58">
        <f t="shared" si="4"/>
        <v>27.167560000000009</v>
      </c>
      <c r="AN58">
        <f t="shared" si="5"/>
        <v>0.12472000000000003</v>
      </c>
      <c r="AO58">
        <f t="shared" si="6"/>
        <v>15.654520000000012</v>
      </c>
      <c r="AP58">
        <f t="shared" si="7"/>
        <v>9.0160000000000032E-2</v>
      </c>
      <c r="AQ58">
        <f t="shared" si="8"/>
        <v>15.274560000000005</v>
      </c>
      <c r="AR58">
        <f t="shared" si="9"/>
        <v>1.475999999999999E-2</v>
      </c>
      <c r="AS58">
        <f t="shared" si="10"/>
        <v>8.97316</v>
      </c>
      <c r="AU58" s="12">
        <f t="shared" si="11"/>
        <v>0.26816000000000001</v>
      </c>
      <c r="AV58" s="12">
        <f t="shared" si="1"/>
        <v>0.38816000000000001</v>
      </c>
      <c r="AW58">
        <f t="shared" si="12"/>
        <v>27.167560000000009</v>
      </c>
      <c r="AX58">
        <f t="shared" si="13"/>
        <v>27.167560000000009</v>
      </c>
      <c r="AY58">
        <v>56</v>
      </c>
    </row>
    <row r="59" spans="1:51">
      <c r="A59" s="12">
        <v>49.6</v>
      </c>
      <c r="B59" s="12">
        <v>17.80576681196581</v>
      </c>
      <c r="M59" s="19">
        <v>59.400000000000006</v>
      </c>
      <c r="N59" s="19">
        <v>250</v>
      </c>
      <c r="AI59">
        <v>57</v>
      </c>
      <c r="AJ59">
        <f t="shared" si="2"/>
        <v>0.16252220000000001</v>
      </c>
      <c r="AK59">
        <f t="shared" si="17"/>
        <v>20.939143800000004</v>
      </c>
      <c r="AL59">
        <f t="shared" si="3"/>
        <v>0.26027000000000006</v>
      </c>
      <c r="AM59">
        <f t="shared" si="4"/>
        <v>27.427830000000007</v>
      </c>
      <c r="AN59">
        <f t="shared" si="5"/>
        <v>0.11909000000000003</v>
      </c>
      <c r="AO59">
        <f t="shared" si="6"/>
        <v>15.773610000000012</v>
      </c>
      <c r="AP59">
        <f t="shared" si="7"/>
        <v>8.3520000000000039E-2</v>
      </c>
      <c r="AQ59">
        <f t="shared" si="8"/>
        <v>15.358080000000005</v>
      </c>
      <c r="AR59">
        <f t="shared" si="9"/>
        <v>9.4699999999999698E-3</v>
      </c>
      <c r="AS59">
        <f t="shared" si="10"/>
        <v>8.9826300000000003</v>
      </c>
      <c r="AU59" s="12">
        <f t="shared" si="11"/>
        <v>0.26027000000000006</v>
      </c>
      <c r="AV59" s="12">
        <f t="shared" si="1"/>
        <v>0.38027000000000005</v>
      </c>
      <c r="AW59">
        <f t="shared" si="12"/>
        <v>27.427830000000007</v>
      </c>
      <c r="AX59">
        <f t="shared" si="13"/>
        <v>27.427830000000007</v>
      </c>
      <c r="AY59">
        <v>57</v>
      </c>
    </row>
    <row r="60" spans="1:51">
      <c r="A60" s="12">
        <v>50</v>
      </c>
      <c r="B60" s="12">
        <v>16.932607517094016</v>
      </c>
      <c r="M60" s="19">
        <v>60.480000000000004</v>
      </c>
      <c r="N60" s="19">
        <v>85.470085470085465</v>
      </c>
      <c r="AI60">
        <v>58</v>
      </c>
      <c r="AJ60">
        <f t="shared" si="2"/>
        <v>0.15520679999999998</v>
      </c>
      <c r="AK60">
        <f t="shared" si="17"/>
        <v>21.094350600000002</v>
      </c>
      <c r="AL60">
        <f t="shared" si="3"/>
        <v>0.25237999999999999</v>
      </c>
      <c r="AM60">
        <f t="shared" si="4"/>
        <v>27.680210000000006</v>
      </c>
      <c r="AN60">
        <f t="shared" si="5"/>
        <v>0.11345999999999998</v>
      </c>
      <c r="AO60">
        <f t="shared" si="6"/>
        <v>15.887070000000012</v>
      </c>
      <c r="AP60">
        <f t="shared" si="7"/>
        <v>7.687999999999999E-2</v>
      </c>
      <c r="AQ60">
        <f t="shared" si="8"/>
        <v>15.434960000000004</v>
      </c>
      <c r="AR60">
        <f t="shared" si="9"/>
        <v>4.1800000000000066E-3</v>
      </c>
      <c r="AS60">
        <f t="shared" si="10"/>
        <v>8.9868100000000002</v>
      </c>
      <c r="AU60" s="12">
        <f t="shared" si="11"/>
        <v>0.25237999999999999</v>
      </c>
      <c r="AV60" s="12">
        <f t="shared" si="1"/>
        <v>0.37237999999999999</v>
      </c>
      <c r="AW60">
        <f t="shared" si="12"/>
        <v>27.680210000000006</v>
      </c>
      <c r="AX60">
        <f t="shared" si="13"/>
        <v>27.680210000000006</v>
      </c>
      <c r="AY60">
        <v>58</v>
      </c>
    </row>
    <row r="61" spans="1:51">
      <c r="A61" s="12">
        <v>50.2</v>
      </c>
      <c r="B61" s="12">
        <v>18.271719676085816</v>
      </c>
      <c r="M61" s="19">
        <v>68.040000000000006</v>
      </c>
      <c r="N61" s="19">
        <v>139.28571428571422</v>
      </c>
      <c r="AI61">
        <v>59</v>
      </c>
      <c r="AJ61">
        <f t="shared" si="2"/>
        <v>0.14789139999999998</v>
      </c>
      <c r="AK61">
        <f t="shared" si="17"/>
        <v>21.242242000000001</v>
      </c>
      <c r="AL61">
        <f t="shared" si="3"/>
        <v>0.24449000000000001</v>
      </c>
      <c r="AM61">
        <f t="shared" si="4"/>
        <v>27.924700000000005</v>
      </c>
      <c r="AN61">
        <f t="shared" si="5"/>
        <v>0.10782999999999998</v>
      </c>
      <c r="AO61">
        <f t="shared" si="6"/>
        <v>15.994900000000012</v>
      </c>
      <c r="AP61">
        <f t="shared" si="7"/>
        <v>7.0240000000000011E-2</v>
      </c>
      <c r="AQ61">
        <f t="shared" si="8"/>
        <v>15.505200000000004</v>
      </c>
      <c r="AR61">
        <f t="shared" si="9"/>
        <v>-1.1100000000000135E-3</v>
      </c>
      <c r="AS61">
        <f t="shared" si="10"/>
        <v>8.9856999999999996</v>
      </c>
      <c r="AU61" s="12">
        <f t="shared" si="11"/>
        <v>0.24449000000000001</v>
      </c>
      <c r="AV61" s="12">
        <f t="shared" si="1"/>
        <v>0.36449000000000004</v>
      </c>
      <c r="AW61">
        <f t="shared" si="12"/>
        <v>27.924700000000005</v>
      </c>
      <c r="AX61">
        <f t="shared" si="13"/>
        <v>27.924700000000005</v>
      </c>
      <c r="AY61">
        <v>59</v>
      </c>
    </row>
    <row r="62" spans="1:51">
      <c r="A62" s="12">
        <v>50.4</v>
      </c>
      <c r="B62" s="12">
        <v>15.946162256410256</v>
      </c>
      <c r="M62" s="19">
        <v>69.160000000000011</v>
      </c>
      <c r="N62" s="19">
        <v>50.000000000000028</v>
      </c>
      <c r="AI62">
        <v>60</v>
      </c>
      <c r="AJ62">
        <f t="shared" si="2"/>
        <v>0.14057599999999998</v>
      </c>
      <c r="AK62">
        <f t="shared" si="17"/>
        <v>21.382818</v>
      </c>
      <c r="AL62">
        <f t="shared" si="3"/>
        <v>0.23660000000000003</v>
      </c>
      <c r="AM62">
        <f t="shared" si="4"/>
        <v>28.161300000000004</v>
      </c>
      <c r="AN62">
        <f t="shared" si="5"/>
        <v>0.10219999999999999</v>
      </c>
      <c r="AO62">
        <f t="shared" si="6"/>
        <v>16.097100000000012</v>
      </c>
      <c r="AP62">
        <f t="shared" si="7"/>
        <v>6.3600000000000018E-2</v>
      </c>
      <c r="AQ62">
        <f t="shared" si="8"/>
        <v>15.568800000000003</v>
      </c>
      <c r="AR62">
        <f t="shared" si="9"/>
        <v>-6.3999999999999769E-3</v>
      </c>
      <c r="AS62">
        <f t="shared" si="10"/>
        <v>8.9793000000000003</v>
      </c>
      <c r="AU62" s="12">
        <f t="shared" si="11"/>
        <v>0.23660000000000003</v>
      </c>
      <c r="AV62" s="12">
        <f t="shared" si="1"/>
        <v>0.35660000000000003</v>
      </c>
      <c r="AW62">
        <f t="shared" si="12"/>
        <v>28.161300000000004</v>
      </c>
      <c r="AX62">
        <f t="shared" si="13"/>
        <v>28.161300000000004</v>
      </c>
      <c r="AY62">
        <v>60</v>
      </c>
    </row>
    <row r="63" spans="1:51">
      <c r="A63" s="12">
        <v>50.6</v>
      </c>
      <c r="B63" s="12">
        <v>20.79159605641026</v>
      </c>
      <c r="M63" s="19">
        <v>69.3</v>
      </c>
      <c r="N63" s="19">
        <v>109.52380952380946</v>
      </c>
      <c r="AI63">
        <v>61</v>
      </c>
      <c r="AJ63">
        <f t="shared" si="2"/>
        <v>0.13326059999999995</v>
      </c>
      <c r="AK63">
        <f t="shared" si="17"/>
        <v>21.5160786</v>
      </c>
      <c r="AL63">
        <f t="shared" si="3"/>
        <v>0.22871000000000002</v>
      </c>
      <c r="AM63">
        <f t="shared" si="4"/>
        <v>28.390010000000004</v>
      </c>
      <c r="AN63">
        <f t="shared" si="5"/>
        <v>9.6569999999999989E-2</v>
      </c>
      <c r="AO63">
        <f t="shared" si="6"/>
        <v>16.193670000000012</v>
      </c>
      <c r="AP63">
        <f t="shared" si="7"/>
        <v>5.6960000000000038E-2</v>
      </c>
      <c r="AQ63">
        <f t="shared" si="8"/>
        <v>15.625760000000003</v>
      </c>
      <c r="AR63">
        <f t="shared" si="9"/>
        <v>-1.1689999999999997E-2</v>
      </c>
      <c r="AS63">
        <f t="shared" si="10"/>
        <v>8.9676100000000005</v>
      </c>
      <c r="AU63" s="12">
        <f t="shared" si="11"/>
        <v>0.22871000000000002</v>
      </c>
      <c r="AV63" s="12">
        <f t="shared" si="1"/>
        <v>0.34871000000000002</v>
      </c>
      <c r="AW63">
        <f t="shared" si="12"/>
        <v>28.390010000000004</v>
      </c>
      <c r="AX63">
        <f t="shared" si="13"/>
        <v>28.390010000000004</v>
      </c>
      <c r="AY63">
        <v>61</v>
      </c>
    </row>
    <row r="64" spans="1:51">
      <c r="A64" s="12">
        <v>50.8</v>
      </c>
      <c r="B64" s="12">
        <v>17.191414976190487</v>
      </c>
      <c r="M64" s="19">
        <v>83.16</v>
      </c>
      <c r="N64" s="19">
        <v>-178.02197802197804</v>
      </c>
      <c r="AI64">
        <v>62</v>
      </c>
      <c r="AJ64">
        <f t="shared" si="2"/>
        <v>0.12594520000000001</v>
      </c>
      <c r="AK64">
        <f t="shared" si="17"/>
        <v>21.6420238</v>
      </c>
      <c r="AL64">
        <f t="shared" si="3"/>
        <v>0.22081999999999999</v>
      </c>
      <c r="AM64">
        <f t="shared" si="4"/>
        <v>28.610830000000004</v>
      </c>
      <c r="AN64">
        <f t="shared" si="5"/>
        <v>9.0939999999999993E-2</v>
      </c>
      <c r="AO64">
        <f t="shared" si="6"/>
        <v>16.284610000000011</v>
      </c>
      <c r="AP64">
        <f t="shared" si="7"/>
        <v>5.031999999999999E-2</v>
      </c>
      <c r="AQ64">
        <f t="shared" si="8"/>
        <v>15.676080000000002</v>
      </c>
      <c r="AR64">
        <f t="shared" si="9"/>
        <v>-1.6980000000000019E-2</v>
      </c>
      <c r="AS64">
        <f t="shared" si="10"/>
        <v>8.9506300000000003</v>
      </c>
      <c r="AU64" s="12">
        <f t="shared" si="11"/>
        <v>0.22081999999999999</v>
      </c>
      <c r="AV64" s="12">
        <f t="shared" si="1"/>
        <v>0.34082000000000001</v>
      </c>
      <c r="AW64">
        <f t="shared" si="12"/>
        <v>28.610830000000004</v>
      </c>
      <c r="AX64">
        <f t="shared" si="13"/>
        <v>28.610830000000004</v>
      </c>
      <c r="AY64">
        <v>62</v>
      </c>
    </row>
    <row r="65" spans="1:51">
      <c r="A65" s="12">
        <v>51</v>
      </c>
      <c r="B65" s="12">
        <v>15.513613117357</v>
      </c>
      <c r="M65" s="19">
        <v>97.02</v>
      </c>
      <c r="N65" s="19">
        <v>-137.41496598639429</v>
      </c>
      <c r="AI65">
        <v>63</v>
      </c>
      <c r="AJ65">
        <f t="shared" si="2"/>
        <v>0.11862979999999999</v>
      </c>
      <c r="AK65">
        <f t="shared" si="17"/>
        <v>21.760653600000001</v>
      </c>
      <c r="AL65">
        <f t="shared" si="3"/>
        <v>0.21293000000000001</v>
      </c>
      <c r="AM65">
        <f t="shared" si="4"/>
        <v>28.823760000000004</v>
      </c>
      <c r="AN65">
        <f t="shared" si="5"/>
        <v>8.5309999999999997E-2</v>
      </c>
      <c r="AO65">
        <f t="shared" si="6"/>
        <v>16.369920000000011</v>
      </c>
      <c r="AP65">
        <f t="shared" si="7"/>
        <v>4.3680000000000004E-2</v>
      </c>
      <c r="AQ65">
        <f t="shared" si="8"/>
        <v>15.719760000000003</v>
      </c>
      <c r="AR65">
        <f t="shared" si="9"/>
        <v>-2.2269999999999981E-2</v>
      </c>
      <c r="AS65">
        <f t="shared" si="10"/>
        <v>8.9283599999999996</v>
      </c>
      <c r="AU65" s="12">
        <f t="shared" si="11"/>
        <v>0.21293000000000001</v>
      </c>
      <c r="AV65" s="12">
        <f t="shared" si="1"/>
        <v>0.33293</v>
      </c>
      <c r="AW65">
        <f t="shared" si="12"/>
        <v>28.823760000000004</v>
      </c>
      <c r="AX65">
        <f t="shared" si="13"/>
        <v>28.823760000000004</v>
      </c>
      <c r="AY65">
        <v>63</v>
      </c>
    </row>
    <row r="66" spans="1:51">
      <c r="A66" s="12">
        <v>51.2</v>
      </c>
      <c r="B66" s="12">
        <v>14.028359025641025</v>
      </c>
      <c r="M66" s="19">
        <v>102.06</v>
      </c>
      <c r="N66" s="19">
        <v>-185.71428571428567</v>
      </c>
      <c r="AI66">
        <v>64</v>
      </c>
      <c r="AJ66">
        <f t="shared" si="2"/>
        <v>0.11131439999999998</v>
      </c>
      <c r="AK66">
        <f t="shared" si="17"/>
        <v>21.871968000000003</v>
      </c>
      <c r="AL66">
        <f t="shared" si="3"/>
        <v>0.20504000000000003</v>
      </c>
      <c r="AM66">
        <f t="shared" si="4"/>
        <v>29.028800000000004</v>
      </c>
      <c r="AN66">
        <f t="shared" si="5"/>
        <v>7.9680000000000001E-2</v>
      </c>
      <c r="AO66">
        <f t="shared" si="6"/>
        <v>16.449600000000011</v>
      </c>
      <c r="AP66">
        <f t="shared" si="7"/>
        <v>3.7040000000000017E-2</v>
      </c>
      <c r="AQ66">
        <f t="shared" si="8"/>
        <v>15.756800000000002</v>
      </c>
      <c r="AR66">
        <f t="shared" si="9"/>
        <v>-2.7560000000000001E-2</v>
      </c>
      <c r="AS66">
        <f t="shared" si="10"/>
        <v>8.9008000000000003</v>
      </c>
      <c r="AU66" s="12">
        <f t="shared" si="11"/>
        <v>0.20504000000000003</v>
      </c>
      <c r="AV66" s="12">
        <f t="shared" si="1"/>
        <v>0.32504</v>
      </c>
      <c r="AW66">
        <f t="shared" si="12"/>
        <v>29.028800000000004</v>
      </c>
      <c r="AX66">
        <f t="shared" si="13"/>
        <v>29.028800000000004</v>
      </c>
      <c r="AY66">
        <v>64</v>
      </c>
    </row>
    <row r="67" spans="1:51">
      <c r="A67" s="12">
        <v>51.4</v>
      </c>
      <c r="B67" s="12">
        <v>18.406768016025641</v>
      </c>
      <c r="M67" s="19">
        <v>103.74000000000001</v>
      </c>
      <c r="N67" s="19">
        <v>-166.66666666666666</v>
      </c>
      <c r="AI67">
        <v>65</v>
      </c>
      <c r="AJ67">
        <f t="shared" si="2"/>
        <v>0.10399899999999997</v>
      </c>
      <c r="AK67">
        <f t="shared" si="17"/>
        <v>21.975967000000004</v>
      </c>
      <c r="AL67">
        <f t="shared" si="3"/>
        <v>0.19714999999999996</v>
      </c>
      <c r="AM67">
        <f t="shared" si="4"/>
        <v>29.225950000000005</v>
      </c>
      <c r="AN67">
        <f t="shared" si="5"/>
        <v>7.4050000000000005E-2</v>
      </c>
      <c r="AO67">
        <f t="shared" si="6"/>
        <v>16.523650000000011</v>
      </c>
      <c r="AP67">
        <f t="shared" si="7"/>
        <v>3.0400000000000035E-2</v>
      </c>
      <c r="AQ67">
        <f t="shared" si="8"/>
        <v>15.787200000000002</v>
      </c>
      <c r="AR67">
        <f t="shared" si="9"/>
        <v>-3.2850000000000025E-2</v>
      </c>
      <c r="AS67">
        <f t="shared" si="10"/>
        <v>8.8679500000000004</v>
      </c>
      <c r="AU67" s="12">
        <f t="shared" si="11"/>
        <v>0.19714999999999996</v>
      </c>
      <c r="AV67" s="12">
        <f t="shared" si="1"/>
        <v>0.31714999999999999</v>
      </c>
      <c r="AW67">
        <f t="shared" si="12"/>
        <v>29.225950000000005</v>
      </c>
      <c r="AX67">
        <f t="shared" si="13"/>
        <v>29.225950000000005</v>
      </c>
      <c r="AY67">
        <v>65</v>
      </c>
    </row>
    <row r="68" spans="1:51">
      <c r="A68" s="12">
        <v>51.6</v>
      </c>
      <c r="B68" s="12">
        <v>15.503027852289378</v>
      </c>
      <c r="M68" s="19">
        <v>106.92</v>
      </c>
      <c r="N68" s="19">
        <v>-7.4074074074075105</v>
      </c>
      <c r="AI68">
        <v>66</v>
      </c>
      <c r="AJ68">
        <f t="shared" ref="AJ68:AJ131" si="18">(-7.3154*AI68+579.5)/1000</f>
        <v>9.6683599999999953E-2</v>
      </c>
      <c r="AK68">
        <f t="shared" si="17"/>
        <v>22.072650600000003</v>
      </c>
      <c r="AL68">
        <f t="shared" si="3"/>
        <v>0.18925999999999998</v>
      </c>
      <c r="AM68">
        <f t="shared" si="4"/>
        <v>29.415210000000005</v>
      </c>
      <c r="AN68">
        <f t="shared" si="5"/>
        <v>6.8420000000000022E-2</v>
      </c>
      <c r="AO68">
        <f t="shared" si="6"/>
        <v>16.59207000000001</v>
      </c>
      <c r="AP68">
        <f t="shared" si="7"/>
        <v>2.3760000000000048E-2</v>
      </c>
      <c r="AQ68">
        <f t="shared" si="8"/>
        <v>15.810960000000001</v>
      </c>
      <c r="AR68">
        <f t="shared" si="9"/>
        <v>-3.8139999999999986E-2</v>
      </c>
      <c r="AS68">
        <f t="shared" si="10"/>
        <v>8.8298100000000002</v>
      </c>
      <c r="AU68" s="12">
        <f t="shared" si="11"/>
        <v>0.18925999999999998</v>
      </c>
      <c r="AV68" s="12">
        <f t="shared" ref="AV68:AV131" si="19">($AF$3*$AI68+$AG$3+120)/1000</f>
        <v>0.30925999999999998</v>
      </c>
      <c r="AW68">
        <f t="shared" si="12"/>
        <v>29.415210000000005</v>
      </c>
      <c r="AX68">
        <f t="shared" si="13"/>
        <v>29.415210000000005</v>
      </c>
      <c r="AY68">
        <v>66</v>
      </c>
    </row>
    <row r="69" spans="1:51">
      <c r="A69" s="12">
        <v>51.8</v>
      </c>
      <c r="B69" s="12">
        <v>18.86057568376069</v>
      </c>
      <c r="M69" s="19">
        <v>110.88</v>
      </c>
      <c r="N69" s="19">
        <v>-213.60544217687064</v>
      </c>
      <c r="AI69">
        <v>67</v>
      </c>
      <c r="AJ69">
        <f t="shared" si="18"/>
        <v>8.9368199999999995E-2</v>
      </c>
      <c r="AK69">
        <f t="shared" ref="AK69:AK100" si="20">((-7.3154*AI69+579.5)/1000)+AK68</f>
        <v>22.162018800000002</v>
      </c>
      <c r="AL69">
        <f t="shared" ref="AL69:AL132" si="21">($AF$3*$AI69+$AG$3)/1000</f>
        <v>0.18137</v>
      </c>
      <c r="AM69">
        <f t="shared" ref="AM69:AM132" si="22">(($AF$3*$AI69+$AG$3)/1000)+AM68</f>
        <v>29.596580000000007</v>
      </c>
      <c r="AN69">
        <f t="shared" ref="AN69:AN132" si="23">($AF$4*$AI69+$AG$4)/1000</f>
        <v>6.2790000000000026E-2</v>
      </c>
      <c r="AO69">
        <f t="shared" ref="AO69:AO132" si="24">(($AF$4*$AI69+$AG$4)/1000)+AO68</f>
        <v>16.65486000000001</v>
      </c>
      <c r="AP69">
        <f t="shared" ref="AP69:AP132" si="25">($AF$5*$AI69+$AG$5)/1000</f>
        <v>1.7120000000000003E-2</v>
      </c>
      <c r="AQ69">
        <f t="shared" ref="AQ69:AQ132" si="26">(($AF$5*$AI69+$AG$5)/1000)+AQ68</f>
        <v>15.828080000000002</v>
      </c>
      <c r="AR69">
        <f t="shared" ref="AR69:AR132" si="27">($AF$6*$AI69+$AG$6)/1000</f>
        <v>-4.343000000000001E-2</v>
      </c>
      <c r="AS69">
        <f t="shared" ref="AS69:AS132" si="28">(($AF$6*$AI69+$AG$6)/1000)+AS68</f>
        <v>8.7863799999999994</v>
      </c>
      <c r="AU69" s="12">
        <f t="shared" ref="AU69:AU132" si="29">($AF$3*$AI69+$AG$3)/1000</f>
        <v>0.18137</v>
      </c>
      <c r="AV69" s="12">
        <f t="shared" si="19"/>
        <v>0.30137000000000003</v>
      </c>
      <c r="AW69">
        <f t="shared" ref="AW69:AW132" si="30">(($AF$3*$AI69+$AG$3)/1000)+AW68</f>
        <v>29.596580000000007</v>
      </c>
      <c r="AX69">
        <f t="shared" ref="AX69:AX92" si="31">AU69+AX68</f>
        <v>29.596580000000007</v>
      </c>
      <c r="AY69">
        <v>67</v>
      </c>
    </row>
    <row r="70" spans="1:51">
      <c r="A70" s="12">
        <v>52</v>
      </c>
      <c r="B70" s="12">
        <v>21.948195055555548</v>
      </c>
      <c r="AI70">
        <v>68</v>
      </c>
      <c r="AJ70">
        <f t="shared" si="18"/>
        <v>8.2052799999999995E-2</v>
      </c>
      <c r="AK70">
        <f t="shared" si="20"/>
        <v>22.244071600000002</v>
      </c>
      <c r="AL70">
        <f t="shared" si="21"/>
        <v>0.17348000000000002</v>
      </c>
      <c r="AM70">
        <f t="shared" si="22"/>
        <v>29.770060000000008</v>
      </c>
      <c r="AN70">
        <f t="shared" si="23"/>
        <v>5.7160000000000023E-2</v>
      </c>
      <c r="AO70">
        <f t="shared" si="24"/>
        <v>16.71202000000001</v>
      </c>
      <c r="AP70">
        <f t="shared" si="25"/>
        <v>1.0480000000000019E-2</v>
      </c>
      <c r="AQ70">
        <f t="shared" si="26"/>
        <v>15.838560000000001</v>
      </c>
      <c r="AR70">
        <f t="shared" si="27"/>
        <v>-4.8720000000000027E-2</v>
      </c>
      <c r="AS70">
        <f t="shared" si="28"/>
        <v>8.73766</v>
      </c>
      <c r="AU70" s="12">
        <f t="shared" si="29"/>
        <v>0.17348000000000002</v>
      </c>
      <c r="AV70" s="12">
        <f t="shared" si="19"/>
        <v>0.29348000000000002</v>
      </c>
      <c r="AW70">
        <f t="shared" si="30"/>
        <v>29.770060000000008</v>
      </c>
      <c r="AX70">
        <f t="shared" si="31"/>
        <v>29.770060000000008</v>
      </c>
      <c r="AY70">
        <v>68</v>
      </c>
    </row>
    <row r="71" spans="1:51">
      <c r="A71" s="12">
        <v>52.2</v>
      </c>
      <c r="B71" s="12">
        <v>17.321391908882781</v>
      </c>
      <c r="M71" t="s">
        <v>185</v>
      </c>
      <c r="N71" t="s">
        <v>125</v>
      </c>
      <c r="AI71">
        <v>69</v>
      </c>
      <c r="AJ71">
        <f t="shared" si="18"/>
        <v>7.4737399999999982E-2</v>
      </c>
      <c r="AK71">
        <f t="shared" si="20"/>
        <v>22.318809000000002</v>
      </c>
      <c r="AL71">
        <f t="shared" si="21"/>
        <v>0.16559000000000004</v>
      </c>
      <c r="AM71">
        <f t="shared" si="22"/>
        <v>29.93565000000001</v>
      </c>
      <c r="AN71">
        <f t="shared" si="23"/>
        <v>5.1530000000000027E-2</v>
      </c>
      <c r="AO71">
        <f t="shared" si="24"/>
        <v>16.763550000000009</v>
      </c>
      <c r="AP71">
        <f t="shared" si="25"/>
        <v>3.8400000000000318E-3</v>
      </c>
      <c r="AQ71">
        <f t="shared" si="26"/>
        <v>15.842400000000001</v>
      </c>
      <c r="AR71">
        <f t="shared" si="27"/>
        <v>-5.4009999999999989E-2</v>
      </c>
      <c r="AS71">
        <f t="shared" si="28"/>
        <v>8.6836500000000001</v>
      </c>
      <c r="AU71" s="12">
        <f t="shared" si="29"/>
        <v>0.16559000000000004</v>
      </c>
      <c r="AV71" s="12">
        <f t="shared" si="19"/>
        <v>0.28559000000000001</v>
      </c>
      <c r="AW71">
        <f t="shared" si="30"/>
        <v>29.93565000000001</v>
      </c>
      <c r="AX71">
        <f t="shared" si="31"/>
        <v>29.93565000000001</v>
      </c>
      <c r="AY71">
        <v>69</v>
      </c>
    </row>
    <row r="72" spans="1:51">
      <c r="A72" s="12">
        <v>52.4</v>
      </c>
      <c r="B72" s="12">
        <v>18.188927207657425</v>
      </c>
      <c r="M72" s="19">
        <v>13.86</v>
      </c>
      <c r="N72" s="19">
        <v>560.71428571428555</v>
      </c>
      <c r="AI72">
        <v>70</v>
      </c>
      <c r="AJ72">
        <f t="shared" si="18"/>
        <v>6.7422000000000024E-2</v>
      </c>
      <c r="AK72">
        <f t="shared" si="20"/>
        <v>22.386231000000002</v>
      </c>
      <c r="AL72">
        <f t="shared" si="21"/>
        <v>0.15770000000000003</v>
      </c>
      <c r="AM72">
        <f t="shared" si="22"/>
        <v>30.093350000000008</v>
      </c>
      <c r="AN72">
        <f t="shared" si="23"/>
        <v>4.5900000000000031E-2</v>
      </c>
      <c r="AO72">
        <f t="shared" si="24"/>
        <v>16.809450000000009</v>
      </c>
      <c r="AP72">
        <f t="shared" si="25"/>
        <v>-2.7999999999999544E-3</v>
      </c>
      <c r="AQ72">
        <f t="shared" si="26"/>
        <v>15.839600000000001</v>
      </c>
      <c r="AR72">
        <f t="shared" si="27"/>
        <v>-5.9300000000000012E-2</v>
      </c>
      <c r="AS72">
        <f t="shared" si="28"/>
        <v>8.6243499999999997</v>
      </c>
      <c r="AU72" s="12">
        <f t="shared" si="29"/>
        <v>0.15770000000000003</v>
      </c>
      <c r="AV72" s="12">
        <f t="shared" si="19"/>
        <v>0.27770000000000006</v>
      </c>
      <c r="AW72">
        <f t="shared" si="30"/>
        <v>30.093350000000008</v>
      </c>
      <c r="AX72">
        <f t="shared" si="31"/>
        <v>30.093350000000008</v>
      </c>
      <c r="AY72">
        <v>70</v>
      </c>
    </row>
    <row r="73" spans="1:51">
      <c r="A73" s="12">
        <v>52.6</v>
      </c>
      <c r="B73" s="12">
        <v>11.663259334665334</v>
      </c>
      <c r="M73" s="19">
        <v>27.72</v>
      </c>
      <c r="N73" s="19">
        <v>309.89010989011001</v>
      </c>
      <c r="AI73">
        <v>71</v>
      </c>
      <c r="AJ73">
        <f t="shared" si="18"/>
        <v>6.0106599999999955E-2</v>
      </c>
      <c r="AK73">
        <f t="shared" si="20"/>
        <v>22.446337600000003</v>
      </c>
      <c r="AL73">
        <f t="shared" si="21"/>
        <v>0.14981000000000005</v>
      </c>
      <c r="AM73">
        <f t="shared" si="22"/>
        <v>30.243160000000007</v>
      </c>
      <c r="AN73">
        <f t="shared" si="23"/>
        <v>4.0269999999999979E-2</v>
      </c>
      <c r="AO73">
        <f t="shared" si="24"/>
        <v>16.849720000000008</v>
      </c>
      <c r="AP73">
        <f t="shared" si="25"/>
        <v>-9.439999999999997E-3</v>
      </c>
      <c r="AQ73">
        <f t="shared" si="26"/>
        <v>15.830160000000001</v>
      </c>
      <c r="AR73">
        <f t="shared" si="27"/>
        <v>-6.4589999999999981E-2</v>
      </c>
      <c r="AS73">
        <f t="shared" si="28"/>
        <v>8.5597599999999989</v>
      </c>
      <c r="AU73" s="12">
        <f t="shared" si="29"/>
        <v>0.14981000000000005</v>
      </c>
      <c r="AV73" s="12">
        <f t="shared" si="19"/>
        <v>0.26981000000000005</v>
      </c>
      <c r="AW73">
        <f t="shared" si="30"/>
        <v>30.243160000000007</v>
      </c>
      <c r="AX73">
        <f t="shared" si="31"/>
        <v>30.243160000000007</v>
      </c>
      <c r="AY73">
        <v>71</v>
      </c>
    </row>
    <row r="74" spans="1:51">
      <c r="A74" s="12">
        <v>52.8</v>
      </c>
      <c r="B74" s="12">
        <v>15.867898361369397</v>
      </c>
      <c r="M74" s="19">
        <v>28.6</v>
      </c>
      <c r="N74" s="19">
        <v>343.50132625994701</v>
      </c>
      <c r="AI74">
        <v>72</v>
      </c>
      <c r="AJ74">
        <f t="shared" si="18"/>
        <v>5.2791200000000003E-2</v>
      </c>
      <c r="AK74">
        <f t="shared" si="20"/>
        <v>22.499128800000005</v>
      </c>
      <c r="AL74">
        <f t="shared" si="21"/>
        <v>0.14192000000000007</v>
      </c>
      <c r="AM74">
        <f t="shared" si="22"/>
        <v>30.385080000000006</v>
      </c>
      <c r="AN74">
        <f t="shared" si="23"/>
        <v>3.4639999999999983E-2</v>
      </c>
      <c r="AO74">
        <f t="shared" si="24"/>
        <v>16.884360000000008</v>
      </c>
      <c r="AP74">
        <f t="shared" si="25"/>
        <v>-1.6079999999999983E-2</v>
      </c>
      <c r="AQ74">
        <f t="shared" si="26"/>
        <v>15.814080000000001</v>
      </c>
      <c r="AR74">
        <f t="shared" si="27"/>
        <v>-6.9879999999999998E-2</v>
      </c>
      <c r="AS74">
        <f t="shared" si="28"/>
        <v>8.4898799999999994</v>
      </c>
      <c r="AU74" s="12">
        <f t="shared" si="29"/>
        <v>0.14192000000000007</v>
      </c>
      <c r="AV74" s="12">
        <f t="shared" si="19"/>
        <v>0.2619200000000001</v>
      </c>
      <c r="AW74">
        <f t="shared" si="30"/>
        <v>30.385080000000006</v>
      </c>
      <c r="AX74">
        <f t="shared" si="31"/>
        <v>30.385080000000006</v>
      </c>
      <c r="AY74">
        <v>72</v>
      </c>
    </row>
    <row r="75" spans="1:51">
      <c r="A75" s="12">
        <v>53</v>
      </c>
      <c r="B75" s="12">
        <v>17.134616013653016</v>
      </c>
      <c r="M75" s="19">
        <v>32.400000000000006</v>
      </c>
      <c r="N75" s="19">
        <v>144.44444444444446</v>
      </c>
      <c r="AI75">
        <v>73</v>
      </c>
      <c r="AJ75">
        <f t="shared" si="18"/>
        <v>4.5475799999999934E-2</v>
      </c>
      <c r="AK75">
        <f t="shared" si="20"/>
        <v>22.544604600000003</v>
      </c>
      <c r="AL75">
        <f t="shared" si="21"/>
        <v>0.13402999999999998</v>
      </c>
      <c r="AM75">
        <f t="shared" si="22"/>
        <v>30.519110000000005</v>
      </c>
      <c r="AN75">
        <f t="shared" si="23"/>
        <v>2.9009999999999991E-2</v>
      </c>
      <c r="AO75">
        <f t="shared" si="24"/>
        <v>16.913370000000008</v>
      </c>
      <c r="AP75">
        <f t="shared" si="25"/>
        <v>-2.2719999999999969E-2</v>
      </c>
      <c r="AQ75">
        <f t="shared" si="26"/>
        <v>15.791360000000001</v>
      </c>
      <c r="AR75">
        <f t="shared" si="27"/>
        <v>-7.5170000000000015E-2</v>
      </c>
      <c r="AS75">
        <f t="shared" si="28"/>
        <v>8.4147099999999995</v>
      </c>
      <c r="AU75" s="12">
        <f t="shared" si="29"/>
        <v>0.13402999999999998</v>
      </c>
      <c r="AV75" s="12">
        <f t="shared" si="19"/>
        <v>0.25402999999999998</v>
      </c>
      <c r="AW75">
        <f t="shared" si="30"/>
        <v>30.519110000000005</v>
      </c>
      <c r="AX75">
        <f t="shared" si="31"/>
        <v>30.519110000000005</v>
      </c>
      <c r="AY75">
        <v>73</v>
      </c>
    </row>
    <row r="76" spans="1:51">
      <c r="A76" s="12">
        <v>53.2</v>
      </c>
      <c r="B76" s="12">
        <v>17.25321398757195</v>
      </c>
      <c r="M76" s="19">
        <v>34.020000000000003</v>
      </c>
      <c r="N76" s="19">
        <v>173.80952380952385</v>
      </c>
      <c r="AI76">
        <v>74</v>
      </c>
      <c r="AJ76">
        <f t="shared" si="18"/>
        <v>3.8160399999999983E-2</v>
      </c>
      <c r="AK76">
        <f t="shared" si="20"/>
        <v>22.582765000000002</v>
      </c>
      <c r="AL76">
        <f t="shared" si="21"/>
        <v>0.12613999999999997</v>
      </c>
      <c r="AM76">
        <f t="shared" si="22"/>
        <v>30.645250000000004</v>
      </c>
      <c r="AN76">
        <f t="shared" si="23"/>
        <v>2.3379999999999995E-2</v>
      </c>
      <c r="AO76">
        <f t="shared" si="24"/>
        <v>16.936750000000007</v>
      </c>
      <c r="AP76">
        <f t="shared" si="25"/>
        <v>-2.9359999999999956E-2</v>
      </c>
      <c r="AQ76">
        <f t="shared" si="26"/>
        <v>15.762</v>
      </c>
      <c r="AR76">
        <f t="shared" si="27"/>
        <v>-8.0459999999999976E-2</v>
      </c>
      <c r="AS76">
        <f t="shared" si="28"/>
        <v>8.334249999999999</v>
      </c>
      <c r="AU76" s="12">
        <f t="shared" si="29"/>
        <v>0.12613999999999997</v>
      </c>
      <c r="AV76" s="12">
        <f t="shared" si="19"/>
        <v>0.24614</v>
      </c>
      <c r="AW76">
        <f t="shared" si="30"/>
        <v>30.645250000000004</v>
      </c>
      <c r="AX76">
        <f t="shared" si="31"/>
        <v>30.645250000000004</v>
      </c>
      <c r="AY76">
        <v>74</v>
      </c>
    </row>
    <row r="77" spans="1:51">
      <c r="A77" s="12">
        <v>53.4</v>
      </c>
      <c r="B77" s="12">
        <v>13.942423918803421</v>
      </c>
      <c r="M77" s="19">
        <v>34.580000000000005</v>
      </c>
      <c r="N77" s="19">
        <v>132.41758241758234</v>
      </c>
      <c r="AI77">
        <v>75</v>
      </c>
      <c r="AJ77">
        <f t="shared" si="18"/>
        <v>3.0845000000000029E-2</v>
      </c>
      <c r="AK77">
        <f t="shared" si="20"/>
        <v>22.613610000000001</v>
      </c>
      <c r="AL77">
        <f t="shared" si="21"/>
        <v>0.11824999999999999</v>
      </c>
      <c r="AM77">
        <f t="shared" si="22"/>
        <v>30.763500000000004</v>
      </c>
      <c r="AN77">
        <f t="shared" si="23"/>
        <v>1.7749999999999998E-2</v>
      </c>
      <c r="AO77">
        <f t="shared" si="24"/>
        <v>16.954500000000007</v>
      </c>
      <c r="AP77">
        <f t="shared" si="25"/>
        <v>-3.5999999999999997E-2</v>
      </c>
      <c r="AQ77">
        <f t="shared" si="26"/>
        <v>15.726000000000001</v>
      </c>
      <c r="AR77">
        <f t="shared" si="27"/>
        <v>-8.5750000000000007E-2</v>
      </c>
      <c r="AS77">
        <f t="shared" si="28"/>
        <v>8.2484999999999982</v>
      </c>
      <c r="AU77" s="12">
        <f t="shared" si="29"/>
        <v>0.11824999999999999</v>
      </c>
      <c r="AV77" s="12">
        <f t="shared" si="19"/>
        <v>0.23824999999999999</v>
      </c>
      <c r="AW77">
        <f t="shared" si="30"/>
        <v>30.763500000000004</v>
      </c>
      <c r="AX77">
        <f t="shared" si="31"/>
        <v>30.763500000000004</v>
      </c>
      <c r="AY77">
        <v>75</v>
      </c>
    </row>
    <row r="78" spans="1:51">
      <c r="A78" s="12">
        <v>53.6</v>
      </c>
      <c r="B78" s="12">
        <v>11.573505337728934</v>
      </c>
      <c r="M78" s="19">
        <v>41.58</v>
      </c>
      <c r="N78" s="19">
        <v>-46.428571428571587</v>
      </c>
      <c r="AI78">
        <v>76</v>
      </c>
      <c r="AJ78">
        <f t="shared" si="18"/>
        <v>2.352959999999996E-2</v>
      </c>
      <c r="AK78">
        <f t="shared" si="20"/>
        <v>22.637139600000001</v>
      </c>
      <c r="AL78">
        <f t="shared" si="21"/>
        <v>0.11036000000000001</v>
      </c>
      <c r="AM78">
        <f t="shared" si="22"/>
        <v>30.873860000000004</v>
      </c>
      <c r="AN78">
        <f t="shared" si="23"/>
        <v>1.2120000000000004E-2</v>
      </c>
      <c r="AO78">
        <f t="shared" si="24"/>
        <v>16.966620000000006</v>
      </c>
      <c r="AP78">
        <f t="shared" si="25"/>
        <v>-4.2639999999999983E-2</v>
      </c>
      <c r="AQ78">
        <f t="shared" si="26"/>
        <v>15.68336</v>
      </c>
      <c r="AR78">
        <f t="shared" si="27"/>
        <v>-9.1040000000000024E-2</v>
      </c>
      <c r="AS78">
        <f t="shared" si="28"/>
        <v>8.1574599999999986</v>
      </c>
      <c r="AU78" s="12">
        <f t="shared" si="29"/>
        <v>0.11036000000000001</v>
      </c>
      <c r="AV78" s="12">
        <f t="shared" si="19"/>
        <v>0.23036000000000001</v>
      </c>
      <c r="AW78">
        <f t="shared" si="30"/>
        <v>30.873860000000004</v>
      </c>
      <c r="AX78">
        <f t="shared" si="31"/>
        <v>30.873860000000004</v>
      </c>
      <c r="AY78">
        <v>76</v>
      </c>
    </row>
    <row r="79" spans="1:51">
      <c r="A79" s="12">
        <v>53.8</v>
      </c>
      <c r="B79" s="12">
        <v>17.737814356643359</v>
      </c>
      <c r="M79" s="19">
        <v>44.24</v>
      </c>
      <c r="N79" s="19">
        <v>-22.727272727272734</v>
      </c>
      <c r="AI79">
        <v>77</v>
      </c>
      <c r="AJ79">
        <f t="shared" si="18"/>
        <v>1.6214200000000005E-2</v>
      </c>
      <c r="AK79">
        <f t="shared" si="20"/>
        <v>22.653353800000001</v>
      </c>
      <c r="AL79">
        <f t="shared" si="21"/>
        <v>0.10247000000000003</v>
      </c>
      <c r="AM79">
        <f t="shared" si="22"/>
        <v>30.976330000000004</v>
      </c>
      <c r="AN79">
        <f t="shared" si="23"/>
        <v>6.4900000000000088E-3</v>
      </c>
      <c r="AO79">
        <f t="shared" si="24"/>
        <v>16.973110000000005</v>
      </c>
      <c r="AP79">
        <f t="shared" si="25"/>
        <v>-4.927999999999997E-2</v>
      </c>
      <c r="AQ79">
        <f t="shared" si="26"/>
        <v>15.634080000000001</v>
      </c>
      <c r="AR79">
        <f t="shared" si="27"/>
        <v>-9.6329999999999985E-2</v>
      </c>
      <c r="AS79">
        <f t="shared" si="28"/>
        <v>8.0611299999999986</v>
      </c>
      <c r="AU79" s="12">
        <f t="shared" si="29"/>
        <v>0.10247000000000003</v>
      </c>
      <c r="AV79" s="12">
        <f t="shared" si="19"/>
        <v>0.22247000000000003</v>
      </c>
      <c r="AW79">
        <f t="shared" si="30"/>
        <v>30.976330000000004</v>
      </c>
      <c r="AX79">
        <f t="shared" si="31"/>
        <v>30.976330000000004</v>
      </c>
      <c r="AY79">
        <v>77</v>
      </c>
    </row>
    <row r="80" spans="1:51">
      <c r="A80" s="12">
        <v>54</v>
      </c>
      <c r="B80" s="12">
        <v>17.753218086691088</v>
      </c>
      <c r="M80" s="19">
        <v>51.03</v>
      </c>
      <c r="N80" s="19">
        <v>-166.66666666666666</v>
      </c>
      <c r="AI80">
        <v>78</v>
      </c>
      <c r="AJ80">
        <f t="shared" si="18"/>
        <v>8.8987999999999377E-3</v>
      </c>
      <c r="AK80">
        <f t="shared" si="20"/>
        <v>22.662252600000002</v>
      </c>
      <c r="AL80">
        <f t="shared" si="21"/>
        <v>9.4580000000000039E-2</v>
      </c>
      <c r="AM80">
        <f t="shared" si="22"/>
        <v>31.070910000000005</v>
      </c>
      <c r="AN80">
        <f t="shared" si="23"/>
        <v>8.6000000000001364E-4</v>
      </c>
      <c r="AO80">
        <f t="shared" si="24"/>
        <v>16.973970000000005</v>
      </c>
      <c r="AP80">
        <f t="shared" si="25"/>
        <v>-5.5919999999999956E-2</v>
      </c>
      <c r="AQ80">
        <f t="shared" si="26"/>
        <v>15.57816</v>
      </c>
      <c r="AR80">
        <f t="shared" si="27"/>
        <v>-0.10162</v>
      </c>
      <c r="AS80">
        <f t="shared" si="28"/>
        <v>7.959509999999999</v>
      </c>
      <c r="AU80" s="12">
        <f t="shared" si="29"/>
        <v>9.4580000000000039E-2</v>
      </c>
      <c r="AV80" s="12">
        <f t="shared" si="19"/>
        <v>0.21458000000000005</v>
      </c>
      <c r="AW80">
        <f t="shared" si="30"/>
        <v>31.070910000000005</v>
      </c>
      <c r="AX80">
        <f t="shared" si="31"/>
        <v>31.070910000000005</v>
      </c>
      <c r="AY80">
        <v>78</v>
      </c>
    </row>
    <row r="81" spans="1:51">
      <c r="A81" s="12">
        <v>54.2</v>
      </c>
      <c r="B81" s="12">
        <v>18.071564974358971</v>
      </c>
      <c r="M81" s="19">
        <v>51.870000000000005</v>
      </c>
      <c r="N81" s="19">
        <v>32.967032967032978</v>
      </c>
      <c r="AI81">
        <v>79</v>
      </c>
      <c r="AJ81">
        <f t="shared" si="18"/>
        <v>1.5833999999999833E-3</v>
      </c>
      <c r="AK81">
        <f t="shared" si="20"/>
        <v>22.663836000000003</v>
      </c>
      <c r="AL81">
        <f t="shared" si="21"/>
        <v>8.6690000000000059E-2</v>
      </c>
      <c r="AM81">
        <f t="shared" si="22"/>
        <v>31.157600000000006</v>
      </c>
      <c r="AN81">
        <f t="shared" si="23"/>
        <v>-4.7699999999999817E-3</v>
      </c>
      <c r="AO81">
        <f t="shared" si="24"/>
        <v>16.969200000000004</v>
      </c>
      <c r="AP81">
        <f t="shared" si="25"/>
        <v>-6.2559999999999949E-2</v>
      </c>
      <c r="AQ81">
        <f t="shared" si="26"/>
        <v>15.515600000000001</v>
      </c>
      <c r="AR81">
        <f t="shared" si="27"/>
        <v>-0.10691000000000002</v>
      </c>
      <c r="AS81">
        <f t="shared" si="28"/>
        <v>7.8525999999999989</v>
      </c>
      <c r="AU81" s="12">
        <f t="shared" si="29"/>
        <v>8.6690000000000059E-2</v>
      </c>
      <c r="AV81" s="12">
        <f t="shared" si="19"/>
        <v>0.20669000000000007</v>
      </c>
      <c r="AW81">
        <f t="shared" si="30"/>
        <v>31.157600000000006</v>
      </c>
      <c r="AX81">
        <f t="shared" si="31"/>
        <v>31.157600000000006</v>
      </c>
      <c r="AY81">
        <v>79</v>
      </c>
    </row>
    <row r="82" spans="1:51">
      <c r="A82" s="12">
        <v>54.4</v>
      </c>
      <c r="B82" s="12">
        <v>19.201892851495725</v>
      </c>
      <c r="M82" s="19">
        <v>53.46</v>
      </c>
      <c r="N82" s="19">
        <v>775</v>
      </c>
      <c r="AI82">
        <v>80</v>
      </c>
      <c r="AJ82">
        <f t="shared" si="18"/>
        <v>-5.7319999999999706E-3</v>
      </c>
      <c r="AK82">
        <f t="shared" si="20"/>
        <v>22.658104000000005</v>
      </c>
      <c r="AL82">
        <f t="shared" si="21"/>
        <v>7.8800000000000064E-2</v>
      </c>
      <c r="AM82">
        <f t="shared" si="22"/>
        <v>31.236400000000007</v>
      </c>
      <c r="AN82">
        <f t="shared" si="23"/>
        <v>-1.0399999999999977E-2</v>
      </c>
      <c r="AO82">
        <f t="shared" si="24"/>
        <v>16.958800000000004</v>
      </c>
      <c r="AP82">
        <f t="shared" si="25"/>
        <v>-6.9199999999999928E-2</v>
      </c>
      <c r="AQ82">
        <f t="shared" si="26"/>
        <v>15.446400000000001</v>
      </c>
      <c r="AR82">
        <f t="shared" si="27"/>
        <v>-0.11219999999999999</v>
      </c>
      <c r="AS82">
        <f t="shared" si="28"/>
        <v>7.7403999999999993</v>
      </c>
      <c r="AU82" s="12">
        <f t="shared" si="29"/>
        <v>7.8800000000000064E-2</v>
      </c>
      <c r="AV82" s="12">
        <f t="shared" si="19"/>
        <v>0.19880000000000006</v>
      </c>
      <c r="AW82">
        <f t="shared" si="30"/>
        <v>31.236400000000007</v>
      </c>
      <c r="AX82">
        <f t="shared" si="31"/>
        <v>31.236400000000007</v>
      </c>
      <c r="AY82">
        <v>80</v>
      </c>
    </row>
    <row r="83" spans="1:51">
      <c r="A83" s="12">
        <v>54.5</v>
      </c>
      <c r="B83" s="12">
        <v>15.977943974358972</v>
      </c>
      <c r="M83" s="19">
        <v>55.44</v>
      </c>
      <c r="N83" s="19">
        <v>485.71428571428635</v>
      </c>
      <c r="AI83">
        <v>81</v>
      </c>
      <c r="AJ83">
        <f t="shared" si="18"/>
        <v>-1.3047400000000039E-2</v>
      </c>
      <c r="AK83">
        <f t="shared" si="20"/>
        <v>22.645056600000004</v>
      </c>
      <c r="AL83">
        <f t="shared" si="21"/>
        <v>7.0910000000000084E-2</v>
      </c>
      <c r="AM83">
        <f t="shared" si="22"/>
        <v>31.307310000000008</v>
      </c>
      <c r="AN83">
        <f t="shared" si="23"/>
        <v>-1.6029999999999971E-2</v>
      </c>
      <c r="AO83">
        <f t="shared" si="24"/>
        <v>16.942770000000003</v>
      </c>
      <c r="AP83">
        <f t="shared" si="25"/>
        <v>-7.5839999999999921E-2</v>
      </c>
      <c r="AQ83">
        <f t="shared" si="26"/>
        <v>15.370560000000001</v>
      </c>
      <c r="AR83">
        <f t="shared" si="27"/>
        <v>-0.11749000000000001</v>
      </c>
      <c r="AS83">
        <f t="shared" si="28"/>
        <v>7.6229099999999992</v>
      </c>
      <c r="AU83" s="12">
        <f t="shared" si="29"/>
        <v>7.0910000000000084E-2</v>
      </c>
      <c r="AV83" s="12">
        <f t="shared" si="19"/>
        <v>0.19091000000000008</v>
      </c>
      <c r="AW83">
        <f t="shared" si="30"/>
        <v>31.307310000000008</v>
      </c>
      <c r="AX83">
        <f t="shared" si="31"/>
        <v>31.307310000000008</v>
      </c>
      <c r="AY83">
        <v>81</v>
      </c>
    </row>
    <row r="84" spans="1:51">
      <c r="A84" s="12">
        <v>54.6</v>
      </c>
      <c r="B84" s="12">
        <v>16.639210588500781</v>
      </c>
      <c r="M84" s="19">
        <v>59.400000000000006</v>
      </c>
      <c r="N84" s="19">
        <v>-94.827586206896541</v>
      </c>
      <c r="AI84">
        <v>82</v>
      </c>
      <c r="AJ84">
        <f t="shared" si="18"/>
        <v>-2.0362799999999993E-2</v>
      </c>
      <c r="AK84">
        <f t="shared" si="20"/>
        <v>22.624693800000003</v>
      </c>
      <c r="AL84">
        <f t="shared" si="21"/>
        <v>6.3019999999999979E-2</v>
      </c>
      <c r="AM84">
        <f t="shared" si="22"/>
        <v>31.37033000000001</v>
      </c>
      <c r="AN84">
        <f t="shared" si="23"/>
        <v>-2.1659999999999967E-2</v>
      </c>
      <c r="AO84">
        <f t="shared" si="24"/>
        <v>16.921110000000002</v>
      </c>
      <c r="AP84">
        <f t="shared" si="25"/>
        <v>-8.2480000000000012E-2</v>
      </c>
      <c r="AQ84">
        <f t="shared" si="26"/>
        <v>15.288080000000001</v>
      </c>
      <c r="AR84">
        <f t="shared" si="27"/>
        <v>-0.12278000000000003</v>
      </c>
      <c r="AS84">
        <f t="shared" si="28"/>
        <v>7.5001299999999995</v>
      </c>
      <c r="AU84" s="12">
        <f t="shared" si="29"/>
        <v>6.3019999999999979E-2</v>
      </c>
      <c r="AV84" s="12">
        <f t="shared" si="19"/>
        <v>0.18301999999999999</v>
      </c>
      <c r="AW84">
        <f t="shared" si="30"/>
        <v>31.37033000000001</v>
      </c>
      <c r="AX84">
        <f t="shared" si="31"/>
        <v>31.37033000000001</v>
      </c>
      <c r="AY84">
        <v>82</v>
      </c>
    </row>
    <row r="85" spans="1:51">
      <c r="A85" s="12">
        <v>54.8</v>
      </c>
      <c r="B85" s="12">
        <v>22.516324414529908</v>
      </c>
      <c r="M85" s="19">
        <v>60.480000000000004</v>
      </c>
      <c r="N85" s="19">
        <v>54.487179487179496</v>
      </c>
      <c r="AI85">
        <v>83</v>
      </c>
      <c r="AJ85">
        <f t="shared" si="18"/>
        <v>-2.7678200000000062E-2</v>
      </c>
      <c r="AK85">
        <f t="shared" si="20"/>
        <v>22.597015600000002</v>
      </c>
      <c r="AL85">
        <f t="shared" si="21"/>
        <v>5.5129999999999998E-2</v>
      </c>
      <c r="AM85">
        <f t="shared" si="22"/>
        <v>31.425460000000008</v>
      </c>
      <c r="AN85">
        <f t="shared" si="23"/>
        <v>-2.7289999999999964E-2</v>
      </c>
      <c r="AO85">
        <f t="shared" si="24"/>
        <v>16.893820000000002</v>
      </c>
      <c r="AP85">
        <f t="shared" si="25"/>
        <v>-8.9120000000000005E-2</v>
      </c>
      <c r="AQ85">
        <f t="shared" si="26"/>
        <v>15.198960000000001</v>
      </c>
      <c r="AR85">
        <f t="shared" si="27"/>
        <v>-0.12806999999999999</v>
      </c>
      <c r="AS85">
        <f t="shared" si="28"/>
        <v>7.3720599999999994</v>
      </c>
      <c r="AU85" s="12">
        <f t="shared" si="29"/>
        <v>5.5129999999999998E-2</v>
      </c>
      <c r="AV85" s="12">
        <f t="shared" si="19"/>
        <v>0.17513000000000001</v>
      </c>
      <c r="AW85">
        <f t="shared" si="30"/>
        <v>31.425460000000008</v>
      </c>
      <c r="AX85">
        <f t="shared" si="31"/>
        <v>31.425460000000008</v>
      </c>
      <c r="AY85">
        <v>83</v>
      </c>
    </row>
    <row r="86" spans="1:51">
      <c r="A86" s="12">
        <v>55</v>
      </c>
      <c r="B86" s="12">
        <v>20.913881860958487</v>
      </c>
      <c r="M86" s="19">
        <v>68.040000000000006</v>
      </c>
      <c r="N86" s="19">
        <v>29.523809523809401</v>
      </c>
      <c r="AI86">
        <v>84</v>
      </c>
      <c r="AJ86">
        <f t="shared" si="18"/>
        <v>-3.4993600000000014E-2</v>
      </c>
      <c r="AK86">
        <f t="shared" si="20"/>
        <v>22.562022000000002</v>
      </c>
      <c r="AL86">
        <f t="shared" si="21"/>
        <v>4.7240000000000011E-2</v>
      </c>
      <c r="AM86">
        <f t="shared" si="22"/>
        <v>31.472700000000007</v>
      </c>
      <c r="AN86">
        <f t="shared" si="23"/>
        <v>-3.2920000000000019E-2</v>
      </c>
      <c r="AO86">
        <f t="shared" si="24"/>
        <v>16.860900000000001</v>
      </c>
      <c r="AP86">
        <f t="shared" si="25"/>
        <v>-9.5759999999999984E-2</v>
      </c>
      <c r="AQ86">
        <f t="shared" si="26"/>
        <v>15.103200000000001</v>
      </c>
      <c r="AR86">
        <f t="shared" si="27"/>
        <v>-0.13336000000000001</v>
      </c>
      <c r="AS86">
        <f t="shared" si="28"/>
        <v>7.2386999999999997</v>
      </c>
      <c r="AU86" s="12">
        <f t="shared" si="29"/>
        <v>4.7240000000000011E-2</v>
      </c>
      <c r="AV86" s="12">
        <f t="shared" si="19"/>
        <v>0.16724</v>
      </c>
      <c r="AW86">
        <f t="shared" si="30"/>
        <v>31.472700000000007</v>
      </c>
      <c r="AX86">
        <f t="shared" si="31"/>
        <v>31.472700000000007</v>
      </c>
      <c r="AY86">
        <v>84</v>
      </c>
    </row>
    <row r="87" spans="1:51">
      <c r="A87" s="12">
        <v>55.2</v>
      </c>
      <c r="B87" s="12">
        <v>14.503967027960927</v>
      </c>
      <c r="M87" s="19">
        <v>69.160000000000011</v>
      </c>
      <c r="N87" s="19">
        <v>29.670329670329693</v>
      </c>
      <c r="AI87">
        <v>85</v>
      </c>
      <c r="AJ87">
        <f t="shared" si="18"/>
        <v>-4.2309000000000083E-2</v>
      </c>
      <c r="AK87">
        <f t="shared" si="20"/>
        <v>22.519713000000003</v>
      </c>
      <c r="AL87">
        <f t="shared" si="21"/>
        <v>3.9350000000000024E-2</v>
      </c>
      <c r="AM87">
        <f t="shared" si="22"/>
        <v>31.512050000000006</v>
      </c>
      <c r="AN87">
        <f t="shared" si="23"/>
        <v>-3.8550000000000015E-2</v>
      </c>
      <c r="AO87">
        <f t="shared" si="24"/>
        <v>16.82235</v>
      </c>
      <c r="AP87">
        <f t="shared" si="25"/>
        <v>-0.10239999999999998</v>
      </c>
      <c r="AQ87">
        <f t="shared" si="26"/>
        <v>15.000800000000002</v>
      </c>
      <c r="AR87">
        <f t="shared" si="27"/>
        <v>-0.13864999999999997</v>
      </c>
      <c r="AS87">
        <f t="shared" si="28"/>
        <v>7.1000499999999995</v>
      </c>
      <c r="AU87" s="12">
        <f t="shared" si="29"/>
        <v>3.9350000000000024E-2</v>
      </c>
      <c r="AV87" s="12">
        <f t="shared" si="19"/>
        <v>0.15935000000000002</v>
      </c>
      <c r="AW87">
        <f t="shared" si="30"/>
        <v>31.512050000000006</v>
      </c>
      <c r="AX87">
        <f t="shared" si="31"/>
        <v>31.512050000000006</v>
      </c>
      <c r="AY87">
        <v>85</v>
      </c>
    </row>
    <row r="88" spans="1:51">
      <c r="A88" s="12">
        <v>55.4</v>
      </c>
      <c r="B88" s="12">
        <v>19.210600589918016</v>
      </c>
      <c r="M88" s="19">
        <v>69.3</v>
      </c>
      <c r="N88" s="19">
        <v>-168.74999999999974</v>
      </c>
      <c r="AI88">
        <v>86</v>
      </c>
      <c r="AJ88">
        <f t="shared" si="18"/>
        <v>-4.9624400000000034E-2</v>
      </c>
      <c r="AK88">
        <f t="shared" si="20"/>
        <v>22.470088600000004</v>
      </c>
      <c r="AL88">
        <f t="shared" si="21"/>
        <v>3.1460000000000037E-2</v>
      </c>
      <c r="AM88">
        <f t="shared" si="22"/>
        <v>31.543510000000005</v>
      </c>
      <c r="AN88">
        <f t="shared" si="23"/>
        <v>-4.4180000000000004E-2</v>
      </c>
      <c r="AO88">
        <f t="shared" si="24"/>
        <v>16.778169999999999</v>
      </c>
      <c r="AP88">
        <f t="shared" si="25"/>
        <v>-0.10903999999999997</v>
      </c>
      <c r="AQ88">
        <f t="shared" si="26"/>
        <v>14.891760000000001</v>
      </c>
      <c r="AR88">
        <f t="shared" si="27"/>
        <v>-0.14393999999999998</v>
      </c>
      <c r="AS88">
        <f t="shared" si="28"/>
        <v>6.9561099999999998</v>
      </c>
      <c r="AU88" s="12">
        <f t="shared" si="29"/>
        <v>3.1460000000000037E-2</v>
      </c>
      <c r="AV88" s="12">
        <f t="shared" si="19"/>
        <v>0.15146000000000004</v>
      </c>
      <c r="AW88">
        <f t="shared" si="30"/>
        <v>31.543510000000005</v>
      </c>
      <c r="AX88">
        <f t="shared" si="31"/>
        <v>31.543510000000005</v>
      </c>
      <c r="AY88">
        <v>86</v>
      </c>
    </row>
    <row r="89" spans="1:51">
      <c r="A89" s="12">
        <v>55.6</v>
      </c>
      <c r="B89" s="12">
        <v>15.550759807953947</v>
      </c>
      <c r="M89" s="19">
        <v>83.16</v>
      </c>
      <c r="N89" s="19">
        <v>-147.25274725274764</v>
      </c>
      <c r="AI89">
        <v>87</v>
      </c>
      <c r="AJ89">
        <f t="shared" si="18"/>
        <v>-5.6939799999999992E-2</v>
      </c>
      <c r="AK89">
        <f t="shared" si="20"/>
        <v>22.413148800000005</v>
      </c>
      <c r="AL89">
        <f t="shared" si="21"/>
        <v>2.3570000000000049E-2</v>
      </c>
      <c r="AM89">
        <f t="shared" si="22"/>
        <v>31.567080000000004</v>
      </c>
      <c r="AN89">
        <f t="shared" si="23"/>
        <v>-4.981E-2</v>
      </c>
      <c r="AO89">
        <f t="shared" si="24"/>
        <v>16.728359999999999</v>
      </c>
      <c r="AP89">
        <f t="shared" si="25"/>
        <v>-0.11567999999999995</v>
      </c>
      <c r="AQ89">
        <f t="shared" si="26"/>
        <v>14.776080000000002</v>
      </c>
      <c r="AR89">
        <f t="shared" si="27"/>
        <v>-0.14923000000000003</v>
      </c>
      <c r="AS89">
        <f t="shared" si="28"/>
        <v>6.8068799999999996</v>
      </c>
      <c r="AU89" s="12">
        <f t="shared" si="29"/>
        <v>2.3570000000000049E-2</v>
      </c>
      <c r="AV89" s="12">
        <f t="shared" si="19"/>
        <v>0.14357000000000006</v>
      </c>
      <c r="AW89">
        <f t="shared" si="30"/>
        <v>31.567080000000004</v>
      </c>
      <c r="AX89">
        <f t="shared" si="31"/>
        <v>31.567080000000004</v>
      </c>
      <c r="AY89">
        <v>87</v>
      </c>
    </row>
    <row r="90" spans="1:51">
      <c r="A90" s="12">
        <v>55.8</v>
      </c>
      <c r="B90" s="12">
        <v>16.925464466117219</v>
      </c>
      <c r="M90" s="19">
        <v>88.48</v>
      </c>
      <c r="N90" s="19">
        <v>-214.28571428571431</v>
      </c>
      <c r="AI90">
        <v>88</v>
      </c>
      <c r="AJ90">
        <f t="shared" si="18"/>
        <v>-6.4255200000000054E-2</v>
      </c>
      <c r="AK90">
        <f t="shared" si="20"/>
        <v>22.348893600000004</v>
      </c>
      <c r="AL90">
        <f t="shared" si="21"/>
        <v>1.5680000000000062E-2</v>
      </c>
      <c r="AM90">
        <f t="shared" si="22"/>
        <v>31.582760000000004</v>
      </c>
      <c r="AN90">
        <f t="shared" si="23"/>
        <v>-5.5439999999999996E-2</v>
      </c>
      <c r="AO90">
        <f t="shared" si="24"/>
        <v>16.672919999999998</v>
      </c>
      <c r="AP90">
        <f t="shared" si="25"/>
        <v>-0.12231999999999994</v>
      </c>
      <c r="AQ90">
        <f t="shared" si="26"/>
        <v>14.653760000000002</v>
      </c>
      <c r="AR90">
        <f t="shared" si="27"/>
        <v>-0.15451999999999999</v>
      </c>
      <c r="AS90">
        <f t="shared" si="28"/>
        <v>6.6523599999999998</v>
      </c>
      <c r="AU90" s="12">
        <f t="shared" si="29"/>
        <v>1.5680000000000062E-2</v>
      </c>
      <c r="AV90" s="12">
        <f t="shared" si="19"/>
        <v>0.13568000000000005</v>
      </c>
      <c r="AW90">
        <f t="shared" si="30"/>
        <v>31.582760000000004</v>
      </c>
      <c r="AX90">
        <f t="shared" si="31"/>
        <v>31.582760000000004</v>
      </c>
      <c r="AY90">
        <v>88</v>
      </c>
    </row>
    <row r="91" spans="1:51">
      <c r="A91" s="12">
        <v>56</v>
      </c>
      <c r="B91" s="12">
        <v>16.735298291686576</v>
      </c>
      <c r="M91" s="19">
        <v>97.02</v>
      </c>
      <c r="N91" s="19">
        <v>-153.57142857142833</v>
      </c>
      <c r="AI91">
        <v>89</v>
      </c>
      <c r="AJ91">
        <f t="shared" si="18"/>
        <v>-7.1570600000000012E-2</v>
      </c>
      <c r="AK91">
        <f t="shared" si="20"/>
        <v>22.277323000000003</v>
      </c>
      <c r="AL91">
        <f t="shared" si="21"/>
        <v>7.7900000000000772E-3</v>
      </c>
      <c r="AM91">
        <f t="shared" si="22"/>
        <v>31.590550000000004</v>
      </c>
      <c r="AN91">
        <f t="shared" si="23"/>
        <v>-6.1069999999999992E-2</v>
      </c>
      <c r="AO91">
        <f t="shared" si="24"/>
        <v>16.611849999999997</v>
      </c>
      <c r="AP91">
        <f t="shared" si="25"/>
        <v>-0.12895999999999994</v>
      </c>
      <c r="AQ91">
        <f t="shared" si="26"/>
        <v>14.524800000000003</v>
      </c>
      <c r="AR91">
        <f t="shared" si="27"/>
        <v>-0.15981000000000001</v>
      </c>
      <c r="AS91">
        <f t="shared" si="28"/>
        <v>6.4925499999999996</v>
      </c>
      <c r="AU91" s="12">
        <f t="shared" si="29"/>
        <v>7.7900000000000772E-3</v>
      </c>
      <c r="AV91" s="12">
        <f t="shared" si="19"/>
        <v>0.12779000000000007</v>
      </c>
      <c r="AW91">
        <f t="shared" si="30"/>
        <v>31.590550000000004</v>
      </c>
      <c r="AX91">
        <f t="shared" si="31"/>
        <v>31.590550000000004</v>
      </c>
      <c r="AY91">
        <v>89</v>
      </c>
    </row>
    <row r="92" spans="1:51">
      <c r="A92" s="12">
        <v>56.2</v>
      </c>
      <c r="B92" s="12">
        <v>20.484391629304021</v>
      </c>
      <c r="M92" s="19">
        <v>102.06</v>
      </c>
      <c r="N92" s="19">
        <v>-145.71428571428564</v>
      </c>
      <c r="AI92">
        <v>90</v>
      </c>
      <c r="AJ92">
        <f t="shared" si="18"/>
        <v>-7.8886000000000081E-2</v>
      </c>
      <c r="AK92">
        <f t="shared" si="20"/>
        <v>22.198437000000002</v>
      </c>
      <c r="AL92">
        <f t="shared" si="21"/>
        <v>-1.0000000000002273E-4</v>
      </c>
      <c r="AM92">
        <f t="shared" si="22"/>
        <v>31.590450000000004</v>
      </c>
      <c r="AN92">
        <f t="shared" si="23"/>
        <v>-6.6699999999999995E-2</v>
      </c>
      <c r="AO92">
        <f t="shared" si="24"/>
        <v>16.545149999999996</v>
      </c>
      <c r="AP92">
        <f t="shared" si="25"/>
        <v>-0.13560000000000003</v>
      </c>
      <c r="AQ92">
        <f t="shared" si="26"/>
        <v>14.389200000000002</v>
      </c>
      <c r="AR92">
        <f t="shared" si="27"/>
        <v>-0.16510000000000002</v>
      </c>
      <c r="AS92">
        <f t="shared" si="28"/>
        <v>6.3274499999999998</v>
      </c>
      <c r="AU92" s="12">
        <f t="shared" si="29"/>
        <v>-1.0000000000002273E-4</v>
      </c>
      <c r="AV92" s="12">
        <f t="shared" si="19"/>
        <v>0.11989999999999998</v>
      </c>
      <c r="AW92">
        <f t="shared" si="30"/>
        <v>31.590450000000004</v>
      </c>
      <c r="AX92">
        <f t="shared" si="31"/>
        <v>31.590450000000004</v>
      </c>
      <c r="AY92">
        <v>90</v>
      </c>
    </row>
    <row r="93" spans="1:51">
      <c r="A93" s="12">
        <v>56.4</v>
      </c>
      <c r="B93" s="12">
        <v>19.40743958559861</v>
      </c>
      <c r="M93" s="19">
        <v>103.74000000000001</v>
      </c>
      <c r="N93" s="19">
        <v>-190.10989010989013</v>
      </c>
      <c r="AI93">
        <v>91</v>
      </c>
      <c r="AJ93">
        <f t="shared" si="18"/>
        <v>-8.6201400000000039E-2</v>
      </c>
      <c r="AK93">
        <f t="shared" si="20"/>
        <v>22.112235600000002</v>
      </c>
      <c r="AL93">
        <f t="shared" si="21"/>
        <v>-7.9900000000000092E-3</v>
      </c>
      <c r="AM93">
        <f t="shared" si="22"/>
        <v>31.582460000000005</v>
      </c>
      <c r="AN93">
        <f t="shared" si="23"/>
        <v>-7.2330000000000047E-2</v>
      </c>
      <c r="AO93">
        <f t="shared" si="24"/>
        <v>16.472819999999995</v>
      </c>
      <c r="AP93">
        <f t="shared" si="25"/>
        <v>-0.14224000000000001</v>
      </c>
      <c r="AQ93">
        <f t="shared" si="26"/>
        <v>14.246960000000003</v>
      </c>
      <c r="AR93">
        <f t="shared" si="27"/>
        <v>-0.17038999999999999</v>
      </c>
      <c r="AS93">
        <f t="shared" si="28"/>
        <v>6.1570599999999995</v>
      </c>
      <c r="AU93" s="12">
        <f t="shared" si="29"/>
        <v>-7.9900000000000092E-3</v>
      </c>
      <c r="AV93" s="12">
        <f t="shared" si="19"/>
        <v>0.11200999999999998</v>
      </c>
      <c r="AW93">
        <f t="shared" si="30"/>
        <v>31.582460000000005</v>
      </c>
      <c r="AX93">
        <f>AV93+AX92</f>
        <v>31.702460000000006</v>
      </c>
      <c r="AY93">
        <v>1</v>
      </c>
    </row>
    <row r="94" spans="1:51">
      <c r="A94" s="12">
        <v>56.6</v>
      </c>
      <c r="B94" s="12">
        <v>14.691099621961369</v>
      </c>
      <c r="M94" s="19">
        <v>106.92</v>
      </c>
      <c r="N94" s="19">
        <v>-326.66666666666663</v>
      </c>
      <c r="AI94">
        <v>92</v>
      </c>
      <c r="AJ94">
        <f t="shared" si="18"/>
        <v>-9.3516799999999983E-2</v>
      </c>
      <c r="AK94">
        <f t="shared" si="20"/>
        <v>22.018718800000002</v>
      </c>
      <c r="AL94">
        <f t="shared" si="21"/>
        <v>-1.5879999999999995E-2</v>
      </c>
      <c r="AM94">
        <f t="shared" si="22"/>
        <v>31.566580000000005</v>
      </c>
      <c r="AN94">
        <f t="shared" si="23"/>
        <v>-7.7960000000000043E-2</v>
      </c>
      <c r="AO94">
        <f t="shared" si="24"/>
        <v>16.394859999999994</v>
      </c>
      <c r="AP94">
        <f t="shared" si="25"/>
        <v>-0.14887999999999998</v>
      </c>
      <c r="AQ94">
        <f t="shared" si="26"/>
        <v>14.098080000000003</v>
      </c>
      <c r="AR94">
        <f t="shared" si="27"/>
        <v>-0.17568</v>
      </c>
      <c r="AS94">
        <f t="shared" si="28"/>
        <v>5.9813799999999997</v>
      </c>
      <c r="AU94" s="12">
        <f t="shared" si="29"/>
        <v>-1.5879999999999995E-2</v>
      </c>
      <c r="AV94" s="12">
        <f t="shared" si="19"/>
        <v>0.10412</v>
      </c>
      <c r="AW94">
        <f t="shared" si="30"/>
        <v>31.566580000000005</v>
      </c>
      <c r="AX94">
        <f t="shared" ref="AX94:AX157" si="32">AV94+AX93</f>
        <v>31.806580000000007</v>
      </c>
      <c r="AY94">
        <v>2</v>
      </c>
    </row>
    <row r="95" spans="1:51">
      <c r="A95" s="12">
        <v>56.8</v>
      </c>
      <c r="B95" s="12">
        <v>11.254442330502828</v>
      </c>
      <c r="M95" s="19">
        <v>110.88</v>
      </c>
      <c r="N95" s="19">
        <v>-382.14285714285751</v>
      </c>
      <c r="AI95">
        <v>93</v>
      </c>
      <c r="AJ95">
        <f t="shared" si="18"/>
        <v>-0.10083220000000005</v>
      </c>
      <c r="AK95">
        <f t="shared" si="20"/>
        <v>21.917886600000003</v>
      </c>
      <c r="AL95">
        <f t="shared" si="21"/>
        <v>-2.3769999999999982E-2</v>
      </c>
      <c r="AM95">
        <f t="shared" si="22"/>
        <v>31.542810000000006</v>
      </c>
      <c r="AN95">
        <f t="shared" si="23"/>
        <v>-8.3590000000000025E-2</v>
      </c>
      <c r="AO95">
        <f t="shared" si="24"/>
        <v>16.311269999999993</v>
      </c>
      <c r="AP95">
        <f t="shared" si="25"/>
        <v>-0.15551999999999999</v>
      </c>
      <c r="AQ95">
        <f t="shared" si="26"/>
        <v>13.942560000000004</v>
      </c>
      <c r="AR95">
        <f t="shared" si="27"/>
        <v>-0.18097000000000002</v>
      </c>
      <c r="AS95">
        <f t="shared" si="28"/>
        <v>5.8004099999999994</v>
      </c>
      <c r="AU95" s="12">
        <f t="shared" si="29"/>
        <v>-2.3769999999999982E-2</v>
      </c>
      <c r="AV95" s="12">
        <f t="shared" si="19"/>
        <v>9.6230000000000024E-2</v>
      </c>
      <c r="AW95">
        <f t="shared" si="30"/>
        <v>31.542810000000006</v>
      </c>
      <c r="AX95">
        <f t="shared" si="32"/>
        <v>31.902810000000006</v>
      </c>
      <c r="AY95">
        <v>3</v>
      </c>
    </row>
    <row r="96" spans="1:51">
      <c r="A96" s="12">
        <v>57</v>
      </c>
      <c r="B96" s="12">
        <v>17.098581554522397</v>
      </c>
      <c r="AI96">
        <v>94</v>
      </c>
      <c r="AJ96">
        <f t="shared" si="18"/>
        <v>-0.10814760000000001</v>
      </c>
      <c r="AK96">
        <f t="shared" si="20"/>
        <v>21.809739000000004</v>
      </c>
      <c r="AL96">
        <f t="shared" si="21"/>
        <v>-3.1659999999999966E-2</v>
      </c>
      <c r="AM96">
        <f t="shared" si="22"/>
        <v>31.511150000000008</v>
      </c>
      <c r="AN96">
        <f t="shared" si="23"/>
        <v>-8.9220000000000022E-2</v>
      </c>
      <c r="AO96">
        <f t="shared" si="24"/>
        <v>16.222049999999992</v>
      </c>
      <c r="AP96">
        <f t="shared" si="25"/>
        <v>-0.16215999999999997</v>
      </c>
      <c r="AQ96">
        <f t="shared" si="26"/>
        <v>13.780400000000004</v>
      </c>
      <c r="AR96">
        <f t="shared" si="27"/>
        <v>-0.18625999999999998</v>
      </c>
      <c r="AS96">
        <f t="shared" si="28"/>
        <v>5.6141499999999995</v>
      </c>
      <c r="AU96" s="12">
        <f t="shared" si="29"/>
        <v>-3.1659999999999966E-2</v>
      </c>
      <c r="AV96" s="12">
        <f t="shared" si="19"/>
        <v>8.834000000000003E-2</v>
      </c>
      <c r="AW96">
        <f t="shared" si="30"/>
        <v>31.511150000000008</v>
      </c>
      <c r="AX96">
        <f t="shared" si="32"/>
        <v>31.991150000000005</v>
      </c>
      <c r="AY96">
        <v>4</v>
      </c>
    </row>
    <row r="97" spans="1:51">
      <c r="A97" s="12">
        <v>57.2</v>
      </c>
      <c r="B97" s="12">
        <v>12.638238927217703</v>
      </c>
      <c r="M97" t="s">
        <v>185</v>
      </c>
      <c r="N97" t="s">
        <v>591</v>
      </c>
      <c r="AI97">
        <v>95</v>
      </c>
      <c r="AJ97">
        <f t="shared" si="18"/>
        <v>-0.11546300000000008</v>
      </c>
      <c r="AK97">
        <f t="shared" si="20"/>
        <v>21.694276000000006</v>
      </c>
      <c r="AL97">
        <f t="shared" si="21"/>
        <v>-3.9549999999999953E-2</v>
      </c>
      <c r="AM97">
        <f t="shared" si="22"/>
        <v>31.471600000000009</v>
      </c>
      <c r="AN97">
        <f t="shared" si="23"/>
        <v>-9.4850000000000018E-2</v>
      </c>
      <c r="AO97">
        <f t="shared" si="24"/>
        <v>16.127199999999991</v>
      </c>
      <c r="AP97">
        <f t="shared" si="25"/>
        <v>-0.16879999999999995</v>
      </c>
      <c r="AQ97">
        <f t="shared" si="26"/>
        <v>13.611600000000005</v>
      </c>
      <c r="AR97">
        <f t="shared" si="27"/>
        <v>-0.19155</v>
      </c>
      <c r="AS97">
        <f t="shared" si="28"/>
        <v>5.4225999999999992</v>
      </c>
      <c r="AU97" s="12">
        <f t="shared" si="29"/>
        <v>-3.9549999999999953E-2</v>
      </c>
      <c r="AV97" s="12">
        <f t="shared" si="19"/>
        <v>8.0450000000000049E-2</v>
      </c>
      <c r="AW97">
        <f t="shared" si="30"/>
        <v>31.471600000000009</v>
      </c>
      <c r="AX97">
        <f t="shared" si="32"/>
        <v>32.071600000000004</v>
      </c>
      <c r="AY97">
        <v>5</v>
      </c>
    </row>
    <row r="98" spans="1:51">
      <c r="A98" s="12">
        <v>57.4</v>
      </c>
      <c r="B98" s="12">
        <v>16.680389683760684</v>
      </c>
      <c r="M98">
        <v>34.020000000000003</v>
      </c>
      <c r="N98">
        <v>421.42857142857133</v>
      </c>
      <c r="AI98">
        <v>96</v>
      </c>
      <c r="AJ98">
        <f t="shared" si="18"/>
        <v>-0.12277840000000004</v>
      </c>
      <c r="AK98">
        <f t="shared" si="20"/>
        <v>21.571497600000004</v>
      </c>
      <c r="AL98">
        <f t="shared" si="21"/>
        <v>-4.7439999999999941E-2</v>
      </c>
      <c r="AM98">
        <f t="shared" si="22"/>
        <v>31.424160000000008</v>
      </c>
      <c r="AN98">
        <f t="shared" si="23"/>
        <v>-0.10048000000000001</v>
      </c>
      <c r="AO98">
        <f t="shared" si="24"/>
        <v>16.02671999999999</v>
      </c>
      <c r="AP98">
        <f t="shared" si="25"/>
        <v>-0.17543999999999993</v>
      </c>
      <c r="AQ98">
        <f t="shared" si="26"/>
        <v>13.436160000000005</v>
      </c>
      <c r="AR98">
        <f t="shared" si="27"/>
        <v>-0.19684000000000004</v>
      </c>
      <c r="AS98">
        <f t="shared" si="28"/>
        <v>5.2257599999999993</v>
      </c>
      <c r="AU98" s="12">
        <f t="shared" si="29"/>
        <v>-4.7439999999999941E-2</v>
      </c>
      <c r="AV98" s="12">
        <f t="shared" si="19"/>
        <v>7.2560000000000055E-2</v>
      </c>
      <c r="AW98">
        <f t="shared" si="30"/>
        <v>31.424160000000008</v>
      </c>
      <c r="AX98">
        <f t="shared" si="32"/>
        <v>32.144160000000007</v>
      </c>
      <c r="AY98">
        <v>6</v>
      </c>
    </row>
    <row r="99" spans="1:51">
      <c r="A99" s="12">
        <v>57.5</v>
      </c>
      <c r="B99" s="12">
        <v>20.464777914377287</v>
      </c>
      <c r="M99">
        <v>34.580000000000005</v>
      </c>
      <c r="N99">
        <v>442.85714285714306</v>
      </c>
      <c r="AI99">
        <v>97</v>
      </c>
      <c r="AJ99">
        <f t="shared" si="18"/>
        <v>-0.13009379999999998</v>
      </c>
      <c r="AK99">
        <f t="shared" si="20"/>
        <v>21.441403800000003</v>
      </c>
      <c r="AL99">
        <f t="shared" si="21"/>
        <v>-5.5329999999999928E-2</v>
      </c>
      <c r="AM99">
        <f t="shared" si="22"/>
        <v>31.368830000000006</v>
      </c>
      <c r="AN99">
        <f t="shared" si="23"/>
        <v>-0.10611000000000001</v>
      </c>
      <c r="AO99">
        <f t="shared" si="24"/>
        <v>15.920609999999991</v>
      </c>
      <c r="AP99">
        <f t="shared" si="25"/>
        <v>-0.18207999999999994</v>
      </c>
      <c r="AQ99">
        <f t="shared" si="26"/>
        <v>13.254080000000005</v>
      </c>
      <c r="AR99">
        <f t="shared" si="27"/>
        <v>-0.20213</v>
      </c>
      <c r="AS99">
        <f t="shared" si="28"/>
        <v>5.0236299999999989</v>
      </c>
      <c r="AU99" s="12">
        <f t="shared" si="29"/>
        <v>-5.5329999999999928E-2</v>
      </c>
      <c r="AV99" s="12">
        <f t="shared" si="19"/>
        <v>6.4670000000000075E-2</v>
      </c>
      <c r="AW99">
        <f t="shared" si="30"/>
        <v>31.368830000000006</v>
      </c>
      <c r="AX99">
        <f t="shared" si="32"/>
        <v>32.208830000000006</v>
      </c>
      <c r="AY99">
        <v>7</v>
      </c>
    </row>
    <row r="100" spans="1:51">
      <c r="A100" s="12">
        <v>57.6</v>
      </c>
      <c r="B100" s="12">
        <v>19.481018850106032</v>
      </c>
      <c r="M100">
        <v>44.24</v>
      </c>
      <c r="N100">
        <v>-33.834586466165412</v>
      </c>
      <c r="AI100">
        <v>98</v>
      </c>
      <c r="AJ100">
        <f t="shared" si="18"/>
        <v>-0.13740920000000006</v>
      </c>
      <c r="AK100">
        <f t="shared" si="20"/>
        <v>21.303994600000003</v>
      </c>
      <c r="AL100">
        <f t="shared" si="21"/>
        <v>-6.3219999999999915E-2</v>
      </c>
      <c r="AM100">
        <f t="shared" si="22"/>
        <v>31.305610000000005</v>
      </c>
      <c r="AN100">
        <f t="shared" si="23"/>
        <v>-0.11174000000000001</v>
      </c>
      <c r="AO100">
        <f t="shared" si="24"/>
        <v>15.808869999999992</v>
      </c>
      <c r="AP100">
        <f t="shared" si="25"/>
        <v>-0.18871999999999992</v>
      </c>
      <c r="AQ100">
        <f t="shared" si="26"/>
        <v>13.065360000000005</v>
      </c>
      <c r="AR100">
        <f t="shared" si="27"/>
        <v>-0.20741999999999997</v>
      </c>
      <c r="AS100">
        <f t="shared" si="28"/>
        <v>4.816209999999999</v>
      </c>
      <c r="AU100" s="12">
        <f t="shared" si="29"/>
        <v>-6.3219999999999915E-2</v>
      </c>
      <c r="AV100" s="12">
        <f t="shared" si="19"/>
        <v>5.6780000000000087E-2</v>
      </c>
      <c r="AW100">
        <f t="shared" si="30"/>
        <v>31.305610000000005</v>
      </c>
      <c r="AX100">
        <f t="shared" si="32"/>
        <v>32.265610000000009</v>
      </c>
      <c r="AY100">
        <v>8</v>
      </c>
    </row>
    <row r="101" spans="1:51">
      <c r="A101" s="12">
        <v>57.8</v>
      </c>
      <c r="B101" s="12">
        <v>15.206455200019281</v>
      </c>
      <c r="M101">
        <v>51.03</v>
      </c>
      <c r="N101">
        <v>-357.14285714285717</v>
      </c>
      <c r="AI101">
        <v>99</v>
      </c>
      <c r="AJ101">
        <f t="shared" si="18"/>
        <v>-0.14472460000000001</v>
      </c>
      <c r="AK101">
        <f t="shared" ref="AK101:AK132" si="33">((-7.3154*AI101+579.5)/1000)+AK100</f>
        <v>21.159270000000003</v>
      </c>
      <c r="AL101">
        <f t="shared" si="21"/>
        <v>-7.111000000000002E-2</v>
      </c>
      <c r="AM101">
        <f t="shared" si="22"/>
        <v>31.234500000000004</v>
      </c>
      <c r="AN101">
        <f t="shared" si="23"/>
        <v>-0.11737</v>
      </c>
      <c r="AO101">
        <f t="shared" si="24"/>
        <v>15.691499999999992</v>
      </c>
      <c r="AP101">
        <f t="shared" si="25"/>
        <v>-0.19536000000000001</v>
      </c>
      <c r="AQ101">
        <f t="shared" si="26"/>
        <v>12.870000000000005</v>
      </c>
      <c r="AR101">
        <f t="shared" si="27"/>
        <v>-0.21271000000000004</v>
      </c>
      <c r="AS101">
        <f t="shared" si="28"/>
        <v>4.6034999999999986</v>
      </c>
      <c r="AU101" s="12">
        <f t="shared" si="29"/>
        <v>-7.111000000000002E-2</v>
      </c>
      <c r="AV101" s="12">
        <f t="shared" si="19"/>
        <v>4.8889999999999989E-2</v>
      </c>
      <c r="AW101">
        <f t="shared" si="30"/>
        <v>31.234500000000004</v>
      </c>
      <c r="AX101">
        <f t="shared" si="32"/>
        <v>32.31450000000001</v>
      </c>
      <c r="AY101">
        <v>9</v>
      </c>
    </row>
    <row r="102" spans="1:51">
      <c r="A102" s="12">
        <v>58</v>
      </c>
      <c r="B102" s="12">
        <v>18.109085811660556</v>
      </c>
      <c r="M102">
        <v>51.870000000000005</v>
      </c>
      <c r="N102">
        <v>-142.85714285714286</v>
      </c>
      <c r="AI102">
        <v>100</v>
      </c>
      <c r="AJ102">
        <f t="shared" si="18"/>
        <v>-0.15204000000000006</v>
      </c>
      <c r="AK102">
        <f t="shared" si="33"/>
        <v>21.007230000000003</v>
      </c>
      <c r="AL102">
        <f t="shared" si="21"/>
        <v>-7.9000000000000001E-2</v>
      </c>
      <c r="AM102">
        <f t="shared" si="22"/>
        <v>31.155500000000004</v>
      </c>
      <c r="AN102">
        <f t="shared" si="23"/>
        <v>-0.123</v>
      </c>
      <c r="AO102">
        <f t="shared" si="24"/>
        <v>15.568499999999993</v>
      </c>
      <c r="AP102">
        <f t="shared" si="25"/>
        <v>-0.20200000000000001</v>
      </c>
      <c r="AQ102">
        <f t="shared" si="26"/>
        <v>12.668000000000005</v>
      </c>
      <c r="AR102">
        <f t="shared" si="27"/>
        <v>-0.218</v>
      </c>
      <c r="AS102">
        <f t="shared" si="28"/>
        <v>4.3854999999999986</v>
      </c>
      <c r="AU102" s="12">
        <f t="shared" si="29"/>
        <v>-7.9000000000000001E-2</v>
      </c>
      <c r="AV102" s="12">
        <f t="shared" si="19"/>
        <v>4.1000000000000002E-2</v>
      </c>
      <c r="AW102">
        <f t="shared" si="30"/>
        <v>31.155500000000004</v>
      </c>
      <c r="AX102">
        <f t="shared" si="32"/>
        <v>32.355500000000006</v>
      </c>
      <c r="AY102">
        <v>10</v>
      </c>
    </row>
    <row r="103" spans="1:51">
      <c r="A103" s="12">
        <v>58.2</v>
      </c>
      <c r="B103" s="12">
        <v>14.735546197635689</v>
      </c>
      <c r="M103">
        <v>68.040000000000006</v>
      </c>
      <c r="N103">
        <v>-142.85714285714286</v>
      </c>
      <c r="O103" s="19"/>
      <c r="AI103">
        <v>101</v>
      </c>
      <c r="AJ103">
        <f t="shared" si="18"/>
        <v>-0.15935540000000004</v>
      </c>
      <c r="AK103">
        <f t="shared" si="33"/>
        <v>20.847874600000004</v>
      </c>
      <c r="AL103">
        <f t="shared" si="21"/>
        <v>-8.6889999999999981E-2</v>
      </c>
      <c r="AM103">
        <f t="shared" si="22"/>
        <v>31.068610000000003</v>
      </c>
      <c r="AN103">
        <f t="shared" si="23"/>
        <v>-0.12862999999999999</v>
      </c>
      <c r="AO103">
        <f t="shared" si="24"/>
        <v>15.439869999999994</v>
      </c>
      <c r="AP103">
        <f t="shared" si="25"/>
        <v>-0.20863999999999999</v>
      </c>
      <c r="AQ103">
        <f t="shared" si="26"/>
        <v>12.459360000000004</v>
      </c>
      <c r="AR103">
        <f t="shared" si="27"/>
        <v>-0.22328999999999996</v>
      </c>
      <c r="AS103">
        <f t="shared" si="28"/>
        <v>4.1622099999999991</v>
      </c>
      <c r="AU103" s="12">
        <f t="shared" si="29"/>
        <v>-8.6889999999999981E-2</v>
      </c>
      <c r="AV103" s="12">
        <f t="shared" si="19"/>
        <v>3.3110000000000014E-2</v>
      </c>
      <c r="AW103">
        <f t="shared" si="30"/>
        <v>31.068610000000003</v>
      </c>
      <c r="AX103">
        <f t="shared" si="32"/>
        <v>32.388610000000007</v>
      </c>
      <c r="AY103">
        <v>11</v>
      </c>
    </row>
    <row r="104" spans="1:51">
      <c r="A104" s="12">
        <v>58.4</v>
      </c>
      <c r="B104" s="12">
        <v>12.290248192973696</v>
      </c>
      <c r="M104">
        <v>69.160000000000011</v>
      </c>
      <c r="N104">
        <v>-85.714285714284898</v>
      </c>
      <c r="AI104">
        <v>102</v>
      </c>
      <c r="AJ104">
        <f t="shared" si="18"/>
        <v>-0.16667079999999998</v>
      </c>
      <c r="AK104">
        <f t="shared" si="33"/>
        <v>20.681203800000006</v>
      </c>
      <c r="AL104">
        <f t="shared" si="21"/>
        <v>-9.4779999999999975E-2</v>
      </c>
      <c r="AM104">
        <f t="shared" si="22"/>
        <v>30.973830000000003</v>
      </c>
      <c r="AN104">
        <f t="shared" si="23"/>
        <v>-0.13425999999999999</v>
      </c>
      <c r="AO104">
        <f t="shared" si="24"/>
        <v>15.305609999999994</v>
      </c>
      <c r="AP104">
        <f t="shared" si="25"/>
        <v>-0.21527999999999997</v>
      </c>
      <c r="AQ104">
        <f t="shared" si="26"/>
        <v>12.244080000000004</v>
      </c>
      <c r="AR104">
        <f t="shared" si="27"/>
        <v>-0.22858000000000003</v>
      </c>
      <c r="AS104">
        <f t="shared" si="28"/>
        <v>3.9336299999999991</v>
      </c>
      <c r="AU104" s="12">
        <f t="shared" si="29"/>
        <v>-9.4779999999999975E-2</v>
      </c>
      <c r="AV104" s="12">
        <f t="shared" si="19"/>
        <v>2.5220000000000027E-2</v>
      </c>
      <c r="AW104">
        <f t="shared" si="30"/>
        <v>30.973830000000003</v>
      </c>
      <c r="AX104">
        <f t="shared" si="32"/>
        <v>32.413830000000004</v>
      </c>
      <c r="AY104">
        <v>12</v>
      </c>
    </row>
    <row r="105" spans="1:51">
      <c r="A105" s="12">
        <v>58.5</v>
      </c>
      <c r="B105" s="12">
        <v>16.720898005952378</v>
      </c>
      <c r="M105">
        <v>88.48</v>
      </c>
      <c r="N105">
        <v>-212.40601503759399</v>
      </c>
      <c r="AI105">
        <v>103</v>
      </c>
      <c r="AJ105">
        <f t="shared" si="18"/>
        <v>-0.17398620000000006</v>
      </c>
      <c r="AK105">
        <f t="shared" si="33"/>
        <v>20.507217600000004</v>
      </c>
      <c r="AL105">
        <f t="shared" si="21"/>
        <v>-0.10266999999999996</v>
      </c>
      <c r="AM105">
        <f t="shared" si="22"/>
        <v>30.871160000000003</v>
      </c>
      <c r="AN105">
        <f t="shared" si="23"/>
        <v>-0.13988999999999999</v>
      </c>
      <c r="AO105">
        <f t="shared" si="24"/>
        <v>15.165719999999995</v>
      </c>
      <c r="AP105">
        <f t="shared" si="25"/>
        <v>-0.22191999999999995</v>
      </c>
      <c r="AQ105">
        <f t="shared" si="26"/>
        <v>12.022160000000003</v>
      </c>
      <c r="AR105">
        <f t="shared" si="27"/>
        <v>-0.23386999999999999</v>
      </c>
      <c r="AS105">
        <f t="shared" si="28"/>
        <v>3.699759999999999</v>
      </c>
      <c r="AU105" s="12">
        <f t="shared" si="29"/>
        <v>-0.10266999999999996</v>
      </c>
      <c r="AV105" s="12">
        <f t="shared" si="19"/>
        <v>1.733000000000004E-2</v>
      </c>
      <c r="AW105">
        <f t="shared" si="30"/>
        <v>30.871160000000003</v>
      </c>
      <c r="AX105">
        <f t="shared" si="32"/>
        <v>32.431160000000006</v>
      </c>
      <c r="AY105">
        <v>13</v>
      </c>
    </row>
    <row r="106" spans="1:51">
      <c r="A106" s="12">
        <v>58.6</v>
      </c>
      <c r="B106" s="12">
        <v>22.494832474358976</v>
      </c>
      <c r="M106">
        <v>102.06</v>
      </c>
      <c r="N106">
        <v>-71.428571428571431</v>
      </c>
      <c r="AI106">
        <v>104</v>
      </c>
      <c r="AJ106">
        <f t="shared" si="18"/>
        <v>-0.18130160000000001</v>
      </c>
      <c r="AK106">
        <f t="shared" si="33"/>
        <v>20.325916000000003</v>
      </c>
      <c r="AL106">
        <f t="shared" si="21"/>
        <v>-0.11055999999999995</v>
      </c>
      <c r="AM106">
        <f t="shared" si="22"/>
        <v>30.760600000000004</v>
      </c>
      <c r="AN106">
        <f t="shared" si="23"/>
        <v>-0.14551999999999998</v>
      </c>
      <c r="AO106">
        <f t="shared" si="24"/>
        <v>15.020199999999996</v>
      </c>
      <c r="AP106">
        <f t="shared" si="25"/>
        <v>-0.22855999999999996</v>
      </c>
      <c r="AQ106">
        <f t="shared" si="26"/>
        <v>11.793600000000003</v>
      </c>
      <c r="AR106">
        <f t="shared" si="27"/>
        <v>-0.23915999999999996</v>
      </c>
      <c r="AS106">
        <f t="shared" si="28"/>
        <v>3.460599999999999</v>
      </c>
      <c r="AU106" s="12">
        <f t="shared" si="29"/>
        <v>-0.11055999999999995</v>
      </c>
      <c r="AV106" s="12">
        <f t="shared" si="19"/>
        <v>9.4400000000000543E-3</v>
      </c>
      <c r="AW106">
        <f t="shared" si="30"/>
        <v>30.760600000000004</v>
      </c>
      <c r="AX106">
        <f t="shared" si="32"/>
        <v>32.440600000000003</v>
      </c>
      <c r="AY106">
        <v>14</v>
      </c>
    </row>
    <row r="107" spans="1:51">
      <c r="A107" s="12">
        <v>58.8</v>
      </c>
      <c r="B107" s="12">
        <v>20.058513713675207</v>
      </c>
      <c r="M107">
        <v>103.74000000000001</v>
      </c>
      <c r="N107">
        <v>-128.57142857142887</v>
      </c>
      <c r="AI107">
        <v>105</v>
      </c>
      <c r="AJ107">
        <f t="shared" si="18"/>
        <v>-0.18861700000000006</v>
      </c>
      <c r="AK107">
        <f t="shared" si="33"/>
        <v>20.137299000000002</v>
      </c>
      <c r="AL107">
        <f t="shared" si="21"/>
        <v>-0.11844999999999993</v>
      </c>
      <c r="AM107">
        <f t="shared" si="22"/>
        <v>30.642150000000004</v>
      </c>
      <c r="AN107">
        <f t="shared" si="23"/>
        <v>-0.15114999999999998</v>
      </c>
      <c r="AO107">
        <f t="shared" si="24"/>
        <v>14.869049999999996</v>
      </c>
      <c r="AP107">
        <f t="shared" si="25"/>
        <v>-0.23519999999999994</v>
      </c>
      <c r="AQ107">
        <f t="shared" si="26"/>
        <v>11.558400000000002</v>
      </c>
      <c r="AR107">
        <f t="shared" si="27"/>
        <v>-0.24445000000000006</v>
      </c>
      <c r="AS107">
        <f t="shared" si="28"/>
        <v>3.216149999999999</v>
      </c>
      <c r="AU107" s="12">
        <f t="shared" si="29"/>
        <v>-0.11844999999999993</v>
      </c>
      <c r="AV107" s="12">
        <f t="shared" si="19"/>
        <v>1.5500000000000683E-3</v>
      </c>
      <c r="AW107">
        <f t="shared" si="30"/>
        <v>30.642150000000004</v>
      </c>
      <c r="AX107">
        <f t="shared" si="32"/>
        <v>32.442150000000005</v>
      </c>
      <c r="AY107">
        <v>15</v>
      </c>
    </row>
    <row r="108" spans="1:51">
      <c r="A108" s="12">
        <v>59</v>
      </c>
      <c r="B108" s="12">
        <v>18.353238266666672</v>
      </c>
      <c r="M108" s="19"/>
      <c r="N108" s="19"/>
      <c r="AI108">
        <v>106</v>
      </c>
      <c r="AJ108">
        <f t="shared" si="18"/>
        <v>-0.19593240000000003</v>
      </c>
      <c r="AK108">
        <f t="shared" si="33"/>
        <v>19.941366600000002</v>
      </c>
      <c r="AL108">
        <f t="shared" si="21"/>
        <v>-0.12633999999999992</v>
      </c>
      <c r="AM108">
        <f t="shared" si="22"/>
        <v>30.515810000000005</v>
      </c>
      <c r="AN108">
        <f t="shared" si="23"/>
        <v>-0.15677999999999997</v>
      </c>
      <c r="AO108">
        <f t="shared" si="24"/>
        <v>14.712269999999997</v>
      </c>
      <c r="AP108">
        <f t="shared" si="25"/>
        <v>-0.24183999999999992</v>
      </c>
      <c r="AQ108">
        <f t="shared" si="26"/>
        <v>11.316560000000003</v>
      </c>
      <c r="AR108">
        <f t="shared" si="27"/>
        <v>-0.24974000000000002</v>
      </c>
      <c r="AS108">
        <f t="shared" si="28"/>
        <v>2.9664099999999989</v>
      </c>
      <c r="AU108" s="12">
        <f t="shared" si="29"/>
        <v>-0.12633999999999992</v>
      </c>
      <c r="AV108" s="12">
        <f t="shared" si="19"/>
        <v>-6.3399999999999177E-3</v>
      </c>
      <c r="AW108">
        <f t="shared" si="30"/>
        <v>30.515810000000005</v>
      </c>
      <c r="AX108">
        <f t="shared" si="32"/>
        <v>32.435810000000004</v>
      </c>
      <c r="AY108">
        <v>16</v>
      </c>
    </row>
    <row r="109" spans="1:51">
      <c r="A109" s="12">
        <v>59.2</v>
      </c>
      <c r="B109" s="12">
        <v>18.917632440537236</v>
      </c>
      <c r="M109" s="19"/>
      <c r="N109" s="19"/>
      <c r="AI109">
        <v>107</v>
      </c>
      <c r="AJ109">
        <f t="shared" si="18"/>
        <v>-0.20324779999999998</v>
      </c>
      <c r="AK109">
        <f t="shared" si="33"/>
        <v>19.738118800000002</v>
      </c>
      <c r="AL109">
        <f t="shared" si="21"/>
        <v>-0.13423000000000002</v>
      </c>
      <c r="AM109">
        <f t="shared" si="22"/>
        <v>30.381580000000007</v>
      </c>
      <c r="AN109">
        <f t="shared" si="23"/>
        <v>-0.16240999999999997</v>
      </c>
      <c r="AO109">
        <f t="shared" si="24"/>
        <v>14.549859999999997</v>
      </c>
      <c r="AP109">
        <f t="shared" si="25"/>
        <v>-0.24848000000000001</v>
      </c>
      <c r="AQ109">
        <f t="shared" si="26"/>
        <v>11.068080000000002</v>
      </c>
      <c r="AR109">
        <f t="shared" si="27"/>
        <v>-0.25502999999999998</v>
      </c>
      <c r="AS109">
        <f t="shared" si="28"/>
        <v>2.7113799999999988</v>
      </c>
      <c r="AU109" s="12">
        <f t="shared" si="29"/>
        <v>-0.13423000000000002</v>
      </c>
      <c r="AV109" s="12">
        <f t="shared" si="19"/>
        <v>-1.4230000000000019E-2</v>
      </c>
      <c r="AW109">
        <f t="shared" si="30"/>
        <v>30.381580000000007</v>
      </c>
      <c r="AX109">
        <f t="shared" si="32"/>
        <v>32.421580000000006</v>
      </c>
      <c r="AY109">
        <v>17</v>
      </c>
    </row>
    <row r="110" spans="1:51">
      <c r="A110" s="12">
        <v>59.5</v>
      </c>
      <c r="B110" s="12">
        <v>15.473845811355313</v>
      </c>
      <c r="M110" s="19"/>
      <c r="N110" s="19"/>
      <c r="AI110">
        <v>108</v>
      </c>
      <c r="AJ110">
        <f t="shared" si="18"/>
        <v>-0.21056320000000006</v>
      </c>
      <c r="AK110">
        <f t="shared" si="33"/>
        <v>19.527555600000003</v>
      </c>
      <c r="AL110">
        <f t="shared" si="21"/>
        <v>-0.14212</v>
      </c>
      <c r="AM110">
        <f t="shared" si="22"/>
        <v>30.239460000000008</v>
      </c>
      <c r="AN110">
        <f t="shared" si="23"/>
        <v>-0.16803999999999997</v>
      </c>
      <c r="AO110">
        <f t="shared" si="24"/>
        <v>14.381819999999998</v>
      </c>
      <c r="AP110">
        <f t="shared" si="25"/>
        <v>-0.25512000000000001</v>
      </c>
      <c r="AQ110">
        <f t="shared" si="26"/>
        <v>10.812960000000002</v>
      </c>
      <c r="AR110">
        <f t="shared" si="27"/>
        <v>-0.26032000000000005</v>
      </c>
      <c r="AS110">
        <f t="shared" si="28"/>
        <v>2.4510599999999987</v>
      </c>
      <c r="AU110" s="12">
        <f t="shared" si="29"/>
        <v>-0.14212</v>
      </c>
      <c r="AV110" s="12">
        <f t="shared" si="19"/>
        <v>-2.2120000000000004E-2</v>
      </c>
      <c r="AW110">
        <f t="shared" si="30"/>
        <v>30.239460000000008</v>
      </c>
      <c r="AX110">
        <f t="shared" si="32"/>
        <v>32.399460000000005</v>
      </c>
      <c r="AY110">
        <v>18</v>
      </c>
    </row>
    <row r="111" spans="1:51">
      <c r="A111" s="12">
        <v>59.6</v>
      </c>
      <c r="B111" s="12">
        <v>19.51495836002093</v>
      </c>
      <c r="M111" s="19"/>
      <c r="N111" s="19"/>
      <c r="AI111">
        <v>109</v>
      </c>
      <c r="AJ111">
        <f t="shared" si="18"/>
        <v>-0.21787860000000001</v>
      </c>
      <c r="AK111">
        <f t="shared" si="33"/>
        <v>19.309677000000004</v>
      </c>
      <c r="AL111">
        <f t="shared" si="21"/>
        <v>-0.15001</v>
      </c>
      <c r="AM111">
        <f t="shared" si="22"/>
        <v>30.089450000000006</v>
      </c>
      <c r="AN111">
        <f t="shared" si="23"/>
        <v>-0.17366999999999996</v>
      </c>
      <c r="AO111">
        <f t="shared" si="24"/>
        <v>14.208149999999998</v>
      </c>
      <c r="AP111">
        <f t="shared" si="25"/>
        <v>-0.26175999999999999</v>
      </c>
      <c r="AQ111">
        <f t="shared" si="26"/>
        <v>10.551200000000001</v>
      </c>
      <c r="AR111">
        <f t="shared" si="27"/>
        <v>-0.26561000000000001</v>
      </c>
      <c r="AS111">
        <f t="shared" si="28"/>
        <v>2.1854499999999986</v>
      </c>
      <c r="AU111" s="12">
        <f t="shared" si="29"/>
        <v>-0.15001</v>
      </c>
      <c r="AV111" s="12">
        <f t="shared" si="19"/>
        <v>-3.0009999999999992E-2</v>
      </c>
      <c r="AW111">
        <f t="shared" si="30"/>
        <v>30.089450000000006</v>
      </c>
      <c r="AX111">
        <f t="shared" si="32"/>
        <v>32.369450000000008</v>
      </c>
      <c r="AY111">
        <v>19</v>
      </c>
    </row>
    <row r="112" spans="1:51">
      <c r="A112" s="12">
        <v>59.8</v>
      </c>
      <c r="B112" s="12">
        <v>13.56537207142858</v>
      </c>
      <c r="M112" s="19"/>
      <c r="N112" s="19"/>
      <c r="AI112">
        <v>110</v>
      </c>
      <c r="AJ112">
        <f t="shared" si="18"/>
        <v>-0.22519400000000006</v>
      </c>
      <c r="AK112">
        <f t="shared" si="33"/>
        <v>19.084483000000006</v>
      </c>
      <c r="AL112">
        <f t="shared" si="21"/>
        <v>-0.15789999999999998</v>
      </c>
      <c r="AM112">
        <f t="shared" si="22"/>
        <v>29.931550000000005</v>
      </c>
      <c r="AN112">
        <f t="shared" si="23"/>
        <v>-0.17929999999999996</v>
      </c>
      <c r="AO112">
        <f t="shared" si="24"/>
        <v>14.028849999999998</v>
      </c>
      <c r="AP112">
        <f t="shared" si="25"/>
        <v>-0.26839999999999997</v>
      </c>
      <c r="AQ112">
        <f t="shared" si="26"/>
        <v>10.282800000000002</v>
      </c>
      <c r="AR112">
        <f t="shared" si="27"/>
        <v>-0.27089999999999997</v>
      </c>
      <c r="AS112">
        <f t="shared" si="28"/>
        <v>1.9145499999999986</v>
      </c>
      <c r="AU112" s="12">
        <f t="shared" si="29"/>
        <v>-0.15789999999999998</v>
      </c>
      <c r="AV112" s="12">
        <f t="shared" si="19"/>
        <v>-3.7899999999999975E-2</v>
      </c>
      <c r="AW112">
        <f t="shared" si="30"/>
        <v>29.931550000000005</v>
      </c>
      <c r="AX112">
        <f t="shared" si="32"/>
        <v>32.331550000000007</v>
      </c>
      <c r="AY112">
        <v>20</v>
      </c>
    </row>
    <row r="113" spans="1:51">
      <c r="A113" s="12">
        <v>60</v>
      </c>
      <c r="B113" s="12">
        <v>18.639072613456712</v>
      </c>
      <c r="M113" s="19"/>
      <c r="O113" s="19"/>
      <c r="AI113">
        <v>111</v>
      </c>
      <c r="AJ113">
        <f t="shared" si="18"/>
        <v>-0.23250940000000003</v>
      </c>
      <c r="AK113">
        <f t="shared" si="33"/>
        <v>18.851973600000004</v>
      </c>
      <c r="AL113">
        <f t="shared" si="21"/>
        <v>-0.16578999999999997</v>
      </c>
      <c r="AM113">
        <f t="shared" si="22"/>
        <v>29.765760000000004</v>
      </c>
      <c r="AN113">
        <f t="shared" si="23"/>
        <v>-0.18492999999999996</v>
      </c>
      <c r="AO113">
        <f t="shared" si="24"/>
        <v>13.843919999999999</v>
      </c>
      <c r="AP113">
        <f t="shared" si="25"/>
        <v>-0.27503999999999995</v>
      </c>
      <c r="AQ113">
        <f t="shared" si="26"/>
        <v>10.007760000000001</v>
      </c>
      <c r="AR113">
        <f t="shared" si="27"/>
        <v>-0.27619000000000005</v>
      </c>
      <c r="AS113">
        <f t="shared" si="28"/>
        <v>1.6383599999999987</v>
      </c>
      <c r="AU113" s="12">
        <f t="shared" si="29"/>
        <v>-0.16578999999999997</v>
      </c>
      <c r="AV113" s="12">
        <f t="shared" si="19"/>
        <v>-4.5789999999999963E-2</v>
      </c>
      <c r="AW113">
        <f t="shared" si="30"/>
        <v>29.765760000000004</v>
      </c>
      <c r="AX113">
        <f t="shared" si="32"/>
        <v>32.28576000000001</v>
      </c>
      <c r="AY113">
        <v>21</v>
      </c>
    </row>
    <row r="114" spans="1:51">
      <c r="A114" s="12">
        <v>60.2</v>
      </c>
      <c r="B114" s="12">
        <v>17.725573664682539</v>
      </c>
      <c r="M114" s="19"/>
      <c r="N114" s="19"/>
      <c r="AI114">
        <v>112</v>
      </c>
      <c r="AJ114">
        <f t="shared" si="18"/>
        <v>-0.23982480000000009</v>
      </c>
      <c r="AK114">
        <f t="shared" si="33"/>
        <v>18.612148800000003</v>
      </c>
      <c r="AL114">
        <f t="shared" si="21"/>
        <v>-0.17367999999999995</v>
      </c>
      <c r="AM114">
        <f t="shared" si="22"/>
        <v>29.592080000000003</v>
      </c>
      <c r="AN114">
        <f t="shared" si="23"/>
        <v>-0.19055999999999995</v>
      </c>
      <c r="AO114">
        <f t="shared" si="24"/>
        <v>13.653359999999999</v>
      </c>
      <c r="AP114">
        <f t="shared" si="25"/>
        <v>-0.28167999999999993</v>
      </c>
      <c r="AQ114">
        <f t="shared" si="26"/>
        <v>9.7260800000000014</v>
      </c>
      <c r="AR114">
        <f t="shared" si="27"/>
        <v>-0.28148000000000001</v>
      </c>
      <c r="AS114">
        <f t="shared" si="28"/>
        <v>1.3568799999999988</v>
      </c>
      <c r="AU114" s="12">
        <f t="shared" si="29"/>
        <v>-0.17367999999999995</v>
      </c>
      <c r="AV114" s="12">
        <f t="shared" si="19"/>
        <v>-5.367999999999995E-2</v>
      </c>
      <c r="AW114">
        <f t="shared" si="30"/>
        <v>29.592080000000003</v>
      </c>
      <c r="AX114">
        <f t="shared" si="32"/>
        <v>32.232080000000011</v>
      </c>
      <c r="AY114">
        <v>22</v>
      </c>
    </row>
    <row r="115" spans="1:51">
      <c r="A115" s="12">
        <v>60.4</v>
      </c>
      <c r="B115" s="12">
        <v>20.653250064102565</v>
      </c>
      <c r="M115" s="19"/>
      <c r="N115" s="19"/>
      <c r="AI115">
        <v>113</v>
      </c>
      <c r="AJ115">
        <f t="shared" si="18"/>
        <v>-0.24714020000000006</v>
      </c>
      <c r="AK115">
        <f t="shared" si="33"/>
        <v>18.365008600000003</v>
      </c>
      <c r="AL115">
        <f t="shared" si="21"/>
        <v>-0.18156999999999993</v>
      </c>
      <c r="AM115">
        <f t="shared" si="22"/>
        <v>29.410510000000002</v>
      </c>
      <c r="AN115">
        <f t="shared" si="23"/>
        <v>-0.19618999999999995</v>
      </c>
      <c r="AO115">
        <f t="shared" si="24"/>
        <v>13.45717</v>
      </c>
      <c r="AP115">
        <f t="shared" si="25"/>
        <v>-0.28831999999999991</v>
      </c>
      <c r="AQ115">
        <f t="shared" si="26"/>
        <v>9.4377600000000008</v>
      </c>
      <c r="AR115">
        <f t="shared" si="27"/>
        <v>-0.28676999999999997</v>
      </c>
      <c r="AS115">
        <f t="shared" si="28"/>
        <v>1.0701099999999988</v>
      </c>
      <c r="AU115" s="12">
        <f t="shared" si="29"/>
        <v>-0.18156999999999993</v>
      </c>
      <c r="AV115" s="12">
        <f t="shared" si="19"/>
        <v>-6.1569999999999937E-2</v>
      </c>
      <c r="AW115">
        <f t="shared" si="30"/>
        <v>29.410510000000002</v>
      </c>
      <c r="AX115">
        <f t="shared" si="32"/>
        <v>32.170510000000007</v>
      </c>
      <c r="AY115">
        <v>23</v>
      </c>
    </row>
    <row r="116" spans="1:51">
      <c r="A116" s="12">
        <v>60.5</v>
      </c>
      <c r="B116" s="12">
        <v>18.970927437423686</v>
      </c>
      <c r="M116" s="19"/>
      <c r="N116" s="19"/>
      <c r="AI116">
        <v>114</v>
      </c>
      <c r="AJ116">
        <f t="shared" si="18"/>
        <v>-0.2544556</v>
      </c>
      <c r="AK116">
        <f t="shared" si="33"/>
        <v>18.110553000000003</v>
      </c>
      <c r="AL116">
        <f t="shared" si="21"/>
        <v>-0.18945999999999993</v>
      </c>
      <c r="AM116">
        <f t="shared" si="22"/>
        <v>29.221050000000002</v>
      </c>
      <c r="AN116">
        <f t="shared" si="23"/>
        <v>-0.20181999999999994</v>
      </c>
      <c r="AO116">
        <f t="shared" si="24"/>
        <v>13.25535</v>
      </c>
      <c r="AP116">
        <f t="shared" si="25"/>
        <v>-0.29495999999999994</v>
      </c>
      <c r="AQ116">
        <f t="shared" si="26"/>
        <v>9.1428000000000011</v>
      </c>
      <c r="AR116">
        <f t="shared" si="27"/>
        <v>-0.29206000000000004</v>
      </c>
      <c r="AS116">
        <f t="shared" si="28"/>
        <v>0.7780499999999988</v>
      </c>
      <c r="AU116" s="12">
        <f t="shared" si="29"/>
        <v>-0.18945999999999993</v>
      </c>
      <c r="AV116" s="12">
        <f t="shared" si="19"/>
        <v>-6.9459999999999925E-2</v>
      </c>
      <c r="AW116">
        <f t="shared" si="30"/>
        <v>29.221050000000002</v>
      </c>
      <c r="AX116">
        <f t="shared" si="32"/>
        <v>32.101050000000008</v>
      </c>
      <c r="AY116">
        <v>24</v>
      </c>
    </row>
    <row r="117" spans="1:51">
      <c r="A117" s="12">
        <v>60.6</v>
      </c>
      <c r="B117" s="12">
        <v>20.869293723776227</v>
      </c>
      <c r="M117" s="19"/>
      <c r="N117" s="19"/>
      <c r="AI117">
        <v>115</v>
      </c>
      <c r="AJ117">
        <f t="shared" si="18"/>
        <v>-0.26177100000000009</v>
      </c>
      <c r="AK117">
        <f t="shared" si="33"/>
        <v>17.848782000000003</v>
      </c>
      <c r="AL117">
        <f t="shared" si="21"/>
        <v>-0.19734999999999991</v>
      </c>
      <c r="AM117">
        <f t="shared" si="22"/>
        <v>29.023700000000002</v>
      </c>
      <c r="AN117">
        <f t="shared" si="23"/>
        <v>-0.20744999999999994</v>
      </c>
      <c r="AO117">
        <f t="shared" si="24"/>
        <v>13.0479</v>
      </c>
      <c r="AP117">
        <f t="shared" si="25"/>
        <v>-0.30159999999999992</v>
      </c>
      <c r="AQ117">
        <f t="shared" si="26"/>
        <v>8.8412000000000006</v>
      </c>
      <c r="AR117">
        <f t="shared" si="27"/>
        <v>-0.29735</v>
      </c>
      <c r="AS117">
        <f t="shared" si="28"/>
        <v>0.48069999999999879</v>
      </c>
      <c r="AU117" s="12">
        <f t="shared" si="29"/>
        <v>-0.19734999999999991</v>
      </c>
      <c r="AV117" s="12">
        <f t="shared" si="19"/>
        <v>-7.7349999999999905E-2</v>
      </c>
      <c r="AW117">
        <f t="shared" si="30"/>
        <v>29.023700000000002</v>
      </c>
      <c r="AX117">
        <f t="shared" si="32"/>
        <v>32.023700000000005</v>
      </c>
      <c r="AY117">
        <v>25</v>
      </c>
    </row>
    <row r="118" spans="1:51">
      <c r="A118" s="12">
        <v>60.8</v>
      </c>
      <c r="B118" s="12">
        <v>30.540284428571418</v>
      </c>
      <c r="AI118">
        <v>116</v>
      </c>
      <c r="AJ118">
        <f t="shared" si="18"/>
        <v>-0.2690864</v>
      </c>
      <c r="AK118">
        <f t="shared" si="33"/>
        <v>17.579695600000004</v>
      </c>
      <c r="AL118">
        <f t="shared" si="21"/>
        <v>-0.20524000000000001</v>
      </c>
      <c r="AM118">
        <f t="shared" si="22"/>
        <v>28.818460000000002</v>
      </c>
      <c r="AN118">
        <f t="shared" si="23"/>
        <v>-0.21308000000000005</v>
      </c>
      <c r="AO118">
        <f t="shared" si="24"/>
        <v>12.834820000000001</v>
      </c>
      <c r="AP118">
        <f t="shared" si="25"/>
        <v>-0.30824000000000001</v>
      </c>
      <c r="AQ118">
        <f t="shared" si="26"/>
        <v>8.532960000000001</v>
      </c>
      <c r="AR118">
        <f t="shared" si="27"/>
        <v>-0.30263999999999996</v>
      </c>
      <c r="AS118">
        <f t="shared" si="28"/>
        <v>0.17805999999999883</v>
      </c>
      <c r="AU118" s="12">
        <f t="shared" si="29"/>
        <v>-0.20524000000000001</v>
      </c>
      <c r="AV118" s="12">
        <f t="shared" si="19"/>
        <v>-8.524000000000001E-2</v>
      </c>
      <c r="AW118">
        <f t="shared" si="30"/>
        <v>28.818460000000002</v>
      </c>
      <c r="AX118">
        <f t="shared" si="32"/>
        <v>31.938460000000006</v>
      </c>
      <c r="AY118">
        <v>26</v>
      </c>
    </row>
    <row r="119" spans="1:51">
      <c r="A119" s="12">
        <v>61</v>
      </c>
      <c r="B119" s="12">
        <v>14.865017047619045</v>
      </c>
      <c r="AI119">
        <v>117</v>
      </c>
      <c r="AJ119">
        <f t="shared" si="18"/>
        <v>-0.27640180000000009</v>
      </c>
      <c r="AK119">
        <f t="shared" si="33"/>
        <v>17.303293800000006</v>
      </c>
      <c r="AL119">
        <f t="shared" si="21"/>
        <v>-0.21312999999999999</v>
      </c>
      <c r="AM119">
        <f t="shared" si="22"/>
        <v>28.605330000000002</v>
      </c>
      <c r="AN119">
        <f t="shared" si="23"/>
        <v>-0.21871000000000004</v>
      </c>
      <c r="AO119">
        <f t="shared" si="24"/>
        <v>12.616110000000001</v>
      </c>
      <c r="AP119">
        <f t="shared" si="25"/>
        <v>-0.31487999999999999</v>
      </c>
      <c r="AQ119">
        <f t="shared" si="26"/>
        <v>8.2180800000000005</v>
      </c>
      <c r="AR119">
        <f t="shared" si="27"/>
        <v>-0.30792999999999993</v>
      </c>
      <c r="AS119">
        <f t="shared" si="28"/>
        <v>-0.1298700000000011</v>
      </c>
      <c r="AU119" s="12">
        <f t="shared" si="29"/>
        <v>-0.21312999999999999</v>
      </c>
      <c r="AV119" s="12">
        <f t="shared" si="19"/>
        <v>-9.3129999999999991E-2</v>
      </c>
      <c r="AW119">
        <f t="shared" si="30"/>
        <v>28.605330000000002</v>
      </c>
      <c r="AX119">
        <f t="shared" si="32"/>
        <v>31.845330000000008</v>
      </c>
      <c r="AY119">
        <v>27</v>
      </c>
    </row>
    <row r="120" spans="1:51">
      <c r="A120" s="12">
        <v>61.2</v>
      </c>
      <c r="B120" s="12">
        <v>19.76354014102564</v>
      </c>
      <c r="AI120">
        <v>118</v>
      </c>
      <c r="AJ120">
        <f t="shared" si="18"/>
        <v>-0.28371720000000006</v>
      </c>
      <c r="AK120">
        <f t="shared" si="33"/>
        <v>17.019576600000004</v>
      </c>
      <c r="AL120">
        <f t="shared" si="21"/>
        <v>-0.22101999999999999</v>
      </c>
      <c r="AM120">
        <f t="shared" si="22"/>
        <v>28.384310000000003</v>
      </c>
      <c r="AN120">
        <f t="shared" si="23"/>
        <v>-0.22434000000000004</v>
      </c>
      <c r="AO120">
        <f t="shared" si="24"/>
        <v>12.391770000000001</v>
      </c>
      <c r="AP120">
        <f t="shared" si="25"/>
        <v>-0.32151999999999997</v>
      </c>
      <c r="AQ120">
        <f t="shared" si="26"/>
        <v>7.8965600000000009</v>
      </c>
      <c r="AR120">
        <f t="shared" si="27"/>
        <v>-0.31322000000000005</v>
      </c>
      <c r="AS120">
        <f t="shared" si="28"/>
        <v>-0.44309000000000115</v>
      </c>
      <c r="AU120" s="12">
        <f t="shared" si="29"/>
        <v>-0.22101999999999999</v>
      </c>
      <c r="AV120" s="12">
        <f t="shared" si="19"/>
        <v>-0.10101999999999998</v>
      </c>
      <c r="AW120">
        <f t="shared" si="30"/>
        <v>28.384310000000003</v>
      </c>
      <c r="AX120">
        <f t="shared" si="32"/>
        <v>31.744310000000009</v>
      </c>
      <c r="AY120">
        <v>28</v>
      </c>
    </row>
    <row r="121" spans="1:51">
      <c r="A121" s="12">
        <v>61.4</v>
      </c>
      <c r="B121" s="12">
        <v>19.97305257142856</v>
      </c>
      <c r="AI121">
        <v>119</v>
      </c>
      <c r="AJ121">
        <f t="shared" si="18"/>
        <v>-0.29103259999999997</v>
      </c>
      <c r="AK121">
        <f t="shared" si="33"/>
        <v>16.728544000000003</v>
      </c>
      <c r="AL121">
        <f t="shared" si="21"/>
        <v>-0.22890999999999997</v>
      </c>
      <c r="AM121">
        <f t="shared" si="22"/>
        <v>28.155400000000004</v>
      </c>
      <c r="AN121">
        <f t="shared" si="23"/>
        <v>-0.22997000000000004</v>
      </c>
      <c r="AO121">
        <f t="shared" si="24"/>
        <v>12.161800000000001</v>
      </c>
      <c r="AP121">
        <f t="shared" si="25"/>
        <v>-0.32815999999999995</v>
      </c>
      <c r="AQ121">
        <f t="shared" si="26"/>
        <v>7.5684000000000013</v>
      </c>
      <c r="AR121">
        <f t="shared" si="27"/>
        <v>-0.31851000000000002</v>
      </c>
      <c r="AS121">
        <f t="shared" si="28"/>
        <v>-0.76160000000000116</v>
      </c>
      <c r="AU121" s="12">
        <f t="shared" si="29"/>
        <v>-0.22890999999999997</v>
      </c>
      <c r="AV121" s="12">
        <f t="shared" si="19"/>
        <v>-0.10890999999999997</v>
      </c>
      <c r="AW121">
        <f t="shared" si="30"/>
        <v>28.155400000000004</v>
      </c>
      <c r="AX121">
        <f t="shared" si="32"/>
        <v>31.635400000000008</v>
      </c>
      <c r="AY121">
        <v>29</v>
      </c>
    </row>
    <row r="122" spans="1:51">
      <c r="A122" s="12">
        <v>61.5</v>
      </c>
      <c r="B122" s="12">
        <v>24.472436217948719</v>
      </c>
      <c r="AI122">
        <v>120</v>
      </c>
      <c r="AJ122">
        <f t="shared" si="18"/>
        <v>-0.29834800000000006</v>
      </c>
      <c r="AK122">
        <f t="shared" si="33"/>
        <v>16.430196000000002</v>
      </c>
      <c r="AL122">
        <f t="shared" si="21"/>
        <v>-0.23679999999999995</v>
      </c>
      <c r="AM122">
        <f t="shared" si="22"/>
        <v>27.918600000000005</v>
      </c>
      <c r="AN122">
        <f t="shared" si="23"/>
        <v>-0.23560000000000003</v>
      </c>
      <c r="AO122">
        <f t="shared" si="24"/>
        <v>11.926200000000001</v>
      </c>
      <c r="AP122">
        <f t="shared" si="25"/>
        <v>-0.33479999999999993</v>
      </c>
      <c r="AQ122">
        <f t="shared" si="26"/>
        <v>7.2336000000000018</v>
      </c>
      <c r="AR122">
        <f t="shared" si="27"/>
        <v>-0.32379999999999998</v>
      </c>
      <c r="AS122">
        <f t="shared" si="28"/>
        <v>-1.0854000000000013</v>
      </c>
      <c r="AU122" s="12">
        <f t="shared" si="29"/>
        <v>-0.23679999999999995</v>
      </c>
      <c r="AV122" s="12">
        <f t="shared" si="19"/>
        <v>-0.11679999999999996</v>
      </c>
      <c r="AW122">
        <f t="shared" si="30"/>
        <v>27.918600000000005</v>
      </c>
      <c r="AX122">
        <f t="shared" si="32"/>
        <v>31.518600000000006</v>
      </c>
      <c r="AY122">
        <v>30</v>
      </c>
    </row>
    <row r="123" spans="1:51">
      <c r="A123" s="12">
        <v>61.6</v>
      </c>
      <c r="B123" s="12">
        <v>19.989307630952382</v>
      </c>
      <c r="AI123">
        <v>121</v>
      </c>
      <c r="AJ123">
        <f t="shared" si="18"/>
        <v>-0.30566340000000003</v>
      </c>
      <c r="AK123">
        <f t="shared" si="33"/>
        <v>16.124532600000002</v>
      </c>
      <c r="AL123">
        <f t="shared" si="21"/>
        <v>-0.24468999999999994</v>
      </c>
      <c r="AM123">
        <f t="shared" si="22"/>
        <v>27.673910000000006</v>
      </c>
      <c r="AN123">
        <f t="shared" si="23"/>
        <v>-0.24123000000000003</v>
      </c>
      <c r="AO123">
        <f t="shared" si="24"/>
        <v>11.684970000000002</v>
      </c>
      <c r="AP123">
        <f t="shared" si="25"/>
        <v>-0.34143999999999997</v>
      </c>
      <c r="AQ123">
        <f t="shared" si="26"/>
        <v>6.8921600000000023</v>
      </c>
      <c r="AR123">
        <f t="shared" si="27"/>
        <v>-0.32909000000000005</v>
      </c>
      <c r="AS123">
        <f t="shared" si="28"/>
        <v>-1.4144900000000014</v>
      </c>
      <c r="AU123" s="12">
        <f t="shared" si="29"/>
        <v>-0.24468999999999994</v>
      </c>
      <c r="AV123" s="12">
        <f t="shared" si="19"/>
        <v>-0.12468999999999994</v>
      </c>
      <c r="AW123">
        <f t="shared" si="30"/>
        <v>27.673910000000006</v>
      </c>
      <c r="AX123">
        <f t="shared" si="32"/>
        <v>31.393910000000005</v>
      </c>
      <c r="AY123">
        <v>31</v>
      </c>
    </row>
    <row r="124" spans="1:51">
      <c r="A124" s="12">
        <v>62</v>
      </c>
      <c r="B124" s="12">
        <v>20.040824319291819</v>
      </c>
      <c r="AI124">
        <v>122</v>
      </c>
      <c r="AJ124">
        <f t="shared" si="18"/>
        <v>-0.31297880000000011</v>
      </c>
      <c r="AK124">
        <f t="shared" si="33"/>
        <v>15.811553800000002</v>
      </c>
      <c r="AL124">
        <f t="shared" si="21"/>
        <v>-0.25257999999999992</v>
      </c>
      <c r="AM124">
        <f t="shared" si="22"/>
        <v>27.421330000000008</v>
      </c>
      <c r="AN124">
        <f t="shared" si="23"/>
        <v>-0.24686000000000002</v>
      </c>
      <c r="AO124">
        <f t="shared" si="24"/>
        <v>11.438110000000002</v>
      </c>
      <c r="AP124">
        <f t="shared" si="25"/>
        <v>-0.34807999999999995</v>
      </c>
      <c r="AQ124">
        <f t="shared" si="26"/>
        <v>6.5440800000000028</v>
      </c>
      <c r="AR124">
        <f t="shared" si="27"/>
        <v>-0.33438000000000001</v>
      </c>
      <c r="AS124">
        <f t="shared" si="28"/>
        <v>-1.7488700000000015</v>
      </c>
      <c r="AU124" s="12">
        <f t="shared" si="29"/>
        <v>-0.25257999999999992</v>
      </c>
      <c r="AV124" s="12">
        <f t="shared" si="19"/>
        <v>-0.13257999999999992</v>
      </c>
      <c r="AW124">
        <f t="shared" si="30"/>
        <v>27.421330000000008</v>
      </c>
      <c r="AX124">
        <f t="shared" si="32"/>
        <v>31.261330000000005</v>
      </c>
      <c r="AY124">
        <v>32</v>
      </c>
    </row>
    <row r="125" spans="1:51">
      <c r="A125" s="12">
        <v>62.4</v>
      </c>
      <c r="B125" s="12">
        <v>13.575844965811967</v>
      </c>
      <c r="AI125">
        <v>123</v>
      </c>
      <c r="AJ125">
        <f t="shared" si="18"/>
        <v>-0.32029420000000003</v>
      </c>
      <c r="AK125">
        <f t="shared" si="33"/>
        <v>15.491259600000003</v>
      </c>
      <c r="AL125">
        <f t="shared" si="21"/>
        <v>-0.26046999999999992</v>
      </c>
      <c r="AM125">
        <f t="shared" si="22"/>
        <v>27.160860000000007</v>
      </c>
      <c r="AN125">
        <f t="shared" si="23"/>
        <v>-0.25248999999999999</v>
      </c>
      <c r="AO125">
        <f t="shared" si="24"/>
        <v>11.185620000000002</v>
      </c>
      <c r="AP125">
        <f t="shared" si="25"/>
        <v>-0.35471999999999992</v>
      </c>
      <c r="AQ125">
        <f t="shared" si="26"/>
        <v>6.1893600000000024</v>
      </c>
      <c r="AR125">
        <f t="shared" si="27"/>
        <v>-0.33966999999999997</v>
      </c>
      <c r="AS125">
        <f t="shared" si="28"/>
        <v>-2.0885400000000014</v>
      </c>
      <c r="AU125" s="12">
        <f t="shared" si="29"/>
        <v>-0.26046999999999992</v>
      </c>
      <c r="AV125" s="12">
        <f t="shared" si="19"/>
        <v>-0.1404699999999999</v>
      </c>
      <c r="AW125">
        <f t="shared" si="30"/>
        <v>27.160860000000007</v>
      </c>
      <c r="AX125">
        <f t="shared" si="32"/>
        <v>31.120860000000004</v>
      </c>
      <c r="AY125">
        <v>33</v>
      </c>
    </row>
    <row r="126" spans="1:51">
      <c r="A126" s="12">
        <v>62.5</v>
      </c>
      <c r="B126" s="12">
        <v>16.84992335164835</v>
      </c>
      <c r="AI126">
        <v>124</v>
      </c>
      <c r="AJ126">
        <f t="shared" si="18"/>
        <v>-0.3276096</v>
      </c>
      <c r="AK126">
        <f t="shared" si="33"/>
        <v>15.163650000000002</v>
      </c>
      <c r="AL126">
        <f t="shared" si="21"/>
        <v>-0.26835999999999999</v>
      </c>
      <c r="AM126">
        <f t="shared" si="22"/>
        <v>26.892500000000005</v>
      </c>
      <c r="AN126">
        <f t="shared" si="23"/>
        <v>-0.25812000000000002</v>
      </c>
      <c r="AO126">
        <f t="shared" si="24"/>
        <v>10.927500000000002</v>
      </c>
      <c r="AP126">
        <f t="shared" si="25"/>
        <v>-0.36136000000000001</v>
      </c>
      <c r="AQ126">
        <f t="shared" si="26"/>
        <v>5.8280000000000021</v>
      </c>
      <c r="AR126">
        <f t="shared" si="27"/>
        <v>-0.34496000000000004</v>
      </c>
      <c r="AS126">
        <f t="shared" si="28"/>
        <v>-2.4335000000000013</v>
      </c>
      <c r="AU126" s="12">
        <f t="shared" si="29"/>
        <v>-0.26835999999999999</v>
      </c>
      <c r="AV126" s="12">
        <f t="shared" si="19"/>
        <v>-0.14836000000000002</v>
      </c>
      <c r="AW126">
        <f t="shared" si="30"/>
        <v>26.892500000000005</v>
      </c>
      <c r="AX126">
        <f t="shared" si="32"/>
        <v>30.972500000000004</v>
      </c>
      <c r="AY126">
        <v>34</v>
      </c>
    </row>
    <row r="127" spans="1:51">
      <c r="A127" s="12">
        <v>62.8</v>
      </c>
      <c r="B127" s="12">
        <v>21.330522737429238</v>
      </c>
      <c r="AI127">
        <v>125</v>
      </c>
      <c r="AJ127">
        <f t="shared" si="18"/>
        <v>-0.33492500000000008</v>
      </c>
      <c r="AK127">
        <f t="shared" si="33"/>
        <v>14.828725000000002</v>
      </c>
      <c r="AL127">
        <f t="shared" si="21"/>
        <v>-0.27625</v>
      </c>
      <c r="AM127">
        <f t="shared" si="22"/>
        <v>26.616250000000004</v>
      </c>
      <c r="AN127">
        <f t="shared" si="23"/>
        <v>-0.26374999999999998</v>
      </c>
      <c r="AO127">
        <f t="shared" si="24"/>
        <v>10.663750000000002</v>
      </c>
      <c r="AP127">
        <f t="shared" si="25"/>
        <v>-0.36799999999999999</v>
      </c>
      <c r="AQ127">
        <f t="shared" si="26"/>
        <v>5.4600000000000017</v>
      </c>
      <c r="AR127">
        <f t="shared" si="27"/>
        <v>-0.35025000000000001</v>
      </c>
      <c r="AS127">
        <f t="shared" si="28"/>
        <v>-2.7837500000000013</v>
      </c>
      <c r="AU127" s="12">
        <f t="shared" si="29"/>
        <v>-0.27625</v>
      </c>
      <c r="AV127" s="12">
        <f t="shared" si="19"/>
        <v>-0.15625</v>
      </c>
      <c r="AW127">
        <f t="shared" si="30"/>
        <v>26.616250000000004</v>
      </c>
      <c r="AX127">
        <f t="shared" si="32"/>
        <v>30.816250000000004</v>
      </c>
      <c r="AY127">
        <v>35</v>
      </c>
    </row>
    <row r="128" spans="1:51">
      <c r="A128" s="12">
        <v>63</v>
      </c>
      <c r="B128" s="12">
        <v>19.448035769230771</v>
      </c>
      <c r="AI128">
        <v>126</v>
      </c>
      <c r="AJ128">
        <f t="shared" si="18"/>
        <v>-0.3422404</v>
      </c>
      <c r="AK128">
        <f t="shared" si="33"/>
        <v>14.486484600000002</v>
      </c>
      <c r="AL128">
        <f t="shared" si="21"/>
        <v>-0.28414</v>
      </c>
      <c r="AM128">
        <f t="shared" si="22"/>
        <v>26.332110000000004</v>
      </c>
      <c r="AN128">
        <f t="shared" si="23"/>
        <v>-0.26938000000000001</v>
      </c>
      <c r="AO128">
        <f t="shared" si="24"/>
        <v>10.394370000000002</v>
      </c>
      <c r="AP128">
        <f t="shared" si="25"/>
        <v>-0.37463999999999997</v>
      </c>
      <c r="AQ128">
        <f t="shared" si="26"/>
        <v>5.0853600000000014</v>
      </c>
      <c r="AR128">
        <f t="shared" si="27"/>
        <v>-0.35553999999999997</v>
      </c>
      <c r="AS128">
        <f t="shared" si="28"/>
        <v>-3.1392900000000012</v>
      </c>
      <c r="AU128" s="12">
        <f t="shared" si="29"/>
        <v>-0.28414</v>
      </c>
      <c r="AV128" s="12">
        <f t="shared" si="19"/>
        <v>-0.16413999999999998</v>
      </c>
      <c r="AW128">
        <f t="shared" si="30"/>
        <v>26.332110000000004</v>
      </c>
      <c r="AX128">
        <f t="shared" si="32"/>
        <v>30.652110000000004</v>
      </c>
      <c r="AY128">
        <v>36</v>
      </c>
    </row>
    <row r="129" spans="1:51">
      <c r="A129" s="12">
        <v>63.2</v>
      </c>
      <c r="B129" s="12">
        <v>18.62093073063841</v>
      </c>
      <c r="AI129">
        <v>127</v>
      </c>
      <c r="AJ129">
        <f t="shared" si="18"/>
        <v>-0.34955580000000008</v>
      </c>
      <c r="AK129">
        <f t="shared" si="33"/>
        <v>14.136928800000003</v>
      </c>
      <c r="AL129">
        <f t="shared" si="21"/>
        <v>-0.29202999999999996</v>
      </c>
      <c r="AM129">
        <f t="shared" si="22"/>
        <v>26.040080000000003</v>
      </c>
      <c r="AN129">
        <f t="shared" si="23"/>
        <v>-0.27500999999999998</v>
      </c>
      <c r="AO129">
        <f t="shared" si="24"/>
        <v>10.119360000000002</v>
      </c>
      <c r="AP129">
        <f t="shared" si="25"/>
        <v>-0.38127999999999995</v>
      </c>
      <c r="AQ129">
        <f t="shared" si="26"/>
        <v>4.7040800000000011</v>
      </c>
      <c r="AR129">
        <f t="shared" si="27"/>
        <v>-0.36083000000000004</v>
      </c>
      <c r="AS129">
        <f t="shared" si="28"/>
        <v>-3.5001200000000012</v>
      </c>
      <c r="AU129" s="12">
        <f t="shared" si="29"/>
        <v>-0.29202999999999996</v>
      </c>
      <c r="AV129" s="12">
        <f t="shared" si="19"/>
        <v>-0.17202999999999996</v>
      </c>
      <c r="AW129">
        <f t="shared" si="30"/>
        <v>26.040080000000003</v>
      </c>
      <c r="AX129">
        <f t="shared" si="32"/>
        <v>30.480080000000005</v>
      </c>
      <c r="AY129">
        <v>37</v>
      </c>
    </row>
    <row r="130" spans="1:51">
      <c r="A130" s="12">
        <v>63.4</v>
      </c>
      <c r="B130" s="12">
        <v>23.304786615384611</v>
      </c>
      <c r="AI130">
        <v>128</v>
      </c>
      <c r="AJ130">
        <f t="shared" si="18"/>
        <v>-0.35687120000000006</v>
      </c>
      <c r="AK130">
        <f t="shared" si="33"/>
        <v>13.780057600000003</v>
      </c>
      <c r="AL130">
        <f t="shared" si="21"/>
        <v>-0.29991999999999996</v>
      </c>
      <c r="AM130">
        <f t="shared" si="22"/>
        <v>25.740160000000003</v>
      </c>
      <c r="AN130">
        <f t="shared" si="23"/>
        <v>-0.28064</v>
      </c>
      <c r="AO130">
        <f t="shared" si="24"/>
        <v>9.8387200000000021</v>
      </c>
      <c r="AP130">
        <f t="shared" si="25"/>
        <v>-0.38791999999999993</v>
      </c>
      <c r="AQ130">
        <f t="shared" si="26"/>
        <v>4.3161600000000009</v>
      </c>
      <c r="AR130">
        <f t="shared" si="27"/>
        <v>-0.36612</v>
      </c>
      <c r="AS130">
        <f t="shared" si="28"/>
        <v>-3.8662400000000012</v>
      </c>
      <c r="AU130" s="12">
        <f t="shared" si="29"/>
        <v>-0.29991999999999996</v>
      </c>
      <c r="AV130" s="12">
        <f t="shared" si="19"/>
        <v>-0.17991999999999997</v>
      </c>
      <c r="AW130">
        <f t="shared" si="30"/>
        <v>25.740160000000003</v>
      </c>
      <c r="AX130">
        <f t="shared" si="32"/>
        <v>30.300160000000005</v>
      </c>
      <c r="AY130">
        <v>38</v>
      </c>
    </row>
    <row r="131" spans="1:51">
      <c r="A131" s="12">
        <v>63.5</v>
      </c>
      <c r="B131" s="12">
        <v>22.005783928571429</v>
      </c>
      <c r="AI131">
        <v>129</v>
      </c>
      <c r="AJ131">
        <f t="shared" si="18"/>
        <v>-0.36418659999999997</v>
      </c>
      <c r="AK131">
        <f t="shared" si="33"/>
        <v>13.415871000000003</v>
      </c>
      <c r="AL131">
        <f t="shared" si="21"/>
        <v>-0.30780999999999997</v>
      </c>
      <c r="AM131">
        <f t="shared" si="22"/>
        <v>25.432350000000003</v>
      </c>
      <c r="AN131">
        <f t="shared" si="23"/>
        <v>-0.28626999999999997</v>
      </c>
      <c r="AO131">
        <f t="shared" si="24"/>
        <v>9.5524500000000021</v>
      </c>
      <c r="AP131">
        <f t="shared" si="25"/>
        <v>-0.39455999999999997</v>
      </c>
      <c r="AQ131">
        <f t="shared" si="26"/>
        <v>3.9216000000000011</v>
      </c>
      <c r="AR131">
        <f t="shared" si="27"/>
        <v>-0.37140999999999996</v>
      </c>
      <c r="AS131">
        <f t="shared" si="28"/>
        <v>-4.2376500000000012</v>
      </c>
      <c r="AU131" s="12">
        <f t="shared" si="29"/>
        <v>-0.30780999999999997</v>
      </c>
      <c r="AV131" s="12">
        <f t="shared" si="19"/>
        <v>-0.18780999999999995</v>
      </c>
      <c r="AW131">
        <f t="shared" si="30"/>
        <v>25.432350000000003</v>
      </c>
      <c r="AX131">
        <f t="shared" si="32"/>
        <v>30.112350000000006</v>
      </c>
      <c r="AY131">
        <v>39</v>
      </c>
    </row>
    <row r="132" spans="1:51">
      <c r="A132" s="12">
        <v>63.6</v>
      </c>
      <c r="B132" s="12">
        <v>16.206744833333332</v>
      </c>
      <c r="AI132">
        <v>130</v>
      </c>
      <c r="AJ132">
        <f t="shared" ref="AJ132:AJ162" si="34">(-7.3154*AI132+579.5)/1000</f>
        <v>-0.37150200000000005</v>
      </c>
      <c r="AK132">
        <f t="shared" si="33"/>
        <v>13.044369000000003</v>
      </c>
      <c r="AL132">
        <f t="shared" si="21"/>
        <v>-0.31570000000000004</v>
      </c>
      <c r="AM132">
        <f t="shared" si="22"/>
        <v>25.116650000000003</v>
      </c>
      <c r="AN132">
        <f t="shared" si="23"/>
        <v>-0.29189999999999999</v>
      </c>
      <c r="AO132">
        <f t="shared" si="24"/>
        <v>9.2605500000000021</v>
      </c>
      <c r="AP132">
        <f t="shared" si="25"/>
        <v>-0.40119999999999995</v>
      </c>
      <c r="AQ132">
        <f t="shared" si="26"/>
        <v>3.5204000000000013</v>
      </c>
      <c r="AR132">
        <f t="shared" si="27"/>
        <v>-0.37670000000000003</v>
      </c>
      <c r="AS132">
        <f t="shared" si="28"/>
        <v>-4.6143500000000017</v>
      </c>
      <c r="AU132" s="12">
        <f t="shared" si="29"/>
        <v>-0.31570000000000004</v>
      </c>
      <c r="AV132" s="12">
        <f t="shared" ref="AV132:AV195" si="35">($AF$3*$AI132+$AG$3+120)/1000</f>
        <v>-0.19570000000000004</v>
      </c>
      <c r="AW132">
        <f t="shared" si="30"/>
        <v>25.116650000000003</v>
      </c>
      <c r="AX132">
        <f t="shared" si="32"/>
        <v>29.916650000000008</v>
      </c>
      <c r="AY132">
        <v>40</v>
      </c>
    </row>
    <row r="133" spans="1:51">
      <c r="A133" s="12">
        <v>63.8</v>
      </c>
      <c r="B133" s="12">
        <v>8.9195798690476238</v>
      </c>
      <c r="AI133">
        <v>131</v>
      </c>
      <c r="AJ133">
        <f t="shared" si="34"/>
        <v>-0.37881740000000003</v>
      </c>
      <c r="AK133">
        <f t="shared" ref="AK133:AK162" si="36">((-7.3154*AI133+579.5)/1000)+AK132</f>
        <v>12.665551600000002</v>
      </c>
      <c r="AL133">
        <f t="shared" ref="AL133:AL196" si="37">($AF$3*$AI133+$AG$3)/1000</f>
        <v>-0.32358999999999993</v>
      </c>
      <c r="AM133">
        <f t="shared" ref="AM133:AM162" si="38">(($AF$3*$AI133+$AG$3)/1000)+AM132</f>
        <v>24.793060000000004</v>
      </c>
      <c r="AN133">
        <f t="shared" ref="AN133:AN196" si="39">($AF$4*$AI133+$AG$4)/1000</f>
        <v>-0.29752999999999996</v>
      </c>
      <c r="AO133">
        <f t="shared" ref="AO133:AO162" si="40">(($AF$4*$AI133+$AG$4)/1000)+AO132</f>
        <v>8.963020000000002</v>
      </c>
      <c r="AP133">
        <f t="shared" ref="AP133:AP196" si="41">($AF$5*$AI133+$AG$5)/1000</f>
        <v>-0.40783999999999992</v>
      </c>
      <c r="AQ133">
        <f t="shared" ref="AQ133:AQ162" si="42">(($AF$5*$AI133+$AG$5)/1000)+AQ132</f>
        <v>3.1125600000000015</v>
      </c>
      <c r="AR133">
        <f t="shared" ref="AR133:AR196" si="43">($AF$6*$AI133+$AG$6)/1000</f>
        <v>-0.38199</v>
      </c>
      <c r="AS133">
        <f t="shared" ref="AS133:AS162" si="44">(($AF$6*$AI133+$AG$6)/1000)+AS132</f>
        <v>-4.9963400000000018</v>
      </c>
      <c r="AU133" s="12">
        <f t="shared" ref="AU133:AU196" si="45">($AF$3*$AI133+$AG$3)/1000</f>
        <v>-0.32358999999999993</v>
      </c>
      <c r="AV133" s="12">
        <f t="shared" si="35"/>
        <v>-0.20358999999999991</v>
      </c>
      <c r="AW133">
        <f t="shared" ref="AW133:AW196" si="46">(($AF$3*$AI133+$AG$3)/1000)+AW132</f>
        <v>24.793060000000004</v>
      </c>
      <c r="AX133">
        <f t="shared" si="32"/>
        <v>29.713060000000009</v>
      </c>
      <c r="AY133">
        <v>41</v>
      </c>
    </row>
    <row r="134" spans="1:51">
      <c r="A134" s="12">
        <v>64</v>
      </c>
      <c r="B134" s="12">
        <v>18.09297554611075</v>
      </c>
      <c r="AI134">
        <v>132</v>
      </c>
      <c r="AJ134">
        <f t="shared" si="34"/>
        <v>-0.38613280000000011</v>
      </c>
      <c r="AK134">
        <f t="shared" si="36"/>
        <v>12.279418800000002</v>
      </c>
      <c r="AL134">
        <f t="shared" si="37"/>
        <v>-0.33148</v>
      </c>
      <c r="AM134">
        <f t="shared" si="38"/>
        <v>24.461580000000005</v>
      </c>
      <c r="AN134">
        <f t="shared" si="39"/>
        <v>-0.30315999999999999</v>
      </c>
      <c r="AO134">
        <f t="shared" si="40"/>
        <v>8.6598600000000019</v>
      </c>
      <c r="AP134">
        <f t="shared" si="41"/>
        <v>-0.4144799999999999</v>
      </c>
      <c r="AQ134">
        <f t="shared" si="42"/>
        <v>2.6980800000000018</v>
      </c>
      <c r="AR134">
        <f t="shared" si="43"/>
        <v>-0.38727999999999996</v>
      </c>
      <c r="AS134">
        <f t="shared" si="44"/>
        <v>-5.3836200000000014</v>
      </c>
      <c r="AU134" s="12">
        <f t="shared" si="45"/>
        <v>-0.33148</v>
      </c>
      <c r="AV134" s="12">
        <f t="shared" si="35"/>
        <v>-0.21148000000000003</v>
      </c>
      <c r="AW134">
        <f t="shared" si="46"/>
        <v>24.461580000000005</v>
      </c>
      <c r="AX134">
        <f t="shared" si="32"/>
        <v>29.501580000000008</v>
      </c>
      <c r="AY134">
        <v>42</v>
      </c>
    </row>
    <row r="135" spans="1:51">
      <c r="A135" s="12">
        <v>64.2</v>
      </c>
      <c r="B135" s="12">
        <v>16.556764380785879</v>
      </c>
      <c r="AI135">
        <v>133</v>
      </c>
      <c r="AJ135">
        <f t="shared" si="34"/>
        <v>-0.39344820000000003</v>
      </c>
      <c r="AK135">
        <f t="shared" si="36"/>
        <v>11.885970600000002</v>
      </c>
      <c r="AL135">
        <f t="shared" si="37"/>
        <v>-0.33936999999999989</v>
      </c>
      <c r="AM135">
        <f t="shared" si="38"/>
        <v>24.122210000000006</v>
      </c>
      <c r="AN135">
        <f t="shared" si="39"/>
        <v>-0.30878999999999995</v>
      </c>
      <c r="AO135">
        <f t="shared" si="40"/>
        <v>8.3510700000000018</v>
      </c>
      <c r="AP135">
        <f t="shared" si="41"/>
        <v>-0.42111999999999999</v>
      </c>
      <c r="AQ135">
        <f t="shared" si="42"/>
        <v>2.2769600000000016</v>
      </c>
      <c r="AR135">
        <f t="shared" si="43"/>
        <v>-0.39257000000000003</v>
      </c>
      <c r="AS135">
        <f t="shared" si="44"/>
        <v>-5.7761900000000015</v>
      </c>
      <c r="AU135" s="12">
        <f t="shared" si="45"/>
        <v>-0.33936999999999989</v>
      </c>
      <c r="AV135" s="12">
        <f t="shared" si="35"/>
        <v>-0.2193699999999999</v>
      </c>
      <c r="AW135">
        <f t="shared" si="46"/>
        <v>24.122210000000006</v>
      </c>
      <c r="AX135">
        <f t="shared" si="32"/>
        <v>29.282210000000006</v>
      </c>
      <c r="AY135">
        <v>43</v>
      </c>
    </row>
    <row r="136" spans="1:51">
      <c r="A136" s="12">
        <v>64.400000000000006</v>
      </c>
      <c r="B136" s="12">
        <v>19.713991809523801</v>
      </c>
      <c r="AI136">
        <v>134</v>
      </c>
      <c r="AJ136">
        <f t="shared" si="34"/>
        <v>-0.4007636</v>
      </c>
      <c r="AK136">
        <f t="shared" si="36"/>
        <v>11.485207000000003</v>
      </c>
      <c r="AL136">
        <f t="shared" si="37"/>
        <v>-0.34726000000000001</v>
      </c>
      <c r="AM136">
        <f t="shared" si="38"/>
        <v>23.774950000000008</v>
      </c>
      <c r="AN136">
        <f t="shared" si="39"/>
        <v>-0.31441999999999998</v>
      </c>
      <c r="AO136">
        <f t="shared" si="40"/>
        <v>8.0366500000000016</v>
      </c>
      <c r="AP136">
        <f t="shared" si="41"/>
        <v>-0.42775999999999997</v>
      </c>
      <c r="AQ136">
        <f t="shared" si="42"/>
        <v>1.8492000000000017</v>
      </c>
      <c r="AR136">
        <f t="shared" si="43"/>
        <v>-0.39785999999999999</v>
      </c>
      <c r="AS136">
        <f t="shared" si="44"/>
        <v>-6.1740500000000011</v>
      </c>
      <c r="AU136" s="12">
        <f t="shared" si="45"/>
        <v>-0.34726000000000001</v>
      </c>
      <c r="AV136" s="12">
        <f t="shared" si="35"/>
        <v>-0.22725999999999999</v>
      </c>
      <c r="AW136">
        <f t="shared" si="46"/>
        <v>23.774950000000008</v>
      </c>
      <c r="AX136">
        <f t="shared" si="32"/>
        <v>29.054950000000005</v>
      </c>
      <c r="AY136">
        <v>44</v>
      </c>
    </row>
    <row r="137" spans="1:51">
      <c r="A137" s="12">
        <v>64.5</v>
      </c>
      <c r="B137" s="12">
        <v>19.126974764194138</v>
      </c>
      <c r="AI137">
        <v>135</v>
      </c>
      <c r="AJ137">
        <f t="shared" si="34"/>
        <v>-0.40807900000000008</v>
      </c>
      <c r="AK137">
        <f t="shared" si="36"/>
        <v>11.077128000000002</v>
      </c>
      <c r="AL137">
        <f t="shared" si="37"/>
        <v>-0.35514999999999985</v>
      </c>
      <c r="AM137">
        <f t="shared" si="38"/>
        <v>23.419800000000009</v>
      </c>
      <c r="AN137">
        <f t="shared" si="39"/>
        <v>-0.32004999999999995</v>
      </c>
      <c r="AO137">
        <f t="shared" si="40"/>
        <v>7.7166000000000015</v>
      </c>
      <c r="AP137">
        <f t="shared" si="41"/>
        <v>-0.43439999999999995</v>
      </c>
      <c r="AQ137">
        <f t="shared" si="42"/>
        <v>1.4148000000000018</v>
      </c>
      <c r="AR137">
        <f t="shared" si="43"/>
        <v>-0.40314999999999995</v>
      </c>
      <c r="AS137">
        <f t="shared" si="44"/>
        <v>-6.5772000000000013</v>
      </c>
      <c r="AU137" s="12">
        <f t="shared" si="45"/>
        <v>-0.35514999999999985</v>
      </c>
      <c r="AV137" s="12">
        <f t="shared" si="35"/>
        <v>-0.23514999999999986</v>
      </c>
      <c r="AW137">
        <f t="shared" si="46"/>
        <v>23.419800000000009</v>
      </c>
      <c r="AX137">
        <f t="shared" si="32"/>
        <v>28.819800000000004</v>
      </c>
      <c r="AY137">
        <v>45</v>
      </c>
    </row>
    <row r="138" spans="1:51">
      <c r="A138" s="12">
        <v>64.599999999999994</v>
      </c>
      <c r="B138" s="12">
        <v>18.356651791666678</v>
      </c>
      <c r="AI138">
        <v>136</v>
      </c>
      <c r="AJ138">
        <f t="shared" si="34"/>
        <v>-0.4153944</v>
      </c>
      <c r="AK138">
        <f t="shared" si="36"/>
        <v>10.661733600000002</v>
      </c>
      <c r="AL138">
        <f t="shared" si="37"/>
        <v>-0.36303999999999997</v>
      </c>
      <c r="AM138">
        <f t="shared" si="38"/>
        <v>23.056760000000008</v>
      </c>
      <c r="AN138">
        <f t="shared" si="39"/>
        <v>-0.32567999999999997</v>
      </c>
      <c r="AO138">
        <f t="shared" si="40"/>
        <v>7.3909200000000013</v>
      </c>
      <c r="AP138">
        <f t="shared" si="41"/>
        <v>-0.44103999999999999</v>
      </c>
      <c r="AQ138">
        <f t="shared" si="42"/>
        <v>0.97376000000000185</v>
      </c>
      <c r="AR138">
        <f t="shared" si="43"/>
        <v>-0.40844000000000008</v>
      </c>
      <c r="AS138">
        <f t="shared" si="44"/>
        <v>-6.985640000000001</v>
      </c>
      <c r="AU138" s="12">
        <f t="shared" si="45"/>
        <v>-0.36303999999999997</v>
      </c>
      <c r="AV138" s="12">
        <f t="shared" si="35"/>
        <v>-0.24303999999999995</v>
      </c>
      <c r="AW138">
        <f t="shared" si="46"/>
        <v>23.056760000000008</v>
      </c>
      <c r="AX138">
        <f t="shared" si="32"/>
        <v>28.576760000000004</v>
      </c>
      <c r="AY138">
        <v>46</v>
      </c>
    </row>
    <row r="139" spans="1:51">
      <c r="A139" s="12">
        <v>65</v>
      </c>
      <c r="B139" s="12">
        <v>20.369918384615382</v>
      </c>
      <c r="AI139">
        <v>137</v>
      </c>
      <c r="AJ139">
        <f t="shared" si="34"/>
        <v>-0.42270980000000008</v>
      </c>
      <c r="AK139">
        <f t="shared" si="36"/>
        <v>10.239023800000002</v>
      </c>
      <c r="AL139">
        <f t="shared" si="37"/>
        <v>-0.37093000000000004</v>
      </c>
      <c r="AM139">
        <f t="shared" si="38"/>
        <v>22.685830000000006</v>
      </c>
      <c r="AN139">
        <f t="shared" si="39"/>
        <v>-0.33130999999999994</v>
      </c>
      <c r="AO139">
        <f t="shared" si="40"/>
        <v>7.0596100000000011</v>
      </c>
      <c r="AP139">
        <f t="shared" si="41"/>
        <v>-0.44767999999999997</v>
      </c>
      <c r="AQ139">
        <f t="shared" si="42"/>
        <v>0.52608000000000188</v>
      </c>
      <c r="AR139">
        <f t="shared" si="43"/>
        <v>-0.41373000000000004</v>
      </c>
      <c r="AS139">
        <f t="shared" si="44"/>
        <v>-7.3993700000000011</v>
      </c>
      <c r="AU139" s="12">
        <f t="shared" si="45"/>
        <v>-0.37093000000000004</v>
      </c>
      <c r="AV139" s="12">
        <f t="shared" si="35"/>
        <v>-0.25093000000000004</v>
      </c>
      <c r="AW139">
        <f t="shared" si="46"/>
        <v>22.685830000000006</v>
      </c>
      <c r="AX139">
        <f t="shared" si="32"/>
        <v>28.325830000000003</v>
      </c>
      <c r="AY139">
        <v>47</v>
      </c>
    </row>
    <row r="140" spans="1:51">
      <c r="A140" s="12">
        <v>66.400000000000006</v>
      </c>
      <c r="B140" s="12">
        <v>16.427407738095226</v>
      </c>
      <c r="AI140">
        <v>138</v>
      </c>
      <c r="AJ140">
        <f t="shared" si="34"/>
        <v>-0.43002520000000005</v>
      </c>
      <c r="AK140">
        <f t="shared" si="36"/>
        <v>9.8089986000000025</v>
      </c>
      <c r="AL140">
        <f t="shared" si="37"/>
        <v>-0.37881999999999993</v>
      </c>
      <c r="AM140">
        <f t="shared" si="38"/>
        <v>22.307010000000005</v>
      </c>
      <c r="AN140">
        <f t="shared" si="39"/>
        <v>-0.33693999999999996</v>
      </c>
      <c r="AO140">
        <f t="shared" si="40"/>
        <v>6.7226700000000008</v>
      </c>
      <c r="AP140">
        <f t="shared" si="41"/>
        <v>-0.45431999999999995</v>
      </c>
      <c r="AQ140">
        <f t="shared" si="42"/>
        <v>7.1760000000001933E-2</v>
      </c>
      <c r="AR140">
        <f t="shared" si="43"/>
        <v>-0.41902</v>
      </c>
      <c r="AS140">
        <f t="shared" si="44"/>
        <v>-7.8183900000000008</v>
      </c>
      <c r="AU140" s="12">
        <f t="shared" si="45"/>
        <v>-0.37881999999999993</v>
      </c>
      <c r="AV140" s="12">
        <f t="shared" si="35"/>
        <v>-0.25881999999999994</v>
      </c>
      <c r="AW140">
        <f t="shared" si="46"/>
        <v>22.307010000000005</v>
      </c>
      <c r="AX140">
        <f t="shared" si="32"/>
        <v>28.067010000000003</v>
      </c>
      <c r="AY140">
        <v>48</v>
      </c>
    </row>
    <row r="141" spans="1:51">
      <c r="A141" s="12">
        <v>67</v>
      </c>
      <c r="B141" s="12">
        <v>15.821234839285717</v>
      </c>
      <c r="AI141">
        <v>139</v>
      </c>
      <c r="AJ141">
        <f t="shared" si="34"/>
        <v>-0.43734059999999997</v>
      </c>
      <c r="AK141">
        <f t="shared" si="36"/>
        <v>9.3716580000000018</v>
      </c>
      <c r="AL141">
        <f t="shared" si="37"/>
        <v>-0.38671000000000005</v>
      </c>
      <c r="AM141">
        <f t="shared" si="38"/>
        <v>21.920300000000005</v>
      </c>
      <c r="AN141">
        <f t="shared" si="39"/>
        <v>-0.34256999999999993</v>
      </c>
      <c r="AO141">
        <f t="shared" si="40"/>
        <v>6.3801000000000005</v>
      </c>
      <c r="AP141">
        <f t="shared" si="41"/>
        <v>-0.46095999999999993</v>
      </c>
      <c r="AQ141">
        <f t="shared" si="42"/>
        <v>-0.38919999999999799</v>
      </c>
      <c r="AR141">
        <f t="shared" si="43"/>
        <v>-0.42431000000000008</v>
      </c>
      <c r="AS141">
        <f t="shared" si="44"/>
        <v>-8.242700000000001</v>
      </c>
      <c r="AU141" s="12">
        <f t="shared" si="45"/>
        <v>-0.38671000000000005</v>
      </c>
      <c r="AV141" s="12">
        <f t="shared" si="35"/>
        <v>-0.26671000000000006</v>
      </c>
      <c r="AW141">
        <f t="shared" si="46"/>
        <v>21.920300000000005</v>
      </c>
      <c r="AX141">
        <f t="shared" si="32"/>
        <v>27.800300000000004</v>
      </c>
      <c r="AY141">
        <v>49</v>
      </c>
    </row>
    <row r="142" spans="1:51">
      <c r="A142" s="12">
        <v>68</v>
      </c>
      <c r="B142" s="12">
        <v>18.439029619047631</v>
      </c>
      <c r="AI142">
        <v>140</v>
      </c>
      <c r="AJ142">
        <f t="shared" si="34"/>
        <v>-0.44465599999999994</v>
      </c>
      <c r="AK142">
        <f t="shared" si="36"/>
        <v>8.9270020000000017</v>
      </c>
      <c r="AL142">
        <f t="shared" si="37"/>
        <v>-0.3945999999999999</v>
      </c>
      <c r="AM142">
        <f t="shared" si="38"/>
        <v>21.525700000000004</v>
      </c>
      <c r="AN142">
        <f t="shared" si="39"/>
        <v>-0.34819999999999995</v>
      </c>
      <c r="AO142">
        <f t="shared" si="40"/>
        <v>6.0319000000000003</v>
      </c>
      <c r="AP142">
        <f t="shared" si="41"/>
        <v>-0.4675999999999999</v>
      </c>
      <c r="AQ142">
        <f t="shared" si="42"/>
        <v>-0.8567999999999979</v>
      </c>
      <c r="AR142">
        <f t="shared" si="43"/>
        <v>-0.42960000000000004</v>
      </c>
      <c r="AS142">
        <f t="shared" si="44"/>
        <v>-8.6723000000000017</v>
      </c>
      <c r="AU142" s="12">
        <f t="shared" si="45"/>
        <v>-0.3945999999999999</v>
      </c>
      <c r="AV142" s="12">
        <f t="shared" si="35"/>
        <v>-0.2745999999999999</v>
      </c>
      <c r="AW142">
        <f t="shared" si="46"/>
        <v>21.525700000000004</v>
      </c>
      <c r="AX142">
        <f t="shared" si="32"/>
        <v>27.525700000000004</v>
      </c>
      <c r="AY142">
        <v>50</v>
      </c>
    </row>
    <row r="143" spans="1:51">
      <c r="A143" s="12">
        <v>68.8</v>
      </c>
      <c r="B143" s="12">
        <v>14.213806357142861</v>
      </c>
      <c r="AI143">
        <v>141</v>
      </c>
      <c r="AJ143">
        <f t="shared" si="34"/>
        <v>-0.45197140000000013</v>
      </c>
      <c r="AK143">
        <f t="shared" si="36"/>
        <v>8.475030600000002</v>
      </c>
      <c r="AL143">
        <f t="shared" si="37"/>
        <v>-0.40249000000000001</v>
      </c>
      <c r="AM143">
        <f t="shared" si="38"/>
        <v>21.123210000000004</v>
      </c>
      <c r="AN143">
        <f t="shared" si="39"/>
        <v>-0.35383000000000003</v>
      </c>
      <c r="AO143">
        <f t="shared" si="40"/>
        <v>5.67807</v>
      </c>
      <c r="AP143">
        <f t="shared" si="41"/>
        <v>-0.47423999999999999</v>
      </c>
      <c r="AQ143">
        <f t="shared" si="42"/>
        <v>-1.331039999999998</v>
      </c>
      <c r="AR143">
        <f t="shared" si="43"/>
        <v>-0.43489</v>
      </c>
      <c r="AS143">
        <f t="shared" si="44"/>
        <v>-9.107190000000001</v>
      </c>
      <c r="AU143" s="12">
        <f t="shared" si="45"/>
        <v>-0.40249000000000001</v>
      </c>
      <c r="AV143" s="12">
        <f t="shared" si="35"/>
        <v>-0.28249000000000002</v>
      </c>
      <c r="AW143">
        <f t="shared" si="46"/>
        <v>21.123210000000004</v>
      </c>
      <c r="AX143">
        <f t="shared" si="32"/>
        <v>27.243210000000005</v>
      </c>
      <c r="AY143">
        <v>51</v>
      </c>
    </row>
    <row r="144" spans="1:51">
      <c r="A144" s="12">
        <v>70.599999999999994</v>
      </c>
      <c r="B144" s="12">
        <v>19.141380285714284</v>
      </c>
      <c r="AI144">
        <v>142</v>
      </c>
      <c r="AJ144">
        <f t="shared" si="34"/>
        <v>-0.45928680000000011</v>
      </c>
      <c r="AK144">
        <f t="shared" si="36"/>
        <v>8.0157438000000028</v>
      </c>
      <c r="AL144">
        <f t="shared" si="37"/>
        <v>-0.41037999999999986</v>
      </c>
      <c r="AM144">
        <f t="shared" si="38"/>
        <v>20.712830000000004</v>
      </c>
      <c r="AN144">
        <f t="shared" si="39"/>
        <v>-0.35946000000000006</v>
      </c>
      <c r="AO144">
        <f t="shared" si="40"/>
        <v>5.3186099999999996</v>
      </c>
      <c r="AP144">
        <f t="shared" si="41"/>
        <v>-0.48087999999999997</v>
      </c>
      <c r="AQ144">
        <f t="shared" si="42"/>
        <v>-1.811919999999998</v>
      </c>
      <c r="AR144">
        <f t="shared" si="43"/>
        <v>-0.44017999999999996</v>
      </c>
      <c r="AS144">
        <f t="shared" si="44"/>
        <v>-9.5473700000000008</v>
      </c>
      <c r="AU144" s="12">
        <f t="shared" si="45"/>
        <v>-0.41037999999999986</v>
      </c>
      <c r="AV144" s="12">
        <f t="shared" si="35"/>
        <v>-0.29037999999999986</v>
      </c>
      <c r="AW144">
        <f t="shared" si="46"/>
        <v>20.712830000000004</v>
      </c>
      <c r="AX144">
        <f t="shared" si="32"/>
        <v>26.952830000000006</v>
      </c>
      <c r="AY144">
        <v>52</v>
      </c>
    </row>
    <row r="145" spans="1:51">
      <c r="A145" s="12">
        <v>71</v>
      </c>
      <c r="B145" s="12">
        <v>10.17758178571429</v>
      </c>
      <c r="AI145">
        <v>143</v>
      </c>
      <c r="AJ145">
        <f t="shared" si="34"/>
        <v>-0.46660220000000002</v>
      </c>
      <c r="AK145">
        <f t="shared" si="36"/>
        <v>7.5491416000000031</v>
      </c>
      <c r="AL145">
        <f t="shared" si="37"/>
        <v>-0.41826999999999998</v>
      </c>
      <c r="AM145">
        <f t="shared" si="38"/>
        <v>20.294560000000004</v>
      </c>
      <c r="AN145">
        <f t="shared" si="39"/>
        <v>-0.36509000000000003</v>
      </c>
      <c r="AO145">
        <f t="shared" si="40"/>
        <v>4.9535199999999993</v>
      </c>
      <c r="AP145">
        <f t="shared" si="41"/>
        <v>-0.48752000000000001</v>
      </c>
      <c r="AQ145">
        <f t="shared" si="42"/>
        <v>-2.2994399999999979</v>
      </c>
      <c r="AR145">
        <f t="shared" si="43"/>
        <v>-0.44547000000000003</v>
      </c>
      <c r="AS145">
        <f t="shared" si="44"/>
        <v>-9.9928400000000011</v>
      </c>
      <c r="AU145" s="12">
        <f t="shared" si="45"/>
        <v>-0.41826999999999998</v>
      </c>
      <c r="AV145" s="12">
        <f t="shared" si="35"/>
        <v>-0.29826999999999998</v>
      </c>
      <c r="AW145">
        <f t="shared" si="46"/>
        <v>20.294560000000004</v>
      </c>
      <c r="AX145">
        <f t="shared" si="32"/>
        <v>26.654560000000007</v>
      </c>
      <c r="AY145">
        <v>53</v>
      </c>
    </row>
    <row r="146" spans="1:51">
      <c r="A146" s="12">
        <v>72</v>
      </c>
      <c r="B146" s="12">
        <v>8.7443833928571415</v>
      </c>
      <c r="AI146">
        <v>144</v>
      </c>
      <c r="AJ146">
        <f t="shared" si="34"/>
        <v>-0.47391759999999999</v>
      </c>
      <c r="AK146">
        <f t="shared" si="36"/>
        <v>7.0752240000000031</v>
      </c>
      <c r="AL146">
        <f t="shared" si="37"/>
        <v>-0.42615999999999987</v>
      </c>
      <c r="AM146">
        <f t="shared" si="38"/>
        <v>19.868400000000005</v>
      </c>
      <c r="AN146">
        <f t="shared" si="39"/>
        <v>-0.37072000000000005</v>
      </c>
      <c r="AO146">
        <f t="shared" si="40"/>
        <v>4.5827999999999989</v>
      </c>
      <c r="AP146">
        <f t="shared" si="41"/>
        <v>-0.49415999999999999</v>
      </c>
      <c r="AQ146">
        <f t="shared" si="42"/>
        <v>-2.7935999999999979</v>
      </c>
      <c r="AR146">
        <f t="shared" si="43"/>
        <v>-0.45075999999999999</v>
      </c>
      <c r="AS146">
        <f t="shared" si="44"/>
        <v>-10.443600000000002</v>
      </c>
      <c r="AU146" s="12">
        <f t="shared" si="45"/>
        <v>-0.42615999999999987</v>
      </c>
      <c r="AV146" s="12">
        <f t="shared" si="35"/>
        <v>-0.30615999999999988</v>
      </c>
      <c r="AW146">
        <f t="shared" si="46"/>
        <v>19.868400000000005</v>
      </c>
      <c r="AX146">
        <f t="shared" si="32"/>
        <v>26.348400000000009</v>
      </c>
      <c r="AY146">
        <v>54</v>
      </c>
    </row>
    <row r="147" spans="1:51">
      <c r="A147" s="12">
        <v>72.5</v>
      </c>
      <c r="B147" s="12">
        <v>8.3887498214285721</v>
      </c>
      <c r="AI147">
        <v>145</v>
      </c>
      <c r="AJ147">
        <f t="shared" si="34"/>
        <v>-0.48123299999999997</v>
      </c>
      <c r="AK147">
        <f t="shared" si="36"/>
        <v>6.5939910000000035</v>
      </c>
      <c r="AL147">
        <f t="shared" si="37"/>
        <v>-0.43404999999999994</v>
      </c>
      <c r="AM147">
        <f t="shared" si="38"/>
        <v>19.434350000000006</v>
      </c>
      <c r="AN147">
        <f t="shared" si="39"/>
        <v>-0.37635000000000002</v>
      </c>
      <c r="AO147">
        <f t="shared" si="40"/>
        <v>4.2064499999999985</v>
      </c>
      <c r="AP147">
        <f t="shared" si="41"/>
        <v>-0.50079999999999991</v>
      </c>
      <c r="AQ147">
        <f t="shared" si="42"/>
        <v>-3.2943999999999978</v>
      </c>
      <c r="AR147">
        <f t="shared" si="43"/>
        <v>-0.45604999999999996</v>
      </c>
      <c r="AS147">
        <f t="shared" si="44"/>
        <v>-10.899650000000001</v>
      </c>
      <c r="AU147" s="12">
        <f t="shared" si="45"/>
        <v>-0.43404999999999994</v>
      </c>
      <c r="AV147" s="12">
        <f t="shared" si="35"/>
        <v>-0.31404999999999994</v>
      </c>
      <c r="AW147">
        <f t="shared" si="46"/>
        <v>19.434350000000006</v>
      </c>
      <c r="AX147">
        <f t="shared" si="32"/>
        <v>26.034350000000011</v>
      </c>
      <c r="AY147">
        <v>55</v>
      </c>
    </row>
    <row r="148" spans="1:51">
      <c r="A148" s="12">
        <v>73</v>
      </c>
      <c r="B148" s="12">
        <v>9.4170607142857126</v>
      </c>
      <c r="AI148">
        <v>146</v>
      </c>
      <c r="AJ148">
        <f t="shared" si="34"/>
        <v>-0.4885484000000001</v>
      </c>
      <c r="AK148">
        <f t="shared" si="36"/>
        <v>6.1054426000000035</v>
      </c>
      <c r="AL148">
        <f t="shared" si="37"/>
        <v>-0.44194000000000006</v>
      </c>
      <c r="AM148">
        <f t="shared" si="38"/>
        <v>18.992410000000007</v>
      </c>
      <c r="AN148">
        <f t="shared" si="39"/>
        <v>-0.38198000000000004</v>
      </c>
      <c r="AO148">
        <f t="shared" si="40"/>
        <v>3.8244699999999985</v>
      </c>
      <c r="AP148">
        <f t="shared" si="41"/>
        <v>-0.50743999999999989</v>
      </c>
      <c r="AQ148">
        <f t="shared" si="42"/>
        <v>-3.8018399999999977</v>
      </c>
      <c r="AR148">
        <f t="shared" si="43"/>
        <v>-0.46134000000000003</v>
      </c>
      <c r="AS148">
        <f t="shared" si="44"/>
        <v>-11.360990000000001</v>
      </c>
      <c r="AU148" s="12">
        <f t="shared" si="45"/>
        <v>-0.44194000000000006</v>
      </c>
      <c r="AV148" s="12">
        <f t="shared" si="35"/>
        <v>-0.32194000000000006</v>
      </c>
      <c r="AW148">
        <f t="shared" si="46"/>
        <v>18.992410000000007</v>
      </c>
      <c r="AX148">
        <f t="shared" si="32"/>
        <v>25.712410000000009</v>
      </c>
      <c r="AY148">
        <v>56</v>
      </c>
    </row>
    <row r="149" spans="1:51">
      <c r="A149" s="12">
        <v>73.5</v>
      </c>
      <c r="B149" s="12">
        <v>3.5045130357142864</v>
      </c>
      <c r="AI149">
        <v>147</v>
      </c>
      <c r="AJ149">
        <f t="shared" si="34"/>
        <v>-0.49586380000000008</v>
      </c>
      <c r="AK149">
        <f t="shared" si="36"/>
        <v>5.6095788000000031</v>
      </c>
      <c r="AL149">
        <f t="shared" si="37"/>
        <v>-0.44982999999999995</v>
      </c>
      <c r="AM149">
        <f t="shared" si="38"/>
        <v>18.542580000000008</v>
      </c>
      <c r="AN149">
        <f t="shared" si="39"/>
        <v>-0.38761000000000001</v>
      </c>
      <c r="AO149">
        <f t="shared" si="40"/>
        <v>3.4368599999999985</v>
      </c>
      <c r="AP149">
        <f t="shared" si="41"/>
        <v>-0.51407999999999998</v>
      </c>
      <c r="AQ149">
        <f t="shared" si="42"/>
        <v>-4.3159199999999975</v>
      </c>
      <c r="AR149">
        <f t="shared" si="43"/>
        <v>-0.46662999999999999</v>
      </c>
      <c r="AS149">
        <f t="shared" si="44"/>
        <v>-11.827620000000001</v>
      </c>
      <c r="AU149" s="12">
        <f t="shared" si="45"/>
        <v>-0.44982999999999995</v>
      </c>
      <c r="AV149" s="12">
        <f t="shared" si="35"/>
        <v>-0.3298299999999999</v>
      </c>
      <c r="AW149">
        <f t="shared" si="46"/>
        <v>18.542580000000008</v>
      </c>
      <c r="AX149">
        <f t="shared" si="32"/>
        <v>25.382580000000008</v>
      </c>
      <c r="AY149">
        <v>57</v>
      </c>
    </row>
    <row r="150" spans="1:51">
      <c r="A150" s="12">
        <v>74</v>
      </c>
      <c r="B150" s="12">
        <v>11.24241130952381</v>
      </c>
      <c r="AI150">
        <v>148</v>
      </c>
      <c r="AJ150">
        <f t="shared" si="34"/>
        <v>-0.50317920000000005</v>
      </c>
      <c r="AK150">
        <f t="shared" si="36"/>
        <v>5.1063996000000031</v>
      </c>
      <c r="AL150">
        <f t="shared" si="37"/>
        <v>-0.45772000000000002</v>
      </c>
      <c r="AM150">
        <f t="shared" si="38"/>
        <v>18.08486000000001</v>
      </c>
      <c r="AN150">
        <f t="shared" si="39"/>
        <v>-0.39324000000000003</v>
      </c>
      <c r="AO150">
        <f t="shared" si="40"/>
        <v>3.0436199999999984</v>
      </c>
      <c r="AP150">
        <f t="shared" si="41"/>
        <v>-0.52071999999999996</v>
      </c>
      <c r="AQ150">
        <f t="shared" si="42"/>
        <v>-4.8366399999999974</v>
      </c>
      <c r="AR150">
        <f t="shared" si="43"/>
        <v>-0.47191999999999995</v>
      </c>
      <c r="AS150">
        <f t="shared" si="44"/>
        <v>-12.299540000000002</v>
      </c>
      <c r="AU150" s="12">
        <f t="shared" si="45"/>
        <v>-0.45772000000000002</v>
      </c>
      <c r="AV150" s="12">
        <f t="shared" si="35"/>
        <v>-0.33772000000000002</v>
      </c>
      <c r="AW150">
        <f t="shared" si="46"/>
        <v>18.08486000000001</v>
      </c>
      <c r="AX150">
        <f t="shared" si="32"/>
        <v>25.044860000000007</v>
      </c>
      <c r="AY150">
        <v>58</v>
      </c>
    </row>
    <row r="151" spans="1:51">
      <c r="A151" s="12">
        <v>74.5</v>
      </c>
      <c r="B151" s="12">
        <v>8.2656150000000004</v>
      </c>
      <c r="AI151">
        <v>149</v>
      </c>
      <c r="AJ151">
        <f t="shared" si="34"/>
        <v>-0.51049460000000002</v>
      </c>
      <c r="AK151">
        <f t="shared" si="36"/>
        <v>4.5959050000000028</v>
      </c>
      <c r="AL151">
        <f t="shared" si="37"/>
        <v>-0.46560999999999991</v>
      </c>
      <c r="AM151">
        <f t="shared" si="38"/>
        <v>17.619250000000008</v>
      </c>
      <c r="AN151">
        <f t="shared" si="39"/>
        <v>-0.39887</v>
      </c>
      <c r="AO151">
        <f t="shared" si="40"/>
        <v>2.6447499999999984</v>
      </c>
      <c r="AP151">
        <f t="shared" si="41"/>
        <v>-0.52735999999999994</v>
      </c>
      <c r="AQ151">
        <f t="shared" si="42"/>
        <v>-5.3639999999999972</v>
      </c>
      <c r="AR151">
        <f t="shared" si="43"/>
        <v>-0.47721000000000002</v>
      </c>
      <c r="AS151">
        <f t="shared" si="44"/>
        <v>-12.776750000000002</v>
      </c>
      <c r="AU151" s="12">
        <f t="shared" si="45"/>
        <v>-0.46560999999999991</v>
      </c>
      <c r="AV151" s="12">
        <f t="shared" si="35"/>
        <v>-0.34560999999999992</v>
      </c>
      <c r="AW151">
        <f t="shared" si="46"/>
        <v>17.619250000000008</v>
      </c>
      <c r="AX151">
        <f t="shared" si="32"/>
        <v>24.699250000000006</v>
      </c>
      <c r="AY151">
        <v>59</v>
      </c>
    </row>
    <row r="152" spans="1:51">
      <c r="A152" s="12">
        <v>75</v>
      </c>
      <c r="B152" s="12">
        <v>7.867708928571429</v>
      </c>
      <c r="AI152">
        <v>150</v>
      </c>
      <c r="AJ152">
        <f t="shared" si="34"/>
        <v>-0.51780999999999999</v>
      </c>
      <c r="AK152">
        <f t="shared" si="36"/>
        <v>4.0780950000000029</v>
      </c>
      <c r="AL152">
        <f t="shared" si="37"/>
        <v>-0.47349999999999998</v>
      </c>
      <c r="AM152">
        <f t="shared" si="38"/>
        <v>17.145750000000007</v>
      </c>
      <c r="AN152">
        <f t="shared" si="39"/>
        <v>-0.40450000000000003</v>
      </c>
      <c r="AO152">
        <f t="shared" si="40"/>
        <v>2.2402499999999983</v>
      </c>
      <c r="AP152">
        <f t="shared" si="41"/>
        <v>-0.53400000000000003</v>
      </c>
      <c r="AQ152">
        <f t="shared" si="42"/>
        <v>-5.897999999999997</v>
      </c>
      <c r="AR152">
        <f t="shared" si="43"/>
        <v>-0.48249999999999998</v>
      </c>
      <c r="AS152">
        <f t="shared" si="44"/>
        <v>-13.259250000000002</v>
      </c>
      <c r="AU152" s="12">
        <f t="shared" si="45"/>
        <v>-0.47349999999999998</v>
      </c>
      <c r="AV152" s="12">
        <f t="shared" si="35"/>
        <v>-0.35349999999999998</v>
      </c>
      <c r="AW152">
        <f t="shared" si="46"/>
        <v>17.145750000000007</v>
      </c>
      <c r="AX152">
        <f t="shared" si="32"/>
        <v>24.345750000000006</v>
      </c>
      <c r="AY152">
        <v>60</v>
      </c>
    </row>
    <row r="153" spans="1:51">
      <c r="A153" s="12">
        <v>75.5</v>
      </c>
      <c r="B153" s="12">
        <v>10.311668660714286</v>
      </c>
      <c r="AI153">
        <v>151</v>
      </c>
      <c r="AJ153">
        <f t="shared" si="34"/>
        <v>-0.52512540000000008</v>
      </c>
      <c r="AK153">
        <f t="shared" si="36"/>
        <v>3.5529696000000026</v>
      </c>
      <c r="AL153">
        <f t="shared" si="37"/>
        <v>-0.48138999999999987</v>
      </c>
      <c r="AM153">
        <f t="shared" si="38"/>
        <v>16.664360000000006</v>
      </c>
      <c r="AN153">
        <f t="shared" si="39"/>
        <v>-0.41012999999999999</v>
      </c>
      <c r="AO153">
        <f t="shared" si="40"/>
        <v>1.8301199999999982</v>
      </c>
      <c r="AP153">
        <f t="shared" si="41"/>
        <v>-0.54064000000000001</v>
      </c>
      <c r="AQ153">
        <f t="shared" si="42"/>
        <v>-6.4386399999999968</v>
      </c>
      <c r="AR153">
        <f t="shared" si="43"/>
        <v>-0.48778999999999995</v>
      </c>
      <c r="AS153">
        <f t="shared" si="44"/>
        <v>-13.747040000000002</v>
      </c>
      <c r="AU153" s="12">
        <f t="shared" si="45"/>
        <v>-0.48138999999999987</v>
      </c>
      <c r="AV153" s="12">
        <f t="shared" si="35"/>
        <v>-0.36138999999999988</v>
      </c>
      <c r="AW153">
        <f t="shared" si="46"/>
        <v>16.664360000000006</v>
      </c>
      <c r="AX153">
        <f t="shared" si="32"/>
        <v>23.984360000000006</v>
      </c>
      <c r="AY153">
        <v>61</v>
      </c>
    </row>
    <row r="154" spans="1:51">
      <c r="A154" s="12">
        <v>76</v>
      </c>
      <c r="B154" s="12">
        <v>4.8075951785714279</v>
      </c>
      <c r="AI154">
        <v>152</v>
      </c>
      <c r="AJ154">
        <f t="shared" si="34"/>
        <v>-0.53244080000000005</v>
      </c>
      <c r="AK154">
        <f t="shared" si="36"/>
        <v>3.0205288000000028</v>
      </c>
      <c r="AL154">
        <f t="shared" si="37"/>
        <v>-0.48927999999999999</v>
      </c>
      <c r="AM154">
        <f t="shared" si="38"/>
        <v>16.175080000000005</v>
      </c>
      <c r="AN154">
        <f t="shared" si="39"/>
        <v>-0.41576000000000002</v>
      </c>
      <c r="AO154">
        <f t="shared" si="40"/>
        <v>1.4143599999999981</v>
      </c>
      <c r="AP154">
        <f t="shared" si="41"/>
        <v>-0.54727999999999999</v>
      </c>
      <c r="AQ154">
        <f t="shared" si="42"/>
        <v>-6.9859199999999966</v>
      </c>
      <c r="AR154">
        <f t="shared" si="43"/>
        <v>-0.49308000000000002</v>
      </c>
      <c r="AS154">
        <f t="shared" si="44"/>
        <v>-14.240120000000003</v>
      </c>
      <c r="AU154" s="12">
        <f t="shared" si="45"/>
        <v>-0.48927999999999999</v>
      </c>
      <c r="AV154" s="12">
        <f t="shared" si="35"/>
        <v>-0.36928</v>
      </c>
      <c r="AW154">
        <f t="shared" si="46"/>
        <v>16.175080000000005</v>
      </c>
      <c r="AX154">
        <f t="shared" si="32"/>
        <v>23.615080000000006</v>
      </c>
      <c r="AY154">
        <v>62</v>
      </c>
    </row>
    <row r="155" spans="1:51">
      <c r="A155" s="12">
        <v>76.5</v>
      </c>
      <c r="B155" s="12">
        <v>11.392820178571428</v>
      </c>
      <c r="AI155">
        <v>153</v>
      </c>
      <c r="AJ155">
        <f t="shared" si="34"/>
        <v>-0.53975620000000002</v>
      </c>
      <c r="AK155">
        <f t="shared" si="36"/>
        <v>2.4807726000000025</v>
      </c>
      <c r="AL155">
        <f t="shared" si="37"/>
        <v>-0.49716999999999983</v>
      </c>
      <c r="AM155">
        <f t="shared" si="38"/>
        <v>15.677910000000004</v>
      </c>
      <c r="AN155">
        <f t="shared" si="39"/>
        <v>-0.42138999999999999</v>
      </c>
      <c r="AO155">
        <f t="shared" si="40"/>
        <v>0.99296999999999813</v>
      </c>
      <c r="AP155">
        <f t="shared" si="41"/>
        <v>-0.55391999999999997</v>
      </c>
      <c r="AQ155">
        <f t="shared" si="42"/>
        <v>-7.5398399999999963</v>
      </c>
      <c r="AR155">
        <f t="shared" si="43"/>
        <v>-0.49836999999999998</v>
      </c>
      <c r="AS155">
        <f t="shared" si="44"/>
        <v>-14.738490000000002</v>
      </c>
      <c r="AU155" s="12">
        <f t="shared" si="45"/>
        <v>-0.49716999999999983</v>
      </c>
      <c r="AV155" s="12">
        <f t="shared" si="35"/>
        <v>-0.37716999999999984</v>
      </c>
      <c r="AW155">
        <f t="shared" si="46"/>
        <v>15.677910000000004</v>
      </c>
      <c r="AX155">
        <f t="shared" si="32"/>
        <v>23.237910000000007</v>
      </c>
      <c r="AY155">
        <v>63</v>
      </c>
    </row>
    <row r="156" spans="1:51">
      <c r="A156" s="12">
        <v>77</v>
      </c>
      <c r="B156" s="12">
        <v>6.8219444642857141</v>
      </c>
      <c r="AI156">
        <v>154</v>
      </c>
      <c r="AJ156">
        <f t="shared" si="34"/>
        <v>-0.54707159999999999</v>
      </c>
      <c r="AK156">
        <f t="shared" si="36"/>
        <v>1.9337010000000026</v>
      </c>
      <c r="AL156">
        <f t="shared" si="37"/>
        <v>-0.50505999999999995</v>
      </c>
      <c r="AM156">
        <f t="shared" si="38"/>
        <v>15.172850000000004</v>
      </c>
      <c r="AN156">
        <f t="shared" si="39"/>
        <v>-0.42701999999999996</v>
      </c>
      <c r="AO156">
        <f t="shared" si="40"/>
        <v>0.56594999999999818</v>
      </c>
      <c r="AP156">
        <f t="shared" si="41"/>
        <v>-0.56055999999999995</v>
      </c>
      <c r="AQ156">
        <f t="shared" si="42"/>
        <v>-8.1003999999999969</v>
      </c>
      <c r="AR156">
        <f t="shared" si="43"/>
        <v>-0.50366</v>
      </c>
      <c r="AS156">
        <f t="shared" si="44"/>
        <v>-15.242150000000002</v>
      </c>
      <c r="AU156" s="12">
        <f t="shared" si="45"/>
        <v>-0.50505999999999995</v>
      </c>
      <c r="AV156" s="12">
        <f t="shared" si="35"/>
        <v>-0.38505999999999996</v>
      </c>
      <c r="AW156">
        <f t="shared" si="46"/>
        <v>15.172850000000004</v>
      </c>
      <c r="AX156">
        <f t="shared" si="32"/>
        <v>22.852850000000007</v>
      </c>
      <c r="AY156">
        <v>64</v>
      </c>
    </row>
    <row r="157" spans="1:51">
      <c r="A157" s="12">
        <v>77.5</v>
      </c>
      <c r="B157" s="12">
        <v>8.7834531250000012</v>
      </c>
      <c r="AI157">
        <v>155</v>
      </c>
      <c r="AJ157">
        <f t="shared" si="34"/>
        <v>-0.55438699999999996</v>
      </c>
      <c r="AK157">
        <f t="shared" si="36"/>
        <v>1.3793140000000026</v>
      </c>
      <c r="AL157">
        <f t="shared" si="37"/>
        <v>-0.51295000000000002</v>
      </c>
      <c r="AM157">
        <f t="shared" si="38"/>
        <v>14.659900000000004</v>
      </c>
      <c r="AN157">
        <f t="shared" si="39"/>
        <v>-0.43264999999999998</v>
      </c>
      <c r="AO157">
        <f t="shared" si="40"/>
        <v>0.1332999999999982</v>
      </c>
      <c r="AP157">
        <f t="shared" si="41"/>
        <v>-0.56720000000000004</v>
      </c>
      <c r="AQ157">
        <f t="shared" si="42"/>
        <v>-8.6675999999999966</v>
      </c>
      <c r="AR157">
        <f t="shared" si="43"/>
        <v>-0.50895000000000001</v>
      </c>
      <c r="AS157">
        <f t="shared" si="44"/>
        <v>-15.751100000000003</v>
      </c>
      <c r="AU157" s="12">
        <f t="shared" si="45"/>
        <v>-0.51295000000000002</v>
      </c>
      <c r="AV157" s="12">
        <f t="shared" si="35"/>
        <v>-0.39295000000000002</v>
      </c>
      <c r="AW157">
        <f t="shared" si="46"/>
        <v>14.659900000000004</v>
      </c>
      <c r="AX157">
        <f t="shared" si="32"/>
        <v>22.459900000000008</v>
      </c>
      <c r="AY157">
        <v>65</v>
      </c>
    </row>
    <row r="158" spans="1:51">
      <c r="A158" s="12">
        <v>78</v>
      </c>
      <c r="B158" s="12">
        <v>9.218027357142855</v>
      </c>
      <c r="AI158">
        <v>156</v>
      </c>
      <c r="AJ158">
        <f t="shared" si="34"/>
        <v>-0.56170240000000016</v>
      </c>
      <c r="AK158">
        <f t="shared" si="36"/>
        <v>0.81761160000000244</v>
      </c>
      <c r="AL158">
        <f t="shared" si="37"/>
        <v>-0.52083999999999997</v>
      </c>
      <c r="AM158">
        <f t="shared" si="38"/>
        <v>14.139060000000004</v>
      </c>
      <c r="AN158">
        <f t="shared" si="39"/>
        <v>-0.43827999999999995</v>
      </c>
      <c r="AO158">
        <f t="shared" si="40"/>
        <v>-0.30498000000000175</v>
      </c>
      <c r="AP158">
        <f t="shared" si="41"/>
        <v>-0.57383999999999991</v>
      </c>
      <c r="AQ158">
        <f t="shared" si="42"/>
        <v>-9.2414399999999972</v>
      </c>
      <c r="AR158">
        <f t="shared" si="43"/>
        <v>-0.51424000000000003</v>
      </c>
      <c r="AS158">
        <f t="shared" si="44"/>
        <v>-16.265340000000002</v>
      </c>
      <c r="AU158" s="12">
        <f t="shared" si="45"/>
        <v>-0.52083999999999997</v>
      </c>
      <c r="AV158" s="12">
        <f t="shared" si="35"/>
        <v>-0.40083999999999992</v>
      </c>
      <c r="AW158">
        <f t="shared" si="46"/>
        <v>14.139060000000004</v>
      </c>
      <c r="AX158">
        <f t="shared" ref="AX158:AX202" si="47">AV158+AX157</f>
        <v>22.059060000000009</v>
      </c>
      <c r="AY158">
        <v>66</v>
      </c>
    </row>
    <row r="159" spans="1:51">
      <c r="AI159">
        <v>157</v>
      </c>
      <c r="AJ159">
        <f t="shared" si="34"/>
        <v>-0.56901780000000013</v>
      </c>
      <c r="AK159">
        <f t="shared" si="36"/>
        <v>0.24859380000000231</v>
      </c>
      <c r="AL159">
        <f t="shared" si="37"/>
        <v>-0.52873000000000003</v>
      </c>
      <c r="AM159">
        <f t="shared" si="38"/>
        <v>13.610330000000005</v>
      </c>
      <c r="AN159">
        <f t="shared" si="39"/>
        <v>-0.44390999999999997</v>
      </c>
      <c r="AO159">
        <f t="shared" si="40"/>
        <v>-0.74889000000000172</v>
      </c>
      <c r="AP159">
        <f t="shared" si="41"/>
        <v>-0.58048</v>
      </c>
      <c r="AQ159">
        <f t="shared" si="42"/>
        <v>-9.8219199999999969</v>
      </c>
      <c r="AR159">
        <f t="shared" si="43"/>
        <v>-0.51952999999999994</v>
      </c>
      <c r="AS159">
        <f t="shared" si="44"/>
        <v>-16.784870000000002</v>
      </c>
      <c r="AU159" s="12">
        <f t="shared" si="45"/>
        <v>-0.52873000000000003</v>
      </c>
      <c r="AV159" s="12">
        <f t="shared" si="35"/>
        <v>-0.40873000000000004</v>
      </c>
      <c r="AW159">
        <f t="shared" si="46"/>
        <v>13.610330000000005</v>
      </c>
      <c r="AX159">
        <f t="shared" si="47"/>
        <v>21.650330000000011</v>
      </c>
      <c r="AY159">
        <v>67</v>
      </c>
    </row>
    <row r="160" spans="1:51">
      <c r="A160" s="12" t="s">
        <v>592</v>
      </c>
      <c r="B160" s="12" t="s">
        <v>131</v>
      </c>
      <c r="AI160">
        <v>158</v>
      </c>
      <c r="AJ160">
        <f t="shared" si="34"/>
        <v>-0.57633319999999999</v>
      </c>
      <c r="AK160">
        <f t="shared" si="36"/>
        <v>-0.32773939999999768</v>
      </c>
      <c r="AL160">
        <f t="shared" si="37"/>
        <v>-0.53661999999999987</v>
      </c>
      <c r="AM160">
        <f t="shared" si="38"/>
        <v>13.073710000000005</v>
      </c>
      <c r="AN160">
        <f t="shared" si="39"/>
        <v>-0.44953999999999994</v>
      </c>
      <c r="AO160">
        <f t="shared" si="40"/>
        <v>-1.1984300000000017</v>
      </c>
      <c r="AP160">
        <f t="shared" si="41"/>
        <v>-0.58711999999999986</v>
      </c>
      <c r="AQ160">
        <f t="shared" si="42"/>
        <v>-10.409039999999997</v>
      </c>
      <c r="AR160">
        <f t="shared" si="43"/>
        <v>-0.52482000000000006</v>
      </c>
      <c r="AS160">
        <f t="shared" si="44"/>
        <v>-17.309690000000003</v>
      </c>
      <c r="AU160" s="12">
        <f t="shared" si="45"/>
        <v>-0.53661999999999987</v>
      </c>
      <c r="AV160" s="12">
        <f t="shared" si="35"/>
        <v>-0.41661999999999988</v>
      </c>
      <c r="AW160">
        <f t="shared" si="46"/>
        <v>13.073710000000005</v>
      </c>
      <c r="AX160">
        <f t="shared" si="47"/>
        <v>21.233710000000013</v>
      </c>
      <c r="AY160">
        <v>68</v>
      </c>
    </row>
    <row r="161" spans="1:51">
      <c r="A161" s="12">
        <v>14</v>
      </c>
      <c r="B161" s="12">
        <v>17.418073109768915</v>
      </c>
      <c r="AI161">
        <v>159</v>
      </c>
      <c r="AJ161">
        <f t="shared" si="34"/>
        <v>-0.58364859999999996</v>
      </c>
      <c r="AK161">
        <f t="shared" si="36"/>
        <v>-0.91138799999999764</v>
      </c>
      <c r="AL161">
        <f t="shared" si="37"/>
        <v>-0.54450999999999994</v>
      </c>
      <c r="AM161">
        <f t="shared" si="38"/>
        <v>12.529200000000005</v>
      </c>
      <c r="AN161">
        <f t="shared" si="39"/>
        <v>-0.45516999999999996</v>
      </c>
      <c r="AO161">
        <f t="shared" si="40"/>
        <v>-1.6536000000000017</v>
      </c>
      <c r="AP161">
        <f t="shared" si="41"/>
        <v>-0.59375999999999995</v>
      </c>
      <c r="AQ161">
        <f t="shared" si="42"/>
        <v>-11.002799999999997</v>
      </c>
      <c r="AR161">
        <f t="shared" si="43"/>
        <v>-0.53010999999999997</v>
      </c>
      <c r="AS161">
        <f t="shared" si="44"/>
        <v>-17.839800000000004</v>
      </c>
      <c r="AU161" s="12">
        <f t="shared" si="45"/>
        <v>-0.54450999999999994</v>
      </c>
      <c r="AV161" s="12">
        <f t="shared" si="35"/>
        <v>-0.42451</v>
      </c>
      <c r="AW161">
        <f t="shared" si="46"/>
        <v>12.529200000000005</v>
      </c>
      <c r="AX161">
        <f t="shared" si="47"/>
        <v>20.809200000000011</v>
      </c>
      <c r="AY161">
        <v>69</v>
      </c>
    </row>
    <row r="162" spans="1:51">
      <c r="A162" s="12">
        <v>29</v>
      </c>
      <c r="B162" s="12">
        <v>21.028993387605031</v>
      </c>
      <c r="AI162">
        <v>160</v>
      </c>
      <c r="AJ162">
        <f t="shared" si="34"/>
        <v>-0.59096399999999993</v>
      </c>
      <c r="AK162">
        <f t="shared" si="36"/>
        <v>-1.5023519999999975</v>
      </c>
      <c r="AL162">
        <f t="shared" si="37"/>
        <v>-0.55239999999999989</v>
      </c>
      <c r="AM162">
        <f t="shared" si="38"/>
        <v>11.976800000000004</v>
      </c>
      <c r="AN162">
        <f t="shared" si="39"/>
        <v>-0.46079999999999993</v>
      </c>
      <c r="AO162">
        <f t="shared" si="40"/>
        <v>-2.1144000000000016</v>
      </c>
      <c r="AP162">
        <f t="shared" si="41"/>
        <v>-0.60039999999999982</v>
      </c>
      <c r="AQ162">
        <f t="shared" si="42"/>
        <v>-11.603199999999998</v>
      </c>
      <c r="AR162">
        <f t="shared" si="43"/>
        <v>-0.53539999999999999</v>
      </c>
      <c r="AS162">
        <f t="shared" si="44"/>
        <v>-18.375200000000003</v>
      </c>
      <c r="AU162" s="12">
        <f t="shared" si="45"/>
        <v>-0.55239999999999989</v>
      </c>
      <c r="AV162" s="12">
        <f t="shared" si="35"/>
        <v>-0.43239999999999984</v>
      </c>
      <c r="AW162">
        <f t="shared" si="46"/>
        <v>11.976800000000004</v>
      </c>
      <c r="AX162">
        <f t="shared" si="47"/>
        <v>20.37680000000001</v>
      </c>
      <c r="AY162">
        <v>70</v>
      </c>
    </row>
    <row r="163" spans="1:51">
      <c r="A163" s="12">
        <v>43</v>
      </c>
      <c r="B163" s="12">
        <v>18.64504422329059</v>
      </c>
      <c r="AI163">
        <v>161</v>
      </c>
      <c r="AJ163">
        <f t="shared" ref="AJ163:AJ202" si="48">(-7.3154*AI163+579.5)/1000</f>
        <v>-0.59827940000000013</v>
      </c>
      <c r="AK163">
        <f t="shared" ref="AK163:AK202" si="49">((-7.3154*AI163+579.5)/1000)+AK162</f>
        <v>-2.1006313999999975</v>
      </c>
      <c r="AL163">
        <f t="shared" si="37"/>
        <v>-0.56028999999999995</v>
      </c>
      <c r="AM163">
        <f t="shared" ref="AM163:AM202" si="50">(($AF$3*$AI163+$AG$3)/1000)+AM162</f>
        <v>11.416510000000004</v>
      </c>
      <c r="AN163">
        <f t="shared" si="39"/>
        <v>-0.46642999999999996</v>
      </c>
      <c r="AO163">
        <f t="shared" ref="AO163:AO202" si="51">(($AF$4*$AI163+$AG$4)/1000)+AO162</f>
        <v>-2.5808300000000015</v>
      </c>
      <c r="AP163">
        <f t="shared" si="41"/>
        <v>-0.60703999999999991</v>
      </c>
      <c r="AQ163">
        <f t="shared" ref="AQ163:AQ202" si="52">(($AF$5*$AI163+$AG$5)/1000)+AQ162</f>
        <v>-12.210239999999997</v>
      </c>
      <c r="AR163">
        <f t="shared" si="43"/>
        <v>-0.54069</v>
      </c>
      <c r="AS163">
        <f t="shared" ref="AS163:AS202" si="53">(($AF$6*$AI163+$AG$6)/1000)+AS162</f>
        <v>-18.915890000000005</v>
      </c>
      <c r="AU163" s="12">
        <f t="shared" si="45"/>
        <v>-0.56028999999999995</v>
      </c>
      <c r="AV163" s="12">
        <f t="shared" si="35"/>
        <v>-0.44028999999999996</v>
      </c>
      <c r="AW163">
        <f t="shared" si="46"/>
        <v>11.416510000000004</v>
      </c>
      <c r="AX163">
        <f t="shared" si="47"/>
        <v>19.936510000000009</v>
      </c>
      <c r="AY163">
        <v>71</v>
      </c>
    </row>
    <row r="164" spans="1:51">
      <c r="A164" s="12">
        <v>46</v>
      </c>
      <c r="B164" s="12">
        <v>8.5987992202380994</v>
      </c>
      <c r="AI164">
        <v>162</v>
      </c>
      <c r="AJ164">
        <f t="shared" si="48"/>
        <v>-0.6055948000000001</v>
      </c>
      <c r="AK164">
        <f t="shared" si="49"/>
        <v>-2.7062261999999975</v>
      </c>
      <c r="AL164">
        <f t="shared" si="37"/>
        <v>-0.5681799999999998</v>
      </c>
      <c r="AM164">
        <f t="shared" si="50"/>
        <v>10.848330000000004</v>
      </c>
      <c r="AN164">
        <f t="shared" si="39"/>
        <v>-0.47205999999999992</v>
      </c>
      <c r="AO164">
        <f t="shared" si="51"/>
        <v>-3.0528900000000014</v>
      </c>
      <c r="AP164">
        <f t="shared" si="41"/>
        <v>-0.61367999999999978</v>
      </c>
      <c r="AQ164">
        <f t="shared" si="52"/>
        <v>-12.823919999999998</v>
      </c>
      <c r="AR164">
        <f t="shared" si="43"/>
        <v>-0.54598000000000002</v>
      </c>
      <c r="AS164">
        <f t="shared" si="53"/>
        <v>-19.461870000000005</v>
      </c>
      <c r="AU164" s="12">
        <f t="shared" si="45"/>
        <v>-0.5681799999999998</v>
      </c>
      <c r="AV164" s="12">
        <f t="shared" si="35"/>
        <v>-0.44817999999999986</v>
      </c>
      <c r="AW164">
        <f t="shared" si="46"/>
        <v>10.848330000000004</v>
      </c>
      <c r="AX164">
        <f t="shared" si="47"/>
        <v>19.488330000000008</v>
      </c>
      <c r="AY164">
        <v>72</v>
      </c>
    </row>
    <row r="165" spans="1:51">
      <c r="A165" s="12">
        <v>110</v>
      </c>
      <c r="B165" s="12">
        <v>18.570193121794873</v>
      </c>
      <c r="AI165">
        <v>163</v>
      </c>
      <c r="AJ165">
        <f t="shared" si="48"/>
        <v>-0.61291020000000007</v>
      </c>
      <c r="AK165">
        <f t="shared" si="49"/>
        <v>-3.3191363999999974</v>
      </c>
      <c r="AL165">
        <f t="shared" si="37"/>
        <v>-0.57606999999999997</v>
      </c>
      <c r="AM165">
        <f t="shared" si="50"/>
        <v>10.272260000000005</v>
      </c>
      <c r="AN165">
        <f t="shared" si="39"/>
        <v>-0.47768999999999995</v>
      </c>
      <c r="AO165">
        <f t="shared" si="51"/>
        <v>-3.5305800000000014</v>
      </c>
      <c r="AP165">
        <f t="shared" si="41"/>
        <v>-0.62031999999999998</v>
      </c>
      <c r="AQ165">
        <f t="shared" si="52"/>
        <v>-13.444239999999997</v>
      </c>
      <c r="AR165">
        <f t="shared" si="43"/>
        <v>-0.55126999999999993</v>
      </c>
      <c r="AS165">
        <f t="shared" si="53"/>
        <v>-20.013140000000003</v>
      </c>
      <c r="AU165" s="12">
        <f t="shared" si="45"/>
        <v>-0.57606999999999997</v>
      </c>
      <c r="AV165" s="12">
        <f t="shared" si="35"/>
        <v>-0.45606999999999992</v>
      </c>
      <c r="AW165">
        <f t="shared" si="46"/>
        <v>10.272260000000005</v>
      </c>
      <c r="AX165">
        <f t="shared" si="47"/>
        <v>19.032260000000008</v>
      </c>
      <c r="AY165">
        <v>73</v>
      </c>
    </row>
    <row r="166" spans="1:51">
      <c r="A166" s="12">
        <v>133</v>
      </c>
      <c r="B166" s="12">
        <v>12.467287759821428</v>
      </c>
      <c r="AI166">
        <v>164</v>
      </c>
      <c r="AJ166">
        <f t="shared" si="48"/>
        <v>-0.62022559999999993</v>
      </c>
      <c r="AK166">
        <f t="shared" si="49"/>
        <v>-3.9393619999999974</v>
      </c>
      <c r="AL166">
        <f t="shared" si="37"/>
        <v>-0.58396000000000003</v>
      </c>
      <c r="AM166">
        <f t="shared" si="50"/>
        <v>9.6883000000000052</v>
      </c>
      <c r="AN166">
        <f t="shared" si="39"/>
        <v>-0.48331999999999992</v>
      </c>
      <c r="AO166">
        <f t="shared" si="51"/>
        <v>-4.0139000000000014</v>
      </c>
      <c r="AP166">
        <f t="shared" si="41"/>
        <v>-0.62696000000000007</v>
      </c>
      <c r="AQ166">
        <f t="shared" si="52"/>
        <v>-14.071199999999997</v>
      </c>
      <c r="AR166">
        <f t="shared" si="43"/>
        <v>-0.55656000000000005</v>
      </c>
      <c r="AS166">
        <f t="shared" si="53"/>
        <v>-20.569700000000005</v>
      </c>
      <c r="AU166" s="12">
        <f t="shared" si="45"/>
        <v>-0.58396000000000003</v>
      </c>
      <c r="AV166" s="12">
        <f t="shared" si="35"/>
        <v>-0.46396000000000004</v>
      </c>
      <c r="AW166">
        <f t="shared" si="46"/>
        <v>9.6883000000000052</v>
      </c>
      <c r="AX166">
        <f t="shared" si="47"/>
        <v>18.568300000000008</v>
      </c>
      <c r="AY166">
        <v>74</v>
      </c>
    </row>
    <row r="167" spans="1:51">
      <c r="A167" s="12">
        <v>161</v>
      </c>
      <c r="B167" s="12">
        <v>17.521695288872447</v>
      </c>
      <c r="AI167">
        <v>165</v>
      </c>
      <c r="AJ167">
        <f t="shared" si="48"/>
        <v>-0.62754100000000013</v>
      </c>
      <c r="AK167">
        <f t="shared" si="49"/>
        <v>-4.5669029999999973</v>
      </c>
      <c r="AL167">
        <f t="shared" si="37"/>
        <v>-0.59184999999999988</v>
      </c>
      <c r="AM167">
        <f t="shared" si="50"/>
        <v>9.0964500000000061</v>
      </c>
      <c r="AN167">
        <f t="shared" si="39"/>
        <v>-0.48894999999999994</v>
      </c>
      <c r="AO167">
        <f t="shared" si="51"/>
        <v>-4.5028500000000014</v>
      </c>
      <c r="AP167">
        <f t="shared" si="41"/>
        <v>-0.63359999999999994</v>
      </c>
      <c r="AQ167">
        <f t="shared" si="52"/>
        <v>-14.704799999999997</v>
      </c>
      <c r="AR167">
        <f t="shared" si="43"/>
        <v>-0.56185000000000007</v>
      </c>
      <c r="AS167">
        <f t="shared" si="53"/>
        <v>-21.131550000000004</v>
      </c>
      <c r="AU167" s="12">
        <f t="shared" si="45"/>
        <v>-0.59184999999999988</v>
      </c>
      <c r="AV167" s="12">
        <f t="shared" si="35"/>
        <v>-0.47184999999999994</v>
      </c>
      <c r="AW167">
        <f t="shared" si="46"/>
        <v>9.0964500000000061</v>
      </c>
      <c r="AX167">
        <f t="shared" si="47"/>
        <v>18.096450000000008</v>
      </c>
      <c r="AY167">
        <v>75</v>
      </c>
    </row>
    <row r="168" spans="1:51">
      <c r="A168" s="12">
        <v>186</v>
      </c>
      <c r="B168" s="12">
        <v>10.596008457142851</v>
      </c>
      <c r="AI168">
        <v>166</v>
      </c>
      <c r="AJ168">
        <f t="shared" si="48"/>
        <v>-0.6348564000000001</v>
      </c>
      <c r="AK168">
        <f t="shared" si="49"/>
        <v>-5.2017593999999976</v>
      </c>
      <c r="AL168">
        <f t="shared" si="37"/>
        <v>-0.59974000000000005</v>
      </c>
      <c r="AM168">
        <f t="shared" si="50"/>
        <v>8.4967100000000055</v>
      </c>
      <c r="AN168">
        <f t="shared" si="39"/>
        <v>-0.49457999999999991</v>
      </c>
      <c r="AO168">
        <f t="shared" si="51"/>
        <v>-4.9974300000000014</v>
      </c>
      <c r="AP168">
        <f t="shared" si="41"/>
        <v>-0.64024000000000003</v>
      </c>
      <c r="AQ168">
        <f t="shared" si="52"/>
        <v>-15.345039999999997</v>
      </c>
      <c r="AR168">
        <f t="shared" si="43"/>
        <v>-0.56713999999999998</v>
      </c>
      <c r="AS168">
        <f t="shared" si="53"/>
        <v>-21.698690000000003</v>
      </c>
      <c r="AU168" s="12">
        <f t="shared" si="45"/>
        <v>-0.59974000000000005</v>
      </c>
      <c r="AV168" s="12">
        <f t="shared" si="35"/>
        <v>-0.47974</v>
      </c>
      <c r="AW168">
        <f t="shared" si="46"/>
        <v>8.4967100000000055</v>
      </c>
      <c r="AX168">
        <f t="shared" si="47"/>
        <v>17.616710000000008</v>
      </c>
      <c r="AY168">
        <v>76</v>
      </c>
    </row>
    <row r="169" spans="1:51">
      <c r="A169" s="12">
        <v>245</v>
      </c>
      <c r="B169" s="12">
        <v>18.765701373004365</v>
      </c>
      <c r="AI169">
        <v>167</v>
      </c>
      <c r="AJ169">
        <f t="shared" si="48"/>
        <v>-0.64217180000000007</v>
      </c>
      <c r="AK169">
        <f t="shared" si="49"/>
        <v>-5.8439311999999974</v>
      </c>
      <c r="AL169">
        <f t="shared" si="37"/>
        <v>-0.60762999999999989</v>
      </c>
      <c r="AM169">
        <f t="shared" si="50"/>
        <v>7.8890800000000052</v>
      </c>
      <c r="AN169">
        <f t="shared" si="39"/>
        <v>-0.50021000000000004</v>
      </c>
      <c r="AO169">
        <f t="shared" si="51"/>
        <v>-5.4976400000000014</v>
      </c>
      <c r="AP169">
        <f t="shared" si="41"/>
        <v>-0.6468799999999999</v>
      </c>
      <c r="AQ169">
        <f t="shared" si="52"/>
        <v>-15.991919999999997</v>
      </c>
      <c r="AR169">
        <f t="shared" si="43"/>
        <v>-0.57242999999999999</v>
      </c>
      <c r="AS169">
        <f t="shared" si="53"/>
        <v>-22.271120000000003</v>
      </c>
      <c r="AU169" s="12">
        <f t="shared" si="45"/>
        <v>-0.60762999999999989</v>
      </c>
      <c r="AV169" s="12">
        <f t="shared" si="35"/>
        <v>-0.4876299999999999</v>
      </c>
      <c r="AW169">
        <f t="shared" si="46"/>
        <v>7.8890800000000052</v>
      </c>
      <c r="AX169">
        <f t="shared" si="47"/>
        <v>17.129080000000009</v>
      </c>
      <c r="AY169">
        <v>77</v>
      </c>
    </row>
    <row r="170" spans="1:51">
      <c r="AI170">
        <v>168</v>
      </c>
      <c r="AJ170">
        <f t="shared" si="48"/>
        <v>-0.64948720000000004</v>
      </c>
      <c r="AK170">
        <f t="shared" si="49"/>
        <v>-6.4934183999999977</v>
      </c>
      <c r="AL170">
        <f t="shared" si="37"/>
        <v>-0.61551999999999996</v>
      </c>
      <c r="AM170">
        <f t="shared" si="50"/>
        <v>7.2735600000000051</v>
      </c>
      <c r="AN170">
        <f t="shared" si="39"/>
        <v>-0.50584000000000007</v>
      </c>
      <c r="AO170">
        <f t="shared" si="51"/>
        <v>-6.0034800000000015</v>
      </c>
      <c r="AP170">
        <f t="shared" si="41"/>
        <v>-0.65351999999999999</v>
      </c>
      <c r="AQ170">
        <f t="shared" si="52"/>
        <v>-16.645439999999997</v>
      </c>
      <c r="AR170">
        <f t="shared" si="43"/>
        <v>-0.57772000000000001</v>
      </c>
      <c r="AS170">
        <f t="shared" si="53"/>
        <v>-22.848840000000003</v>
      </c>
      <c r="AU170" s="12">
        <f t="shared" si="45"/>
        <v>-0.61551999999999996</v>
      </c>
      <c r="AV170" s="12">
        <f t="shared" si="35"/>
        <v>-0.49551999999999996</v>
      </c>
      <c r="AW170">
        <f t="shared" si="46"/>
        <v>7.2735600000000051</v>
      </c>
      <c r="AX170">
        <f t="shared" si="47"/>
        <v>16.63356000000001</v>
      </c>
      <c r="AY170">
        <v>78</v>
      </c>
    </row>
    <row r="171" spans="1:51">
      <c r="AI171">
        <v>169</v>
      </c>
      <c r="AJ171">
        <f t="shared" si="48"/>
        <v>-0.65680260000000001</v>
      </c>
      <c r="AK171">
        <f t="shared" si="49"/>
        <v>-7.1502209999999975</v>
      </c>
      <c r="AL171">
        <f t="shared" si="37"/>
        <v>-0.62340999999999991</v>
      </c>
      <c r="AM171">
        <f t="shared" si="50"/>
        <v>6.6501500000000053</v>
      </c>
      <c r="AN171">
        <f t="shared" si="39"/>
        <v>-0.51146999999999998</v>
      </c>
      <c r="AO171">
        <f t="shared" si="51"/>
        <v>-6.5149500000000016</v>
      </c>
      <c r="AP171">
        <f t="shared" si="41"/>
        <v>-0.66015999999999986</v>
      </c>
      <c r="AQ171">
        <f t="shared" si="52"/>
        <v>-17.305599999999998</v>
      </c>
      <c r="AR171">
        <f t="shared" si="43"/>
        <v>-0.58301000000000003</v>
      </c>
      <c r="AS171">
        <f t="shared" si="53"/>
        <v>-23.431850000000004</v>
      </c>
      <c r="AU171" s="12">
        <f t="shared" si="45"/>
        <v>-0.62340999999999991</v>
      </c>
      <c r="AV171" s="12">
        <f t="shared" si="35"/>
        <v>-0.5034099999999998</v>
      </c>
      <c r="AW171">
        <f t="shared" si="46"/>
        <v>6.6501500000000053</v>
      </c>
      <c r="AX171">
        <f t="shared" si="47"/>
        <v>16.130150000000011</v>
      </c>
      <c r="AY171">
        <v>79</v>
      </c>
    </row>
    <row r="172" spans="1:51">
      <c r="AI172">
        <v>170</v>
      </c>
      <c r="AJ172">
        <f t="shared" si="48"/>
        <v>-0.66411800000000021</v>
      </c>
      <c r="AK172">
        <f t="shared" si="49"/>
        <v>-7.8143389999999977</v>
      </c>
      <c r="AL172">
        <f t="shared" si="37"/>
        <v>-0.63129999999999997</v>
      </c>
      <c r="AM172">
        <f t="shared" si="50"/>
        <v>6.0188500000000058</v>
      </c>
      <c r="AN172">
        <f t="shared" si="39"/>
        <v>-0.5171</v>
      </c>
      <c r="AO172">
        <f t="shared" si="51"/>
        <v>-7.0320500000000017</v>
      </c>
      <c r="AP172">
        <f t="shared" si="41"/>
        <v>-0.66679999999999995</v>
      </c>
      <c r="AQ172">
        <f t="shared" si="52"/>
        <v>-17.972399999999997</v>
      </c>
      <c r="AR172">
        <f t="shared" si="43"/>
        <v>-0.58829999999999993</v>
      </c>
      <c r="AS172">
        <f t="shared" si="53"/>
        <v>-24.020150000000005</v>
      </c>
      <c r="AU172" s="12">
        <f t="shared" si="45"/>
        <v>-0.63129999999999997</v>
      </c>
      <c r="AV172" s="12">
        <f t="shared" si="35"/>
        <v>-0.51129999999999998</v>
      </c>
      <c r="AW172">
        <f t="shared" si="46"/>
        <v>6.0188500000000058</v>
      </c>
      <c r="AX172">
        <f t="shared" si="47"/>
        <v>15.618850000000011</v>
      </c>
      <c r="AY172">
        <v>80</v>
      </c>
    </row>
    <row r="173" spans="1:51">
      <c r="AI173">
        <v>171</v>
      </c>
      <c r="AJ173">
        <f t="shared" si="48"/>
        <v>-0.67143340000000007</v>
      </c>
      <c r="AK173">
        <f t="shared" si="49"/>
        <v>-8.4857723999999983</v>
      </c>
      <c r="AL173">
        <f t="shared" si="37"/>
        <v>-0.63919000000000004</v>
      </c>
      <c r="AM173">
        <f t="shared" si="50"/>
        <v>5.3796600000000057</v>
      </c>
      <c r="AN173">
        <f t="shared" si="39"/>
        <v>-0.52273000000000003</v>
      </c>
      <c r="AO173">
        <f t="shared" si="51"/>
        <v>-7.5547800000000018</v>
      </c>
      <c r="AP173">
        <f t="shared" si="41"/>
        <v>-0.67344000000000004</v>
      </c>
      <c r="AQ173">
        <f t="shared" si="52"/>
        <v>-18.645839999999996</v>
      </c>
      <c r="AR173">
        <f t="shared" si="43"/>
        <v>-0.59359000000000006</v>
      </c>
      <c r="AS173">
        <f t="shared" si="53"/>
        <v>-24.613740000000004</v>
      </c>
      <c r="AU173" s="12">
        <f t="shared" si="45"/>
        <v>-0.63919000000000004</v>
      </c>
      <c r="AV173" s="12">
        <f t="shared" si="35"/>
        <v>-0.51919000000000004</v>
      </c>
      <c r="AW173">
        <f t="shared" si="46"/>
        <v>5.3796600000000057</v>
      </c>
      <c r="AX173">
        <f t="shared" si="47"/>
        <v>15.099660000000011</v>
      </c>
      <c r="AY173">
        <v>81</v>
      </c>
    </row>
    <row r="174" spans="1:51">
      <c r="AI174">
        <v>172</v>
      </c>
      <c r="AJ174">
        <f t="shared" si="48"/>
        <v>-0.67874880000000004</v>
      </c>
      <c r="AK174">
        <f t="shared" si="49"/>
        <v>-9.1645211999999976</v>
      </c>
      <c r="AL174">
        <f t="shared" si="37"/>
        <v>-0.64707999999999988</v>
      </c>
      <c r="AM174">
        <f t="shared" si="50"/>
        <v>4.7325800000000058</v>
      </c>
      <c r="AN174">
        <f t="shared" si="39"/>
        <v>-0.52836000000000005</v>
      </c>
      <c r="AO174">
        <f t="shared" si="51"/>
        <v>-8.083140000000002</v>
      </c>
      <c r="AP174">
        <f t="shared" si="41"/>
        <v>-0.68007999999999991</v>
      </c>
      <c r="AQ174">
        <f t="shared" si="52"/>
        <v>-19.325919999999996</v>
      </c>
      <c r="AR174">
        <f t="shared" si="43"/>
        <v>-0.59887999999999997</v>
      </c>
      <c r="AS174">
        <f t="shared" si="53"/>
        <v>-25.212620000000005</v>
      </c>
      <c r="AU174" s="12">
        <f t="shared" si="45"/>
        <v>-0.64707999999999988</v>
      </c>
      <c r="AV174" s="12">
        <f t="shared" si="35"/>
        <v>-0.52707999999999988</v>
      </c>
      <c r="AW174">
        <f t="shared" si="46"/>
        <v>4.7325800000000058</v>
      </c>
      <c r="AX174">
        <f t="shared" si="47"/>
        <v>14.572580000000011</v>
      </c>
      <c r="AY174">
        <v>82</v>
      </c>
    </row>
    <row r="175" spans="1:51">
      <c r="AI175">
        <v>173</v>
      </c>
      <c r="AJ175">
        <f t="shared" si="48"/>
        <v>-0.68606420000000001</v>
      </c>
      <c r="AK175">
        <f t="shared" si="49"/>
        <v>-9.8505853999999982</v>
      </c>
      <c r="AL175">
        <f t="shared" si="37"/>
        <v>-0.65497000000000005</v>
      </c>
      <c r="AM175">
        <f t="shared" si="50"/>
        <v>4.0776100000000053</v>
      </c>
      <c r="AN175">
        <f t="shared" si="39"/>
        <v>-0.53398999999999996</v>
      </c>
      <c r="AO175">
        <f t="shared" si="51"/>
        <v>-8.6171300000000013</v>
      </c>
      <c r="AP175">
        <f t="shared" si="41"/>
        <v>-0.68672</v>
      </c>
      <c r="AQ175">
        <f t="shared" si="52"/>
        <v>-20.012639999999998</v>
      </c>
      <c r="AR175">
        <f t="shared" si="43"/>
        <v>-0.60416999999999998</v>
      </c>
      <c r="AS175">
        <f t="shared" si="53"/>
        <v>-25.816790000000005</v>
      </c>
      <c r="AU175" s="12">
        <f t="shared" si="45"/>
        <v>-0.65497000000000005</v>
      </c>
      <c r="AV175" s="12">
        <f t="shared" si="35"/>
        <v>-0.53497000000000006</v>
      </c>
      <c r="AW175">
        <f t="shared" si="46"/>
        <v>4.0776100000000053</v>
      </c>
      <c r="AX175">
        <f t="shared" si="47"/>
        <v>14.037610000000011</v>
      </c>
      <c r="AY175">
        <v>83</v>
      </c>
    </row>
    <row r="176" spans="1:51">
      <c r="AI176">
        <v>174</v>
      </c>
      <c r="AJ176">
        <f t="shared" si="48"/>
        <v>-0.69337959999999998</v>
      </c>
      <c r="AK176">
        <f t="shared" si="49"/>
        <v>-10.543964999999998</v>
      </c>
      <c r="AL176">
        <f t="shared" si="37"/>
        <v>-0.66285999999999989</v>
      </c>
      <c r="AM176">
        <f t="shared" si="50"/>
        <v>3.4147500000000055</v>
      </c>
      <c r="AN176">
        <f t="shared" si="39"/>
        <v>-0.53961999999999999</v>
      </c>
      <c r="AO176">
        <f t="shared" si="51"/>
        <v>-9.1567500000000006</v>
      </c>
      <c r="AP176">
        <f t="shared" si="41"/>
        <v>-0.69335999999999987</v>
      </c>
      <c r="AQ176">
        <f t="shared" si="52"/>
        <v>-20.705999999999996</v>
      </c>
      <c r="AR176">
        <f t="shared" si="43"/>
        <v>-0.60946</v>
      </c>
      <c r="AS176">
        <f t="shared" si="53"/>
        <v>-26.426250000000003</v>
      </c>
      <c r="AU176" s="12">
        <f t="shared" si="45"/>
        <v>-0.66285999999999989</v>
      </c>
      <c r="AV176" s="12">
        <f t="shared" si="35"/>
        <v>-0.5428599999999999</v>
      </c>
      <c r="AW176">
        <f t="shared" si="46"/>
        <v>3.4147500000000055</v>
      </c>
      <c r="AX176">
        <f t="shared" si="47"/>
        <v>13.494750000000012</v>
      </c>
      <c r="AY176">
        <v>84</v>
      </c>
    </row>
    <row r="177" spans="35:51">
      <c r="AI177">
        <v>175</v>
      </c>
      <c r="AJ177">
        <f t="shared" si="48"/>
        <v>-0.70069500000000018</v>
      </c>
      <c r="AK177">
        <f t="shared" si="49"/>
        <v>-11.244659999999998</v>
      </c>
      <c r="AL177">
        <f t="shared" si="37"/>
        <v>-0.67074999999999996</v>
      </c>
      <c r="AM177">
        <f t="shared" si="50"/>
        <v>2.7440000000000055</v>
      </c>
      <c r="AN177">
        <f t="shared" si="39"/>
        <v>-0.54525000000000001</v>
      </c>
      <c r="AO177">
        <f t="shared" si="51"/>
        <v>-9.702</v>
      </c>
      <c r="AP177">
        <f t="shared" si="41"/>
        <v>-0.7</v>
      </c>
      <c r="AQ177">
        <f t="shared" si="52"/>
        <v>-21.405999999999995</v>
      </c>
      <c r="AR177">
        <f t="shared" si="43"/>
        <v>-0.61475000000000002</v>
      </c>
      <c r="AS177">
        <f t="shared" si="53"/>
        <v>-27.041000000000004</v>
      </c>
      <c r="AU177" s="12">
        <f t="shared" si="45"/>
        <v>-0.67074999999999996</v>
      </c>
      <c r="AV177" s="12">
        <f t="shared" si="35"/>
        <v>-0.55074999999999996</v>
      </c>
      <c r="AW177">
        <f t="shared" si="46"/>
        <v>2.7440000000000055</v>
      </c>
      <c r="AX177">
        <f t="shared" si="47"/>
        <v>12.944000000000011</v>
      </c>
      <c r="AY177">
        <v>85</v>
      </c>
    </row>
    <row r="178" spans="35:51">
      <c r="AI178">
        <v>176</v>
      </c>
      <c r="AJ178">
        <f t="shared" si="48"/>
        <v>-0.70801040000000015</v>
      </c>
      <c r="AK178">
        <f t="shared" si="49"/>
        <v>-11.952670399999999</v>
      </c>
      <c r="AL178">
        <f t="shared" si="37"/>
        <v>-0.67863999999999991</v>
      </c>
      <c r="AM178">
        <f t="shared" si="50"/>
        <v>2.0653600000000054</v>
      </c>
      <c r="AN178">
        <f t="shared" si="39"/>
        <v>-0.55088000000000004</v>
      </c>
      <c r="AO178">
        <f t="shared" si="51"/>
        <v>-10.252879999999999</v>
      </c>
      <c r="AP178">
        <f t="shared" si="41"/>
        <v>-0.70663999999999982</v>
      </c>
      <c r="AQ178">
        <f t="shared" si="52"/>
        <v>-22.112639999999995</v>
      </c>
      <c r="AR178">
        <f t="shared" si="43"/>
        <v>-0.62003999999999992</v>
      </c>
      <c r="AS178">
        <f t="shared" si="53"/>
        <v>-27.661040000000003</v>
      </c>
      <c r="AU178" s="12">
        <f t="shared" si="45"/>
        <v>-0.67863999999999991</v>
      </c>
      <c r="AV178" s="12">
        <f t="shared" si="35"/>
        <v>-0.55863999999999991</v>
      </c>
      <c r="AW178">
        <f t="shared" si="46"/>
        <v>2.0653600000000054</v>
      </c>
      <c r="AX178">
        <f t="shared" si="47"/>
        <v>12.385360000000011</v>
      </c>
      <c r="AY178">
        <v>86</v>
      </c>
    </row>
    <row r="179" spans="35:51">
      <c r="AI179">
        <v>177</v>
      </c>
      <c r="AJ179">
        <f t="shared" si="48"/>
        <v>-0.71532580000000012</v>
      </c>
      <c r="AK179">
        <f t="shared" si="49"/>
        <v>-12.667996199999999</v>
      </c>
      <c r="AL179">
        <f t="shared" si="37"/>
        <v>-0.68652999999999997</v>
      </c>
      <c r="AM179">
        <f t="shared" si="50"/>
        <v>1.3788300000000056</v>
      </c>
      <c r="AN179">
        <f t="shared" si="39"/>
        <v>-0.55650999999999995</v>
      </c>
      <c r="AO179">
        <f t="shared" si="51"/>
        <v>-10.809389999999999</v>
      </c>
      <c r="AP179">
        <f t="shared" si="41"/>
        <v>-0.71328000000000003</v>
      </c>
      <c r="AQ179">
        <f t="shared" si="52"/>
        <v>-22.825919999999996</v>
      </c>
      <c r="AR179">
        <f t="shared" si="43"/>
        <v>-0.62533000000000005</v>
      </c>
      <c r="AS179">
        <f t="shared" si="53"/>
        <v>-28.286370000000005</v>
      </c>
      <c r="AU179" s="12">
        <f t="shared" si="45"/>
        <v>-0.68652999999999997</v>
      </c>
      <c r="AV179" s="12">
        <f t="shared" si="35"/>
        <v>-0.56652999999999998</v>
      </c>
      <c r="AW179">
        <f t="shared" si="46"/>
        <v>1.3788300000000056</v>
      </c>
      <c r="AX179">
        <f t="shared" si="47"/>
        <v>11.818830000000011</v>
      </c>
      <c r="AY179">
        <v>87</v>
      </c>
    </row>
    <row r="180" spans="35:51">
      <c r="AI180">
        <v>178</v>
      </c>
      <c r="AJ180">
        <f t="shared" si="48"/>
        <v>-0.72264119999999998</v>
      </c>
      <c r="AK180">
        <f t="shared" si="49"/>
        <v>-13.390637399999999</v>
      </c>
      <c r="AL180">
        <f t="shared" si="37"/>
        <v>-0.69441999999999982</v>
      </c>
      <c r="AM180">
        <f t="shared" si="50"/>
        <v>0.68441000000000574</v>
      </c>
      <c r="AN180">
        <f t="shared" si="39"/>
        <v>-0.56213999999999997</v>
      </c>
      <c r="AO180">
        <f t="shared" si="51"/>
        <v>-11.371529999999998</v>
      </c>
      <c r="AP180">
        <f t="shared" si="41"/>
        <v>-0.71991999999999989</v>
      </c>
      <c r="AQ180">
        <f t="shared" si="52"/>
        <v>-23.545839999999995</v>
      </c>
      <c r="AR180">
        <f t="shared" si="43"/>
        <v>-0.63061999999999996</v>
      </c>
      <c r="AS180">
        <f t="shared" si="53"/>
        <v>-28.916990000000006</v>
      </c>
      <c r="AU180" s="12">
        <f t="shared" si="45"/>
        <v>-0.69441999999999982</v>
      </c>
      <c r="AV180" s="12">
        <f t="shared" si="35"/>
        <v>-0.57441999999999982</v>
      </c>
      <c r="AW180">
        <f t="shared" si="46"/>
        <v>0.68441000000000574</v>
      </c>
      <c r="AX180">
        <f t="shared" si="47"/>
        <v>11.244410000000011</v>
      </c>
      <c r="AY180">
        <v>88</v>
      </c>
    </row>
    <row r="181" spans="35:51">
      <c r="AI181">
        <v>179</v>
      </c>
      <c r="AJ181">
        <f t="shared" si="48"/>
        <v>-0.72995659999999996</v>
      </c>
      <c r="AK181">
        <f t="shared" si="49"/>
        <v>-14.120593999999999</v>
      </c>
      <c r="AL181">
        <f t="shared" si="37"/>
        <v>-0.70230999999999999</v>
      </c>
      <c r="AM181">
        <f t="shared" si="50"/>
        <v>-1.7899999999994254E-2</v>
      </c>
      <c r="AN181">
        <f t="shared" si="39"/>
        <v>-0.56777</v>
      </c>
      <c r="AO181">
        <f t="shared" si="51"/>
        <v>-11.939299999999998</v>
      </c>
      <c r="AP181">
        <f t="shared" si="41"/>
        <v>-0.72655999999999998</v>
      </c>
      <c r="AQ181">
        <f t="shared" si="52"/>
        <v>-24.272399999999994</v>
      </c>
      <c r="AR181">
        <f t="shared" si="43"/>
        <v>-0.63590999999999998</v>
      </c>
      <c r="AS181">
        <f t="shared" si="53"/>
        <v>-29.552900000000005</v>
      </c>
      <c r="AU181" s="12">
        <f t="shared" si="45"/>
        <v>-0.70230999999999999</v>
      </c>
      <c r="AV181" s="12">
        <f t="shared" si="35"/>
        <v>-0.58230999999999999</v>
      </c>
      <c r="AW181">
        <f t="shared" si="46"/>
        <v>-1.7899999999994254E-2</v>
      </c>
      <c r="AX181">
        <f t="shared" si="47"/>
        <v>10.662100000000011</v>
      </c>
      <c r="AY181">
        <v>89</v>
      </c>
    </row>
    <row r="182" spans="35:51">
      <c r="AI182">
        <v>180</v>
      </c>
      <c r="AJ182">
        <f t="shared" si="48"/>
        <v>-0.73727200000000015</v>
      </c>
      <c r="AK182">
        <f t="shared" si="49"/>
        <v>-14.857866</v>
      </c>
      <c r="AL182">
        <f t="shared" si="37"/>
        <v>-0.71020000000000005</v>
      </c>
      <c r="AM182">
        <f t="shared" si="50"/>
        <v>-0.72809999999999431</v>
      </c>
      <c r="AN182">
        <f t="shared" si="39"/>
        <v>-0.57340000000000002</v>
      </c>
      <c r="AO182">
        <f t="shared" si="51"/>
        <v>-12.512699999999997</v>
      </c>
      <c r="AP182">
        <f t="shared" si="41"/>
        <v>-0.73320000000000007</v>
      </c>
      <c r="AQ182">
        <f t="shared" si="52"/>
        <v>-25.005599999999994</v>
      </c>
      <c r="AR182">
        <f t="shared" si="43"/>
        <v>-0.64119999999999999</v>
      </c>
      <c r="AS182">
        <f t="shared" si="53"/>
        <v>-30.194100000000006</v>
      </c>
      <c r="AU182" s="12">
        <f t="shared" si="45"/>
        <v>-0.71020000000000005</v>
      </c>
      <c r="AV182" s="12">
        <f t="shared" si="35"/>
        <v>-0.59020000000000006</v>
      </c>
      <c r="AW182">
        <f t="shared" si="46"/>
        <v>-0.72809999999999431</v>
      </c>
      <c r="AX182">
        <f t="shared" si="47"/>
        <v>10.071900000000012</v>
      </c>
      <c r="AY182">
        <v>90</v>
      </c>
    </row>
    <row r="183" spans="35:51">
      <c r="AI183">
        <v>181</v>
      </c>
      <c r="AJ183">
        <f t="shared" si="48"/>
        <v>-0.74458740000000012</v>
      </c>
      <c r="AK183">
        <f t="shared" si="49"/>
        <v>-15.6024534</v>
      </c>
      <c r="AL183">
        <f t="shared" si="37"/>
        <v>-0.7180899999999999</v>
      </c>
      <c r="AM183">
        <f t="shared" si="50"/>
        <v>-1.4461899999999943</v>
      </c>
      <c r="AN183">
        <f t="shared" si="39"/>
        <v>-0.57902999999999993</v>
      </c>
      <c r="AO183">
        <f t="shared" si="51"/>
        <v>-13.091729999999997</v>
      </c>
      <c r="AP183">
        <f t="shared" si="41"/>
        <v>-0.73983999999999994</v>
      </c>
      <c r="AQ183">
        <f t="shared" si="52"/>
        <v>-25.745439999999995</v>
      </c>
      <c r="AR183">
        <f t="shared" si="43"/>
        <v>-0.64649000000000001</v>
      </c>
      <c r="AS183">
        <f t="shared" si="53"/>
        <v>-30.840590000000006</v>
      </c>
      <c r="AU183" s="12">
        <f t="shared" si="45"/>
        <v>-0.7180899999999999</v>
      </c>
      <c r="AV183" s="12">
        <f t="shared" si="35"/>
        <v>-0.5980899999999999</v>
      </c>
      <c r="AW183">
        <f t="shared" si="46"/>
        <v>-1.4461899999999943</v>
      </c>
      <c r="AX183">
        <f t="shared" si="47"/>
        <v>9.4738100000000127</v>
      </c>
      <c r="AY183">
        <v>91</v>
      </c>
    </row>
    <row r="184" spans="35:51">
      <c r="AI184">
        <v>182</v>
      </c>
      <c r="AJ184">
        <f t="shared" si="48"/>
        <v>-0.75190280000000009</v>
      </c>
      <c r="AK184">
        <f t="shared" si="49"/>
        <v>-16.354356200000002</v>
      </c>
      <c r="AL184">
        <f t="shared" si="37"/>
        <v>-0.72598000000000007</v>
      </c>
      <c r="AM184">
        <f t="shared" si="50"/>
        <v>-2.1721699999999942</v>
      </c>
      <c r="AN184">
        <f t="shared" si="39"/>
        <v>-0.58466000000000007</v>
      </c>
      <c r="AO184">
        <f t="shared" si="51"/>
        <v>-13.676389999999996</v>
      </c>
      <c r="AP184">
        <f t="shared" si="41"/>
        <v>-0.74648000000000003</v>
      </c>
      <c r="AQ184">
        <f t="shared" si="52"/>
        <v>-26.491919999999993</v>
      </c>
      <c r="AR184">
        <f t="shared" si="43"/>
        <v>-0.65178000000000003</v>
      </c>
      <c r="AS184">
        <f t="shared" si="53"/>
        <v>-31.492370000000005</v>
      </c>
      <c r="AU184" s="12">
        <f t="shared" si="45"/>
        <v>-0.72598000000000007</v>
      </c>
      <c r="AV184" s="12">
        <f t="shared" si="35"/>
        <v>-0.60597999999999996</v>
      </c>
      <c r="AW184">
        <f t="shared" si="46"/>
        <v>-2.1721699999999942</v>
      </c>
      <c r="AX184">
        <f t="shared" si="47"/>
        <v>8.8678300000000121</v>
      </c>
      <c r="AY184">
        <v>92</v>
      </c>
    </row>
    <row r="185" spans="35:51">
      <c r="AI185">
        <v>183</v>
      </c>
      <c r="AJ185">
        <f t="shared" si="48"/>
        <v>-0.75921820000000007</v>
      </c>
      <c r="AK185">
        <f t="shared" si="49"/>
        <v>-17.113574400000001</v>
      </c>
      <c r="AL185">
        <f t="shared" si="37"/>
        <v>-0.73386999999999991</v>
      </c>
      <c r="AM185">
        <f t="shared" si="50"/>
        <v>-2.9060399999999942</v>
      </c>
      <c r="AN185">
        <f t="shared" si="39"/>
        <v>-0.59028999999999998</v>
      </c>
      <c r="AO185">
        <f t="shared" si="51"/>
        <v>-14.266679999999996</v>
      </c>
      <c r="AP185">
        <f t="shared" si="41"/>
        <v>-0.7531199999999999</v>
      </c>
      <c r="AQ185">
        <f t="shared" si="52"/>
        <v>-27.245039999999992</v>
      </c>
      <c r="AR185">
        <f t="shared" si="43"/>
        <v>-0.65707000000000004</v>
      </c>
      <c r="AS185">
        <f t="shared" si="53"/>
        <v>-32.149440000000006</v>
      </c>
      <c r="AU185" s="12">
        <f t="shared" si="45"/>
        <v>-0.73386999999999991</v>
      </c>
      <c r="AV185" s="12">
        <f t="shared" si="35"/>
        <v>-0.61386999999999992</v>
      </c>
      <c r="AW185">
        <f t="shared" si="46"/>
        <v>-2.9060399999999942</v>
      </c>
      <c r="AX185">
        <f t="shared" si="47"/>
        <v>8.2539600000000117</v>
      </c>
      <c r="AY185">
        <v>93</v>
      </c>
    </row>
    <row r="186" spans="35:51">
      <c r="AI186">
        <v>184</v>
      </c>
      <c r="AJ186">
        <f t="shared" si="48"/>
        <v>-0.76653359999999993</v>
      </c>
      <c r="AK186">
        <f t="shared" si="49"/>
        <v>-17.880108</v>
      </c>
      <c r="AL186">
        <f t="shared" si="37"/>
        <v>-0.74175999999999997</v>
      </c>
      <c r="AM186">
        <f t="shared" si="50"/>
        <v>-3.6477999999999939</v>
      </c>
      <c r="AN186">
        <f t="shared" si="39"/>
        <v>-0.59592000000000012</v>
      </c>
      <c r="AO186">
        <f t="shared" si="51"/>
        <v>-14.862599999999995</v>
      </c>
      <c r="AP186">
        <f t="shared" si="41"/>
        <v>-0.75975999999999999</v>
      </c>
      <c r="AQ186">
        <f t="shared" si="52"/>
        <v>-28.004799999999992</v>
      </c>
      <c r="AR186">
        <f t="shared" si="43"/>
        <v>-0.66236000000000006</v>
      </c>
      <c r="AS186">
        <f t="shared" si="53"/>
        <v>-32.811800000000005</v>
      </c>
      <c r="AU186" s="12">
        <f t="shared" si="45"/>
        <v>-0.74175999999999997</v>
      </c>
      <c r="AV186" s="12">
        <f t="shared" si="35"/>
        <v>-0.62175999999999998</v>
      </c>
      <c r="AW186">
        <f t="shared" si="46"/>
        <v>-3.6477999999999939</v>
      </c>
      <c r="AX186">
        <f t="shared" si="47"/>
        <v>7.6322000000000116</v>
      </c>
      <c r="AY186">
        <v>94</v>
      </c>
    </row>
    <row r="187" spans="35:51">
      <c r="AI187">
        <v>185</v>
      </c>
      <c r="AJ187">
        <f t="shared" si="48"/>
        <v>-0.77384900000000012</v>
      </c>
      <c r="AK187">
        <f t="shared" si="49"/>
        <v>-18.653956999999998</v>
      </c>
      <c r="AL187">
        <f t="shared" si="37"/>
        <v>-0.74964999999999982</v>
      </c>
      <c r="AM187">
        <f t="shared" si="50"/>
        <v>-4.3974499999999939</v>
      </c>
      <c r="AN187">
        <f t="shared" si="39"/>
        <v>-0.60154999999999992</v>
      </c>
      <c r="AO187">
        <f t="shared" si="51"/>
        <v>-15.464149999999995</v>
      </c>
      <c r="AP187">
        <f t="shared" si="41"/>
        <v>-0.76639999999999986</v>
      </c>
      <c r="AQ187">
        <f t="shared" si="52"/>
        <v>-28.771199999999993</v>
      </c>
      <c r="AR187">
        <f t="shared" si="43"/>
        <v>-0.66764999999999997</v>
      </c>
      <c r="AS187">
        <f t="shared" si="53"/>
        <v>-33.479450000000007</v>
      </c>
      <c r="AU187" s="12">
        <f t="shared" si="45"/>
        <v>-0.74964999999999982</v>
      </c>
      <c r="AV187" s="12">
        <f t="shared" si="35"/>
        <v>-0.62964999999999982</v>
      </c>
      <c r="AW187">
        <f t="shared" si="46"/>
        <v>-4.3974499999999939</v>
      </c>
      <c r="AX187">
        <f t="shared" si="47"/>
        <v>7.0025500000000118</v>
      </c>
      <c r="AY187">
        <v>95</v>
      </c>
    </row>
    <row r="188" spans="35:51">
      <c r="AI188">
        <v>186</v>
      </c>
      <c r="AJ188">
        <f t="shared" si="48"/>
        <v>-0.78116440000000009</v>
      </c>
      <c r="AK188">
        <f t="shared" si="49"/>
        <v>-19.4351214</v>
      </c>
      <c r="AL188">
        <f t="shared" si="37"/>
        <v>-0.75753999999999999</v>
      </c>
      <c r="AM188">
        <f t="shared" si="50"/>
        <v>-5.1549899999999935</v>
      </c>
      <c r="AN188">
        <f t="shared" si="39"/>
        <v>-0.60718000000000005</v>
      </c>
      <c r="AO188">
        <f t="shared" si="51"/>
        <v>-16.071329999999996</v>
      </c>
      <c r="AP188">
        <f t="shared" si="41"/>
        <v>-0.77303999999999995</v>
      </c>
      <c r="AQ188">
        <f t="shared" si="52"/>
        <v>-29.544239999999995</v>
      </c>
      <c r="AR188">
        <f t="shared" si="43"/>
        <v>-0.67294000000000009</v>
      </c>
      <c r="AS188">
        <f t="shared" si="53"/>
        <v>-34.152390000000004</v>
      </c>
      <c r="AU188" s="12">
        <f t="shared" si="45"/>
        <v>-0.75753999999999999</v>
      </c>
      <c r="AV188" s="12">
        <f t="shared" si="35"/>
        <v>-0.63754</v>
      </c>
      <c r="AW188">
        <f t="shared" si="46"/>
        <v>-5.1549899999999935</v>
      </c>
      <c r="AX188">
        <f t="shared" si="47"/>
        <v>6.3650100000000123</v>
      </c>
      <c r="AY188">
        <v>96</v>
      </c>
    </row>
    <row r="189" spans="35:51">
      <c r="AI189">
        <v>187</v>
      </c>
      <c r="AJ189">
        <f t="shared" si="48"/>
        <v>-0.78847980000000006</v>
      </c>
      <c r="AK189">
        <f t="shared" si="49"/>
        <v>-20.223601200000001</v>
      </c>
      <c r="AL189">
        <f t="shared" si="37"/>
        <v>-0.76542999999999983</v>
      </c>
      <c r="AM189">
        <f t="shared" si="50"/>
        <v>-5.9204199999999929</v>
      </c>
      <c r="AN189">
        <f t="shared" si="39"/>
        <v>-0.61280999999999997</v>
      </c>
      <c r="AO189">
        <f t="shared" si="51"/>
        <v>-16.684139999999996</v>
      </c>
      <c r="AP189">
        <f t="shared" si="41"/>
        <v>-0.77967999999999982</v>
      </c>
      <c r="AQ189">
        <f t="shared" si="52"/>
        <v>-30.323919999999994</v>
      </c>
      <c r="AR189">
        <f t="shared" si="43"/>
        <v>-0.67823</v>
      </c>
      <c r="AS189">
        <f t="shared" si="53"/>
        <v>-34.830620000000003</v>
      </c>
      <c r="AU189" s="12">
        <f t="shared" si="45"/>
        <v>-0.76542999999999983</v>
      </c>
      <c r="AV189" s="12">
        <f t="shared" si="35"/>
        <v>-0.64542999999999984</v>
      </c>
      <c r="AW189">
        <f t="shared" si="46"/>
        <v>-5.9204199999999929</v>
      </c>
      <c r="AX189">
        <f t="shared" si="47"/>
        <v>5.7195800000000121</v>
      </c>
      <c r="AY189">
        <v>97</v>
      </c>
    </row>
    <row r="190" spans="35:51">
      <c r="AI190">
        <v>188</v>
      </c>
      <c r="AJ190">
        <f t="shared" si="48"/>
        <v>-0.79579520000000004</v>
      </c>
      <c r="AK190">
        <f t="shared" si="49"/>
        <v>-21.019396400000002</v>
      </c>
      <c r="AL190">
        <f t="shared" si="37"/>
        <v>-0.7733199999999999</v>
      </c>
      <c r="AM190">
        <f t="shared" si="50"/>
        <v>-6.6937399999999929</v>
      </c>
      <c r="AN190">
        <f t="shared" si="39"/>
        <v>-0.6184400000000001</v>
      </c>
      <c r="AO190">
        <f t="shared" si="51"/>
        <v>-17.302579999999995</v>
      </c>
      <c r="AP190">
        <f t="shared" si="41"/>
        <v>-0.78631999999999991</v>
      </c>
      <c r="AQ190">
        <f t="shared" si="52"/>
        <v>-31.110239999999994</v>
      </c>
      <c r="AR190">
        <f t="shared" si="43"/>
        <v>-0.68352000000000002</v>
      </c>
      <c r="AS190">
        <f t="shared" si="53"/>
        <v>-35.514140000000005</v>
      </c>
      <c r="AU190" s="12">
        <f t="shared" si="45"/>
        <v>-0.7733199999999999</v>
      </c>
      <c r="AV190" s="12">
        <f t="shared" si="35"/>
        <v>-0.6533199999999999</v>
      </c>
      <c r="AW190">
        <f t="shared" si="46"/>
        <v>-6.6937399999999929</v>
      </c>
      <c r="AX190">
        <f t="shared" si="47"/>
        <v>5.0662600000000122</v>
      </c>
      <c r="AY190">
        <v>98</v>
      </c>
    </row>
    <row r="191" spans="35:51">
      <c r="AI191">
        <v>189</v>
      </c>
      <c r="AJ191">
        <f t="shared" si="48"/>
        <v>-0.80311060000000001</v>
      </c>
      <c r="AK191">
        <f t="shared" si="49"/>
        <v>-21.822507000000002</v>
      </c>
      <c r="AL191">
        <f t="shared" si="37"/>
        <v>-0.78121000000000007</v>
      </c>
      <c r="AM191">
        <f t="shared" si="50"/>
        <v>-7.4749499999999927</v>
      </c>
      <c r="AN191">
        <f t="shared" si="39"/>
        <v>-0.6240699999999999</v>
      </c>
      <c r="AO191">
        <f t="shared" si="51"/>
        <v>-17.926649999999995</v>
      </c>
      <c r="AP191">
        <f t="shared" si="41"/>
        <v>-0.79296</v>
      </c>
      <c r="AQ191">
        <f t="shared" si="52"/>
        <v>-31.903199999999995</v>
      </c>
      <c r="AR191">
        <f t="shared" si="43"/>
        <v>-0.68881000000000003</v>
      </c>
      <c r="AS191">
        <f t="shared" si="53"/>
        <v>-36.202950000000001</v>
      </c>
      <c r="AU191" s="12">
        <f t="shared" si="45"/>
        <v>-0.78121000000000007</v>
      </c>
      <c r="AV191" s="12">
        <f t="shared" si="35"/>
        <v>-0.66121000000000008</v>
      </c>
      <c r="AW191">
        <f t="shared" si="46"/>
        <v>-7.4749499999999927</v>
      </c>
      <c r="AX191">
        <f t="shared" si="47"/>
        <v>4.4050500000000117</v>
      </c>
      <c r="AY191">
        <v>99</v>
      </c>
    </row>
    <row r="192" spans="35:51">
      <c r="AI192">
        <v>190</v>
      </c>
      <c r="AJ192">
        <f t="shared" si="48"/>
        <v>-0.8104260000000002</v>
      </c>
      <c r="AK192">
        <f t="shared" si="49"/>
        <v>-22.632933000000001</v>
      </c>
      <c r="AL192">
        <f t="shared" si="37"/>
        <v>-0.78909999999999991</v>
      </c>
      <c r="AM192">
        <f t="shared" si="50"/>
        <v>-8.2640499999999921</v>
      </c>
      <c r="AN192">
        <f t="shared" si="39"/>
        <v>-0.62970000000000004</v>
      </c>
      <c r="AO192">
        <f t="shared" si="51"/>
        <v>-18.556349999999995</v>
      </c>
      <c r="AP192">
        <f t="shared" si="41"/>
        <v>-0.79959999999999987</v>
      </c>
      <c r="AQ192">
        <f t="shared" si="52"/>
        <v>-32.702799999999996</v>
      </c>
      <c r="AR192">
        <f t="shared" si="43"/>
        <v>-0.69410000000000005</v>
      </c>
      <c r="AS192">
        <f t="shared" si="53"/>
        <v>-36.89705</v>
      </c>
      <c r="AU192" s="12">
        <f t="shared" si="45"/>
        <v>-0.78909999999999991</v>
      </c>
      <c r="AV192" s="12">
        <f t="shared" si="35"/>
        <v>-0.66909999999999992</v>
      </c>
      <c r="AW192">
        <f t="shared" si="46"/>
        <v>-8.2640499999999921</v>
      </c>
      <c r="AX192">
        <f t="shared" si="47"/>
        <v>3.7359500000000119</v>
      </c>
      <c r="AY192">
        <v>100</v>
      </c>
    </row>
    <row r="193" spans="35:51">
      <c r="AI193">
        <v>191</v>
      </c>
      <c r="AJ193">
        <f t="shared" si="48"/>
        <v>-0.81774140000000006</v>
      </c>
      <c r="AK193">
        <f t="shared" si="49"/>
        <v>-23.4506744</v>
      </c>
      <c r="AL193">
        <f t="shared" si="37"/>
        <v>-0.79698999999999998</v>
      </c>
      <c r="AM193">
        <f t="shared" si="50"/>
        <v>-9.0610399999999913</v>
      </c>
      <c r="AN193">
        <f t="shared" si="39"/>
        <v>-0.63532999999999995</v>
      </c>
      <c r="AO193">
        <f t="shared" si="51"/>
        <v>-19.191679999999995</v>
      </c>
      <c r="AP193">
        <f t="shared" si="41"/>
        <v>-0.80623999999999996</v>
      </c>
      <c r="AQ193">
        <f t="shared" si="52"/>
        <v>-33.509039999999999</v>
      </c>
      <c r="AR193">
        <f t="shared" si="43"/>
        <v>-0.69938999999999996</v>
      </c>
      <c r="AS193">
        <f t="shared" si="53"/>
        <v>-37.596440000000001</v>
      </c>
      <c r="AU193" s="12">
        <f t="shared" si="45"/>
        <v>-0.79698999999999998</v>
      </c>
      <c r="AV193" s="12">
        <f t="shared" si="35"/>
        <v>-0.67698999999999998</v>
      </c>
      <c r="AW193">
        <f t="shared" si="46"/>
        <v>-9.0610399999999913</v>
      </c>
      <c r="AX193">
        <f t="shared" si="47"/>
        <v>3.0589600000000119</v>
      </c>
      <c r="AY193">
        <v>101</v>
      </c>
    </row>
    <row r="194" spans="35:51">
      <c r="AI194">
        <v>192</v>
      </c>
      <c r="AJ194">
        <f t="shared" si="48"/>
        <v>-0.82505680000000003</v>
      </c>
      <c r="AK194">
        <f t="shared" si="49"/>
        <v>-24.275731199999999</v>
      </c>
      <c r="AL194">
        <f t="shared" si="37"/>
        <v>-0.80487999999999993</v>
      </c>
      <c r="AM194">
        <f t="shared" si="50"/>
        <v>-9.865919999999992</v>
      </c>
      <c r="AN194">
        <f t="shared" si="39"/>
        <v>-0.64096000000000009</v>
      </c>
      <c r="AO194">
        <f t="shared" si="51"/>
        <v>-19.832639999999994</v>
      </c>
      <c r="AP194">
        <f t="shared" si="41"/>
        <v>-0.81287999999999994</v>
      </c>
      <c r="AQ194">
        <f t="shared" si="52"/>
        <v>-34.321919999999999</v>
      </c>
      <c r="AR194">
        <f t="shared" si="43"/>
        <v>-0.70468000000000008</v>
      </c>
      <c r="AS194">
        <f t="shared" si="53"/>
        <v>-38.301120000000004</v>
      </c>
      <c r="AU194" s="12">
        <f t="shared" si="45"/>
        <v>-0.80487999999999993</v>
      </c>
      <c r="AV194" s="12">
        <f t="shared" si="35"/>
        <v>-0.68487999999999993</v>
      </c>
      <c r="AW194">
        <f t="shared" si="46"/>
        <v>-9.865919999999992</v>
      </c>
      <c r="AX194">
        <f t="shared" si="47"/>
        <v>2.3740800000000117</v>
      </c>
      <c r="AY194">
        <v>102</v>
      </c>
    </row>
    <row r="195" spans="35:51">
      <c r="AI195">
        <v>193</v>
      </c>
      <c r="AJ195">
        <f t="shared" si="48"/>
        <v>-0.83237220000000001</v>
      </c>
      <c r="AK195">
        <f t="shared" si="49"/>
        <v>-25.108103399999997</v>
      </c>
      <c r="AL195">
        <f t="shared" si="37"/>
        <v>-0.81276999999999999</v>
      </c>
      <c r="AM195">
        <f t="shared" si="50"/>
        <v>-10.678689999999992</v>
      </c>
      <c r="AN195">
        <f t="shared" si="39"/>
        <v>-0.64658999999999989</v>
      </c>
      <c r="AO195">
        <f t="shared" si="51"/>
        <v>-20.479229999999994</v>
      </c>
      <c r="AP195">
        <f t="shared" si="41"/>
        <v>-0.81952000000000003</v>
      </c>
      <c r="AQ195">
        <f t="shared" si="52"/>
        <v>-35.141439999999996</v>
      </c>
      <c r="AR195">
        <f t="shared" si="43"/>
        <v>-0.70996999999999999</v>
      </c>
      <c r="AS195">
        <f t="shared" si="53"/>
        <v>-39.011090000000003</v>
      </c>
      <c r="AU195" s="12">
        <f t="shared" si="45"/>
        <v>-0.81276999999999999</v>
      </c>
      <c r="AV195" s="12">
        <f t="shared" si="35"/>
        <v>-0.69277</v>
      </c>
      <c r="AW195">
        <f t="shared" si="46"/>
        <v>-10.678689999999992</v>
      </c>
      <c r="AX195">
        <f t="shared" si="47"/>
        <v>1.6813100000000119</v>
      </c>
      <c r="AY195">
        <v>103</v>
      </c>
    </row>
    <row r="196" spans="35:51">
      <c r="AI196">
        <v>194</v>
      </c>
      <c r="AJ196">
        <f t="shared" si="48"/>
        <v>-0.83968759999999998</v>
      </c>
      <c r="AK196">
        <f t="shared" si="49"/>
        <v>-25.947790999999999</v>
      </c>
      <c r="AL196">
        <f t="shared" si="37"/>
        <v>-0.82065999999999983</v>
      </c>
      <c r="AM196">
        <f t="shared" si="50"/>
        <v>-11.499349999999993</v>
      </c>
      <c r="AN196">
        <f t="shared" si="39"/>
        <v>-0.65222000000000002</v>
      </c>
      <c r="AO196">
        <f t="shared" si="51"/>
        <v>-21.131449999999994</v>
      </c>
      <c r="AP196">
        <f t="shared" si="41"/>
        <v>-0.82615999999999989</v>
      </c>
      <c r="AQ196">
        <f t="shared" si="52"/>
        <v>-35.967599999999997</v>
      </c>
      <c r="AR196">
        <f t="shared" si="43"/>
        <v>-0.71526000000000001</v>
      </c>
      <c r="AS196">
        <f t="shared" si="53"/>
        <v>-39.726350000000004</v>
      </c>
      <c r="AU196" s="12">
        <f t="shared" si="45"/>
        <v>-0.82065999999999983</v>
      </c>
      <c r="AV196" s="12">
        <f t="shared" ref="AV196:AV202" si="54">($AF$3*$AI196+$AG$3+120)/1000</f>
        <v>-0.70065999999999984</v>
      </c>
      <c r="AW196">
        <f t="shared" si="46"/>
        <v>-11.499349999999993</v>
      </c>
      <c r="AX196">
        <f t="shared" si="47"/>
        <v>0.98065000000001201</v>
      </c>
      <c r="AY196">
        <v>104</v>
      </c>
    </row>
    <row r="197" spans="35:51">
      <c r="AI197">
        <v>195</v>
      </c>
      <c r="AJ197">
        <f t="shared" si="48"/>
        <v>-0.84700300000000017</v>
      </c>
      <c r="AK197">
        <f t="shared" si="49"/>
        <v>-26.794794</v>
      </c>
      <c r="AL197">
        <f t="shared" ref="AL197:AL202" si="55">($AF$3*$AI197+$AG$3)/1000</f>
        <v>-0.82855000000000001</v>
      </c>
      <c r="AM197">
        <f t="shared" si="50"/>
        <v>-12.327899999999993</v>
      </c>
      <c r="AN197">
        <f t="shared" ref="AN197:AN202" si="56">($AF$4*$AI197+$AG$4)/1000</f>
        <v>-0.65784999999999993</v>
      </c>
      <c r="AO197">
        <f t="shared" si="51"/>
        <v>-21.789299999999994</v>
      </c>
      <c r="AP197">
        <f t="shared" ref="AP197:AP202" si="57">($AF$5*$AI197+$AG$5)/1000</f>
        <v>-0.83279999999999998</v>
      </c>
      <c r="AQ197">
        <f t="shared" si="52"/>
        <v>-36.800399999999996</v>
      </c>
      <c r="AR197">
        <f t="shared" ref="AR197:AR202" si="58">($AF$6*$AI197+$AG$6)/1000</f>
        <v>-0.72054999999999991</v>
      </c>
      <c r="AS197">
        <f t="shared" si="53"/>
        <v>-40.446900000000007</v>
      </c>
      <c r="AU197" s="12">
        <f t="shared" ref="AU197:AU202" si="59">($AF$3*$AI197+$AG$3)/1000</f>
        <v>-0.82855000000000001</v>
      </c>
      <c r="AV197" s="12">
        <f t="shared" si="54"/>
        <v>-0.7085499999999999</v>
      </c>
      <c r="AW197">
        <f t="shared" ref="AW197:AW202" si="60">(($AF$3*$AI197+$AG$3)/1000)+AW196</f>
        <v>-12.327899999999993</v>
      </c>
      <c r="AX197">
        <f t="shared" si="47"/>
        <v>0.27210000000001211</v>
      </c>
      <c r="AY197">
        <v>105</v>
      </c>
    </row>
    <row r="198" spans="35:51">
      <c r="AI198">
        <v>196</v>
      </c>
      <c r="AJ198">
        <f t="shared" si="48"/>
        <v>-0.85431840000000014</v>
      </c>
      <c r="AK198">
        <f t="shared" si="49"/>
        <v>-27.6491124</v>
      </c>
      <c r="AL198">
        <f t="shared" si="55"/>
        <v>-0.83643999999999985</v>
      </c>
      <c r="AM198">
        <f t="shared" si="50"/>
        <v>-13.164339999999992</v>
      </c>
      <c r="AN198">
        <f t="shared" si="56"/>
        <v>-0.66348000000000007</v>
      </c>
      <c r="AO198">
        <f t="shared" si="51"/>
        <v>-22.452779999999994</v>
      </c>
      <c r="AP198">
        <f t="shared" si="57"/>
        <v>-0.83943999999999985</v>
      </c>
      <c r="AQ198">
        <f t="shared" si="52"/>
        <v>-37.63984</v>
      </c>
      <c r="AR198">
        <f t="shared" si="58"/>
        <v>-0.72583999999999993</v>
      </c>
      <c r="AS198">
        <f t="shared" si="53"/>
        <v>-41.172740000000005</v>
      </c>
      <c r="AU198" s="12">
        <f t="shared" si="59"/>
        <v>-0.83643999999999985</v>
      </c>
      <c r="AV198" s="12">
        <f t="shared" si="54"/>
        <v>-0.71643999999999985</v>
      </c>
      <c r="AW198">
        <f t="shared" si="60"/>
        <v>-13.164339999999992</v>
      </c>
      <c r="AX198">
        <f t="shared" si="47"/>
        <v>-0.44433999999998774</v>
      </c>
      <c r="AY198">
        <v>106</v>
      </c>
    </row>
    <row r="199" spans="35:51">
      <c r="AI199">
        <v>197</v>
      </c>
      <c r="AJ199">
        <f t="shared" si="48"/>
        <v>-0.86163380000000012</v>
      </c>
      <c r="AK199">
        <f t="shared" si="49"/>
        <v>-28.5107462</v>
      </c>
      <c r="AL199">
        <f t="shared" si="55"/>
        <v>-0.84432999999999991</v>
      </c>
      <c r="AM199">
        <f t="shared" si="50"/>
        <v>-14.008669999999992</v>
      </c>
      <c r="AN199">
        <f t="shared" si="56"/>
        <v>-0.66910999999999987</v>
      </c>
      <c r="AO199">
        <f t="shared" si="51"/>
        <v>-23.121889999999993</v>
      </c>
      <c r="AP199">
        <f t="shared" si="57"/>
        <v>-0.84607999999999994</v>
      </c>
      <c r="AQ199">
        <f t="shared" si="52"/>
        <v>-38.48592</v>
      </c>
      <c r="AR199">
        <f t="shared" si="58"/>
        <v>-0.73113000000000006</v>
      </c>
      <c r="AS199">
        <f t="shared" si="53"/>
        <v>-41.903870000000005</v>
      </c>
      <c r="AU199" s="12">
        <f t="shared" si="59"/>
        <v>-0.84432999999999991</v>
      </c>
      <c r="AV199" s="12">
        <f t="shared" si="54"/>
        <v>-0.72432999999999992</v>
      </c>
      <c r="AW199">
        <f t="shared" si="60"/>
        <v>-14.008669999999992</v>
      </c>
      <c r="AX199">
        <f t="shared" si="47"/>
        <v>-1.1686699999999877</v>
      </c>
      <c r="AY199">
        <v>107</v>
      </c>
    </row>
    <row r="200" spans="35:51">
      <c r="AI200">
        <v>198</v>
      </c>
      <c r="AJ200">
        <f t="shared" si="48"/>
        <v>-0.86894919999999998</v>
      </c>
      <c r="AK200">
        <f t="shared" si="49"/>
        <v>-29.379695399999999</v>
      </c>
      <c r="AL200">
        <f t="shared" si="55"/>
        <v>-0.85221999999999998</v>
      </c>
      <c r="AM200">
        <f t="shared" si="50"/>
        <v>-14.860889999999991</v>
      </c>
      <c r="AN200">
        <f t="shared" si="56"/>
        <v>-0.67474000000000001</v>
      </c>
      <c r="AO200">
        <f t="shared" si="51"/>
        <v>-23.796629999999993</v>
      </c>
      <c r="AP200">
        <f t="shared" si="57"/>
        <v>-0.85272000000000003</v>
      </c>
      <c r="AQ200">
        <f t="shared" si="52"/>
        <v>-39.338639999999998</v>
      </c>
      <c r="AR200">
        <f t="shared" si="58"/>
        <v>-0.73642000000000007</v>
      </c>
      <c r="AS200">
        <f t="shared" si="53"/>
        <v>-42.640290000000007</v>
      </c>
      <c r="AU200" s="12">
        <f t="shared" si="59"/>
        <v>-0.85221999999999998</v>
      </c>
      <c r="AV200" s="12">
        <f t="shared" si="54"/>
        <v>-0.73221999999999998</v>
      </c>
      <c r="AW200">
        <f t="shared" si="60"/>
        <v>-14.860889999999991</v>
      </c>
      <c r="AX200">
        <f t="shared" si="47"/>
        <v>-1.9008899999999875</v>
      </c>
      <c r="AY200">
        <v>108</v>
      </c>
    </row>
    <row r="201" spans="35:51">
      <c r="AI201">
        <v>199</v>
      </c>
      <c r="AJ201">
        <f t="shared" si="48"/>
        <v>-0.87626459999999995</v>
      </c>
      <c r="AK201">
        <f t="shared" si="49"/>
        <v>-30.255959999999998</v>
      </c>
      <c r="AL201">
        <f t="shared" si="55"/>
        <v>-0.86010999999999993</v>
      </c>
      <c r="AM201">
        <f t="shared" si="50"/>
        <v>-15.720999999999991</v>
      </c>
      <c r="AN201">
        <f t="shared" si="56"/>
        <v>-0.68036999999999992</v>
      </c>
      <c r="AO201">
        <f t="shared" si="51"/>
        <v>-24.476999999999993</v>
      </c>
      <c r="AP201">
        <f t="shared" si="57"/>
        <v>-0.8593599999999999</v>
      </c>
      <c r="AQ201">
        <f t="shared" si="52"/>
        <v>-40.198</v>
      </c>
      <c r="AR201">
        <f t="shared" si="58"/>
        <v>-0.74171000000000009</v>
      </c>
      <c r="AS201">
        <f t="shared" si="53"/>
        <v>-43.382000000000005</v>
      </c>
      <c r="AU201" s="12">
        <f t="shared" si="59"/>
        <v>-0.86010999999999993</v>
      </c>
      <c r="AV201" s="12">
        <f t="shared" si="54"/>
        <v>-0.74010999999999993</v>
      </c>
      <c r="AW201">
        <f t="shared" si="60"/>
        <v>-15.720999999999991</v>
      </c>
      <c r="AX201">
        <f t="shared" si="47"/>
        <v>-2.6409999999999876</v>
      </c>
      <c r="AY201">
        <v>109</v>
      </c>
    </row>
    <row r="202" spans="35:51">
      <c r="AI202">
        <v>200</v>
      </c>
      <c r="AJ202">
        <f t="shared" si="48"/>
        <v>-0.88358000000000014</v>
      </c>
      <c r="AK202">
        <f t="shared" si="49"/>
        <v>-31.139539999999997</v>
      </c>
      <c r="AL202">
        <f t="shared" si="55"/>
        <v>-0.86799999999999999</v>
      </c>
      <c r="AM202">
        <f t="shared" si="50"/>
        <v>-16.588999999999992</v>
      </c>
      <c r="AN202">
        <f t="shared" si="56"/>
        <v>-0.68600000000000005</v>
      </c>
      <c r="AO202">
        <f t="shared" si="51"/>
        <v>-25.162999999999993</v>
      </c>
      <c r="AP202">
        <f t="shared" si="57"/>
        <v>-0.86599999999999999</v>
      </c>
      <c r="AQ202">
        <f t="shared" si="52"/>
        <v>-41.064</v>
      </c>
      <c r="AR202">
        <f t="shared" si="58"/>
        <v>-0.747</v>
      </c>
      <c r="AS202">
        <f t="shared" si="53"/>
        <v>-44.129000000000005</v>
      </c>
      <c r="AU202" s="12">
        <f t="shared" si="59"/>
        <v>-0.86799999999999999</v>
      </c>
      <c r="AV202" s="12">
        <f t="shared" si="54"/>
        <v>-0.748</v>
      </c>
      <c r="AW202">
        <f t="shared" si="60"/>
        <v>-16.588999999999992</v>
      </c>
      <c r="AX202">
        <f t="shared" si="47"/>
        <v>-3.3889999999999878</v>
      </c>
      <c r="AY202">
        <v>110</v>
      </c>
    </row>
  </sheetData>
  <customSheetViews>
    <customSheetView guid="{51F81FF1-EE1A-40FC-8953-32A9F2F33EA5}" state="hidden">
      <pageMargins left="0" right="0" top="0" bottom="0" header="0" footer="0"/>
    </customSheetView>
  </customSheetViews>
  <phoneticPr fontId="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D6F75-36FD-4604-81DE-827DD07E13D8}">
  <sheetPr codeName="Sheet11"/>
  <dimension ref="A1:BE536"/>
  <sheetViews>
    <sheetView workbookViewId="0">
      <selection activeCell="A2" sqref="A2"/>
    </sheetView>
  </sheetViews>
  <sheetFormatPr defaultRowHeight="14.85"/>
  <cols>
    <col min="1" max="1" width="12.42578125" bestFit="1" customWidth="1"/>
    <col min="2" max="2" width="24.42578125" bestFit="1" customWidth="1"/>
    <col min="3" max="11" width="5.28515625" customWidth="1"/>
    <col min="12" max="14" width="13" bestFit="1" customWidth="1"/>
    <col min="15" max="32" width="5" customWidth="1"/>
    <col min="33" max="33" width="18.28515625" bestFit="1" customWidth="1"/>
    <col min="34" max="34" width="22" bestFit="1" customWidth="1"/>
    <col min="35" max="35" width="18.28515625" bestFit="1" customWidth="1"/>
    <col min="36" max="36" width="22" bestFit="1" customWidth="1"/>
    <col min="37" max="37" width="18.28515625" bestFit="1" customWidth="1"/>
    <col min="38" max="38" width="22" bestFit="1" customWidth="1"/>
    <col min="39" max="39" width="18.28515625" bestFit="1" customWidth="1"/>
    <col min="40" max="40" width="22" bestFit="1" customWidth="1"/>
    <col min="41" max="41" width="18.28515625" bestFit="1" customWidth="1"/>
    <col min="42" max="42" width="22" bestFit="1" customWidth="1"/>
    <col min="43" max="43" width="18.28515625" bestFit="1" customWidth="1"/>
    <col min="44" max="44" width="22" bestFit="1" customWidth="1"/>
    <col min="45" max="45" width="18.28515625" bestFit="1" customWidth="1"/>
    <col min="46" max="46" width="22" bestFit="1" customWidth="1"/>
    <col min="47" max="47" width="24.85546875" bestFit="1" customWidth="1"/>
    <col min="48" max="48" width="15.28515625" bestFit="1" customWidth="1"/>
    <col min="49" max="49" width="13" bestFit="1" customWidth="1"/>
    <col min="50" max="51" width="12.42578125" bestFit="1" customWidth="1"/>
    <col min="52" max="52" width="13" bestFit="1" customWidth="1"/>
    <col min="53" max="53" width="12.42578125" bestFit="1" customWidth="1"/>
    <col min="54" max="55" width="13" bestFit="1" customWidth="1"/>
    <col min="56" max="56" width="12.42578125" bestFit="1" customWidth="1"/>
    <col min="57" max="57" width="13" bestFit="1" customWidth="1"/>
    <col min="58" max="58" width="22" bestFit="1" customWidth="1"/>
    <col min="59" max="59" width="18.28515625" bestFit="1" customWidth="1"/>
    <col min="60" max="60" width="22" bestFit="1" customWidth="1"/>
    <col min="61" max="61" width="18.28515625" bestFit="1" customWidth="1"/>
    <col min="62" max="62" width="27" bestFit="1" customWidth="1"/>
    <col min="63" max="63" width="23.28515625" bestFit="1" customWidth="1"/>
  </cols>
  <sheetData>
    <row r="1" spans="1:57">
      <c r="A1" s="15" t="s">
        <v>559</v>
      </c>
      <c r="B1" t="s">
        <v>593</v>
      </c>
      <c r="AD1" t="s">
        <v>300</v>
      </c>
      <c r="AE1" t="s">
        <v>336</v>
      </c>
      <c r="AF1" t="s">
        <v>371</v>
      </c>
      <c r="AG1" t="s">
        <v>425</v>
      </c>
      <c r="AH1" t="s">
        <v>478</v>
      </c>
      <c r="AI1" t="s">
        <v>499</v>
      </c>
      <c r="AJ1" t="s">
        <v>268</v>
      </c>
      <c r="AK1" t="s">
        <v>521</v>
      </c>
      <c r="AL1" t="s">
        <v>236</v>
      </c>
      <c r="AU1" s="15" t="s">
        <v>594</v>
      </c>
      <c r="AV1" s="15" t="s">
        <v>595</v>
      </c>
    </row>
    <row r="2" spans="1:57">
      <c r="AC2">
        <v>13.86</v>
      </c>
      <c r="AD2">
        <v>43.345838484848471</v>
      </c>
      <c r="AU2" s="15" t="s">
        <v>596</v>
      </c>
      <c r="AV2" t="s">
        <v>300</v>
      </c>
      <c r="AW2" t="s">
        <v>336</v>
      </c>
      <c r="AX2" t="s">
        <v>371</v>
      </c>
      <c r="AY2" t="s">
        <v>425</v>
      </c>
      <c r="AZ2" t="s">
        <v>478</v>
      </c>
      <c r="BA2" t="s">
        <v>499</v>
      </c>
      <c r="BB2" t="s">
        <v>268</v>
      </c>
      <c r="BC2" t="s">
        <v>521</v>
      </c>
      <c r="BD2" t="s">
        <v>236</v>
      </c>
      <c r="BE2" t="s">
        <v>597</v>
      </c>
    </row>
    <row r="3" spans="1:57">
      <c r="A3" s="15" t="s">
        <v>596</v>
      </c>
      <c r="B3" t="s">
        <v>594</v>
      </c>
      <c r="AC3">
        <v>27.72</v>
      </c>
      <c r="AD3">
        <v>27.188801315126046</v>
      </c>
      <c r="AE3">
        <v>45.95626819327731</v>
      </c>
      <c r="AU3" s="20">
        <v>13.86</v>
      </c>
      <c r="AV3">
        <v>622.68907563025198</v>
      </c>
      <c r="BE3">
        <v>622.68907563025198</v>
      </c>
    </row>
    <row r="4" spans="1:57">
      <c r="A4" s="20">
        <v>13.86</v>
      </c>
      <c r="B4">
        <v>1142.8571428571429</v>
      </c>
      <c r="D4" s="19"/>
      <c r="E4" s="19"/>
      <c r="AC4">
        <v>28.6</v>
      </c>
      <c r="AK4">
        <v>29.190682743589743</v>
      </c>
      <c r="AU4" s="20">
        <v>27.72</v>
      </c>
      <c r="AV4">
        <v>86.554621848739586</v>
      </c>
      <c r="AW4">
        <v>675.63025210084049</v>
      </c>
      <c r="BE4">
        <v>381.09243697478996</v>
      </c>
    </row>
    <row r="5" spans="1:57">
      <c r="A5" s="20">
        <v>27.72</v>
      </c>
      <c r="B5">
        <v>-114.28571428571438</v>
      </c>
      <c r="D5" s="19"/>
      <c r="E5" s="19"/>
      <c r="AC5">
        <v>32.400000000000006</v>
      </c>
      <c r="AL5">
        <v>21.048816972222212</v>
      </c>
      <c r="AU5" s="20">
        <v>28.6</v>
      </c>
      <c r="BC5">
        <v>330.76923076923077</v>
      </c>
      <c r="BE5">
        <v>330.76923076923077</v>
      </c>
    </row>
    <row r="6" spans="1:57">
      <c r="A6" s="20">
        <v>28.6</v>
      </c>
      <c r="B6">
        <v>335.16483516483515</v>
      </c>
      <c r="D6" s="19"/>
      <c r="E6" s="19"/>
      <c r="AC6">
        <v>34.020000000000003</v>
      </c>
      <c r="AH6">
        <v>21.755294107142859</v>
      </c>
      <c r="AU6" s="20">
        <v>32.400000000000006</v>
      </c>
      <c r="BD6">
        <v>172.22222222222223</v>
      </c>
      <c r="BE6">
        <v>172.22222222222223</v>
      </c>
    </row>
    <row r="7" spans="1:57">
      <c r="A7" s="20">
        <v>34.020000000000003</v>
      </c>
      <c r="B7">
        <v>176.78571428571431</v>
      </c>
      <c r="D7" s="19"/>
      <c r="E7" s="19"/>
      <c r="AC7">
        <v>34.580000000000005</v>
      </c>
      <c r="AI7">
        <v>21.359482464285716</v>
      </c>
      <c r="AU7" s="20">
        <v>34.020000000000003</v>
      </c>
      <c r="AZ7">
        <v>199.64285714285717</v>
      </c>
      <c r="BE7">
        <v>199.64285714285717</v>
      </c>
    </row>
    <row r="8" spans="1:57">
      <c r="A8" s="20">
        <v>34.580000000000005</v>
      </c>
      <c r="B8">
        <v>201.42857142857147</v>
      </c>
      <c r="D8" s="19"/>
      <c r="E8" s="19"/>
      <c r="AC8">
        <v>37.6</v>
      </c>
      <c r="AF8">
        <v>12.971169320754715</v>
      </c>
      <c r="AU8" s="20">
        <v>34.580000000000005</v>
      </c>
      <c r="BA8">
        <v>191.78571428571428</v>
      </c>
      <c r="BE8">
        <v>191.78571428571428</v>
      </c>
    </row>
    <row r="9" spans="1:57">
      <c r="A9" s="20">
        <v>41.58</v>
      </c>
      <c r="B9">
        <v>828.57142857142912</v>
      </c>
      <c r="D9" s="19"/>
      <c r="E9" s="19"/>
      <c r="AC9">
        <v>37.76</v>
      </c>
      <c r="AG9">
        <v>27.106662846153849</v>
      </c>
      <c r="AU9" s="20">
        <v>37.6</v>
      </c>
      <c r="AX9">
        <v>33.018867924528294</v>
      </c>
      <c r="BE9">
        <v>33.018867924528294</v>
      </c>
    </row>
    <row r="10" spans="1:57">
      <c r="A10" s="20">
        <v>44.24</v>
      </c>
      <c r="B10">
        <v>-33.834586466165412</v>
      </c>
      <c r="D10" s="19"/>
      <c r="E10" s="19"/>
      <c r="AC10">
        <v>41.58</v>
      </c>
      <c r="AD10">
        <v>21.342155838935568</v>
      </c>
      <c r="AU10" s="20">
        <v>37.76</v>
      </c>
      <c r="AY10">
        <v>305.76923076923077</v>
      </c>
      <c r="BE10">
        <v>305.76923076923077</v>
      </c>
    </row>
    <row r="11" spans="1:57">
      <c r="A11" s="20">
        <v>51.03</v>
      </c>
      <c r="B11">
        <v>-125.00000000000001</v>
      </c>
      <c r="D11" s="19"/>
      <c r="E11" s="19"/>
      <c r="AC11">
        <v>44.24</v>
      </c>
      <c r="AJ11">
        <v>13.244078845238095</v>
      </c>
      <c r="AU11" s="20">
        <v>41.58</v>
      </c>
      <c r="AV11">
        <v>52.941176470588161</v>
      </c>
      <c r="BE11">
        <v>52.941176470588161</v>
      </c>
    </row>
    <row r="12" spans="1:57">
      <c r="A12" s="20">
        <v>51.870000000000005</v>
      </c>
      <c r="B12">
        <v>28.571428571428584</v>
      </c>
      <c r="D12" s="19"/>
      <c r="E12" s="19"/>
      <c r="AC12">
        <v>51.03</v>
      </c>
      <c r="AH12">
        <v>15.454445630952382</v>
      </c>
      <c r="AU12" s="20">
        <v>44.24</v>
      </c>
      <c r="BB12">
        <v>-29.761904761904763</v>
      </c>
      <c r="BE12">
        <v>-29.761904761904763</v>
      </c>
    </row>
    <row r="13" spans="1:57">
      <c r="A13" s="20">
        <v>53.46</v>
      </c>
      <c r="B13">
        <v>-66.666666666667609</v>
      </c>
      <c r="D13" s="19"/>
      <c r="E13" s="19"/>
      <c r="AC13">
        <v>51.870000000000005</v>
      </c>
      <c r="AI13">
        <v>18.648227976190473</v>
      </c>
      <c r="AU13" s="20">
        <v>51.03</v>
      </c>
      <c r="AZ13">
        <v>-171.42857142857139</v>
      </c>
      <c r="BE13">
        <v>-171.42857142857139</v>
      </c>
    </row>
    <row r="14" spans="1:57">
      <c r="A14" s="20">
        <v>55.44</v>
      </c>
      <c r="B14">
        <v>57.142857142857956</v>
      </c>
      <c r="AC14">
        <v>53.46</v>
      </c>
      <c r="AD14">
        <v>30.670234778867098</v>
      </c>
      <c r="AU14" s="20">
        <v>51.870000000000005</v>
      </c>
      <c r="BA14">
        <v>25.000000000000007</v>
      </c>
      <c r="BE14">
        <v>25.000000000000007</v>
      </c>
    </row>
    <row r="15" spans="1:57">
      <c r="A15" s="20">
        <v>59.400000000000006</v>
      </c>
      <c r="B15">
        <v>-132.65306122448982</v>
      </c>
      <c r="AC15">
        <v>55.44</v>
      </c>
      <c r="AE15">
        <v>38.463152109243708</v>
      </c>
      <c r="AU15" s="20">
        <v>53.46</v>
      </c>
      <c r="AV15">
        <v>479.41176470588243</v>
      </c>
      <c r="BE15">
        <v>479.41176470588243</v>
      </c>
    </row>
    <row r="16" spans="1:57">
      <c r="A16" s="20">
        <v>68.040000000000006</v>
      </c>
      <c r="B16">
        <v>-107.14285714285728</v>
      </c>
      <c r="D16" s="19"/>
      <c r="E16" s="19"/>
      <c r="AC16">
        <v>59.400000000000006</v>
      </c>
      <c r="AK16">
        <v>18.407722567901239</v>
      </c>
      <c r="AU16" s="20">
        <v>55.44</v>
      </c>
      <c r="AW16">
        <v>354.6218487394961</v>
      </c>
      <c r="BE16">
        <v>354.6218487394961</v>
      </c>
    </row>
    <row r="17" spans="1:57">
      <c r="A17" s="20">
        <v>69.160000000000011</v>
      </c>
      <c r="B17">
        <v>-71.428571428571416</v>
      </c>
      <c r="D17" s="19"/>
      <c r="E17" s="19"/>
      <c r="AC17">
        <v>60.480000000000004</v>
      </c>
      <c r="AL17">
        <v>16.241271474358975</v>
      </c>
      <c r="AU17" s="20">
        <v>59.400000000000006</v>
      </c>
      <c r="BC17">
        <v>-83.333333333333343</v>
      </c>
      <c r="BE17">
        <v>-83.333333333333343</v>
      </c>
    </row>
    <row r="18" spans="1:57">
      <c r="A18" s="20">
        <v>69.3</v>
      </c>
      <c r="B18">
        <v>-199.99999999999929</v>
      </c>
      <c r="D18" s="19"/>
      <c r="E18" s="19"/>
      <c r="AC18">
        <v>68.040000000000006</v>
      </c>
      <c r="AH18">
        <v>15.097273821428569</v>
      </c>
      <c r="AU18" s="20">
        <v>60.480000000000004</v>
      </c>
      <c r="BD18">
        <v>73.076923076923094</v>
      </c>
      <c r="BE18">
        <v>73.076923076923094</v>
      </c>
    </row>
    <row r="19" spans="1:57">
      <c r="A19" s="20">
        <v>83.16</v>
      </c>
      <c r="B19">
        <v>314.28571428571371</v>
      </c>
      <c r="D19" s="19"/>
      <c r="E19" s="19"/>
      <c r="AC19">
        <v>68.150000000000006</v>
      </c>
      <c r="AF19">
        <v>19.44979188679245</v>
      </c>
      <c r="AU19" s="20">
        <v>68.040000000000006</v>
      </c>
      <c r="AZ19">
        <v>42.857142857142755</v>
      </c>
      <c r="BE19">
        <v>42.857142857142755</v>
      </c>
    </row>
    <row r="20" spans="1:57">
      <c r="A20" s="20">
        <v>88.48</v>
      </c>
      <c r="B20">
        <v>-212.40601503759399</v>
      </c>
      <c r="D20" s="19"/>
      <c r="E20" s="19"/>
      <c r="AC20">
        <v>68.44</v>
      </c>
      <c r="AG20">
        <v>20.953022692307687</v>
      </c>
      <c r="AU20" s="20">
        <v>68.150000000000006</v>
      </c>
      <c r="AX20">
        <v>296.66182873730043</v>
      </c>
      <c r="BE20">
        <v>296.66182873730043</v>
      </c>
    </row>
    <row r="21" spans="1:57">
      <c r="A21" s="20">
        <v>97.02</v>
      </c>
      <c r="B21">
        <v>-114.28571428571388</v>
      </c>
      <c r="D21" s="19"/>
      <c r="E21" s="19"/>
      <c r="AC21">
        <v>69.160000000000011</v>
      </c>
      <c r="AI21">
        <v>17.374939257142852</v>
      </c>
      <c r="AU21" s="20">
        <v>68.44</v>
      </c>
      <c r="AY21">
        <v>24.852071005917193</v>
      </c>
      <c r="BE21">
        <v>24.852071005917193</v>
      </c>
    </row>
    <row r="22" spans="1:57">
      <c r="A22" s="20">
        <v>102.06</v>
      </c>
      <c r="B22">
        <v>-129.46428571428564</v>
      </c>
      <c r="D22" s="19"/>
      <c r="E22" s="19"/>
      <c r="AC22">
        <v>69.3</v>
      </c>
      <c r="AD22">
        <v>23.887142911764698</v>
      </c>
      <c r="AU22" s="20">
        <v>69.160000000000011</v>
      </c>
      <c r="BA22">
        <v>30.000000000000068</v>
      </c>
      <c r="BE22">
        <v>30.000000000000068</v>
      </c>
    </row>
    <row r="23" spans="1:57">
      <c r="A23" s="20">
        <v>103.74000000000001</v>
      </c>
      <c r="B23">
        <v>-145.71428571428567</v>
      </c>
      <c r="D23" s="19"/>
      <c r="E23" s="19"/>
      <c r="AC23">
        <v>83.16</v>
      </c>
      <c r="AD23">
        <v>18.784198892156859</v>
      </c>
      <c r="AE23">
        <v>25.793529487394952</v>
      </c>
      <c r="AU23" s="20">
        <v>69.3</v>
      </c>
      <c r="AV23">
        <v>34.558823529411775</v>
      </c>
      <c r="BE23">
        <v>34.558823529411775</v>
      </c>
    </row>
    <row r="24" spans="1:57">
      <c r="A24" s="20">
        <v>106.92</v>
      </c>
      <c r="B24">
        <v>-1000</v>
      </c>
      <c r="D24" s="19"/>
      <c r="E24" s="19"/>
      <c r="AC24">
        <v>88.48</v>
      </c>
      <c r="AJ24">
        <v>3.9535195952380948</v>
      </c>
      <c r="AU24" s="20">
        <v>83.16</v>
      </c>
      <c r="AV24">
        <v>-127.73109243697493</v>
      </c>
      <c r="AW24">
        <v>-238.65546218487404</v>
      </c>
      <c r="BE24">
        <v>-183.19327731092449</v>
      </c>
    </row>
    <row r="25" spans="1:57">
      <c r="A25" s="20">
        <v>110.88</v>
      </c>
      <c r="B25">
        <v>-400.00000000000063</v>
      </c>
      <c r="D25" s="19"/>
      <c r="E25" s="19"/>
      <c r="AC25">
        <v>97.02</v>
      </c>
      <c r="AD25">
        <v>17.180210153061232</v>
      </c>
      <c r="AU25" s="20">
        <v>88.48</v>
      </c>
      <c r="BB25">
        <v>-213.0952380952381</v>
      </c>
      <c r="BE25">
        <v>-213.0952380952381</v>
      </c>
    </row>
    <row r="26" spans="1:57">
      <c r="A26" s="20" t="s">
        <v>597</v>
      </c>
      <c r="B26">
        <v>-34.721169634962713</v>
      </c>
      <c r="D26" s="19"/>
      <c r="E26" s="19"/>
      <c r="AC26">
        <v>102.06</v>
      </c>
      <c r="AH26">
        <v>11.165000297619047</v>
      </c>
      <c r="AU26" s="20">
        <v>97.02</v>
      </c>
      <c r="AV26">
        <v>-123.52941176470559</v>
      </c>
      <c r="BE26">
        <v>-123.52941176470559</v>
      </c>
    </row>
    <row r="27" spans="1:57">
      <c r="D27" s="19"/>
      <c r="E27" s="19"/>
      <c r="AC27">
        <v>103.4</v>
      </c>
      <c r="AF27">
        <v>19.010740662092626</v>
      </c>
      <c r="AU27" s="20">
        <v>102.06</v>
      </c>
      <c r="AZ27">
        <v>-149.99999999999994</v>
      </c>
      <c r="BE27">
        <v>-149.99999999999994</v>
      </c>
    </row>
    <row r="28" spans="1:57">
      <c r="D28" s="19"/>
      <c r="E28" s="19"/>
      <c r="AC28">
        <v>103.74000000000001</v>
      </c>
      <c r="AI28">
        <v>12.189034838095237</v>
      </c>
      <c r="AU28" s="20">
        <v>103.4</v>
      </c>
      <c r="AX28">
        <v>108.67924528301882</v>
      </c>
      <c r="BE28">
        <v>108.67924528301882</v>
      </c>
    </row>
    <row r="29" spans="1:57">
      <c r="D29" s="19"/>
      <c r="E29" s="19"/>
      <c r="AC29">
        <v>103.83999999999999</v>
      </c>
      <c r="AG29">
        <v>18.448767956293704</v>
      </c>
      <c r="AU29" s="20">
        <v>103.74000000000001</v>
      </c>
      <c r="BA29">
        <v>-180.00000000000006</v>
      </c>
      <c r="BE29">
        <v>-180.00000000000006</v>
      </c>
    </row>
    <row r="30" spans="1:57">
      <c r="D30" s="19"/>
      <c r="E30" s="19"/>
      <c r="AC30">
        <v>106.92</v>
      </c>
      <c r="AE30">
        <v>21.881757098039216</v>
      </c>
      <c r="AU30" s="20">
        <v>103.83999999999999</v>
      </c>
      <c r="AY30">
        <v>26.794871794871799</v>
      </c>
      <c r="BE30">
        <v>26.794871794871799</v>
      </c>
    </row>
    <row r="31" spans="1:57">
      <c r="D31" s="19"/>
      <c r="E31" s="19"/>
      <c r="AC31">
        <v>110.88</v>
      </c>
      <c r="AD31">
        <v>12.932216756302521</v>
      </c>
      <c r="AU31" s="20">
        <v>106.92</v>
      </c>
      <c r="AW31">
        <v>-85.294117647058883</v>
      </c>
      <c r="BE31">
        <v>-85.294117647058883</v>
      </c>
    </row>
    <row r="32" spans="1:57">
      <c r="D32" s="19"/>
      <c r="E32" s="19"/>
      <c r="AU32" s="20">
        <v>110.88</v>
      </c>
      <c r="AV32">
        <v>-221.00840336134462</v>
      </c>
      <c r="BE32">
        <v>-221.00840336134462</v>
      </c>
    </row>
    <row r="33" spans="4:57">
      <c r="D33" s="19"/>
      <c r="E33" s="19"/>
      <c r="AU33" s="20" t="s">
        <v>597</v>
      </c>
      <c r="AV33">
        <v>100.48581932773106</v>
      </c>
      <c r="AW33">
        <v>176.57563025210106</v>
      </c>
      <c r="AX33">
        <v>146.11998064828254</v>
      </c>
      <c r="AY33">
        <v>119.13872452333992</v>
      </c>
      <c r="AZ33">
        <v>-19.732142857142868</v>
      </c>
      <c r="BA33">
        <v>16.696428571428591</v>
      </c>
      <c r="BB33">
        <v>-121.42857142857142</v>
      </c>
      <c r="BC33">
        <v>123.7179487179487</v>
      </c>
      <c r="BD33">
        <v>122.64957264957266</v>
      </c>
      <c r="BE33">
        <v>94.467193201906255</v>
      </c>
    </row>
    <row r="34" spans="4:57">
      <c r="D34" s="19"/>
      <c r="E34" s="19"/>
    </row>
    <row r="35" spans="4:57">
      <c r="D35" s="19"/>
      <c r="E35" s="19"/>
    </row>
    <row r="36" spans="4:57">
      <c r="D36" s="19"/>
      <c r="E36" s="19"/>
    </row>
    <row r="37" spans="4:57">
      <c r="D37" s="19"/>
      <c r="E37" s="19"/>
    </row>
    <row r="38" spans="4:57">
      <c r="D38" s="19"/>
      <c r="E38" s="19"/>
    </row>
    <row r="40" spans="4:57">
      <c r="D40" s="19"/>
      <c r="E40" s="19"/>
    </row>
    <row r="41" spans="4:57">
      <c r="D41" s="19"/>
      <c r="E41" s="19"/>
    </row>
    <row r="42" spans="4:57">
      <c r="D42" s="19"/>
      <c r="E42" s="19"/>
    </row>
    <row r="43" spans="4:57">
      <c r="D43" s="19"/>
      <c r="E43" s="19"/>
    </row>
    <row r="44" spans="4:57">
      <c r="D44" s="19"/>
      <c r="E44" s="19"/>
    </row>
    <row r="45" spans="4:57">
      <c r="D45" s="19"/>
      <c r="E45" s="19"/>
    </row>
    <row r="46" spans="4:57">
      <c r="D46" s="19"/>
      <c r="E46" s="19"/>
    </row>
    <row r="47" spans="4:57">
      <c r="D47" s="19"/>
      <c r="E47" s="19"/>
    </row>
    <row r="48" spans="4:57">
      <c r="D48" s="19"/>
      <c r="E48" s="19"/>
    </row>
    <row r="49" spans="4:6">
      <c r="D49" s="19"/>
      <c r="E49" s="19"/>
    </row>
    <row r="50" spans="4:6">
      <c r="D50" s="19"/>
      <c r="F50" s="19"/>
    </row>
    <row r="51" spans="4:6">
      <c r="D51" s="19"/>
      <c r="F51" s="19"/>
    </row>
    <row r="52" spans="4:6">
      <c r="D52" s="19"/>
      <c r="E52" s="19"/>
    </row>
    <row r="53" spans="4:6">
      <c r="D53" s="19"/>
      <c r="E53" s="19"/>
    </row>
    <row r="54" spans="4:6">
      <c r="D54" s="19"/>
      <c r="E54" s="19"/>
    </row>
    <row r="55" spans="4:6">
      <c r="D55" s="19"/>
      <c r="E55" s="19"/>
    </row>
    <row r="56" spans="4:6">
      <c r="D56" s="19"/>
      <c r="E56" s="19"/>
    </row>
    <row r="57" spans="4:6">
      <c r="D57" s="19"/>
      <c r="E57" s="19"/>
    </row>
    <row r="58" spans="4:6">
      <c r="D58" s="19"/>
      <c r="E58" s="19"/>
    </row>
    <row r="59" spans="4:6">
      <c r="D59" s="19"/>
      <c r="E59" s="19"/>
    </row>
    <row r="60" spans="4:6">
      <c r="D60" s="19"/>
      <c r="E60" s="19"/>
    </row>
    <row r="61" spans="4:6">
      <c r="D61" s="19"/>
      <c r="E61" s="19"/>
    </row>
    <row r="62" spans="4:6">
      <c r="D62" s="19"/>
      <c r="E62" s="19"/>
    </row>
    <row r="63" spans="4:6">
      <c r="D63" s="19"/>
      <c r="E63" s="19"/>
    </row>
    <row r="64" spans="4:6">
      <c r="D64" s="19"/>
    </row>
    <row r="66" spans="4:6">
      <c r="D66" s="19"/>
      <c r="F66" s="19"/>
    </row>
    <row r="67" spans="4:6">
      <c r="D67" s="19"/>
      <c r="E67" s="19"/>
    </row>
    <row r="68" spans="4:6">
      <c r="D68" s="19"/>
      <c r="E68" s="19"/>
    </row>
    <row r="69" spans="4:6">
      <c r="D69" s="19"/>
      <c r="E69" s="19"/>
    </row>
    <row r="70" spans="4:6">
      <c r="D70" s="19"/>
      <c r="E70" s="19"/>
    </row>
    <row r="71" spans="4:6">
      <c r="D71" s="19"/>
      <c r="F71" s="19"/>
    </row>
    <row r="72" spans="4:6">
      <c r="D72" s="19"/>
      <c r="E72" s="19"/>
    </row>
    <row r="73" spans="4:6">
      <c r="D73" s="19"/>
      <c r="E73" s="19"/>
    </row>
    <row r="74" spans="4:6">
      <c r="D74" s="19"/>
      <c r="E74" s="19"/>
    </row>
    <row r="75" spans="4:6">
      <c r="D75" s="19"/>
      <c r="E75" s="19"/>
    </row>
    <row r="76" spans="4:6">
      <c r="D76" s="19"/>
      <c r="E76" s="19"/>
    </row>
    <row r="77" spans="4:6">
      <c r="D77" s="19"/>
      <c r="E77" s="19"/>
    </row>
    <row r="78" spans="4:6">
      <c r="D78" s="19"/>
      <c r="E78" s="19"/>
    </row>
    <row r="79" spans="4:6">
      <c r="D79" s="19"/>
      <c r="E79" s="19"/>
    </row>
    <row r="80" spans="4:6">
      <c r="D80" s="19"/>
      <c r="E80" s="19"/>
    </row>
    <row r="81" spans="4:6">
      <c r="D81" s="19"/>
      <c r="F81" s="19"/>
    </row>
    <row r="82" spans="4:6">
      <c r="D82" s="19"/>
      <c r="E82" s="19"/>
    </row>
    <row r="83" spans="4:6">
      <c r="D83" s="19"/>
      <c r="E83" s="19"/>
    </row>
    <row r="84" spans="4:6">
      <c r="D84" s="19"/>
      <c r="E84" s="19"/>
    </row>
    <row r="85" spans="4:6">
      <c r="D85" s="19"/>
      <c r="E85" s="19"/>
    </row>
    <row r="86" spans="4:6">
      <c r="D86" s="19"/>
      <c r="F86" s="19"/>
    </row>
    <row r="87" spans="4:6">
      <c r="D87" s="19"/>
      <c r="E87" s="19"/>
    </row>
    <row r="88" spans="4:6">
      <c r="D88" s="19"/>
      <c r="E88" s="19"/>
    </row>
    <row r="89" spans="4:6">
      <c r="D89" s="19"/>
      <c r="E89" s="19"/>
    </row>
    <row r="90" spans="4:6">
      <c r="D90" s="19"/>
      <c r="E90" s="19"/>
    </row>
    <row r="91" spans="4:6">
      <c r="D91" s="19"/>
      <c r="E91" s="19"/>
    </row>
    <row r="92" spans="4:6">
      <c r="D92" s="19"/>
      <c r="E92" s="19"/>
    </row>
    <row r="174" spans="1:32">
      <c r="A174" s="15" t="s">
        <v>598</v>
      </c>
      <c r="B174" s="15" t="s">
        <v>595</v>
      </c>
    </row>
    <row r="175" spans="1:32">
      <c r="A175" s="15" t="s">
        <v>596</v>
      </c>
      <c r="B175" s="19">
        <v>13.86</v>
      </c>
      <c r="C175" s="19">
        <v>27.72</v>
      </c>
      <c r="D175" s="19">
        <v>28.6</v>
      </c>
      <c r="E175" s="19">
        <v>32.400000000000006</v>
      </c>
      <c r="F175" s="19">
        <v>34.020000000000003</v>
      </c>
      <c r="G175" s="19">
        <v>34.580000000000005</v>
      </c>
      <c r="H175" s="19">
        <v>37.6</v>
      </c>
      <c r="I175" s="19">
        <v>37.76</v>
      </c>
      <c r="J175" s="19">
        <v>41.58</v>
      </c>
      <c r="K175" s="19">
        <v>44.24</v>
      </c>
      <c r="L175" s="19">
        <v>51.03</v>
      </c>
      <c r="M175" s="19">
        <v>51.870000000000005</v>
      </c>
      <c r="N175" s="19">
        <v>53.46</v>
      </c>
      <c r="O175" s="19">
        <v>55.44</v>
      </c>
      <c r="P175" s="19">
        <v>59.400000000000006</v>
      </c>
      <c r="Q175" s="19">
        <v>60.480000000000004</v>
      </c>
      <c r="R175" s="19">
        <v>68.040000000000006</v>
      </c>
      <c r="S175" s="19">
        <v>68.150000000000006</v>
      </c>
      <c r="T175" s="19">
        <v>68.44</v>
      </c>
      <c r="U175" s="19">
        <v>69.160000000000011</v>
      </c>
      <c r="V175" s="19">
        <v>69.3</v>
      </c>
      <c r="W175" s="19">
        <v>83.16</v>
      </c>
      <c r="X175" s="19">
        <v>88.48</v>
      </c>
      <c r="Y175" s="19">
        <v>97.02</v>
      </c>
      <c r="Z175" s="19">
        <v>102.06</v>
      </c>
      <c r="AA175" s="19">
        <v>103.4</v>
      </c>
      <c r="AB175" s="19">
        <v>103.74000000000001</v>
      </c>
      <c r="AC175" s="19">
        <v>103.83999999999999</v>
      </c>
      <c r="AD175" s="19">
        <v>106.92</v>
      </c>
      <c r="AE175" s="19">
        <v>110.88</v>
      </c>
      <c r="AF175" s="19" t="s">
        <v>597</v>
      </c>
    </row>
    <row r="176" spans="1:32">
      <c r="A176" s="16" t="s">
        <v>300</v>
      </c>
      <c r="B176" s="18">
        <v>42.993665810924355</v>
      </c>
      <c r="C176" s="18">
        <v>16.613461563025211</v>
      </c>
      <c r="D176" s="18"/>
      <c r="E176" s="18"/>
      <c r="F176" s="18"/>
      <c r="G176" s="18"/>
      <c r="H176" s="18"/>
      <c r="I176" s="18"/>
      <c r="J176" s="18">
        <v>14.98765008823529</v>
      </c>
      <c r="K176" s="18"/>
      <c r="L176" s="18"/>
      <c r="M176" s="18"/>
      <c r="N176" s="18">
        <v>36.255841294117651</v>
      </c>
      <c r="O176" s="18"/>
      <c r="P176" s="18"/>
      <c r="Q176" s="18"/>
      <c r="R176" s="18"/>
      <c r="S176" s="18"/>
      <c r="T176" s="18"/>
      <c r="U176" s="18"/>
      <c r="V176" s="18">
        <v>14.347965499999999</v>
      </c>
      <c r="W176" s="18">
        <v>6.2714794663865465</v>
      </c>
      <c r="X176" s="18"/>
      <c r="Y176" s="18">
        <v>6.405515764705898</v>
      </c>
      <c r="Z176" s="18"/>
      <c r="AA176" s="18"/>
      <c r="AB176" s="18"/>
      <c r="AC176" s="18"/>
      <c r="AD176" s="18"/>
      <c r="AE176" s="18">
        <v>1.4690053907562983</v>
      </c>
      <c r="AF176" s="18">
        <v>17.418073109768915</v>
      </c>
    </row>
    <row r="177" spans="1:32">
      <c r="A177" s="16" t="s">
        <v>336</v>
      </c>
      <c r="B177" s="18"/>
      <c r="C177" s="18">
        <v>45.556420075630257</v>
      </c>
      <c r="D177" s="18"/>
      <c r="E177" s="18"/>
      <c r="F177" s="18"/>
      <c r="G177" s="18"/>
      <c r="H177" s="18"/>
      <c r="I177" s="18"/>
      <c r="J177" s="18"/>
      <c r="K177" s="18"/>
      <c r="L177" s="18"/>
      <c r="M177" s="18"/>
      <c r="N177" s="18"/>
      <c r="O177" s="18">
        <v>29.940576319327747</v>
      </c>
      <c r="P177" s="18"/>
      <c r="Q177" s="18"/>
      <c r="R177" s="18"/>
      <c r="S177" s="18"/>
      <c r="T177" s="18"/>
      <c r="U177" s="18"/>
      <c r="V177" s="18"/>
      <c r="W177" s="18">
        <v>0.55076500840335729</v>
      </c>
      <c r="X177" s="18"/>
      <c r="Y177" s="18"/>
      <c r="Z177" s="18"/>
      <c r="AA177" s="18"/>
      <c r="AB177" s="18"/>
      <c r="AC177" s="18"/>
      <c r="AD177" s="18">
        <v>8.0682121470588211</v>
      </c>
      <c r="AE177" s="18"/>
      <c r="AF177" s="18">
        <v>21.028993387605031</v>
      </c>
    </row>
    <row r="178" spans="1:32">
      <c r="A178" s="16" t="s">
        <v>371</v>
      </c>
      <c r="B178" s="18"/>
      <c r="C178" s="18"/>
      <c r="D178" s="18"/>
      <c r="E178" s="18"/>
      <c r="F178" s="18"/>
      <c r="G178" s="18"/>
      <c r="H178" s="18">
        <v>12.926504037735846</v>
      </c>
      <c r="I178" s="18"/>
      <c r="J178" s="18"/>
      <c r="K178" s="18"/>
      <c r="L178" s="18"/>
      <c r="M178" s="18"/>
      <c r="N178" s="18"/>
      <c r="O178" s="18"/>
      <c r="P178" s="18"/>
      <c r="Q178" s="18"/>
      <c r="R178" s="18"/>
      <c r="S178" s="18">
        <v>26.250158571843251</v>
      </c>
      <c r="T178" s="18"/>
      <c r="U178" s="18"/>
      <c r="V178" s="18"/>
      <c r="W178" s="18"/>
      <c r="X178" s="18"/>
      <c r="Y178" s="18"/>
      <c r="Z178" s="18"/>
      <c r="AA178" s="18">
        <v>17.120441509433959</v>
      </c>
      <c r="AB178" s="18"/>
      <c r="AC178" s="18"/>
      <c r="AD178" s="18"/>
      <c r="AE178" s="18"/>
      <c r="AF178" s="18">
        <v>18.765701373004365</v>
      </c>
    </row>
    <row r="179" spans="1:32">
      <c r="A179" s="16" t="s">
        <v>425</v>
      </c>
      <c r="B179" s="18"/>
      <c r="C179" s="18"/>
      <c r="D179" s="18"/>
      <c r="E179" s="18"/>
      <c r="F179" s="18"/>
      <c r="G179" s="18"/>
      <c r="H179" s="18"/>
      <c r="I179" s="18">
        <v>26.693042692307682</v>
      </c>
      <c r="J179" s="18"/>
      <c r="K179" s="18"/>
      <c r="L179" s="18"/>
      <c r="M179" s="18"/>
      <c r="N179" s="18"/>
      <c r="O179" s="18"/>
      <c r="P179" s="18"/>
      <c r="Q179" s="18"/>
      <c r="R179" s="18"/>
      <c r="S179" s="18"/>
      <c r="T179" s="18">
        <v>12.871141254437866</v>
      </c>
      <c r="U179" s="18"/>
      <c r="V179" s="18"/>
      <c r="W179" s="18"/>
      <c r="X179" s="18"/>
      <c r="Y179" s="18"/>
      <c r="Z179" s="18"/>
      <c r="AA179" s="18"/>
      <c r="AB179" s="18"/>
      <c r="AC179" s="18">
        <v>13.000901919871797</v>
      </c>
      <c r="AD179" s="18"/>
      <c r="AE179" s="18"/>
      <c r="AF179" s="18">
        <v>17.521695288872447</v>
      </c>
    </row>
    <row r="180" spans="1:32">
      <c r="A180" s="16" t="s">
        <v>478</v>
      </c>
      <c r="B180" s="18"/>
      <c r="C180" s="18"/>
      <c r="D180" s="18"/>
      <c r="E180" s="18"/>
      <c r="F180" s="18">
        <v>21.518990832142858</v>
      </c>
      <c r="G180" s="18"/>
      <c r="H180" s="18"/>
      <c r="I180" s="18"/>
      <c r="J180" s="18"/>
      <c r="K180" s="18"/>
      <c r="L180" s="18">
        <v>3.1237154035714281</v>
      </c>
      <c r="M180" s="18"/>
      <c r="N180" s="18"/>
      <c r="O180" s="18"/>
      <c r="P180" s="18"/>
      <c r="Q180" s="18"/>
      <c r="R180" s="18">
        <v>13.713364617857138</v>
      </c>
      <c r="S180" s="18"/>
      <c r="T180" s="18"/>
      <c r="U180" s="18"/>
      <c r="V180" s="18"/>
      <c r="W180" s="18"/>
      <c r="X180" s="18"/>
      <c r="Y180" s="18"/>
      <c r="Z180" s="18">
        <v>4.027962975000003</v>
      </c>
      <c r="AA180" s="18"/>
      <c r="AB180" s="18"/>
      <c r="AC180" s="18"/>
      <c r="AD180" s="18"/>
      <c r="AE180" s="18"/>
      <c r="AF180" s="18">
        <v>10.596008457142851</v>
      </c>
    </row>
    <row r="181" spans="1:32">
      <c r="A181" s="16" t="s">
        <v>499</v>
      </c>
      <c r="B181" s="18"/>
      <c r="C181" s="18"/>
      <c r="D181" s="18"/>
      <c r="E181" s="18"/>
      <c r="F181" s="18"/>
      <c r="G181" s="18">
        <v>21.13247913928571</v>
      </c>
      <c r="H181" s="18"/>
      <c r="I181" s="18"/>
      <c r="J181" s="18"/>
      <c r="K181" s="18"/>
      <c r="L181" s="18"/>
      <c r="M181" s="18">
        <v>12.9247388</v>
      </c>
      <c r="N181" s="18"/>
      <c r="O181" s="18"/>
      <c r="P181" s="18"/>
      <c r="Q181" s="18"/>
      <c r="R181" s="18"/>
      <c r="S181" s="18"/>
      <c r="T181" s="18"/>
      <c r="U181" s="18">
        <v>13.188993250000005</v>
      </c>
      <c r="V181" s="18"/>
      <c r="W181" s="18"/>
      <c r="X181" s="18"/>
      <c r="Y181" s="18"/>
      <c r="Z181" s="18"/>
      <c r="AA181" s="18"/>
      <c r="AB181" s="18">
        <v>2.6229398499999985</v>
      </c>
      <c r="AC181" s="18"/>
      <c r="AD181" s="18"/>
      <c r="AE181" s="18"/>
      <c r="AF181" s="18">
        <v>12.467287759821428</v>
      </c>
    </row>
    <row r="182" spans="1:32">
      <c r="A182" s="16" t="s">
        <v>268</v>
      </c>
      <c r="B182" s="18"/>
      <c r="C182" s="18"/>
      <c r="D182" s="18"/>
      <c r="E182" s="18"/>
      <c r="F182" s="18"/>
      <c r="G182" s="18"/>
      <c r="H182" s="18"/>
      <c r="I182" s="18"/>
      <c r="J182" s="18"/>
      <c r="K182" s="18">
        <v>13.244078845238095</v>
      </c>
      <c r="L182" s="18"/>
      <c r="M182" s="18"/>
      <c r="N182" s="18"/>
      <c r="O182" s="18"/>
      <c r="P182" s="18"/>
      <c r="Q182" s="18"/>
      <c r="R182" s="18"/>
      <c r="S182" s="18"/>
      <c r="T182" s="18"/>
      <c r="U182" s="18"/>
      <c r="V182" s="18"/>
      <c r="W182" s="18"/>
      <c r="X182" s="18">
        <v>3.9535195952380948</v>
      </c>
      <c r="Y182" s="18"/>
      <c r="Z182" s="18"/>
      <c r="AA182" s="18"/>
      <c r="AB182" s="18"/>
      <c r="AC182" s="18"/>
      <c r="AD182" s="18"/>
      <c r="AE182" s="18"/>
      <c r="AF182" s="18">
        <v>8.5987992202380994</v>
      </c>
    </row>
    <row r="183" spans="1:32">
      <c r="A183" s="16" t="s">
        <v>521</v>
      </c>
      <c r="B183" s="18"/>
      <c r="C183" s="18"/>
      <c r="D183" s="18">
        <v>28.827139243589741</v>
      </c>
      <c r="E183" s="18"/>
      <c r="F183" s="18"/>
      <c r="G183" s="18"/>
      <c r="H183" s="18"/>
      <c r="I183" s="18"/>
      <c r="J183" s="18"/>
      <c r="K183" s="18"/>
      <c r="L183" s="18"/>
      <c r="M183" s="18"/>
      <c r="N183" s="18"/>
      <c r="O183" s="18"/>
      <c r="P183" s="18">
        <v>8.3132469999999987</v>
      </c>
      <c r="Q183" s="18"/>
      <c r="R183" s="18"/>
      <c r="S183" s="18"/>
      <c r="T183" s="18"/>
      <c r="U183" s="18"/>
      <c r="V183" s="18"/>
      <c r="W183" s="18"/>
      <c r="X183" s="18"/>
      <c r="Y183" s="18"/>
      <c r="Z183" s="18"/>
      <c r="AA183" s="18"/>
      <c r="AB183" s="18"/>
      <c r="AC183" s="18"/>
      <c r="AD183" s="18"/>
      <c r="AE183" s="18"/>
      <c r="AF183" s="18">
        <v>18.570193121794873</v>
      </c>
    </row>
    <row r="184" spans="1:32">
      <c r="A184" s="16" t="s">
        <v>236</v>
      </c>
      <c r="B184" s="18"/>
      <c r="C184" s="18"/>
      <c r="D184" s="18"/>
      <c r="E184" s="18">
        <v>21.048816972222212</v>
      </c>
      <c r="F184" s="18"/>
      <c r="G184" s="18"/>
      <c r="H184" s="18"/>
      <c r="I184" s="18"/>
      <c r="J184" s="18"/>
      <c r="K184" s="18"/>
      <c r="L184" s="18"/>
      <c r="M184" s="18"/>
      <c r="N184" s="18"/>
      <c r="O184" s="18"/>
      <c r="P184" s="18"/>
      <c r="Q184" s="18">
        <v>16.241271474358975</v>
      </c>
      <c r="R184" s="18"/>
      <c r="S184" s="18"/>
      <c r="T184" s="18"/>
      <c r="U184" s="18"/>
      <c r="V184" s="18"/>
      <c r="W184" s="18"/>
      <c r="X184" s="18"/>
      <c r="Y184" s="18"/>
      <c r="Z184" s="18"/>
      <c r="AA184" s="18"/>
      <c r="AB184" s="18"/>
      <c r="AC184" s="18"/>
      <c r="AD184" s="18"/>
      <c r="AE184" s="18"/>
      <c r="AF184" s="18">
        <v>18.64504422329059</v>
      </c>
    </row>
    <row r="185" spans="1:32">
      <c r="A185" s="16" t="s">
        <v>597</v>
      </c>
      <c r="B185">
        <v>42.993665810924355</v>
      </c>
      <c r="C185">
        <v>31.084940819327738</v>
      </c>
      <c r="D185">
        <v>28.827139243589741</v>
      </c>
      <c r="E185">
        <v>21.048816972222212</v>
      </c>
      <c r="F185">
        <v>21.518990832142858</v>
      </c>
      <c r="G185">
        <v>21.13247913928571</v>
      </c>
      <c r="H185">
        <v>12.926504037735846</v>
      </c>
      <c r="I185">
        <v>26.693042692307682</v>
      </c>
      <c r="J185">
        <v>14.98765008823529</v>
      </c>
      <c r="K185">
        <v>13.244078845238095</v>
      </c>
      <c r="L185">
        <v>3.1237154035714281</v>
      </c>
      <c r="M185">
        <v>12.9247388</v>
      </c>
      <c r="N185">
        <v>36.255841294117651</v>
      </c>
      <c r="O185">
        <v>29.940576319327747</v>
      </c>
      <c r="P185">
        <v>8.3132469999999987</v>
      </c>
      <c r="Q185">
        <v>16.241271474358975</v>
      </c>
      <c r="R185">
        <v>13.713364617857138</v>
      </c>
      <c r="S185">
        <v>26.250158571843251</v>
      </c>
      <c r="T185">
        <v>12.871141254437866</v>
      </c>
      <c r="U185">
        <v>13.188993250000005</v>
      </c>
      <c r="V185">
        <v>14.347965499999999</v>
      </c>
      <c r="W185">
        <v>3.4111222373949515</v>
      </c>
      <c r="X185">
        <v>3.9535195952380948</v>
      </c>
      <c r="Y185">
        <v>6.405515764705898</v>
      </c>
      <c r="Z185">
        <v>4.027962975000003</v>
      </c>
      <c r="AA185">
        <v>17.120441509433959</v>
      </c>
      <c r="AB185">
        <v>2.6229398499999985</v>
      </c>
      <c r="AC185">
        <v>13.000901919871797</v>
      </c>
      <c r="AD185">
        <v>8.0682121470588211</v>
      </c>
      <c r="AE185">
        <v>1.4690053907562983</v>
      </c>
      <c r="AF185">
        <v>16.847315015258495</v>
      </c>
    </row>
    <row r="187" spans="1:32">
      <c r="A187" t="s">
        <v>596</v>
      </c>
      <c r="B187">
        <v>13.86</v>
      </c>
      <c r="C187">
        <v>27.72</v>
      </c>
      <c r="D187">
        <v>28.6</v>
      </c>
      <c r="E187">
        <v>32.400000000000006</v>
      </c>
      <c r="F187">
        <v>34.020000000000003</v>
      </c>
      <c r="G187">
        <v>34.580000000000005</v>
      </c>
      <c r="H187">
        <v>37.6</v>
      </c>
      <c r="I187">
        <v>37.76</v>
      </c>
      <c r="J187">
        <v>41.58</v>
      </c>
      <c r="K187">
        <v>44.24</v>
      </c>
      <c r="L187">
        <v>51.03</v>
      </c>
      <c r="M187">
        <v>51.870000000000005</v>
      </c>
      <c r="N187">
        <v>53.46</v>
      </c>
      <c r="O187">
        <v>55.44</v>
      </c>
      <c r="P187">
        <v>59.400000000000006</v>
      </c>
      <c r="Q187">
        <v>60.480000000000004</v>
      </c>
      <c r="R187">
        <v>68.040000000000006</v>
      </c>
      <c r="S187">
        <v>68.150000000000006</v>
      </c>
      <c r="T187">
        <v>68.44</v>
      </c>
      <c r="U187">
        <v>69.160000000000011</v>
      </c>
      <c r="V187">
        <v>69.3</v>
      </c>
      <c r="W187">
        <v>83.16</v>
      </c>
      <c r="X187">
        <v>88.48</v>
      </c>
      <c r="Y187">
        <v>97.02</v>
      </c>
      <c r="Z187">
        <v>102.06</v>
      </c>
      <c r="AA187">
        <v>103.4</v>
      </c>
      <c r="AB187">
        <v>103.74000000000001</v>
      </c>
      <c r="AC187">
        <v>103.83999999999999</v>
      </c>
      <c r="AD187">
        <v>106.92</v>
      </c>
      <c r="AE187">
        <v>110.88</v>
      </c>
    </row>
    <row r="188" spans="1:32">
      <c r="A188" t="s">
        <v>300</v>
      </c>
      <c r="B188">
        <v>42.993665810924355</v>
      </c>
      <c r="C188">
        <v>16.613461563025211</v>
      </c>
      <c r="J188">
        <v>14.98765008823529</v>
      </c>
      <c r="N188">
        <v>36.255841294117651</v>
      </c>
      <c r="V188">
        <v>14.347965499999999</v>
      </c>
      <c r="W188">
        <v>6.2714794663865465</v>
      </c>
      <c r="Y188">
        <v>6.405515764705898</v>
      </c>
      <c r="AE188">
        <v>1.4690053907562983</v>
      </c>
    </row>
    <row r="189" spans="1:32">
      <c r="A189" t="s">
        <v>336</v>
      </c>
      <c r="C189">
        <v>45.556420075630257</v>
      </c>
      <c r="O189">
        <v>29.940576319327747</v>
      </c>
      <c r="W189">
        <v>0.55076500840335729</v>
      </c>
      <c r="AD189">
        <v>8.0682121470588211</v>
      </c>
    </row>
    <row r="190" spans="1:32">
      <c r="A190" t="s">
        <v>371</v>
      </c>
      <c r="H190">
        <v>12.926504037735846</v>
      </c>
      <c r="S190">
        <v>26.250158571843251</v>
      </c>
      <c r="AA190">
        <v>17.120441509433959</v>
      </c>
    </row>
    <row r="191" spans="1:32">
      <c r="A191" t="s">
        <v>425</v>
      </c>
      <c r="I191">
        <v>26.693042692307682</v>
      </c>
      <c r="T191">
        <v>12.871141254437866</v>
      </c>
      <c r="AC191">
        <v>13.000901919871797</v>
      </c>
    </row>
    <row r="192" spans="1:32">
      <c r="A192" t="s">
        <v>478</v>
      </c>
      <c r="F192">
        <v>21.518990832142858</v>
      </c>
      <c r="L192">
        <v>3.1237154035714281</v>
      </c>
      <c r="R192">
        <v>13.713364617857138</v>
      </c>
      <c r="Z192">
        <v>4.027962975000003</v>
      </c>
    </row>
    <row r="193" spans="1:28">
      <c r="A193" t="s">
        <v>499</v>
      </c>
      <c r="G193">
        <v>21.13247913928571</v>
      </c>
      <c r="M193">
        <v>12.9247388</v>
      </c>
      <c r="U193">
        <v>13.188993250000005</v>
      </c>
      <c r="AB193">
        <v>2.6229398499999985</v>
      </c>
    </row>
    <row r="194" spans="1:28">
      <c r="A194" t="s">
        <v>268</v>
      </c>
      <c r="K194">
        <v>13.244078845238095</v>
      </c>
      <c r="X194">
        <v>3.9535195952380948</v>
      </c>
    </row>
    <row r="195" spans="1:28">
      <c r="A195" t="s">
        <v>521</v>
      </c>
      <c r="D195">
        <v>28.827139243589741</v>
      </c>
      <c r="P195">
        <v>8.3132469999999987</v>
      </c>
    </row>
    <row r="196" spans="1:28">
      <c r="A196" t="s">
        <v>236</v>
      </c>
      <c r="E196">
        <v>21.048816972222212</v>
      </c>
      <c r="Q196">
        <v>16.241271474358975</v>
      </c>
    </row>
    <row r="199" spans="1:28">
      <c r="A199" t="s">
        <v>596</v>
      </c>
      <c r="B199" t="s">
        <v>300</v>
      </c>
      <c r="C199" t="s">
        <v>336</v>
      </c>
      <c r="D199" t="s">
        <v>371</v>
      </c>
      <c r="E199" t="s">
        <v>425</v>
      </c>
      <c r="F199" t="s">
        <v>478</v>
      </c>
      <c r="G199" t="s">
        <v>499</v>
      </c>
      <c r="H199" t="s">
        <v>268</v>
      </c>
      <c r="I199" t="s">
        <v>521</v>
      </c>
      <c r="J199" t="s">
        <v>236</v>
      </c>
    </row>
    <row r="200" spans="1:28">
      <c r="A200">
        <v>13.86</v>
      </c>
      <c r="B200">
        <v>42.993665810924355</v>
      </c>
    </row>
    <row r="201" spans="1:28">
      <c r="A201">
        <v>27.72</v>
      </c>
      <c r="B201">
        <v>16.613461563025211</v>
      </c>
      <c r="C201">
        <v>45.556420075630257</v>
      </c>
    </row>
    <row r="202" spans="1:28">
      <c r="A202">
        <v>28.6</v>
      </c>
      <c r="I202">
        <v>28.827139243589741</v>
      </c>
    </row>
    <row r="203" spans="1:28">
      <c r="A203">
        <v>32.400000000000006</v>
      </c>
      <c r="J203">
        <v>21.048816972222212</v>
      </c>
    </row>
    <row r="204" spans="1:28">
      <c r="A204">
        <v>34.020000000000003</v>
      </c>
      <c r="F204">
        <v>21.518990832142858</v>
      </c>
    </row>
    <row r="205" spans="1:28">
      <c r="A205">
        <v>34.580000000000005</v>
      </c>
      <c r="G205">
        <v>21.13247913928571</v>
      </c>
    </row>
    <row r="206" spans="1:28">
      <c r="A206">
        <v>37.6</v>
      </c>
      <c r="D206">
        <v>12.926504037735846</v>
      </c>
    </row>
    <row r="207" spans="1:28">
      <c r="A207">
        <v>37.76</v>
      </c>
      <c r="E207">
        <v>26.693042692307682</v>
      </c>
    </row>
    <row r="208" spans="1:28">
      <c r="A208">
        <v>41.58</v>
      </c>
      <c r="B208">
        <v>14.98765008823529</v>
      </c>
    </row>
    <row r="209" spans="1:10">
      <c r="A209">
        <v>44.24</v>
      </c>
      <c r="H209">
        <v>13.244078845238095</v>
      </c>
    </row>
    <row r="210" spans="1:10">
      <c r="A210">
        <v>51.03</v>
      </c>
      <c r="F210">
        <v>3.1237154035714281</v>
      </c>
    </row>
    <row r="211" spans="1:10">
      <c r="A211">
        <v>51.870000000000005</v>
      </c>
      <c r="G211">
        <v>12.9247388</v>
      </c>
    </row>
    <row r="212" spans="1:10">
      <c r="A212">
        <v>53.46</v>
      </c>
      <c r="B212">
        <v>36.255841294117651</v>
      </c>
    </row>
    <row r="213" spans="1:10">
      <c r="A213">
        <v>55.44</v>
      </c>
      <c r="C213">
        <v>29.940576319327747</v>
      </c>
    </row>
    <row r="214" spans="1:10">
      <c r="A214">
        <v>59.400000000000006</v>
      </c>
      <c r="I214">
        <v>8.3132469999999987</v>
      </c>
    </row>
    <row r="215" spans="1:10">
      <c r="A215">
        <v>60.480000000000004</v>
      </c>
      <c r="J215">
        <v>16.241271474358975</v>
      </c>
    </row>
    <row r="216" spans="1:10">
      <c r="A216">
        <v>68.040000000000006</v>
      </c>
      <c r="F216">
        <v>13.713364617857138</v>
      </c>
    </row>
    <row r="217" spans="1:10">
      <c r="A217">
        <v>68.150000000000006</v>
      </c>
      <c r="D217">
        <v>26.250158571843251</v>
      </c>
    </row>
    <row r="218" spans="1:10">
      <c r="A218">
        <v>68.44</v>
      </c>
      <c r="E218">
        <v>12.871141254437866</v>
      </c>
    </row>
    <row r="219" spans="1:10">
      <c r="A219">
        <v>69.160000000000011</v>
      </c>
      <c r="G219">
        <v>13.188993250000005</v>
      </c>
    </row>
    <row r="220" spans="1:10">
      <c r="A220">
        <v>69.3</v>
      </c>
      <c r="B220">
        <v>14.347965499999999</v>
      </c>
    </row>
    <row r="221" spans="1:10">
      <c r="A221">
        <v>83.16</v>
      </c>
      <c r="B221">
        <v>6.2714794663865465</v>
      </c>
      <c r="C221">
        <v>0.55076500840335729</v>
      </c>
    </row>
    <row r="222" spans="1:10">
      <c r="A222">
        <v>88.48</v>
      </c>
      <c r="H222">
        <v>3.9535195952380948</v>
      </c>
    </row>
    <row r="223" spans="1:10">
      <c r="A223">
        <v>97.02</v>
      </c>
      <c r="B223">
        <v>6.405515764705898</v>
      </c>
    </row>
    <row r="224" spans="1:10">
      <c r="A224">
        <v>102.06</v>
      </c>
      <c r="F224">
        <v>4.027962975000003</v>
      </c>
    </row>
    <row r="225" spans="1:14">
      <c r="A225">
        <v>103.4</v>
      </c>
      <c r="D225">
        <v>17.120441509433959</v>
      </c>
    </row>
    <row r="226" spans="1:14">
      <c r="A226">
        <v>103.74000000000001</v>
      </c>
      <c r="G226">
        <v>2.6229398499999985</v>
      </c>
    </row>
    <row r="227" spans="1:14">
      <c r="A227">
        <v>103.83999999999999</v>
      </c>
      <c r="E227">
        <v>13.000901919871797</v>
      </c>
    </row>
    <row r="228" spans="1:14">
      <c r="A228">
        <v>106.92</v>
      </c>
      <c r="C228">
        <v>8.0682121470588211</v>
      </c>
    </row>
    <row r="229" spans="1:14">
      <c r="A229">
        <v>110.88</v>
      </c>
      <c r="B229">
        <v>1.4690053907562983</v>
      </c>
    </row>
    <row r="231" spans="1:14">
      <c r="A231" s="15" t="s">
        <v>594</v>
      </c>
      <c r="B231" s="15" t="s">
        <v>595</v>
      </c>
    </row>
    <row r="232" spans="1:14">
      <c r="A232" s="15" t="s">
        <v>596</v>
      </c>
      <c r="B232">
        <v>1.5</v>
      </c>
      <c r="C232">
        <v>1.75</v>
      </c>
      <c r="D232">
        <v>2</v>
      </c>
      <c r="E232">
        <v>2.25</v>
      </c>
      <c r="F232">
        <v>2.5</v>
      </c>
      <c r="G232">
        <v>2.75</v>
      </c>
      <c r="H232">
        <v>3</v>
      </c>
      <c r="I232">
        <v>3.25</v>
      </c>
      <c r="J232">
        <v>3.5</v>
      </c>
      <c r="K232">
        <v>4</v>
      </c>
      <c r="L232">
        <v>5</v>
      </c>
      <c r="M232" t="s">
        <v>599</v>
      </c>
      <c r="N232" t="s">
        <v>597</v>
      </c>
    </row>
    <row r="233" spans="1:14">
      <c r="A233" s="16" t="s">
        <v>301</v>
      </c>
      <c r="F233">
        <v>77.678571428571459</v>
      </c>
      <c r="N233">
        <v>77.678571428571459</v>
      </c>
    </row>
    <row r="234" spans="1:14">
      <c r="A234" s="16" t="s">
        <v>302</v>
      </c>
      <c r="F234">
        <v>13.839285714285651</v>
      </c>
      <c r="N234">
        <v>13.839285714285651</v>
      </c>
    </row>
    <row r="235" spans="1:14">
      <c r="A235" s="16" t="s">
        <v>303</v>
      </c>
      <c r="I235">
        <v>113.54166666666669</v>
      </c>
      <c r="N235">
        <v>113.54166666666669</v>
      </c>
    </row>
    <row r="236" spans="1:14">
      <c r="A236" s="16" t="s">
        <v>304</v>
      </c>
      <c r="I236">
        <v>61.458333333333236</v>
      </c>
      <c r="N236">
        <v>61.458333333333236</v>
      </c>
    </row>
    <row r="237" spans="1:14">
      <c r="A237" s="16" t="s">
        <v>305</v>
      </c>
      <c r="D237">
        <v>141.8154761904762</v>
      </c>
      <c r="N237">
        <v>141.8154761904762</v>
      </c>
    </row>
    <row r="238" spans="1:14">
      <c r="A238" s="16" t="s">
        <v>306</v>
      </c>
      <c r="F238">
        <v>95.238095238095156</v>
      </c>
      <c r="N238">
        <v>95.238095238095156</v>
      </c>
    </row>
    <row r="239" spans="1:14">
      <c r="A239" s="16" t="s">
        <v>307</v>
      </c>
      <c r="E239">
        <v>69.047619047619037</v>
      </c>
      <c r="N239">
        <v>69.047619047619037</v>
      </c>
    </row>
    <row r="240" spans="1:14">
      <c r="A240" s="16" t="s">
        <v>308</v>
      </c>
      <c r="H240">
        <v>105.80357142857136</v>
      </c>
      <c r="N240">
        <v>105.80357142857136</v>
      </c>
    </row>
    <row r="241" spans="1:14">
      <c r="A241" s="16" t="s">
        <v>309</v>
      </c>
      <c r="C241">
        <v>264.58333333333337</v>
      </c>
      <c r="N241">
        <v>264.58333333333337</v>
      </c>
    </row>
    <row r="242" spans="1:14">
      <c r="A242" s="16" t="s">
        <v>310</v>
      </c>
      <c r="F242">
        <v>97.767857142857238</v>
      </c>
      <c r="N242">
        <v>97.767857142857238</v>
      </c>
    </row>
    <row r="243" spans="1:14">
      <c r="A243" s="16" t="s">
        <v>311</v>
      </c>
      <c r="J243">
        <v>77.380952380952266</v>
      </c>
      <c r="N243">
        <v>77.380952380952266</v>
      </c>
    </row>
    <row r="244" spans="1:14">
      <c r="A244" s="16" t="s">
        <v>312</v>
      </c>
      <c r="E244">
        <v>146.13095238095232</v>
      </c>
      <c r="N244">
        <v>146.13095238095232</v>
      </c>
    </row>
    <row r="245" spans="1:14">
      <c r="A245" s="16" t="s">
        <v>313</v>
      </c>
      <c r="F245">
        <v>56.845238095237931</v>
      </c>
      <c r="N245">
        <v>56.845238095237931</v>
      </c>
    </row>
    <row r="246" spans="1:14">
      <c r="A246" s="16" t="s">
        <v>314</v>
      </c>
      <c r="D246">
        <v>46.130952380952408</v>
      </c>
      <c r="N246">
        <v>46.130952380952408</v>
      </c>
    </row>
    <row r="247" spans="1:14">
      <c r="A247" s="16" t="s">
        <v>315</v>
      </c>
      <c r="D247">
        <v>100.74404761904763</v>
      </c>
      <c r="N247">
        <v>100.74404761904763</v>
      </c>
    </row>
    <row r="248" spans="1:14">
      <c r="A248" s="16" t="s">
        <v>316</v>
      </c>
      <c r="D248">
        <v>195.23809523809535</v>
      </c>
      <c r="N248">
        <v>195.23809523809535</v>
      </c>
    </row>
    <row r="249" spans="1:14">
      <c r="A249" s="16" t="s">
        <v>317</v>
      </c>
      <c r="H249">
        <v>49.7023809523808</v>
      </c>
      <c r="N249">
        <v>49.7023809523808</v>
      </c>
    </row>
    <row r="250" spans="1:14">
      <c r="A250" s="16" t="s">
        <v>318</v>
      </c>
      <c r="F250">
        <v>101.93452380952384</v>
      </c>
      <c r="N250">
        <v>101.93452380952384</v>
      </c>
    </row>
    <row r="251" spans="1:14">
      <c r="A251" s="16" t="s">
        <v>319</v>
      </c>
      <c r="H251">
        <v>74.107142857142861</v>
      </c>
      <c r="N251">
        <v>74.107142857142861</v>
      </c>
    </row>
    <row r="252" spans="1:14">
      <c r="A252" s="16" t="s">
        <v>320</v>
      </c>
      <c r="F252">
        <v>45.535714285714263</v>
      </c>
      <c r="N252">
        <v>45.535714285714263</v>
      </c>
    </row>
    <row r="253" spans="1:14">
      <c r="A253" s="16" t="s">
        <v>321</v>
      </c>
      <c r="C253">
        <v>170.3869047619047</v>
      </c>
      <c r="N253">
        <v>170.3869047619047</v>
      </c>
    </row>
    <row r="254" spans="1:14">
      <c r="A254" s="16" t="s">
        <v>322</v>
      </c>
      <c r="C254">
        <v>58.184523809523824</v>
      </c>
      <c r="N254">
        <v>58.184523809523824</v>
      </c>
    </row>
    <row r="255" spans="1:14">
      <c r="A255" s="16" t="s">
        <v>323</v>
      </c>
      <c r="G255">
        <v>180.95238095238085</v>
      </c>
      <c r="N255">
        <v>180.95238095238085</v>
      </c>
    </row>
    <row r="256" spans="1:14">
      <c r="A256" s="16" t="s">
        <v>324</v>
      </c>
      <c r="E256">
        <v>100.5952380952381</v>
      </c>
      <c r="N256">
        <v>100.5952380952381</v>
      </c>
    </row>
    <row r="257" spans="1:14">
      <c r="A257" s="16" t="s">
        <v>325</v>
      </c>
      <c r="E257">
        <v>45.535714285714391</v>
      </c>
      <c r="N257">
        <v>45.535714285714391</v>
      </c>
    </row>
    <row r="258" spans="1:14">
      <c r="A258" s="16" t="s">
        <v>326</v>
      </c>
      <c r="H258">
        <v>95.089285714285708</v>
      </c>
      <c r="N258">
        <v>95.089285714285708</v>
      </c>
    </row>
    <row r="259" spans="1:14">
      <c r="A259" s="16" t="s">
        <v>327</v>
      </c>
      <c r="F259">
        <v>140.32738095238102</v>
      </c>
      <c r="N259">
        <v>140.32738095238102</v>
      </c>
    </row>
    <row r="260" spans="1:14">
      <c r="A260" s="16" t="s">
        <v>328</v>
      </c>
      <c r="F260">
        <v>55.952380952380935</v>
      </c>
      <c r="N260">
        <v>55.952380952380935</v>
      </c>
    </row>
    <row r="261" spans="1:14">
      <c r="A261" s="16" t="s">
        <v>329</v>
      </c>
      <c r="H261">
        <v>75.595238095238102</v>
      </c>
      <c r="N261">
        <v>75.595238095238102</v>
      </c>
    </row>
    <row r="262" spans="1:14">
      <c r="A262" s="16" t="s">
        <v>330</v>
      </c>
      <c r="F262">
        <v>104.16666666666667</v>
      </c>
      <c r="N262">
        <v>104.16666666666667</v>
      </c>
    </row>
    <row r="263" spans="1:14">
      <c r="A263" s="16" t="s">
        <v>331</v>
      </c>
      <c r="D263">
        <v>179.16666666666674</v>
      </c>
      <c r="N263">
        <v>179.16666666666674</v>
      </c>
    </row>
    <row r="264" spans="1:14">
      <c r="A264" s="16" t="s">
        <v>332</v>
      </c>
      <c r="C264">
        <v>131.39880952380932</v>
      </c>
      <c r="N264">
        <v>131.39880952380932</v>
      </c>
    </row>
    <row r="265" spans="1:14">
      <c r="A265" s="16" t="s">
        <v>333</v>
      </c>
      <c r="C265">
        <v>221.42857142857156</v>
      </c>
      <c r="N265">
        <v>221.42857142857156</v>
      </c>
    </row>
    <row r="266" spans="1:14">
      <c r="A266" s="16" t="s">
        <v>334</v>
      </c>
      <c r="D266">
        <v>-76.785714285714192</v>
      </c>
      <c r="N266">
        <v>-76.785714285714192</v>
      </c>
    </row>
    <row r="267" spans="1:14">
      <c r="A267" s="16" t="s">
        <v>337</v>
      </c>
      <c r="C267">
        <v>126.1904761904764</v>
      </c>
      <c r="N267">
        <v>126.1904761904764</v>
      </c>
    </row>
    <row r="268" spans="1:14">
      <c r="A268" s="16" t="s">
        <v>338</v>
      </c>
      <c r="C268">
        <v>142.85714285714275</v>
      </c>
      <c r="N268">
        <v>142.85714285714275</v>
      </c>
    </row>
    <row r="269" spans="1:14">
      <c r="A269" s="16" t="s">
        <v>339</v>
      </c>
      <c r="D269">
        <v>161.90476190476201</v>
      </c>
      <c r="N269">
        <v>161.90476190476201</v>
      </c>
    </row>
    <row r="270" spans="1:14">
      <c r="A270" s="16" t="s">
        <v>340</v>
      </c>
      <c r="F270">
        <v>146.42857142857122</v>
      </c>
      <c r="N270">
        <v>146.42857142857122</v>
      </c>
    </row>
    <row r="271" spans="1:14">
      <c r="A271" s="16" t="s">
        <v>341</v>
      </c>
      <c r="B271">
        <v>305.95238095238108</v>
      </c>
      <c r="N271">
        <v>305.95238095238108</v>
      </c>
    </row>
    <row r="272" spans="1:14">
      <c r="A272" s="16" t="s">
        <v>342</v>
      </c>
      <c r="F272">
        <v>47.619047619047599</v>
      </c>
      <c r="N272">
        <v>47.619047619047599</v>
      </c>
    </row>
    <row r="273" spans="1:14">
      <c r="A273" s="16" t="s">
        <v>343</v>
      </c>
      <c r="E273">
        <v>125.00000000000007</v>
      </c>
      <c r="N273">
        <v>125.00000000000007</v>
      </c>
    </row>
    <row r="274" spans="1:14">
      <c r="A274" s="16" t="s">
        <v>344</v>
      </c>
      <c r="C274">
        <v>67.857142857142691</v>
      </c>
      <c r="N274">
        <v>67.857142857142691</v>
      </c>
    </row>
    <row r="275" spans="1:14">
      <c r="A275" s="16" t="s">
        <v>345</v>
      </c>
      <c r="C275">
        <v>9.5238095238094047</v>
      </c>
      <c r="N275">
        <v>9.5238095238094047</v>
      </c>
    </row>
    <row r="276" spans="1:14">
      <c r="A276" s="16" t="s">
        <v>346</v>
      </c>
      <c r="C276">
        <v>189.28571428571416</v>
      </c>
      <c r="N276">
        <v>189.28571428571416</v>
      </c>
    </row>
    <row r="277" spans="1:14">
      <c r="A277" s="16" t="s">
        <v>347</v>
      </c>
      <c r="E277">
        <v>99.999999999999872</v>
      </c>
      <c r="N277">
        <v>99.999999999999872</v>
      </c>
    </row>
    <row r="278" spans="1:14">
      <c r="A278" s="16" t="s">
        <v>348</v>
      </c>
      <c r="F278">
        <v>273.80952380952414</v>
      </c>
      <c r="N278">
        <v>273.80952380952414</v>
      </c>
    </row>
    <row r="279" spans="1:14">
      <c r="A279" s="16" t="s">
        <v>349</v>
      </c>
      <c r="F279">
        <v>298.80952380952397</v>
      </c>
      <c r="N279">
        <v>298.80952380952397</v>
      </c>
    </row>
    <row r="280" spans="1:14">
      <c r="A280" s="16" t="s">
        <v>350</v>
      </c>
      <c r="B280">
        <v>152.38095238095235</v>
      </c>
      <c r="N280">
        <v>152.38095238095235</v>
      </c>
    </row>
    <row r="281" spans="1:14">
      <c r="A281" s="16" t="s">
        <v>351</v>
      </c>
      <c r="E281">
        <v>353.57142857142844</v>
      </c>
      <c r="N281">
        <v>353.57142857142844</v>
      </c>
    </row>
    <row r="282" spans="1:14">
      <c r="A282" s="16" t="s">
        <v>352</v>
      </c>
      <c r="H282">
        <v>240.47619047619028</v>
      </c>
      <c r="N282">
        <v>240.47619047619028</v>
      </c>
    </row>
    <row r="283" spans="1:14">
      <c r="A283" s="16" t="s">
        <v>353</v>
      </c>
      <c r="J283">
        <v>7.1428571428572809</v>
      </c>
      <c r="N283">
        <v>7.1428571428572809</v>
      </c>
    </row>
    <row r="284" spans="1:14">
      <c r="A284" s="16" t="s">
        <v>354</v>
      </c>
      <c r="E284">
        <v>433.33333333333343</v>
      </c>
      <c r="N284">
        <v>433.33333333333343</v>
      </c>
    </row>
    <row r="285" spans="1:14">
      <c r="A285" s="16" t="s">
        <v>355</v>
      </c>
      <c r="C285">
        <v>305.95238095238108</v>
      </c>
      <c r="N285">
        <v>305.95238095238108</v>
      </c>
    </row>
    <row r="286" spans="1:14">
      <c r="A286" s="16" t="s">
        <v>356</v>
      </c>
      <c r="E286">
        <v>332.14285714285711</v>
      </c>
      <c r="N286">
        <v>332.14285714285711</v>
      </c>
    </row>
    <row r="287" spans="1:14">
      <c r="A287" s="16" t="s">
        <v>357</v>
      </c>
      <c r="E287">
        <v>147.61904761904745</v>
      </c>
      <c r="N287">
        <v>147.61904761904745</v>
      </c>
    </row>
    <row r="288" spans="1:14">
      <c r="A288" s="16" t="s">
        <v>358</v>
      </c>
      <c r="C288">
        <v>402.38095238095218</v>
      </c>
      <c r="N288">
        <v>402.38095238095218</v>
      </c>
    </row>
    <row r="289" spans="1:14">
      <c r="A289" s="16" t="s">
        <v>359</v>
      </c>
      <c r="H289">
        <v>94.047619047619264</v>
      </c>
      <c r="N289">
        <v>94.047619047619264</v>
      </c>
    </row>
    <row r="290" spans="1:14">
      <c r="A290" s="16" t="s">
        <v>360</v>
      </c>
      <c r="H290">
        <v>-65.476190476190339</v>
      </c>
      <c r="N290">
        <v>-65.476190476190339</v>
      </c>
    </row>
    <row r="291" spans="1:14">
      <c r="A291" s="16" t="s">
        <v>361</v>
      </c>
      <c r="D291">
        <v>84.523809523809632</v>
      </c>
      <c r="N291">
        <v>84.523809523809632</v>
      </c>
    </row>
    <row r="292" spans="1:14">
      <c r="A292" s="16" t="s">
        <v>362</v>
      </c>
      <c r="D292">
        <v>71.42857142857153</v>
      </c>
      <c r="N292">
        <v>71.42857142857153</v>
      </c>
    </row>
    <row r="293" spans="1:14">
      <c r="A293" s="16" t="s">
        <v>363</v>
      </c>
      <c r="E293">
        <v>192.85714285714306</v>
      </c>
      <c r="N293">
        <v>192.85714285714306</v>
      </c>
    </row>
    <row r="294" spans="1:14">
      <c r="A294" s="16" t="s">
        <v>364</v>
      </c>
      <c r="D294">
        <v>388.09523809523807</v>
      </c>
      <c r="N294">
        <v>388.09523809523807</v>
      </c>
    </row>
    <row r="295" spans="1:14">
      <c r="A295" s="16" t="s">
        <v>365</v>
      </c>
      <c r="E295">
        <v>191.66666666666677</v>
      </c>
      <c r="N295">
        <v>191.66666666666677</v>
      </c>
    </row>
    <row r="296" spans="1:14">
      <c r="A296" s="16" t="s">
        <v>366</v>
      </c>
      <c r="H296">
        <v>315.47619047619054</v>
      </c>
      <c r="N296">
        <v>315.47619047619054</v>
      </c>
    </row>
    <row r="297" spans="1:14">
      <c r="A297" s="16" t="s">
        <v>367</v>
      </c>
      <c r="C297">
        <v>-80.952380952380835</v>
      </c>
      <c r="N297">
        <v>-80.952380952380835</v>
      </c>
    </row>
    <row r="298" spans="1:14">
      <c r="A298" s="16" t="s">
        <v>368</v>
      </c>
      <c r="C298">
        <v>230.95238095238062</v>
      </c>
      <c r="N298">
        <v>230.95238095238062</v>
      </c>
    </row>
    <row r="299" spans="1:14">
      <c r="A299" s="16" t="s">
        <v>369</v>
      </c>
      <c r="D299">
        <v>66.666666666666785</v>
      </c>
      <c r="N299">
        <v>66.666666666666785</v>
      </c>
    </row>
    <row r="300" spans="1:14">
      <c r="A300" s="16" t="s">
        <v>370</v>
      </c>
      <c r="E300">
        <v>144.04761904761912</v>
      </c>
      <c r="N300">
        <v>144.04761904761912</v>
      </c>
    </row>
    <row r="301" spans="1:14">
      <c r="A301" s="16" t="s">
        <v>372</v>
      </c>
      <c r="M301">
        <v>156.1538461538463</v>
      </c>
      <c r="N301">
        <v>156.1538461538463</v>
      </c>
    </row>
    <row r="302" spans="1:14">
      <c r="A302" s="16" t="s">
        <v>373</v>
      </c>
      <c r="M302">
        <v>169.76495726495719</v>
      </c>
      <c r="N302">
        <v>169.76495726495719</v>
      </c>
    </row>
    <row r="303" spans="1:14">
      <c r="A303" s="16" t="s">
        <v>374</v>
      </c>
      <c r="M303">
        <v>110.61965811965804</v>
      </c>
      <c r="N303">
        <v>110.61965811965804</v>
      </c>
    </row>
    <row r="304" spans="1:14">
      <c r="A304" s="16" t="s">
        <v>375</v>
      </c>
      <c r="M304">
        <v>130.32051282051285</v>
      </c>
      <c r="N304">
        <v>130.32051282051285</v>
      </c>
    </row>
    <row r="305" spans="1:14">
      <c r="A305" s="16" t="s">
        <v>376</v>
      </c>
      <c r="M305">
        <v>157.13675213675211</v>
      </c>
      <c r="N305">
        <v>157.13675213675211</v>
      </c>
    </row>
    <row r="306" spans="1:14">
      <c r="A306" s="16" t="s">
        <v>377</v>
      </c>
      <c r="M306">
        <v>158.86752136752133</v>
      </c>
      <c r="N306">
        <v>158.86752136752133</v>
      </c>
    </row>
    <row r="307" spans="1:14">
      <c r="A307" s="16" t="s">
        <v>378</v>
      </c>
      <c r="M307">
        <v>124.42307692307695</v>
      </c>
      <c r="N307">
        <v>124.42307692307695</v>
      </c>
    </row>
    <row r="308" spans="1:14">
      <c r="A308" s="16" t="s">
        <v>379</v>
      </c>
      <c r="M308">
        <v>236.6239316239315</v>
      </c>
      <c r="N308">
        <v>236.6239316239315</v>
      </c>
    </row>
    <row r="309" spans="1:14">
      <c r="A309" s="16" t="s">
        <v>380</v>
      </c>
      <c r="M309">
        <v>211.85897435897436</v>
      </c>
      <c r="N309">
        <v>211.85897435897436</v>
      </c>
    </row>
    <row r="310" spans="1:14">
      <c r="A310" s="16" t="s">
        <v>381</v>
      </c>
      <c r="M310">
        <v>91.880341880341817</v>
      </c>
      <c r="N310">
        <v>91.880341880341817</v>
      </c>
    </row>
    <row r="311" spans="1:14">
      <c r="A311" s="16" t="s">
        <v>382</v>
      </c>
      <c r="M311">
        <v>109.63675213675219</v>
      </c>
      <c r="N311">
        <v>109.63675213675219</v>
      </c>
    </row>
    <row r="312" spans="1:14">
      <c r="A312" s="16" t="s">
        <v>383</v>
      </c>
      <c r="M312">
        <v>120.66239316239312</v>
      </c>
      <c r="N312">
        <v>120.66239316239312</v>
      </c>
    </row>
    <row r="313" spans="1:14">
      <c r="A313" s="16" t="s">
        <v>384</v>
      </c>
      <c r="M313">
        <v>118.5470085470086</v>
      </c>
      <c r="N313">
        <v>118.5470085470086</v>
      </c>
    </row>
    <row r="314" spans="1:14">
      <c r="A314" s="16" t="s">
        <v>385</v>
      </c>
      <c r="M314">
        <v>142.02991452991441</v>
      </c>
      <c r="N314">
        <v>142.02991452991441</v>
      </c>
    </row>
    <row r="315" spans="1:14">
      <c r="A315" s="16" t="s">
        <v>386</v>
      </c>
      <c r="M315">
        <v>120.98290598290589</v>
      </c>
      <c r="N315">
        <v>120.98290598290589</v>
      </c>
    </row>
    <row r="316" spans="1:14">
      <c r="A316" s="16" t="s">
        <v>387</v>
      </c>
      <c r="M316">
        <v>119.14529914529909</v>
      </c>
      <c r="N316">
        <v>119.14529914529909</v>
      </c>
    </row>
    <row r="317" spans="1:14">
      <c r="A317" s="16" t="s">
        <v>388</v>
      </c>
      <c r="M317">
        <v>235.34188034188045</v>
      </c>
      <c r="N317">
        <v>235.34188034188045</v>
      </c>
    </row>
    <row r="318" spans="1:14">
      <c r="A318" s="16" t="s">
        <v>389</v>
      </c>
      <c r="M318">
        <v>112.90598290598291</v>
      </c>
      <c r="N318">
        <v>112.90598290598291</v>
      </c>
    </row>
    <row r="319" spans="1:14">
      <c r="A319" s="16" t="s">
        <v>390</v>
      </c>
      <c r="M319">
        <v>125.17094017094023</v>
      </c>
      <c r="N319">
        <v>125.17094017094023</v>
      </c>
    </row>
    <row r="320" spans="1:14">
      <c r="A320" s="16" t="s">
        <v>391</v>
      </c>
      <c r="M320">
        <v>269.91452991452985</v>
      </c>
      <c r="N320">
        <v>269.91452991452985</v>
      </c>
    </row>
    <row r="321" spans="1:14">
      <c r="A321" s="16" t="s">
        <v>392</v>
      </c>
      <c r="M321">
        <v>208.37606837606825</v>
      </c>
      <c r="N321">
        <v>208.37606837606825</v>
      </c>
    </row>
    <row r="322" spans="1:14">
      <c r="A322" s="16" t="s">
        <v>393</v>
      </c>
      <c r="M322">
        <v>146.53846153846163</v>
      </c>
      <c r="N322">
        <v>146.53846153846163</v>
      </c>
    </row>
    <row r="323" spans="1:14">
      <c r="A323" s="16" t="s">
        <v>394</v>
      </c>
      <c r="M323">
        <v>180.96153846153854</v>
      </c>
      <c r="N323">
        <v>180.96153846153854</v>
      </c>
    </row>
    <row r="324" spans="1:14">
      <c r="A324" s="16" t="s">
        <v>395</v>
      </c>
      <c r="M324">
        <v>114.8717948717948</v>
      </c>
      <c r="N324">
        <v>114.8717948717948</v>
      </c>
    </row>
    <row r="325" spans="1:14">
      <c r="A325" s="16" t="s">
        <v>396</v>
      </c>
      <c r="M325">
        <v>28.119658119658066</v>
      </c>
      <c r="N325">
        <v>28.119658119658066</v>
      </c>
    </row>
    <row r="326" spans="1:14">
      <c r="A326" s="16" t="s">
        <v>397</v>
      </c>
      <c r="M326">
        <v>122.4358974358975</v>
      </c>
      <c r="N326">
        <v>122.4358974358975</v>
      </c>
    </row>
    <row r="327" spans="1:14">
      <c r="A327" s="16" t="s">
        <v>398</v>
      </c>
      <c r="M327">
        <v>183.99572649572644</v>
      </c>
      <c r="N327">
        <v>183.99572649572644</v>
      </c>
    </row>
    <row r="328" spans="1:14">
      <c r="A328" s="16" t="s">
        <v>399</v>
      </c>
      <c r="M328">
        <v>105.06410256410247</v>
      </c>
      <c r="N328">
        <v>105.06410256410247</v>
      </c>
    </row>
    <row r="329" spans="1:14">
      <c r="A329" s="16" t="s">
        <v>400</v>
      </c>
      <c r="M329">
        <v>158.50427350427364</v>
      </c>
      <c r="N329">
        <v>158.50427350427364</v>
      </c>
    </row>
    <row r="330" spans="1:14">
      <c r="A330" s="16" t="s">
        <v>401</v>
      </c>
      <c r="M330">
        <v>185.1495726495726</v>
      </c>
      <c r="N330">
        <v>185.1495726495726</v>
      </c>
    </row>
    <row r="331" spans="1:14">
      <c r="A331" s="16" t="s">
        <v>402</v>
      </c>
      <c r="M331">
        <v>144.82905982905987</v>
      </c>
      <c r="N331">
        <v>144.82905982905987</v>
      </c>
    </row>
    <row r="332" spans="1:14">
      <c r="A332" s="16" t="s">
        <v>403</v>
      </c>
      <c r="M332">
        <v>135.7905982905983</v>
      </c>
      <c r="N332">
        <v>135.7905982905983</v>
      </c>
    </row>
    <row r="333" spans="1:14">
      <c r="A333" s="16" t="s">
        <v>404</v>
      </c>
      <c r="M333">
        <v>218.71794871794873</v>
      </c>
      <c r="N333">
        <v>218.71794871794873</v>
      </c>
    </row>
    <row r="334" spans="1:14">
      <c r="A334" s="16" t="s">
        <v>405</v>
      </c>
      <c r="M334">
        <v>103.52564102564099</v>
      </c>
      <c r="N334">
        <v>103.52564102564099</v>
      </c>
    </row>
    <row r="335" spans="1:14">
      <c r="A335" s="16" t="s">
        <v>406</v>
      </c>
      <c r="M335">
        <v>148.24786324786328</v>
      </c>
      <c r="N335">
        <v>148.24786324786328</v>
      </c>
    </row>
    <row r="336" spans="1:14">
      <c r="A336" s="16" t="s">
        <v>407</v>
      </c>
      <c r="M336">
        <v>173.44017094017093</v>
      </c>
      <c r="N336">
        <v>173.44017094017093</v>
      </c>
    </row>
    <row r="337" spans="1:14">
      <c r="A337" s="16" t="s">
        <v>408</v>
      </c>
      <c r="M337">
        <v>124.23076923076928</v>
      </c>
      <c r="N337">
        <v>124.23076923076928</v>
      </c>
    </row>
    <row r="338" spans="1:14">
      <c r="A338" s="16" t="s">
        <v>409</v>
      </c>
      <c r="M338">
        <v>15.619658119658041</v>
      </c>
      <c r="N338">
        <v>15.619658119658041</v>
      </c>
    </row>
    <row r="339" spans="1:14">
      <c r="A339" s="16" t="s">
        <v>410</v>
      </c>
      <c r="M339">
        <v>143.91025641025644</v>
      </c>
      <c r="N339">
        <v>143.91025641025644</v>
      </c>
    </row>
    <row r="340" spans="1:14">
      <c r="A340" s="16" t="s">
        <v>411</v>
      </c>
      <c r="M340">
        <v>2.2649572649571894</v>
      </c>
      <c r="N340">
        <v>2.2649572649571894</v>
      </c>
    </row>
    <row r="341" spans="1:14">
      <c r="A341" s="16" t="s">
        <v>412</v>
      </c>
      <c r="M341">
        <v>216.38888888888883</v>
      </c>
      <c r="N341">
        <v>216.38888888888883</v>
      </c>
    </row>
    <row r="342" spans="1:14">
      <c r="A342" s="16" t="s">
        <v>413</v>
      </c>
      <c r="M342">
        <v>138.76068376068361</v>
      </c>
      <c r="N342">
        <v>138.76068376068361</v>
      </c>
    </row>
    <row r="343" spans="1:14">
      <c r="A343" s="16" t="s">
        <v>414</v>
      </c>
      <c r="M343">
        <v>66.089743589743591</v>
      </c>
      <c r="N343">
        <v>66.089743589743591</v>
      </c>
    </row>
    <row r="344" spans="1:14">
      <c r="A344" s="16" t="s">
        <v>415</v>
      </c>
      <c r="M344">
        <v>205.32051282051273</v>
      </c>
      <c r="N344">
        <v>205.32051282051273</v>
      </c>
    </row>
    <row r="345" spans="1:14">
      <c r="A345" s="16" t="s">
        <v>416</v>
      </c>
      <c r="M345">
        <v>98.504273504273556</v>
      </c>
      <c r="N345">
        <v>98.504273504273556</v>
      </c>
    </row>
    <row r="346" spans="1:14">
      <c r="A346" s="16" t="s">
        <v>417</v>
      </c>
      <c r="M346">
        <v>191.88034188034192</v>
      </c>
      <c r="N346">
        <v>191.88034188034192</v>
      </c>
    </row>
    <row r="347" spans="1:14">
      <c r="A347" s="16" t="s">
        <v>418</v>
      </c>
      <c r="M347">
        <v>156.62393162393164</v>
      </c>
      <c r="N347">
        <v>156.62393162393164</v>
      </c>
    </row>
    <row r="348" spans="1:14">
      <c r="A348" s="16" t="s">
        <v>419</v>
      </c>
      <c r="M348">
        <v>110.57692307692309</v>
      </c>
      <c r="N348">
        <v>110.57692307692309</v>
      </c>
    </row>
    <row r="349" spans="1:14">
      <c r="A349" s="16" t="s">
        <v>420</v>
      </c>
      <c r="M349">
        <v>70.405982905982967</v>
      </c>
      <c r="N349">
        <v>70.405982905982967</v>
      </c>
    </row>
    <row r="350" spans="1:14">
      <c r="A350" s="16" t="s">
        <v>421</v>
      </c>
      <c r="M350">
        <v>197.79914529914527</v>
      </c>
      <c r="N350">
        <v>197.79914529914527</v>
      </c>
    </row>
    <row r="351" spans="1:14">
      <c r="A351" s="16" t="s">
        <v>422</v>
      </c>
      <c r="M351">
        <v>329.99999999999983</v>
      </c>
      <c r="N351">
        <v>329.99999999999983</v>
      </c>
    </row>
    <row r="352" spans="1:14">
      <c r="A352" s="16" t="s">
        <v>423</v>
      </c>
      <c r="M352">
        <v>170.36324786324784</v>
      </c>
      <c r="N352">
        <v>170.36324786324784</v>
      </c>
    </row>
    <row r="353" spans="1:14">
      <c r="A353" s="16" t="s">
        <v>424</v>
      </c>
      <c r="M353">
        <v>125.06410256410264</v>
      </c>
      <c r="N353">
        <v>125.06410256410264</v>
      </c>
    </row>
    <row r="354" spans="1:14">
      <c r="A354" s="16" t="s">
        <v>426</v>
      </c>
      <c r="M354">
        <v>147.7136752136752</v>
      </c>
      <c r="N354">
        <v>147.7136752136752</v>
      </c>
    </row>
    <row r="355" spans="1:14">
      <c r="A355" s="16" t="s">
        <v>427</v>
      </c>
      <c r="M355">
        <v>135.40598290598288</v>
      </c>
      <c r="N355">
        <v>135.40598290598288</v>
      </c>
    </row>
    <row r="356" spans="1:14">
      <c r="A356" s="16" t="s">
        <v>428</v>
      </c>
      <c r="M356">
        <v>141.6666666666666</v>
      </c>
      <c r="N356">
        <v>141.6666666666666</v>
      </c>
    </row>
    <row r="357" spans="1:14">
      <c r="A357" s="16" t="s">
        <v>429</v>
      </c>
      <c r="M357">
        <v>155.91880341880338</v>
      </c>
      <c r="N357">
        <v>155.91880341880338</v>
      </c>
    </row>
    <row r="358" spans="1:14">
      <c r="A358" s="16" t="s">
        <v>430</v>
      </c>
      <c r="M358">
        <v>212.47863247863242</v>
      </c>
      <c r="N358">
        <v>212.47863247863242</v>
      </c>
    </row>
    <row r="359" spans="1:14">
      <c r="A359" s="16" t="s">
        <v>431</v>
      </c>
      <c r="M359">
        <v>219.05982905982899</v>
      </c>
      <c r="N359">
        <v>219.05982905982899</v>
      </c>
    </row>
    <row r="360" spans="1:14">
      <c r="A360" s="16" t="s">
        <v>432</v>
      </c>
      <c r="M360">
        <v>189.18803418803418</v>
      </c>
      <c r="N360">
        <v>189.18803418803418</v>
      </c>
    </row>
    <row r="361" spans="1:14">
      <c r="A361" s="16" t="s">
        <v>433</v>
      </c>
      <c r="M361">
        <v>197.20085470085473</v>
      </c>
      <c r="N361">
        <v>197.20085470085473</v>
      </c>
    </row>
    <row r="362" spans="1:14">
      <c r="A362" s="16" t="s">
        <v>434</v>
      </c>
      <c r="M362">
        <v>165.68376068376071</v>
      </c>
      <c r="N362">
        <v>165.68376068376071</v>
      </c>
    </row>
    <row r="363" spans="1:14">
      <c r="A363" s="16" t="s">
        <v>435</v>
      </c>
      <c r="M363">
        <v>124.27350427350429</v>
      </c>
      <c r="N363">
        <v>124.27350427350429</v>
      </c>
    </row>
    <row r="364" spans="1:14">
      <c r="A364" s="16" t="s">
        <v>436</v>
      </c>
      <c r="M364">
        <v>84.3376068376067</v>
      </c>
      <c r="N364">
        <v>84.3376068376067</v>
      </c>
    </row>
    <row r="365" spans="1:14">
      <c r="A365" s="16" t="s">
        <v>437</v>
      </c>
      <c r="M365">
        <v>28.482905982906086</v>
      </c>
      <c r="N365">
        <v>28.482905982906086</v>
      </c>
    </row>
    <row r="366" spans="1:14">
      <c r="A366" s="16" t="s">
        <v>438</v>
      </c>
      <c r="M366">
        <v>117.60683760683764</v>
      </c>
      <c r="N366">
        <v>117.60683760683764</v>
      </c>
    </row>
    <row r="367" spans="1:14">
      <c r="A367" s="16" t="s">
        <v>439</v>
      </c>
      <c r="M367">
        <v>183.46153846153854</v>
      </c>
      <c r="N367">
        <v>183.46153846153854</v>
      </c>
    </row>
    <row r="368" spans="1:14">
      <c r="A368" s="16" t="s">
        <v>440</v>
      </c>
      <c r="M368">
        <v>0.64102564102564463</v>
      </c>
      <c r="N368">
        <v>0.64102564102564463</v>
      </c>
    </row>
    <row r="369" spans="1:14">
      <c r="A369" s="16" t="s">
        <v>441</v>
      </c>
      <c r="M369">
        <v>85.448717948718013</v>
      </c>
      <c r="N369">
        <v>85.448717948718013</v>
      </c>
    </row>
    <row r="370" spans="1:14">
      <c r="A370" s="16" t="s">
        <v>442</v>
      </c>
      <c r="M370">
        <v>92.45726495726484</v>
      </c>
      <c r="N370">
        <v>92.45726495726484</v>
      </c>
    </row>
    <row r="371" spans="1:14">
      <c r="A371" s="16" t="s">
        <v>443</v>
      </c>
      <c r="M371">
        <v>154.44444444444449</v>
      </c>
      <c r="N371">
        <v>154.44444444444449</v>
      </c>
    </row>
    <row r="372" spans="1:14">
      <c r="A372" s="16" t="s">
        <v>444</v>
      </c>
      <c r="M372">
        <v>152.0085470085468</v>
      </c>
      <c r="N372">
        <v>152.0085470085468</v>
      </c>
    </row>
    <row r="373" spans="1:14">
      <c r="A373" s="16" t="s">
        <v>445</v>
      </c>
      <c r="M373">
        <v>174.35897435897434</v>
      </c>
      <c r="N373">
        <v>174.35897435897434</v>
      </c>
    </row>
    <row r="374" spans="1:14">
      <c r="A374" s="16" t="s">
        <v>446</v>
      </c>
      <c r="M374">
        <v>94.33760683760687</v>
      </c>
      <c r="N374">
        <v>94.33760683760687</v>
      </c>
    </row>
    <row r="375" spans="1:14">
      <c r="A375" s="16" t="s">
        <v>447</v>
      </c>
      <c r="M375">
        <v>79.059829059829113</v>
      </c>
      <c r="N375">
        <v>79.059829059829113</v>
      </c>
    </row>
    <row r="376" spans="1:14">
      <c r="A376" s="16" t="s">
        <v>448</v>
      </c>
      <c r="M376">
        <v>136.75213675213678</v>
      </c>
      <c r="N376">
        <v>136.75213675213678</v>
      </c>
    </row>
    <row r="377" spans="1:14">
      <c r="A377" s="16" t="s">
        <v>449</v>
      </c>
      <c r="M377">
        <v>110.2991452991452</v>
      </c>
      <c r="N377">
        <v>110.2991452991452</v>
      </c>
    </row>
    <row r="378" spans="1:14">
      <c r="A378" s="16" t="s">
        <v>450</v>
      </c>
      <c r="M378">
        <v>115.81196581196589</v>
      </c>
      <c r="N378">
        <v>115.81196581196589</v>
      </c>
    </row>
    <row r="379" spans="1:14">
      <c r="A379" s="16" t="s">
        <v>451</v>
      </c>
      <c r="M379">
        <v>98.226495726495656</v>
      </c>
      <c r="N379">
        <v>98.226495726495656</v>
      </c>
    </row>
    <row r="380" spans="1:14">
      <c r="A380" s="16" t="s">
        <v>452</v>
      </c>
      <c r="M380">
        <v>25.57692307692297</v>
      </c>
      <c r="N380">
        <v>25.57692307692297</v>
      </c>
    </row>
    <row r="381" spans="1:14">
      <c r="A381" s="16" t="s">
        <v>453</v>
      </c>
      <c r="M381">
        <v>59.59401709401709</v>
      </c>
      <c r="N381">
        <v>59.59401709401709</v>
      </c>
    </row>
    <row r="382" spans="1:14">
      <c r="A382" s="16" t="s">
        <v>454</v>
      </c>
      <c r="M382">
        <v>35.854700854700958</v>
      </c>
      <c r="N382">
        <v>35.854700854700958</v>
      </c>
    </row>
    <row r="383" spans="1:14">
      <c r="A383" s="16" t="s">
        <v>455</v>
      </c>
      <c r="M383">
        <v>163.76068376068375</v>
      </c>
      <c r="N383">
        <v>163.76068376068375</v>
      </c>
    </row>
    <row r="384" spans="1:14">
      <c r="A384" s="16" t="s">
        <v>456</v>
      </c>
      <c r="M384">
        <v>125.61965811965815</v>
      </c>
      <c r="N384">
        <v>125.61965811965815</v>
      </c>
    </row>
    <row r="385" spans="1:14">
      <c r="A385" s="16" t="s">
        <v>457</v>
      </c>
      <c r="M385">
        <v>163.14102564102566</v>
      </c>
      <c r="N385">
        <v>163.14102564102566</v>
      </c>
    </row>
    <row r="386" spans="1:14">
      <c r="A386" s="16" t="s">
        <v>458</v>
      </c>
      <c r="M386">
        <v>295.49145299145289</v>
      </c>
      <c r="N386">
        <v>295.49145299145289</v>
      </c>
    </row>
    <row r="387" spans="1:14">
      <c r="A387" s="16" t="s">
        <v>459</v>
      </c>
      <c r="M387">
        <v>-0.70512820512830621</v>
      </c>
      <c r="N387">
        <v>-0.70512820512830621</v>
      </c>
    </row>
    <row r="388" spans="1:14">
      <c r="A388" s="16" t="s">
        <v>460</v>
      </c>
      <c r="M388">
        <v>33.31196581196582</v>
      </c>
      <c r="N388">
        <v>33.31196581196582</v>
      </c>
    </row>
    <row r="389" spans="1:14">
      <c r="A389" s="16" t="s">
        <v>461</v>
      </c>
      <c r="M389">
        <v>201.41025641025649</v>
      </c>
      <c r="N389">
        <v>201.41025641025649</v>
      </c>
    </row>
    <row r="390" spans="1:14">
      <c r="A390" s="16" t="s">
        <v>462</v>
      </c>
      <c r="M390">
        <v>23.568376068376107</v>
      </c>
      <c r="N390">
        <v>23.568376068376107</v>
      </c>
    </row>
    <row r="391" spans="1:14">
      <c r="A391" s="16" t="s">
        <v>463</v>
      </c>
      <c r="M391">
        <v>126.23931623931634</v>
      </c>
      <c r="N391">
        <v>126.23931623931634</v>
      </c>
    </row>
    <row r="392" spans="1:14">
      <c r="A392" s="16" t="s">
        <v>464</v>
      </c>
      <c r="M392">
        <v>184.14529914529922</v>
      </c>
      <c r="N392">
        <v>184.14529914529922</v>
      </c>
    </row>
    <row r="393" spans="1:14">
      <c r="A393" s="16" t="s">
        <v>465</v>
      </c>
      <c r="M393">
        <v>54.316239316239255</v>
      </c>
      <c r="N393">
        <v>54.316239316239255</v>
      </c>
    </row>
    <row r="394" spans="1:14">
      <c r="A394" s="16" t="s">
        <v>466</v>
      </c>
      <c r="M394">
        <v>145.06410256410263</v>
      </c>
      <c r="N394">
        <v>145.06410256410263</v>
      </c>
    </row>
    <row r="395" spans="1:14">
      <c r="A395" s="16" t="s">
        <v>467</v>
      </c>
      <c r="M395">
        <v>121.96581196581211</v>
      </c>
      <c r="N395">
        <v>121.96581196581211</v>
      </c>
    </row>
    <row r="396" spans="1:14">
      <c r="A396" s="16" t="s">
        <v>468</v>
      </c>
      <c r="M396">
        <v>122.69230769230757</v>
      </c>
      <c r="N396">
        <v>122.69230769230757</v>
      </c>
    </row>
    <row r="397" spans="1:14">
      <c r="A397" s="16" t="s">
        <v>469</v>
      </c>
      <c r="M397">
        <v>97.905982905982796</v>
      </c>
      <c r="N397">
        <v>97.905982905982796</v>
      </c>
    </row>
    <row r="398" spans="1:14">
      <c r="A398" s="16" t="s">
        <v>470</v>
      </c>
      <c r="M398">
        <v>123.73931623931617</v>
      </c>
      <c r="N398">
        <v>123.73931623931617</v>
      </c>
    </row>
    <row r="399" spans="1:14">
      <c r="A399" s="16" t="s">
        <v>471</v>
      </c>
      <c r="M399">
        <v>58.504273504273556</v>
      </c>
      <c r="N399">
        <v>58.504273504273556</v>
      </c>
    </row>
    <row r="400" spans="1:14">
      <c r="A400" s="16" t="s">
        <v>472</v>
      </c>
      <c r="M400">
        <v>131.7948717948718</v>
      </c>
      <c r="N400">
        <v>131.7948717948718</v>
      </c>
    </row>
    <row r="401" spans="1:14">
      <c r="A401" s="16" t="s">
        <v>473</v>
      </c>
      <c r="M401">
        <v>108.09829059829066</v>
      </c>
      <c r="N401">
        <v>108.09829059829066</v>
      </c>
    </row>
    <row r="402" spans="1:14">
      <c r="A402" s="16" t="s">
        <v>474</v>
      </c>
      <c r="M402">
        <v>54.017094017094145</v>
      </c>
      <c r="N402">
        <v>54.017094017094145</v>
      </c>
    </row>
    <row r="403" spans="1:14">
      <c r="A403" s="16" t="s">
        <v>475</v>
      </c>
      <c r="M403">
        <v>16.324786324786359</v>
      </c>
      <c r="N403">
        <v>16.324786324786359</v>
      </c>
    </row>
    <row r="404" spans="1:14">
      <c r="A404" s="16" t="s">
        <v>476</v>
      </c>
      <c r="M404">
        <v>144.74358974358975</v>
      </c>
      <c r="N404">
        <v>144.74358974358975</v>
      </c>
    </row>
    <row r="405" spans="1:14">
      <c r="A405" s="16" t="s">
        <v>477</v>
      </c>
      <c r="M405">
        <v>182.71367521367515</v>
      </c>
      <c r="N405">
        <v>182.71367521367515</v>
      </c>
    </row>
    <row r="406" spans="1:14">
      <c r="A406" s="16" t="s">
        <v>479</v>
      </c>
      <c r="H406">
        <v>-14.285714285714363</v>
      </c>
      <c r="N406">
        <v>-14.285714285714363</v>
      </c>
    </row>
    <row r="407" spans="1:14">
      <c r="A407" s="16" t="s">
        <v>480</v>
      </c>
      <c r="J407">
        <v>-55.357142857142875</v>
      </c>
      <c r="N407">
        <v>-55.357142857142875</v>
      </c>
    </row>
    <row r="408" spans="1:14">
      <c r="A408" s="16" t="s">
        <v>481</v>
      </c>
      <c r="F408">
        <v>21.428571428571345</v>
      </c>
      <c r="N408">
        <v>21.428571428571345</v>
      </c>
    </row>
    <row r="409" spans="1:14">
      <c r="A409" s="16" t="s">
        <v>482</v>
      </c>
      <c r="K409">
        <v>-37.500000000000028</v>
      </c>
      <c r="N409">
        <v>-37.500000000000028</v>
      </c>
    </row>
    <row r="410" spans="1:14">
      <c r="A410" s="16" t="s">
        <v>483</v>
      </c>
      <c r="F410">
        <v>-28.571428571428463</v>
      </c>
      <c r="N410">
        <v>-28.571428571428463</v>
      </c>
    </row>
    <row r="411" spans="1:14">
      <c r="A411" s="16" t="s">
        <v>484</v>
      </c>
      <c r="H411">
        <v>-74.999999999999929</v>
      </c>
      <c r="N411">
        <v>-74.999999999999929</v>
      </c>
    </row>
    <row r="412" spans="1:14">
      <c r="A412" s="16" t="s">
        <v>485</v>
      </c>
      <c r="J412">
        <v>-114.28571428571425</v>
      </c>
      <c r="N412">
        <v>-114.28571428571425</v>
      </c>
    </row>
    <row r="413" spans="1:14">
      <c r="A413" s="16" t="s">
        <v>486</v>
      </c>
      <c r="H413">
        <v>-5.3571428571428044</v>
      </c>
      <c r="N413">
        <v>-5.3571428571428044</v>
      </c>
    </row>
    <row r="414" spans="1:14">
      <c r="A414" s="16" t="s">
        <v>487</v>
      </c>
      <c r="F414">
        <v>62.499999999999993</v>
      </c>
      <c r="N414">
        <v>62.499999999999993</v>
      </c>
    </row>
    <row r="415" spans="1:14">
      <c r="A415" s="16" t="s">
        <v>488</v>
      </c>
      <c r="H415">
        <v>-19.642857142857174</v>
      </c>
      <c r="N415">
        <v>-19.642857142857174</v>
      </c>
    </row>
    <row r="416" spans="1:14">
      <c r="A416" s="16" t="s">
        <v>489</v>
      </c>
      <c r="F416">
        <v>-3.5714285714286262</v>
      </c>
      <c r="N416">
        <v>-3.5714285714286262</v>
      </c>
    </row>
    <row r="417" spans="1:14">
      <c r="A417" s="16" t="s">
        <v>490</v>
      </c>
      <c r="H417">
        <v>-16.071428571428676</v>
      </c>
      <c r="N417">
        <v>-16.071428571428676</v>
      </c>
    </row>
    <row r="418" spans="1:14">
      <c r="A418" s="16" t="s">
        <v>491</v>
      </c>
      <c r="J418">
        <v>-76.785714285714249</v>
      </c>
      <c r="N418">
        <v>-76.785714285714249</v>
      </c>
    </row>
    <row r="419" spans="1:14">
      <c r="A419" s="16" t="s">
        <v>492</v>
      </c>
      <c r="J419">
        <v>-33.92857142857153</v>
      </c>
      <c r="N419">
        <v>-33.92857142857153</v>
      </c>
    </row>
    <row r="420" spans="1:14">
      <c r="A420" s="16" t="s">
        <v>493</v>
      </c>
      <c r="J420">
        <v>-96.42857142857153</v>
      </c>
      <c r="N420">
        <v>-96.42857142857153</v>
      </c>
    </row>
    <row r="421" spans="1:14">
      <c r="A421" s="16" t="s">
        <v>494</v>
      </c>
      <c r="H421">
        <v>-30.3571428571429</v>
      </c>
      <c r="N421">
        <v>-30.3571428571429</v>
      </c>
    </row>
    <row r="422" spans="1:14">
      <c r="A422" s="16" t="s">
        <v>495</v>
      </c>
      <c r="H422">
        <v>28.571428571428591</v>
      </c>
      <c r="N422">
        <v>28.571428571428591</v>
      </c>
    </row>
    <row r="423" spans="1:14">
      <c r="A423" s="16" t="s">
        <v>496</v>
      </c>
      <c r="J423">
        <v>50.000000000000085</v>
      </c>
      <c r="N423">
        <v>50.000000000000085</v>
      </c>
    </row>
    <row r="424" spans="1:14">
      <c r="A424" s="16" t="s">
        <v>497</v>
      </c>
      <c r="H424">
        <v>55.357142857142868</v>
      </c>
      <c r="N424">
        <v>55.357142857142868</v>
      </c>
    </row>
    <row r="425" spans="1:14">
      <c r="A425" s="16" t="s">
        <v>498</v>
      </c>
      <c r="J425">
        <v>-5.3571428571428044</v>
      </c>
      <c r="N425">
        <v>-5.3571428571428044</v>
      </c>
    </row>
    <row r="426" spans="1:14">
      <c r="A426" s="16" t="s">
        <v>500</v>
      </c>
      <c r="F426">
        <v>-28.57142857142847</v>
      </c>
      <c r="N426">
        <v>-28.57142857142847</v>
      </c>
    </row>
    <row r="427" spans="1:14">
      <c r="A427" s="16" t="s">
        <v>501</v>
      </c>
      <c r="F427">
        <v>-30.357142857142918</v>
      </c>
      <c r="N427">
        <v>-30.357142857142918</v>
      </c>
    </row>
    <row r="428" spans="1:14">
      <c r="A428" s="16" t="s">
        <v>502</v>
      </c>
      <c r="H428">
        <v>-16.071428571428545</v>
      </c>
      <c r="N428">
        <v>-16.071428571428545</v>
      </c>
    </row>
    <row r="429" spans="1:14">
      <c r="A429" s="16" t="s">
        <v>503</v>
      </c>
      <c r="H429">
        <v>89.285714285714278</v>
      </c>
      <c r="N429">
        <v>89.285714285714278</v>
      </c>
    </row>
    <row r="430" spans="1:14">
      <c r="A430" s="16" t="s">
        <v>504</v>
      </c>
      <c r="K430">
        <v>21.428571428571615</v>
      </c>
      <c r="N430">
        <v>21.428571428571615</v>
      </c>
    </row>
    <row r="431" spans="1:14">
      <c r="A431" s="16" t="s">
        <v>505</v>
      </c>
      <c r="F431">
        <v>78.571428571428527</v>
      </c>
      <c r="N431">
        <v>78.571428571428527</v>
      </c>
    </row>
    <row r="432" spans="1:14">
      <c r="A432" s="16" t="s">
        <v>506</v>
      </c>
      <c r="J432">
        <v>50.000000000000071</v>
      </c>
      <c r="N432">
        <v>50.000000000000071</v>
      </c>
    </row>
    <row r="433" spans="1:14">
      <c r="A433" s="16" t="s">
        <v>507</v>
      </c>
      <c r="J433">
        <v>-60.714285714285822</v>
      </c>
      <c r="N433">
        <v>-60.714285714285822</v>
      </c>
    </row>
    <row r="434" spans="1:14">
      <c r="A434" s="16" t="s">
        <v>508</v>
      </c>
      <c r="F434">
        <v>12.50000000000005</v>
      </c>
      <c r="N434">
        <v>12.50000000000005</v>
      </c>
    </row>
    <row r="435" spans="1:14">
      <c r="A435" s="16" t="s">
        <v>509</v>
      </c>
      <c r="H435">
        <v>19.642857142857167</v>
      </c>
      <c r="N435">
        <v>19.642857142857167</v>
      </c>
    </row>
    <row r="436" spans="1:14">
      <c r="A436" s="16" t="s">
        <v>510</v>
      </c>
      <c r="H436">
        <v>69.642857142857125</v>
      </c>
      <c r="N436">
        <v>69.642857142857125</v>
      </c>
    </row>
    <row r="437" spans="1:14">
      <c r="A437" s="16" t="s">
        <v>511</v>
      </c>
      <c r="H437">
        <v>-117.85714285714288</v>
      </c>
      <c r="N437">
        <v>-117.85714285714288</v>
      </c>
    </row>
    <row r="438" spans="1:14">
      <c r="A438" s="16" t="s">
        <v>512</v>
      </c>
      <c r="F438">
        <v>198.21428571428561</v>
      </c>
      <c r="N438">
        <v>198.21428571428561</v>
      </c>
    </row>
    <row r="439" spans="1:14">
      <c r="A439" s="16" t="s">
        <v>513</v>
      </c>
      <c r="H439">
        <v>30.357142857142776</v>
      </c>
      <c r="N439">
        <v>30.357142857142776</v>
      </c>
    </row>
    <row r="440" spans="1:14">
      <c r="A440" s="16" t="s">
        <v>514</v>
      </c>
      <c r="J440">
        <v>116.07142857142857</v>
      </c>
      <c r="N440">
        <v>116.07142857142857</v>
      </c>
    </row>
    <row r="441" spans="1:14">
      <c r="A441" s="16" t="s">
        <v>515</v>
      </c>
      <c r="F441">
        <v>66.071428571428626</v>
      </c>
      <c r="N441">
        <v>66.071428571428626</v>
      </c>
    </row>
    <row r="442" spans="1:14">
      <c r="A442" s="16" t="s">
        <v>516</v>
      </c>
      <c r="H442">
        <v>-21.42857142857148</v>
      </c>
      <c r="N442">
        <v>-21.42857142857148</v>
      </c>
    </row>
    <row r="443" spans="1:14">
      <c r="A443" s="16" t="s">
        <v>517</v>
      </c>
      <c r="J443">
        <v>-110.71428571428575</v>
      </c>
      <c r="N443">
        <v>-110.71428571428575</v>
      </c>
    </row>
    <row r="444" spans="1:14">
      <c r="A444" s="16" t="s">
        <v>518</v>
      </c>
      <c r="H444">
        <v>26.78571428571427</v>
      </c>
      <c r="N444">
        <v>26.78571428571427</v>
      </c>
    </row>
    <row r="445" spans="1:14">
      <c r="A445" s="16" t="s">
        <v>519</v>
      </c>
      <c r="H445">
        <v>-58.928571428571509</v>
      </c>
      <c r="N445">
        <v>-58.928571428571509</v>
      </c>
    </row>
    <row r="446" spans="1:14">
      <c r="A446" s="16" t="s">
        <v>269</v>
      </c>
      <c r="K446">
        <v>0</v>
      </c>
      <c r="N446">
        <v>0</v>
      </c>
    </row>
    <row r="447" spans="1:14">
      <c r="A447" s="16" t="s">
        <v>270</v>
      </c>
      <c r="L447">
        <v>-142.85714285714286</v>
      </c>
      <c r="N447">
        <v>-142.85714285714286</v>
      </c>
    </row>
    <row r="448" spans="1:14">
      <c r="A448" s="16" t="s">
        <v>271</v>
      </c>
      <c r="L448">
        <v>-178.57142857142858</v>
      </c>
      <c r="N448">
        <v>-178.57142857142858</v>
      </c>
    </row>
    <row r="449" spans="1:14">
      <c r="A449" s="16" t="s">
        <v>272</v>
      </c>
      <c r="K449">
        <v>-71.428571428571431</v>
      </c>
      <c r="N449">
        <v>-71.428571428571431</v>
      </c>
    </row>
    <row r="450" spans="1:14">
      <c r="A450" s="16" t="s">
        <v>273</v>
      </c>
      <c r="H450">
        <v>-142.85714285714286</v>
      </c>
      <c r="N450">
        <v>-142.85714285714286</v>
      </c>
    </row>
    <row r="451" spans="1:14">
      <c r="A451" s="16" t="s">
        <v>274</v>
      </c>
      <c r="H451">
        <v>0</v>
      </c>
      <c r="N451">
        <v>0</v>
      </c>
    </row>
    <row r="452" spans="1:14">
      <c r="A452" s="16" t="s">
        <v>275</v>
      </c>
      <c r="H452">
        <v>-142.85714285714286</v>
      </c>
      <c r="N452">
        <v>-142.85714285714286</v>
      </c>
    </row>
    <row r="453" spans="1:14">
      <c r="A453" s="16" t="s">
        <v>276</v>
      </c>
      <c r="K453">
        <v>-89.285714285714278</v>
      </c>
      <c r="N453">
        <v>-89.285714285714278</v>
      </c>
    </row>
    <row r="454" spans="1:14">
      <c r="A454" s="16" t="s">
        <v>277</v>
      </c>
      <c r="K454">
        <v>-142.85714285714286</v>
      </c>
      <c r="N454">
        <v>-142.85714285714286</v>
      </c>
    </row>
    <row r="455" spans="1:14">
      <c r="A455" s="16" t="s">
        <v>278</v>
      </c>
      <c r="H455">
        <v>-196.42857142857144</v>
      </c>
      <c r="N455">
        <v>-196.42857142857144</v>
      </c>
    </row>
    <row r="456" spans="1:14">
      <c r="A456" s="16" t="s">
        <v>279</v>
      </c>
      <c r="H456">
        <v>-125</v>
      </c>
      <c r="N456">
        <v>-125</v>
      </c>
    </row>
    <row r="457" spans="1:14">
      <c r="A457" s="16" t="s">
        <v>280</v>
      </c>
      <c r="K457">
        <v>-160.71428571428572</v>
      </c>
      <c r="N457">
        <v>-160.71428571428572</v>
      </c>
    </row>
    <row r="458" spans="1:14">
      <c r="A458" s="16" t="s">
        <v>281</v>
      </c>
      <c r="H458">
        <v>-142.85714285714286</v>
      </c>
      <c r="N458">
        <v>-142.85714285714286</v>
      </c>
    </row>
    <row r="459" spans="1:14">
      <c r="A459" s="16" t="s">
        <v>282</v>
      </c>
      <c r="L459">
        <v>-214.28571428571428</v>
      </c>
      <c r="N459">
        <v>-214.28571428571428</v>
      </c>
    </row>
    <row r="460" spans="1:14">
      <c r="A460" s="16" t="s">
        <v>283</v>
      </c>
      <c r="L460">
        <v>-142.85714285714286</v>
      </c>
      <c r="N460">
        <v>-142.85714285714286</v>
      </c>
    </row>
    <row r="461" spans="1:14">
      <c r="A461" s="16" t="s">
        <v>284</v>
      </c>
      <c r="K461">
        <v>-196.42857142857144</v>
      </c>
      <c r="N461">
        <v>-196.42857142857144</v>
      </c>
    </row>
    <row r="462" spans="1:14">
      <c r="A462" s="16" t="s">
        <v>285</v>
      </c>
      <c r="H462">
        <v>-196.42857142857144</v>
      </c>
      <c r="N462">
        <v>-196.42857142857144</v>
      </c>
    </row>
    <row r="463" spans="1:14">
      <c r="A463" s="16" t="s">
        <v>286</v>
      </c>
      <c r="K463">
        <v>-71.428571428571431</v>
      </c>
      <c r="N463">
        <v>-71.428571428571431</v>
      </c>
    </row>
    <row r="464" spans="1:14">
      <c r="A464" s="16" t="s">
        <v>287</v>
      </c>
      <c r="K464">
        <v>-107.14285714285714</v>
      </c>
      <c r="N464">
        <v>-107.14285714285714</v>
      </c>
    </row>
    <row r="465" spans="1:14">
      <c r="A465" s="16" t="s">
        <v>288</v>
      </c>
      <c r="H465">
        <v>-53.571428571428569</v>
      </c>
      <c r="N465">
        <v>-53.571428571428569</v>
      </c>
    </row>
    <row r="466" spans="1:14">
      <c r="A466" s="16" t="s">
        <v>289</v>
      </c>
      <c r="L466">
        <v>-214.28571428571428</v>
      </c>
      <c r="N466">
        <v>-214.28571428571428</v>
      </c>
    </row>
    <row r="467" spans="1:14">
      <c r="A467" s="16" t="s">
        <v>290</v>
      </c>
      <c r="L467">
        <v>-71.428571428571416</v>
      </c>
      <c r="N467">
        <v>-71.428571428571416</v>
      </c>
    </row>
    <row r="468" spans="1:14">
      <c r="A468" s="16" t="s">
        <v>291</v>
      </c>
      <c r="H468">
        <v>-71.428571428571431</v>
      </c>
      <c r="N468">
        <v>-71.428571428571431</v>
      </c>
    </row>
    <row r="469" spans="1:14">
      <c r="A469" s="16" t="s">
        <v>292</v>
      </c>
      <c r="L469">
        <v>-178.57142857142856</v>
      </c>
      <c r="N469">
        <v>-178.57142857142856</v>
      </c>
    </row>
    <row r="470" spans="1:14">
      <c r="A470" s="16" t="s">
        <v>293</v>
      </c>
      <c r="L470">
        <v>-107.14285714285715</v>
      </c>
      <c r="N470">
        <v>-107.14285714285715</v>
      </c>
    </row>
    <row r="471" spans="1:14">
      <c r="A471" s="16" t="s">
        <v>294</v>
      </c>
      <c r="H471">
        <v>-160.71428571428572</v>
      </c>
      <c r="N471">
        <v>-160.71428571428572</v>
      </c>
    </row>
    <row r="472" spans="1:14">
      <c r="A472" s="16" t="s">
        <v>295</v>
      </c>
      <c r="L472">
        <v>-71.428571428571416</v>
      </c>
      <c r="N472">
        <v>-71.428571428571416</v>
      </c>
    </row>
    <row r="473" spans="1:14">
      <c r="A473" s="16" t="s">
        <v>296</v>
      </c>
      <c r="H473">
        <v>-71.428571428571431</v>
      </c>
      <c r="N473">
        <v>-71.428571428571431</v>
      </c>
    </row>
    <row r="474" spans="1:14">
      <c r="A474" s="16" t="s">
        <v>297</v>
      </c>
      <c r="L474">
        <v>-142.85714285714286</v>
      </c>
      <c r="N474">
        <v>-142.85714285714286</v>
      </c>
    </row>
    <row r="475" spans="1:14">
      <c r="A475" s="16" t="s">
        <v>298</v>
      </c>
      <c r="L475">
        <v>-35.714285714285722</v>
      </c>
      <c r="N475">
        <v>-35.714285714285722</v>
      </c>
    </row>
    <row r="476" spans="1:14">
      <c r="A476" s="16" t="s">
        <v>522</v>
      </c>
      <c r="J476">
        <v>28.846153846153868</v>
      </c>
      <c r="N476">
        <v>28.846153846153868</v>
      </c>
    </row>
    <row r="477" spans="1:14">
      <c r="A477" s="16" t="s">
        <v>523</v>
      </c>
      <c r="H477">
        <v>189.56043956043959</v>
      </c>
      <c r="N477">
        <v>189.56043956043959</v>
      </c>
    </row>
    <row r="478" spans="1:14">
      <c r="A478" s="16" t="s">
        <v>524</v>
      </c>
      <c r="J478">
        <v>101.64835164835164</v>
      </c>
      <c r="N478">
        <v>101.64835164835164</v>
      </c>
    </row>
    <row r="479" spans="1:14">
      <c r="A479" s="16" t="s">
        <v>525</v>
      </c>
      <c r="J479">
        <v>173.07692307692307</v>
      </c>
      <c r="N479">
        <v>173.07692307692307</v>
      </c>
    </row>
    <row r="480" spans="1:14">
      <c r="A480" s="16" t="s">
        <v>526</v>
      </c>
      <c r="H480">
        <v>210.16483516483518</v>
      </c>
      <c r="N480">
        <v>210.16483516483518</v>
      </c>
    </row>
    <row r="481" spans="1:14">
      <c r="A481" s="16" t="s">
        <v>527</v>
      </c>
      <c r="H481">
        <v>-39.835164835164832</v>
      </c>
      <c r="N481">
        <v>-39.835164835164832</v>
      </c>
    </row>
    <row r="482" spans="1:14">
      <c r="A482" s="16" t="s">
        <v>528</v>
      </c>
      <c r="H482">
        <v>87.912087912087912</v>
      </c>
      <c r="N482">
        <v>87.912087912087912</v>
      </c>
    </row>
    <row r="483" spans="1:14">
      <c r="A483" s="16" t="s">
        <v>529</v>
      </c>
      <c r="H483">
        <v>64.560439560439576</v>
      </c>
      <c r="N483">
        <v>64.560439560439576</v>
      </c>
    </row>
    <row r="484" spans="1:14">
      <c r="A484" s="16" t="s">
        <v>530</v>
      </c>
      <c r="H484">
        <v>63.186813186813183</v>
      </c>
      <c r="N484">
        <v>63.186813186813183</v>
      </c>
    </row>
    <row r="485" spans="1:14">
      <c r="A485" s="16" t="s">
        <v>531</v>
      </c>
      <c r="H485">
        <v>50.824175824175825</v>
      </c>
      <c r="N485">
        <v>50.824175824175825</v>
      </c>
    </row>
    <row r="486" spans="1:14">
      <c r="A486" s="16" t="s">
        <v>532</v>
      </c>
      <c r="H486">
        <v>133.24175824175825</v>
      </c>
      <c r="N486">
        <v>133.24175824175825</v>
      </c>
    </row>
    <row r="487" spans="1:14">
      <c r="A487" s="16" t="s">
        <v>533</v>
      </c>
      <c r="H487">
        <v>71.428571428571416</v>
      </c>
      <c r="N487">
        <v>71.428571428571416</v>
      </c>
    </row>
    <row r="488" spans="1:14">
      <c r="A488" s="16" t="s">
        <v>534</v>
      </c>
      <c r="F488">
        <v>105.76923076923077</v>
      </c>
      <c r="N488">
        <v>105.76923076923077</v>
      </c>
    </row>
    <row r="489" spans="1:14">
      <c r="A489" s="16" t="s">
        <v>535</v>
      </c>
      <c r="H489">
        <v>-10.989010989010978</v>
      </c>
      <c r="N489">
        <v>-10.989010989010978</v>
      </c>
    </row>
    <row r="490" spans="1:14">
      <c r="A490" s="16" t="s">
        <v>536</v>
      </c>
      <c r="H490">
        <v>211.53846153846155</v>
      </c>
      <c r="N490">
        <v>211.53846153846155</v>
      </c>
    </row>
    <row r="491" spans="1:14">
      <c r="A491" s="16" t="s">
        <v>537</v>
      </c>
      <c r="H491">
        <v>140.1098901098901</v>
      </c>
      <c r="N491">
        <v>140.1098901098901</v>
      </c>
    </row>
    <row r="492" spans="1:14">
      <c r="A492" s="16" t="s">
        <v>538</v>
      </c>
      <c r="H492">
        <v>266.4835164835165</v>
      </c>
      <c r="N492">
        <v>266.4835164835165</v>
      </c>
    </row>
    <row r="493" spans="1:14">
      <c r="A493" s="16" t="s">
        <v>539</v>
      </c>
      <c r="H493">
        <v>317.30769230769232</v>
      </c>
      <c r="N493">
        <v>317.30769230769232</v>
      </c>
    </row>
    <row r="494" spans="1:14">
      <c r="A494" s="16" t="s">
        <v>540</v>
      </c>
      <c r="H494">
        <v>177.19780219780222</v>
      </c>
      <c r="N494">
        <v>177.19780219780222</v>
      </c>
    </row>
    <row r="495" spans="1:14">
      <c r="A495" s="16" t="s">
        <v>541</v>
      </c>
      <c r="H495">
        <v>212.91208791208791</v>
      </c>
      <c r="N495">
        <v>212.91208791208791</v>
      </c>
    </row>
    <row r="496" spans="1:14">
      <c r="A496" s="16" t="s">
        <v>542</v>
      </c>
      <c r="H496">
        <v>229.39560439560441</v>
      </c>
      <c r="N496">
        <v>229.39560439560441</v>
      </c>
    </row>
    <row r="497" spans="1:14">
      <c r="A497" s="16" t="s">
        <v>543</v>
      </c>
      <c r="H497">
        <v>30.219780219780205</v>
      </c>
      <c r="N497">
        <v>30.219780219780205</v>
      </c>
    </row>
    <row r="498" spans="1:14">
      <c r="A498" s="16" t="s">
        <v>544</v>
      </c>
      <c r="H498">
        <v>159.34065934065933</v>
      </c>
      <c r="N498">
        <v>159.34065934065933</v>
      </c>
    </row>
    <row r="499" spans="1:14">
      <c r="A499" s="16" t="s">
        <v>545</v>
      </c>
      <c r="H499">
        <v>217.03296703296706</v>
      </c>
      <c r="N499">
        <v>217.03296703296706</v>
      </c>
    </row>
    <row r="500" spans="1:14">
      <c r="A500" s="16" t="s">
        <v>546</v>
      </c>
      <c r="H500">
        <v>45.329670329670321</v>
      </c>
      <c r="N500">
        <v>45.329670329670321</v>
      </c>
    </row>
    <row r="501" spans="1:14">
      <c r="A501" s="16" t="s">
        <v>547</v>
      </c>
      <c r="J501">
        <v>145.60439560439559</v>
      </c>
      <c r="N501">
        <v>145.60439560439559</v>
      </c>
    </row>
    <row r="502" spans="1:14">
      <c r="A502" s="16" t="s">
        <v>548</v>
      </c>
      <c r="H502">
        <v>70.054945054945051</v>
      </c>
      <c r="N502">
        <v>70.054945054945051</v>
      </c>
    </row>
    <row r="503" spans="1:14">
      <c r="A503" s="16" t="s">
        <v>549</v>
      </c>
      <c r="J503">
        <v>-50.824175824175825</v>
      </c>
      <c r="N503">
        <v>-50.824175824175825</v>
      </c>
    </row>
    <row r="504" spans="1:14">
      <c r="A504" s="16" t="s">
        <v>550</v>
      </c>
      <c r="J504">
        <v>175.82417582417582</v>
      </c>
      <c r="N504">
        <v>175.82417582417582</v>
      </c>
    </row>
    <row r="505" spans="1:14">
      <c r="A505" s="16" t="s">
        <v>551</v>
      </c>
      <c r="J505">
        <v>134.61538461538461</v>
      </c>
      <c r="N505">
        <v>134.61538461538461</v>
      </c>
    </row>
    <row r="506" spans="1:14">
      <c r="A506" s="16" t="s">
        <v>237</v>
      </c>
      <c r="F506">
        <v>138.46153846153845</v>
      </c>
      <c r="N506">
        <v>138.46153846153845</v>
      </c>
    </row>
    <row r="507" spans="1:14">
      <c r="A507" s="16" t="s">
        <v>238</v>
      </c>
      <c r="F507">
        <v>89.743589743589723</v>
      </c>
      <c r="N507">
        <v>89.743589743589723</v>
      </c>
    </row>
    <row r="508" spans="1:14">
      <c r="A508" s="16" t="s">
        <v>239</v>
      </c>
      <c r="H508">
        <v>16.666666666666668</v>
      </c>
      <c r="N508">
        <v>16.666666666666668</v>
      </c>
    </row>
    <row r="509" spans="1:14">
      <c r="A509" s="16" t="s">
        <v>240</v>
      </c>
      <c r="H509">
        <v>111.53846153846153</v>
      </c>
      <c r="N509">
        <v>111.53846153846153</v>
      </c>
    </row>
    <row r="510" spans="1:14">
      <c r="A510" s="16" t="s">
        <v>241</v>
      </c>
      <c r="F510">
        <v>148.71794871794873</v>
      </c>
      <c r="N510">
        <v>148.71794871794873</v>
      </c>
    </row>
    <row r="511" spans="1:14">
      <c r="A511" s="16" t="s">
        <v>242</v>
      </c>
      <c r="H511">
        <v>69.230769230769226</v>
      </c>
      <c r="N511">
        <v>69.230769230769226</v>
      </c>
    </row>
    <row r="512" spans="1:14">
      <c r="A512" s="16" t="s">
        <v>243</v>
      </c>
      <c r="F512">
        <v>132.05128205128204</v>
      </c>
      <c r="N512">
        <v>132.05128205128204</v>
      </c>
    </row>
    <row r="513" spans="1:14">
      <c r="A513" s="16" t="s">
        <v>244</v>
      </c>
      <c r="H513">
        <v>44.871794871794862</v>
      </c>
      <c r="N513">
        <v>44.871794871794862</v>
      </c>
    </row>
    <row r="514" spans="1:14">
      <c r="A514" s="16" t="s">
        <v>245</v>
      </c>
      <c r="F514">
        <v>265.38461538461536</v>
      </c>
      <c r="N514">
        <v>265.38461538461536</v>
      </c>
    </row>
    <row r="515" spans="1:14">
      <c r="A515" s="16" t="s">
        <v>246</v>
      </c>
      <c r="F515">
        <v>198.71794871794873</v>
      </c>
      <c r="N515">
        <v>198.71794871794873</v>
      </c>
    </row>
    <row r="516" spans="1:14">
      <c r="A516" s="16" t="s">
        <v>247</v>
      </c>
      <c r="H516">
        <v>148.71794871794873</v>
      </c>
      <c r="N516">
        <v>148.71794871794873</v>
      </c>
    </row>
    <row r="517" spans="1:14">
      <c r="A517" s="16" t="s">
        <v>248</v>
      </c>
      <c r="H517">
        <v>80.769230769230774</v>
      </c>
      <c r="N517">
        <v>80.769230769230774</v>
      </c>
    </row>
    <row r="518" spans="1:14">
      <c r="A518" s="16" t="s">
        <v>249</v>
      </c>
      <c r="H518">
        <v>143.58974358974359</v>
      </c>
      <c r="N518">
        <v>143.58974358974359</v>
      </c>
    </row>
    <row r="519" spans="1:14">
      <c r="A519" s="16" t="s">
        <v>250</v>
      </c>
      <c r="F519">
        <v>208.97435897435898</v>
      </c>
      <c r="N519">
        <v>208.97435897435898</v>
      </c>
    </row>
    <row r="520" spans="1:14">
      <c r="A520" s="16" t="s">
        <v>251</v>
      </c>
      <c r="H520">
        <v>107.69230769230769</v>
      </c>
      <c r="N520">
        <v>107.69230769230769</v>
      </c>
    </row>
    <row r="521" spans="1:14">
      <c r="A521" s="16" t="s">
        <v>252</v>
      </c>
      <c r="H521">
        <v>179.4871794871795</v>
      </c>
      <c r="N521">
        <v>179.4871794871795</v>
      </c>
    </row>
    <row r="522" spans="1:14">
      <c r="A522" s="16" t="s">
        <v>253</v>
      </c>
      <c r="F522">
        <v>164.10256410256409</v>
      </c>
      <c r="N522">
        <v>164.10256410256409</v>
      </c>
    </row>
    <row r="523" spans="1:14">
      <c r="A523" s="16" t="s">
        <v>254</v>
      </c>
      <c r="F523">
        <v>93.589743589743605</v>
      </c>
      <c r="N523">
        <v>93.589743589743605</v>
      </c>
    </row>
    <row r="524" spans="1:14">
      <c r="A524" s="16" t="s">
        <v>255</v>
      </c>
      <c r="F524">
        <v>152.56410256410257</v>
      </c>
      <c r="N524">
        <v>152.56410256410257</v>
      </c>
    </row>
    <row r="525" spans="1:14">
      <c r="A525" s="16" t="s">
        <v>256</v>
      </c>
      <c r="F525">
        <v>174.35897435897436</v>
      </c>
      <c r="N525">
        <v>174.35897435897436</v>
      </c>
    </row>
    <row r="526" spans="1:14">
      <c r="A526" s="16" t="s">
        <v>257</v>
      </c>
      <c r="F526">
        <v>138.46153846153845</v>
      </c>
      <c r="N526">
        <v>138.46153846153845</v>
      </c>
    </row>
    <row r="527" spans="1:14">
      <c r="A527" s="16" t="s">
        <v>258</v>
      </c>
      <c r="F527">
        <v>38.461538461538467</v>
      </c>
      <c r="N527">
        <v>38.461538461538467</v>
      </c>
    </row>
    <row r="528" spans="1:14">
      <c r="A528" s="16" t="s">
        <v>259</v>
      </c>
      <c r="H528">
        <v>83.333333333333329</v>
      </c>
      <c r="N528">
        <v>83.333333333333329</v>
      </c>
    </row>
    <row r="529" spans="1:14">
      <c r="A529" s="16" t="s">
        <v>260</v>
      </c>
      <c r="F529">
        <v>135.89743589743591</v>
      </c>
      <c r="N529">
        <v>135.89743589743591</v>
      </c>
    </row>
    <row r="530" spans="1:14">
      <c r="A530" s="16" t="s">
        <v>261</v>
      </c>
      <c r="F530">
        <v>58.974358974358978</v>
      </c>
      <c r="N530">
        <v>58.974358974358978</v>
      </c>
    </row>
    <row r="531" spans="1:14">
      <c r="A531" s="16" t="s">
        <v>262</v>
      </c>
      <c r="H531">
        <v>126.92307692307693</v>
      </c>
      <c r="N531">
        <v>126.92307692307693</v>
      </c>
    </row>
    <row r="532" spans="1:14">
      <c r="A532" s="16" t="s">
        <v>263</v>
      </c>
      <c r="F532">
        <v>114.10256410256412</v>
      </c>
      <c r="N532">
        <v>114.10256410256412</v>
      </c>
    </row>
    <row r="533" spans="1:14">
      <c r="A533" s="16" t="s">
        <v>264</v>
      </c>
      <c r="F533">
        <v>64.102564102564088</v>
      </c>
      <c r="N533">
        <v>64.102564102564088</v>
      </c>
    </row>
    <row r="534" spans="1:14">
      <c r="A534" s="16" t="s">
        <v>265</v>
      </c>
      <c r="F534">
        <v>169.23076923076923</v>
      </c>
      <c r="N534">
        <v>169.23076923076923</v>
      </c>
    </row>
    <row r="535" spans="1:14">
      <c r="A535" s="16" t="s">
        <v>266</v>
      </c>
      <c r="H535">
        <v>80.769230769230774</v>
      </c>
      <c r="N535">
        <v>80.769230769230774</v>
      </c>
    </row>
    <row r="536" spans="1:14">
      <c r="A536" s="16" t="s">
        <v>597</v>
      </c>
      <c r="B536">
        <v>229.16666666666671</v>
      </c>
      <c r="C536">
        <v>162.42167919799485</v>
      </c>
      <c r="D536">
        <v>114.42577030812338</v>
      </c>
      <c r="E536">
        <v>161.34453781512605</v>
      </c>
      <c r="F536">
        <v>91.707717569786496</v>
      </c>
      <c r="G536">
        <v>180.95238095238085</v>
      </c>
      <c r="H536">
        <v>50.90205744411351</v>
      </c>
      <c r="I536">
        <v>87.499999999999957</v>
      </c>
      <c r="J536">
        <v>10.21716378859235</v>
      </c>
      <c r="K536">
        <v>-72.619047619047606</v>
      </c>
      <c r="L536">
        <v>-136.36363636363637</v>
      </c>
      <c r="M536">
        <v>132.7578347578347</v>
      </c>
      <c r="N536">
        <v>94.467193201906227</v>
      </c>
    </row>
  </sheetData>
  <customSheetViews>
    <customSheetView guid="{51F81FF1-EE1A-40FC-8953-32A9F2F33EA5}" state="hidden">
      <pageMargins left="0" right="0" top="0" bottom="0" header="0" footer="0"/>
    </customSheetView>
  </customSheetViews>
  <pageMargins left="0.7" right="0.7" top="0.75" bottom="0.75" header="0.3" footer="0.3"/>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73B3D-C459-4F1A-8EA6-29D506C269B8}">
  <sheetPr codeName="Sheet12"/>
  <dimension ref="A1:BE536"/>
  <sheetViews>
    <sheetView workbookViewId="0">
      <selection activeCell="A2" sqref="A2"/>
    </sheetView>
  </sheetViews>
  <sheetFormatPr defaultRowHeight="14.85"/>
  <cols>
    <col min="1" max="1" width="12.42578125" bestFit="1" customWidth="1"/>
    <col min="2" max="2" width="24.42578125" bestFit="1" customWidth="1"/>
    <col min="3" max="3" width="16.140625" bestFit="1" customWidth="1"/>
    <col min="4" max="11" width="11.85546875" bestFit="1" customWidth="1"/>
    <col min="12" max="14" width="13" bestFit="1" customWidth="1"/>
    <col min="15" max="22" width="5" customWidth="1"/>
    <col min="23" max="23" width="9.140625" customWidth="1"/>
    <col min="24" max="24" width="6.42578125" customWidth="1"/>
    <col min="25" max="26" width="5" customWidth="1"/>
    <col min="27" max="27" width="12.85546875" customWidth="1"/>
    <col min="28" max="32" width="5" customWidth="1"/>
    <col min="33" max="33" width="18.28515625" bestFit="1" customWidth="1"/>
    <col min="34" max="34" width="22" bestFit="1" customWidth="1"/>
    <col min="35" max="35" width="18.28515625" bestFit="1" customWidth="1"/>
    <col min="36" max="36" width="22" bestFit="1" customWidth="1"/>
    <col min="37" max="37" width="18.28515625" bestFit="1" customWidth="1"/>
    <col min="38" max="38" width="22" bestFit="1" customWidth="1"/>
    <col min="39" max="39" width="18.28515625" bestFit="1" customWidth="1"/>
    <col min="40" max="40" width="22" bestFit="1" customWidth="1"/>
    <col min="41" max="41" width="18.28515625" bestFit="1" customWidth="1"/>
    <col min="42" max="42" width="22" bestFit="1" customWidth="1"/>
    <col min="43" max="43" width="18.28515625" bestFit="1" customWidth="1"/>
    <col min="44" max="44" width="22" bestFit="1" customWidth="1"/>
    <col min="45" max="45" width="18.28515625" bestFit="1" customWidth="1"/>
    <col min="46" max="46" width="22" bestFit="1" customWidth="1"/>
    <col min="47" max="47" width="24.85546875" bestFit="1" customWidth="1"/>
    <col min="48" max="48" width="15.28515625" bestFit="1" customWidth="1"/>
    <col min="49" max="49" width="13" bestFit="1" customWidth="1"/>
    <col min="50" max="51" width="12.42578125" bestFit="1" customWidth="1"/>
    <col min="52" max="52" width="13" bestFit="1" customWidth="1"/>
    <col min="53" max="53" width="12.42578125" bestFit="1" customWidth="1"/>
    <col min="54" max="55" width="13" bestFit="1" customWidth="1"/>
    <col min="56" max="56" width="12.42578125" bestFit="1" customWidth="1"/>
    <col min="57" max="57" width="13" bestFit="1" customWidth="1"/>
    <col min="58" max="58" width="22" bestFit="1" customWidth="1"/>
    <col min="59" max="59" width="18.28515625" bestFit="1" customWidth="1"/>
    <col min="60" max="60" width="22" bestFit="1" customWidth="1"/>
    <col min="61" max="61" width="18.28515625" bestFit="1" customWidth="1"/>
    <col min="62" max="62" width="27" bestFit="1" customWidth="1"/>
    <col min="63" max="63" width="23.28515625" bestFit="1" customWidth="1"/>
  </cols>
  <sheetData>
    <row r="1" spans="1:57">
      <c r="A1" s="15" t="s">
        <v>559</v>
      </c>
      <c r="B1" t="s">
        <v>593</v>
      </c>
      <c r="AD1" t="s">
        <v>300</v>
      </c>
      <c r="AE1" t="s">
        <v>336</v>
      </c>
      <c r="AF1" t="s">
        <v>371</v>
      </c>
      <c r="AG1" t="s">
        <v>425</v>
      </c>
      <c r="AH1" t="s">
        <v>478</v>
      </c>
      <c r="AI1" t="s">
        <v>499</v>
      </c>
      <c r="AJ1" t="s">
        <v>268</v>
      </c>
      <c r="AK1" t="s">
        <v>521</v>
      </c>
      <c r="AL1" t="s">
        <v>236</v>
      </c>
      <c r="AU1" t="s">
        <v>594</v>
      </c>
      <c r="AV1" t="s">
        <v>595</v>
      </c>
    </row>
    <row r="2" spans="1:57">
      <c r="AC2">
        <v>13.86</v>
      </c>
      <c r="AD2">
        <v>43.345838484848471</v>
      </c>
      <c r="AU2" t="s">
        <v>596</v>
      </c>
      <c r="AV2" t="s">
        <v>300</v>
      </c>
      <c r="AW2" t="s">
        <v>336</v>
      </c>
      <c r="AX2" t="s">
        <v>371</v>
      </c>
      <c r="AY2" t="s">
        <v>425</v>
      </c>
      <c r="AZ2" t="s">
        <v>478</v>
      </c>
      <c r="BA2" t="s">
        <v>499</v>
      </c>
      <c r="BB2" t="s">
        <v>268</v>
      </c>
      <c r="BC2" t="s">
        <v>521</v>
      </c>
      <c r="BD2" t="s">
        <v>236</v>
      </c>
      <c r="BE2" t="s">
        <v>597</v>
      </c>
    </row>
    <row r="3" spans="1:57">
      <c r="A3" s="15" t="s">
        <v>596</v>
      </c>
      <c r="B3" t="s">
        <v>594</v>
      </c>
      <c r="J3" t="s">
        <v>185</v>
      </c>
      <c r="K3" t="s">
        <v>588</v>
      </c>
      <c r="AC3">
        <v>27.72</v>
      </c>
      <c r="AD3">
        <v>27.188801315126046</v>
      </c>
      <c r="AE3">
        <v>45.95626819327731</v>
      </c>
      <c r="AU3" s="20">
        <v>13.86</v>
      </c>
      <c r="AV3">
        <v>622.68907563025198</v>
      </c>
      <c r="BE3">
        <v>622.68907563025198</v>
      </c>
    </row>
    <row r="4" spans="1:57">
      <c r="A4" s="20">
        <v>34.020000000000003</v>
      </c>
      <c r="B4">
        <v>421.42857142857133</v>
      </c>
      <c r="D4" s="19">
        <f>A4</f>
        <v>34.020000000000003</v>
      </c>
      <c r="E4">
        <f>B4</f>
        <v>421.42857142857133</v>
      </c>
      <c r="J4" s="19">
        <v>13.86</v>
      </c>
      <c r="K4" s="19">
        <v>708.57142857142844</v>
      </c>
      <c r="W4" t="s">
        <v>581</v>
      </c>
      <c r="X4" s="32">
        <v>-7.89</v>
      </c>
      <c r="Y4">
        <v>710</v>
      </c>
      <c r="AC4">
        <v>28.6</v>
      </c>
      <c r="AK4">
        <v>29.190682743589743</v>
      </c>
      <c r="AU4" s="20">
        <v>27.72</v>
      </c>
      <c r="AV4">
        <v>86.554621848739586</v>
      </c>
      <c r="AW4">
        <v>675.63025210084049</v>
      </c>
      <c r="BE4">
        <v>381.09243697478996</v>
      </c>
    </row>
    <row r="5" spans="1:57">
      <c r="A5" s="20">
        <v>34.580000000000005</v>
      </c>
      <c r="B5">
        <v>442.85714285714306</v>
      </c>
      <c r="D5" s="19">
        <f t="shared" ref="D5:D25" si="0">A5</f>
        <v>34.580000000000005</v>
      </c>
      <c r="E5">
        <f t="shared" ref="E5:E25" si="1">B5</f>
        <v>442.85714285714306</v>
      </c>
      <c r="J5" s="19">
        <v>27.72</v>
      </c>
      <c r="K5" s="19">
        <v>560.71428571428532</v>
      </c>
      <c r="W5" t="s">
        <v>208</v>
      </c>
      <c r="X5" s="32">
        <v>-5.63</v>
      </c>
      <c r="Y5">
        <v>440</v>
      </c>
      <c r="AC5">
        <v>32.400000000000006</v>
      </c>
      <c r="AL5">
        <v>21.048816972222212</v>
      </c>
      <c r="AU5" s="20">
        <v>28.6</v>
      </c>
      <c r="BC5">
        <v>330.76923076923077</v>
      </c>
      <c r="BE5">
        <v>330.76923076923077</v>
      </c>
    </row>
    <row r="6" spans="1:57">
      <c r="A6" s="20">
        <v>44.24</v>
      </c>
      <c r="B6">
        <v>-33.834586466165412</v>
      </c>
      <c r="D6" s="19">
        <f t="shared" si="0"/>
        <v>44.24</v>
      </c>
      <c r="E6">
        <f t="shared" si="1"/>
        <v>-33.834586466165412</v>
      </c>
      <c r="J6" s="19">
        <v>41.58</v>
      </c>
      <c r="K6" s="19">
        <v>125.71428571428547</v>
      </c>
      <c r="W6" t="s">
        <v>210</v>
      </c>
      <c r="X6" s="32">
        <v>-6.64</v>
      </c>
      <c r="Y6">
        <v>462</v>
      </c>
      <c r="AC6">
        <v>34.020000000000003</v>
      </c>
      <c r="AH6">
        <v>21.755294107142859</v>
      </c>
      <c r="AU6" s="20">
        <v>32.400000000000006</v>
      </c>
      <c r="BD6">
        <v>172.22222222222223</v>
      </c>
      <c r="BE6">
        <v>172.22222222222223</v>
      </c>
    </row>
    <row r="7" spans="1:57">
      <c r="A7" s="20">
        <v>51.03</v>
      </c>
      <c r="B7">
        <v>-357.14285714285717</v>
      </c>
      <c r="D7" s="19">
        <f t="shared" si="0"/>
        <v>51.03</v>
      </c>
      <c r="E7">
        <f t="shared" si="1"/>
        <v>-357.14285714285717</v>
      </c>
      <c r="J7" s="19">
        <v>53.46</v>
      </c>
      <c r="K7" s="19">
        <v>520.00000000000034</v>
      </c>
      <c r="W7" t="s">
        <v>212</v>
      </c>
      <c r="X7" s="32">
        <v>-5.29</v>
      </c>
      <c r="Y7">
        <v>311</v>
      </c>
      <c r="AC7">
        <v>34.580000000000005</v>
      </c>
      <c r="AI7">
        <v>21.359482464285716</v>
      </c>
      <c r="AU7" s="20">
        <v>34.020000000000003</v>
      </c>
      <c r="AZ7">
        <v>199.64285714285717</v>
      </c>
      <c r="BE7">
        <v>199.64285714285717</v>
      </c>
    </row>
    <row r="8" spans="1:57">
      <c r="A8" s="20">
        <v>51.870000000000005</v>
      </c>
      <c r="B8">
        <v>-142.85714285714286</v>
      </c>
      <c r="D8" s="19">
        <f t="shared" si="0"/>
        <v>51.870000000000005</v>
      </c>
      <c r="E8">
        <f t="shared" si="1"/>
        <v>-142.85714285714286</v>
      </c>
      <c r="J8" s="19">
        <v>55.44</v>
      </c>
      <c r="K8" s="19">
        <v>272.72727272727315</v>
      </c>
      <c r="AC8">
        <v>37.6</v>
      </c>
      <c r="AF8">
        <v>12.971169320754715</v>
      </c>
      <c r="AU8" s="20">
        <v>34.580000000000005</v>
      </c>
      <c r="BA8">
        <v>191.78571428571428</v>
      </c>
      <c r="BE8">
        <v>191.78571428571428</v>
      </c>
    </row>
    <row r="9" spans="1:57">
      <c r="A9" s="20">
        <v>68.040000000000006</v>
      </c>
      <c r="B9">
        <v>-142.85714285714286</v>
      </c>
      <c r="D9" s="19">
        <f t="shared" si="0"/>
        <v>68.040000000000006</v>
      </c>
      <c r="E9">
        <f t="shared" si="1"/>
        <v>-142.85714285714286</v>
      </c>
      <c r="J9" s="19">
        <v>69.3</v>
      </c>
      <c r="K9" s="19">
        <v>44.999999999999922</v>
      </c>
      <c r="AC9">
        <v>37.76</v>
      </c>
      <c r="AG9">
        <v>27.106662846153849</v>
      </c>
      <c r="AU9" s="20">
        <v>37.6</v>
      </c>
      <c r="AX9">
        <v>33.018867924528294</v>
      </c>
      <c r="BE9">
        <v>33.018867924528294</v>
      </c>
    </row>
    <row r="10" spans="1:57">
      <c r="A10" s="20">
        <v>69.160000000000011</v>
      </c>
      <c r="B10">
        <v>-85.714285714284898</v>
      </c>
      <c r="D10" s="19">
        <f t="shared" si="0"/>
        <v>69.160000000000011</v>
      </c>
      <c r="E10">
        <f t="shared" si="1"/>
        <v>-85.714285714284898</v>
      </c>
      <c r="J10" s="19">
        <v>83.16</v>
      </c>
      <c r="K10" s="19">
        <v>-225.00000000000017</v>
      </c>
      <c r="AC10">
        <v>41.58</v>
      </c>
      <c r="AD10">
        <v>21.342155838935568</v>
      </c>
      <c r="AU10" s="20">
        <v>37.76</v>
      </c>
      <c r="AY10">
        <v>305.76923076923077</v>
      </c>
      <c r="BE10">
        <v>305.76923076923077</v>
      </c>
    </row>
    <row r="11" spans="1:57">
      <c r="A11" s="20">
        <v>88.48</v>
      </c>
      <c r="B11">
        <v>-212.40601503759399</v>
      </c>
      <c r="D11" s="19">
        <f t="shared" si="0"/>
        <v>88.48</v>
      </c>
      <c r="E11">
        <f t="shared" si="1"/>
        <v>-212.40601503759399</v>
      </c>
      <c r="J11" s="19">
        <v>97.02</v>
      </c>
      <c r="K11" s="19">
        <v>-17.142857142856563</v>
      </c>
      <c r="AC11">
        <v>44.24</v>
      </c>
      <c r="AJ11">
        <v>13.244078845238095</v>
      </c>
      <c r="AU11" s="20">
        <v>41.58</v>
      </c>
      <c r="AV11">
        <v>52.941176470588161</v>
      </c>
      <c r="BE11">
        <v>52.941176470588161</v>
      </c>
    </row>
    <row r="12" spans="1:57">
      <c r="A12" s="20">
        <v>102.06</v>
      </c>
      <c r="B12">
        <v>-71.428571428571431</v>
      </c>
      <c r="D12" s="19">
        <f t="shared" si="0"/>
        <v>102.06</v>
      </c>
      <c r="E12">
        <f t="shared" si="1"/>
        <v>-71.428571428571431</v>
      </c>
      <c r="J12" s="19">
        <v>106.92</v>
      </c>
      <c r="K12" s="19">
        <v>-103.03030303030309</v>
      </c>
      <c r="AC12">
        <v>51.03</v>
      </c>
      <c r="AH12">
        <v>15.454445630952382</v>
      </c>
      <c r="AU12" s="20">
        <v>44.24</v>
      </c>
      <c r="BB12">
        <v>-29.761904761904763</v>
      </c>
      <c r="BE12">
        <v>-29.761904761904763</v>
      </c>
    </row>
    <row r="13" spans="1:57">
      <c r="A13" s="20">
        <v>103.74000000000001</v>
      </c>
      <c r="B13">
        <v>-128.57142857142887</v>
      </c>
      <c r="D13" s="19">
        <f t="shared" si="0"/>
        <v>103.74000000000001</v>
      </c>
      <c r="E13">
        <f t="shared" si="1"/>
        <v>-128.57142857142887</v>
      </c>
      <c r="J13" s="19">
        <v>110.88</v>
      </c>
      <c r="K13" s="19">
        <v>5.7142857142851771</v>
      </c>
      <c r="AC13">
        <v>51.870000000000005</v>
      </c>
      <c r="AI13">
        <v>18.648227976190473</v>
      </c>
      <c r="AU13" s="20">
        <v>51.03</v>
      </c>
      <c r="AZ13">
        <v>-171.42857142857139</v>
      </c>
      <c r="BE13">
        <v>-171.42857142857139</v>
      </c>
    </row>
    <row r="14" spans="1:57">
      <c r="A14" s="20" t="s">
        <v>597</v>
      </c>
      <c r="B14">
        <v>-103.10559006211177</v>
      </c>
      <c r="D14" s="19" t="str">
        <f t="shared" si="0"/>
        <v>Grand Total</v>
      </c>
      <c r="E14">
        <f t="shared" si="1"/>
        <v>-103.10559006211177</v>
      </c>
      <c r="AC14">
        <v>53.46</v>
      </c>
      <c r="AD14">
        <v>30.670234778867098</v>
      </c>
      <c r="AU14" s="20">
        <v>51.870000000000005</v>
      </c>
      <c r="BA14">
        <v>25.000000000000007</v>
      </c>
      <c r="BE14">
        <v>25.000000000000007</v>
      </c>
    </row>
    <row r="15" spans="1:57">
      <c r="D15" s="19">
        <f t="shared" si="0"/>
        <v>0</v>
      </c>
      <c r="E15">
        <f t="shared" si="1"/>
        <v>0</v>
      </c>
      <c r="J15" t="s">
        <v>185</v>
      </c>
      <c r="K15" t="s">
        <v>124</v>
      </c>
      <c r="AC15">
        <v>55.44</v>
      </c>
      <c r="AE15">
        <v>38.463152109243708</v>
      </c>
      <c r="AU15" s="20">
        <v>53.46</v>
      </c>
      <c r="AV15">
        <v>479.41176470588243</v>
      </c>
      <c r="BE15">
        <v>479.41176470588243</v>
      </c>
    </row>
    <row r="16" spans="1:57">
      <c r="D16" s="19">
        <f t="shared" si="0"/>
        <v>0</v>
      </c>
      <c r="E16">
        <f t="shared" si="1"/>
        <v>0</v>
      </c>
      <c r="H16" s="19"/>
      <c r="J16" s="19">
        <v>13.86</v>
      </c>
      <c r="K16" s="19">
        <v>625.85034013605423</v>
      </c>
      <c r="AC16">
        <v>59.400000000000006</v>
      </c>
      <c r="AK16">
        <v>18.407722567901239</v>
      </c>
      <c r="AU16" s="20">
        <v>55.44</v>
      </c>
      <c r="AW16">
        <v>354.6218487394961</v>
      </c>
      <c r="BE16">
        <v>354.6218487394961</v>
      </c>
    </row>
    <row r="17" spans="4:57">
      <c r="D17" s="19">
        <f t="shared" si="0"/>
        <v>0</v>
      </c>
      <c r="E17">
        <f t="shared" si="1"/>
        <v>0</v>
      </c>
      <c r="H17" s="19"/>
      <c r="J17" s="19">
        <v>27.72</v>
      </c>
      <c r="K17" s="19">
        <v>331.13553113553121</v>
      </c>
      <c r="AC17">
        <v>60.480000000000004</v>
      </c>
      <c r="AL17">
        <v>16.241271474358975</v>
      </c>
      <c r="AU17" s="20">
        <v>59.400000000000006</v>
      </c>
      <c r="BC17">
        <v>-83.333333333333343</v>
      </c>
      <c r="BE17">
        <v>-83.333333333333343</v>
      </c>
    </row>
    <row r="18" spans="4:57">
      <c r="D18" s="19">
        <f t="shared" si="0"/>
        <v>0</v>
      </c>
      <c r="E18">
        <f t="shared" si="1"/>
        <v>0</v>
      </c>
      <c r="H18" s="19"/>
      <c r="J18" s="19">
        <v>28.6</v>
      </c>
      <c r="K18" s="19">
        <v>-38.461538461538467</v>
      </c>
      <c r="AC18">
        <v>68.040000000000006</v>
      </c>
      <c r="AH18">
        <v>15.097273821428569</v>
      </c>
      <c r="AU18" s="20">
        <v>60.480000000000004</v>
      </c>
      <c r="BD18">
        <v>73.076923076923094</v>
      </c>
      <c r="BE18">
        <v>73.076923076923094</v>
      </c>
    </row>
    <row r="19" spans="4:57">
      <c r="D19" s="19">
        <f t="shared" si="0"/>
        <v>0</v>
      </c>
      <c r="E19">
        <f t="shared" si="1"/>
        <v>0</v>
      </c>
      <c r="H19" s="19"/>
      <c r="J19" s="19">
        <v>32.400000000000006</v>
      </c>
      <c r="K19" s="19">
        <v>190.74074074074073</v>
      </c>
      <c r="AC19">
        <v>68.150000000000006</v>
      </c>
      <c r="AF19">
        <v>19.44979188679245</v>
      </c>
      <c r="AU19" s="20">
        <v>68.040000000000006</v>
      </c>
      <c r="AZ19">
        <v>42.857142857142755</v>
      </c>
      <c r="BE19">
        <v>42.857142857142755</v>
      </c>
    </row>
    <row r="20" spans="4:57">
      <c r="D20" s="19">
        <f t="shared" si="0"/>
        <v>0</v>
      </c>
      <c r="E20">
        <f t="shared" si="1"/>
        <v>0</v>
      </c>
      <c r="H20" s="19"/>
      <c r="J20" s="19">
        <v>34.020000000000003</v>
      </c>
      <c r="K20" s="19">
        <v>241.07142857142856</v>
      </c>
      <c r="AC20">
        <v>68.44</v>
      </c>
      <c r="AG20">
        <v>20.953022692307687</v>
      </c>
      <c r="AU20" s="20">
        <v>68.150000000000006</v>
      </c>
      <c r="AX20">
        <v>296.66182873730043</v>
      </c>
      <c r="BE20">
        <v>296.66182873730043</v>
      </c>
    </row>
    <row r="21" spans="4:57">
      <c r="D21" s="19">
        <f t="shared" si="0"/>
        <v>0</v>
      </c>
      <c r="E21">
        <f t="shared" si="1"/>
        <v>0</v>
      </c>
      <c r="H21" s="19"/>
      <c r="J21" s="19">
        <v>34.580000000000005</v>
      </c>
      <c r="K21" s="19">
        <v>278.57142857142856</v>
      </c>
      <c r="AC21">
        <v>69.160000000000011</v>
      </c>
      <c r="AI21">
        <v>17.374939257142852</v>
      </c>
      <c r="AU21" s="20">
        <v>68.44</v>
      </c>
      <c r="AY21">
        <v>24.852071005917193</v>
      </c>
      <c r="BE21">
        <v>24.852071005917193</v>
      </c>
    </row>
    <row r="22" spans="4:57">
      <c r="D22" s="19">
        <f t="shared" si="0"/>
        <v>0</v>
      </c>
      <c r="E22">
        <f t="shared" si="1"/>
        <v>0</v>
      </c>
      <c r="H22" s="19"/>
      <c r="J22" s="19">
        <v>41.58</v>
      </c>
      <c r="K22" s="19">
        <v>73.469387755102048</v>
      </c>
      <c r="AC22">
        <v>69.3</v>
      </c>
      <c r="AD22">
        <v>23.887142911764698</v>
      </c>
      <c r="AU22" s="20">
        <v>69.160000000000011</v>
      </c>
      <c r="BA22">
        <v>30.000000000000068</v>
      </c>
      <c r="BE22">
        <v>30.000000000000068</v>
      </c>
    </row>
    <row r="23" spans="4:57">
      <c r="D23" s="19">
        <f t="shared" si="0"/>
        <v>0</v>
      </c>
      <c r="E23">
        <f t="shared" si="1"/>
        <v>0</v>
      </c>
      <c r="H23" s="19"/>
      <c r="J23" s="19">
        <v>51.03</v>
      </c>
      <c r="K23" s="19">
        <v>-142.85714285714283</v>
      </c>
      <c r="AC23">
        <v>83.16</v>
      </c>
      <c r="AD23">
        <v>18.784198892156859</v>
      </c>
      <c r="AE23">
        <v>25.793529487394952</v>
      </c>
      <c r="AU23" s="20">
        <v>69.3</v>
      </c>
      <c r="AV23">
        <v>34.558823529411775</v>
      </c>
      <c r="BE23">
        <v>34.558823529411775</v>
      </c>
    </row>
    <row r="24" spans="4:57">
      <c r="D24" s="19">
        <f t="shared" si="0"/>
        <v>0</v>
      </c>
      <c r="E24">
        <f t="shared" si="1"/>
        <v>0</v>
      </c>
      <c r="H24" s="19"/>
      <c r="J24" s="19">
        <v>51.870000000000005</v>
      </c>
      <c r="K24" s="19">
        <v>35.714285714285708</v>
      </c>
      <c r="AC24">
        <v>88.48</v>
      </c>
      <c r="AJ24">
        <v>3.9535195952380948</v>
      </c>
      <c r="AU24" s="20">
        <v>83.16</v>
      </c>
      <c r="AV24">
        <v>-127.73109243697493</v>
      </c>
      <c r="AW24">
        <v>-238.65546218487404</v>
      </c>
      <c r="BE24">
        <v>-183.19327731092449</v>
      </c>
    </row>
    <row r="25" spans="4:57">
      <c r="D25" s="19">
        <f t="shared" si="0"/>
        <v>0</v>
      </c>
      <c r="E25">
        <f t="shared" si="1"/>
        <v>0</v>
      </c>
      <c r="H25" s="19"/>
      <c r="J25" s="19">
        <v>53.46</v>
      </c>
      <c r="K25" s="19">
        <v>357.14285714285717</v>
      </c>
      <c r="AC25">
        <v>97.02</v>
      </c>
      <c r="AD25">
        <v>17.180210153061232</v>
      </c>
      <c r="AU25" s="20">
        <v>88.48</v>
      </c>
      <c r="BB25">
        <v>-213.0952380952381</v>
      </c>
      <c r="BE25">
        <v>-213.0952380952381</v>
      </c>
    </row>
    <row r="26" spans="4:57">
      <c r="D26" s="19">
        <f t="shared" ref="D26:D27" si="2">A26</f>
        <v>0</v>
      </c>
      <c r="E26">
        <f t="shared" ref="E26:E27" si="3">B26</f>
        <v>0</v>
      </c>
      <c r="H26" s="19"/>
      <c r="J26" s="19">
        <v>55.44</v>
      </c>
      <c r="K26" s="19">
        <v>368.25396825396837</v>
      </c>
      <c r="AC26">
        <v>102.06</v>
      </c>
      <c r="AH26">
        <v>11.165000297619047</v>
      </c>
      <c r="AU26" s="20">
        <v>97.02</v>
      </c>
      <c r="AV26">
        <v>-123.52941176470559</v>
      </c>
      <c r="BE26">
        <v>-123.52941176470559</v>
      </c>
    </row>
    <row r="27" spans="4:57">
      <c r="D27" s="19">
        <f t="shared" si="2"/>
        <v>0</v>
      </c>
      <c r="E27">
        <f t="shared" si="3"/>
        <v>0</v>
      </c>
      <c r="H27" s="19"/>
      <c r="J27" s="19">
        <v>59.400000000000006</v>
      </c>
      <c r="K27" s="19">
        <v>250</v>
      </c>
      <c r="AC27">
        <v>103.4</v>
      </c>
      <c r="AF27">
        <v>19.010740662092626</v>
      </c>
      <c r="AU27" s="20">
        <v>102.06</v>
      </c>
      <c r="AZ27">
        <v>-149.99999999999994</v>
      </c>
      <c r="BE27">
        <v>-149.99999999999994</v>
      </c>
    </row>
    <row r="28" spans="4:57">
      <c r="H28" s="19"/>
      <c r="J28" s="19">
        <v>60.480000000000004</v>
      </c>
      <c r="K28" s="19">
        <v>85.470085470085465</v>
      </c>
      <c r="AC28">
        <v>103.74000000000001</v>
      </c>
      <c r="AI28">
        <v>12.189034838095237</v>
      </c>
      <c r="AU28" s="20">
        <v>103.4</v>
      </c>
      <c r="AX28">
        <v>108.67924528301882</v>
      </c>
      <c r="BE28">
        <v>108.67924528301882</v>
      </c>
    </row>
    <row r="29" spans="4:57">
      <c r="H29" s="19"/>
      <c r="J29" s="19">
        <v>68.040000000000006</v>
      </c>
      <c r="K29" s="19">
        <v>139.28571428571422</v>
      </c>
      <c r="AC29">
        <v>103.83999999999999</v>
      </c>
      <c r="AG29">
        <v>18.448767956293704</v>
      </c>
      <c r="AU29" s="20">
        <v>103.74000000000001</v>
      </c>
      <c r="BA29">
        <v>-180.00000000000006</v>
      </c>
      <c r="BE29">
        <v>-180.00000000000006</v>
      </c>
    </row>
    <row r="30" spans="4:57">
      <c r="H30" s="19"/>
      <c r="J30" s="19">
        <v>69.160000000000011</v>
      </c>
      <c r="K30" s="19">
        <v>50.000000000000028</v>
      </c>
      <c r="AC30">
        <v>106.92</v>
      </c>
      <c r="AE30">
        <v>21.881757098039216</v>
      </c>
      <c r="AU30" s="20">
        <v>103.83999999999999</v>
      </c>
      <c r="AY30">
        <v>26.794871794871799</v>
      </c>
      <c r="BE30">
        <v>26.794871794871799</v>
      </c>
    </row>
    <row r="31" spans="4:57">
      <c r="H31" s="19"/>
      <c r="J31" s="19">
        <v>69.3</v>
      </c>
      <c r="K31" s="19">
        <v>109.52380952380946</v>
      </c>
      <c r="AC31">
        <v>110.88</v>
      </c>
      <c r="AD31">
        <v>12.932216756302521</v>
      </c>
      <c r="AU31" s="20">
        <v>106.92</v>
      </c>
      <c r="AW31">
        <v>-85.294117647058883</v>
      </c>
      <c r="BE31">
        <v>-85.294117647058883</v>
      </c>
    </row>
    <row r="32" spans="4:57">
      <c r="H32" s="19"/>
      <c r="J32" s="19">
        <v>83.16</v>
      </c>
      <c r="K32" s="19">
        <v>-178.02197802197804</v>
      </c>
      <c r="AU32" s="20">
        <v>110.88</v>
      </c>
      <c r="AV32">
        <v>-221.00840336134462</v>
      </c>
      <c r="BE32">
        <v>-221.00840336134462</v>
      </c>
    </row>
    <row r="33" spans="4:57">
      <c r="H33" s="19"/>
      <c r="J33" s="19">
        <v>97.02</v>
      </c>
      <c r="K33" s="19">
        <v>-137.41496598639429</v>
      </c>
      <c r="AU33" s="20" t="s">
        <v>597</v>
      </c>
      <c r="AV33">
        <v>100.48581932773106</v>
      </c>
      <c r="AW33">
        <v>176.57563025210106</v>
      </c>
      <c r="AX33">
        <v>146.11998064828254</v>
      </c>
      <c r="AY33">
        <v>119.13872452333992</v>
      </c>
      <c r="AZ33">
        <v>-19.732142857142868</v>
      </c>
      <c r="BA33">
        <v>16.696428571428591</v>
      </c>
      <c r="BB33">
        <v>-121.42857142857142</v>
      </c>
      <c r="BC33">
        <v>123.7179487179487</v>
      </c>
      <c r="BD33">
        <v>122.64957264957266</v>
      </c>
      <c r="BE33">
        <v>94.467193201906255</v>
      </c>
    </row>
    <row r="34" spans="4:57">
      <c r="H34" s="19"/>
      <c r="J34" s="19">
        <v>102.06</v>
      </c>
      <c r="K34" s="19">
        <v>-185.71428571428567</v>
      </c>
    </row>
    <row r="35" spans="4:57">
      <c r="H35" s="19"/>
      <c r="J35" s="19">
        <v>103.74000000000001</v>
      </c>
      <c r="K35" s="19">
        <v>-166.66666666666666</v>
      </c>
    </row>
    <row r="36" spans="4:57">
      <c r="H36" s="19"/>
      <c r="J36" s="19">
        <v>106.92</v>
      </c>
      <c r="K36" s="19">
        <v>-7.4074074074075105</v>
      </c>
    </row>
    <row r="37" spans="4:57">
      <c r="H37" s="19"/>
      <c r="J37" s="19">
        <v>110.88</v>
      </c>
      <c r="K37" s="19">
        <v>-213.60544217687064</v>
      </c>
    </row>
    <row r="38" spans="4:57">
      <c r="D38" s="19"/>
      <c r="E38" s="19"/>
    </row>
    <row r="39" spans="4:57">
      <c r="J39" t="s">
        <v>185</v>
      </c>
      <c r="K39" t="s">
        <v>125</v>
      </c>
    </row>
    <row r="40" spans="4:57">
      <c r="J40" s="19">
        <v>13.86</v>
      </c>
      <c r="K40" s="19">
        <v>560.71428571428555</v>
      </c>
    </row>
    <row r="41" spans="4:57">
      <c r="J41" s="19">
        <v>27.72</v>
      </c>
      <c r="K41" s="19">
        <v>309.89010989011001</v>
      </c>
    </row>
    <row r="42" spans="4:57">
      <c r="J42" s="19">
        <v>28.6</v>
      </c>
      <c r="K42" s="19">
        <v>343.50132625994701</v>
      </c>
    </row>
    <row r="43" spans="4:57">
      <c r="J43" s="19">
        <v>32.400000000000006</v>
      </c>
      <c r="K43" s="19">
        <v>144.44444444444446</v>
      </c>
    </row>
    <row r="44" spans="4:57">
      <c r="J44" s="19">
        <v>34.020000000000003</v>
      </c>
      <c r="K44" s="19">
        <v>173.80952380952385</v>
      </c>
    </row>
    <row r="45" spans="4:57">
      <c r="J45" s="19">
        <v>34.580000000000005</v>
      </c>
      <c r="K45" s="19">
        <v>132.41758241758234</v>
      </c>
    </row>
    <row r="46" spans="4:57">
      <c r="J46" s="19">
        <v>41.58</v>
      </c>
      <c r="K46" s="19">
        <v>-46.428571428571587</v>
      </c>
    </row>
    <row r="47" spans="4:57">
      <c r="J47" s="19">
        <v>44.24</v>
      </c>
      <c r="K47" s="19">
        <v>-22.727272727272734</v>
      </c>
    </row>
    <row r="48" spans="4:57">
      <c r="J48" s="19">
        <v>51.03</v>
      </c>
      <c r="K48" s="19">
        <v>-166.66666666666666</v>
      </c>
    </row>
    <row r="49" spans="4:11">
      <c r="J49" s="19">
        <v>51.870000000000005</v>
      </c>
      <c r="K49" s="19">
        <v>32.967032967032978</v>
      </c>
    </row>
    <row r="50" spans="4:11">
      <c r="J50" s="19">
        <v>53.46</v>
      </c>
      <c r="K50" s="19">
        <v>775</v>
      </c>
    </row>
    <row r="51" spans="4:11">
      <c r="J51" s="19">
        <v>55.44</v>
      </c>
      <c r="K51" s="19">
        <v>485.71428571428635</v>
      </c>
    </row>
    <row r="52" spans="4:11">
      <c r="J52" s="19">
        <v>59.400000000000006</v>
      </c>
      <c r="K52" s="19">
        <v>-94.827586206896541</v>
      </c>
    </row>
    <row r="53" spans="4:11">
      <c r="J53" s="19">
        <v>60.480000000000004</v>
      </c>
      <c r="K53" s="19">
        <v>54.487179487179496</v>
      </c>
    </row>
    <row r="54" spans="4:11">
      <c r="J54" s="19">
        <v>68.040000000000006</v>
      </c>
      <c r="K54" s="19">
        <v>29.523809523809401</v>
      </c>
    </row>
    <row r="55" spans="4:11">
      <c r="J55" s="19">
        <v>69.160000000000011</v>
      </c>
      <c r="K55" s="19">
        <v>29.670329670329693</v>
      </c>
    </row>
    <row r="56" spans="4:11">
      <c r="J56" s="19">
        <v>69.3</v>
      </c>
      <c r="K56" s="19">
        <v>-168.74999999999974</v>
      </c>
    </row>
    <row r="57" spans="4:11">
      <c r="J57" s="19">
        <v>83.16</v>
      </c>
      <c r="K57" s="19">
        <v>-147.25274725274764</v>
      </c>
    </row>
    <row r="58" spans="4:11">
      <c r="J58" s="19">
        <v>88.48</v>
      </c>
      <c r="K58" s="19">
        <v>-214.28571428571431</v>
      </c>
    </row>
    <row r="59" spans="4:11">
      <c r="J59" s="19">
        <v>97.02</v>
      </c>
      <c r="K59" s="19">
        <v>-153.57142857142833</v>
      </c>
    </row>
    <row r="60" spans="4:11">
      <c r="J60" s="19">
        <v>102.06</v>
      </c>
      <c r="K60" s="19">
        <v>-145.71428571428564</v>
      </c>
    </row>
    <row r="61" spans="4:11">
      <c r="J61" s="19">
        <v>103.74000000000001</v>
      </c>
      <c r="K61" s="19">
        <v>-190.10989010989013</v>
      </c>
    </row>
    <row r="62" spans="4:11">
      <c r="J62" s="19">
        <v>106.92</v>
      </c>
      <c r="K62" s="19">
        <v>-326.66666666666663</v>
      </c>
    </row>
    <row r="63" spans="4:11">
      <c r="J63" s="19">
        <v>110.88</v>
      </c>
      <c r="K63" s="19">
        <v>-382.14285714285751</v>
      </c>
    </row>
    <row r="64" spans="4:11">
      <c r="D64" s="19"/>
    </row>
    <row r="65" spans="10:12">
      <c r="J65" t="s">
        <v>185</v>
      </c>
      <c r="K65" t="s">
        <v>591</v>
      </c>
    </row>
    <row r="66" spans="10:12">
      <c r="J66">
        <v>34.020000000000003</v>
      </c>
      <c r="K66">
        <v>421.42857142857133</v>
      </c>
    </row>
    <row r="67" spans="10:12">
      <c r="J67">
        <v>34.580000000000005</v>
      </c>
      <c r="K67">
        <v>442.85714285714306</v>
      </c>
    </row>
    <row r="68" spans="10:12">
      <c r="J68">
        <v>44.24</v>
      </c>
      <c r="K68">
        <v>-33.834586466165412</v>
      </c>
    </row>
    <row r="69" spans="10:12">
      <c r="J69">
        <v>51.03</v>
      </c>
      <c r="K69">
        <v>-357.14285714285717</v>
      </c>
    </row>
    <row r="70" spans="10:12">
      <c r="J70">
        <v>51.870000000000005</v>
      </c>
      <c r="K70">
        <v>-142.85714285714286</v>
      </c>
    </row>
    <row r="71" spans="10:12">
      <c r="J71">
        <v>68.040000000000006</v>
      </c>
      <c r="K71">
        <v>-142.85714285714286</v>
      </c>
      <c r="L71" s="19"/>
    </row>
    <row r="72" spans="10:12">
      <c r="J72">
        <v>69.160000000000011</v>
      </c>
      <c r="K72">
        <v>-85.714285714284898</v>
      </c>
    </row>
    <row r="73" spans="10:12">
      <c r="J73">
        <v>88.48</v>
      </c>
      <c r="K73">
        <v>-212.40601503759399</v>
      </c>
    </row>
    <row r="74" spans="10:12">
      <c r="J74">
        <v>102.06</v>
      </c>
      <c r="K74">
        <v>-71.428571428571431</v>
      </c>
    </row>
    <row r="75" spans="10:12">
      <c r="J75">
        <v>103.74000000000001</v>
      </c>
      <c r="K75">
        <v>-128.57142857142887</v>
      </c>
    </row>
    <row r="76" spans="10:12">
      <c r="J76" s="19"/>
      <c r="K76" s="19"/>
    </row>
    <row r="77" spans="10:12">
      <c r="J77" s="19"/>
      <c r="K77" s="19"/>
    </row>
    <row r="78" spans="10:12">
      <c r="J78" s="19"/>
      <c r="K78" s="19"/>
    </row>
    <row r="79" spans="10:12">
      <c r="J79" s="19"/>
      <c r="K79" s="19"/>
    </row>
    <row r="80" spans="10:12">
      <c r="J80" s="19"/>
      <c r="K80" s="19"/>
    </row>
    <row r="81" spans="4:12">
      <c r="J81" s="19"/>
      <c r="L81" s="19"/>
    </row>
    <row r="82" spans="4:12">
      <c r="J82" s="19"/>
      <c r="K82" s="19"/>
    </row>
    <row r="83" spans="4:12">
      <c r="J83" s="19"/>
      <c r="K83" s="19"/>
    </row>
    <row r="84" spans="4:12">
      <c r="J84" s="19"/>
      <c r="K84" s="19"/>
    </row>
    <row r="85" spans="4:12">
      <c r="J85" s="19"/>
      <c r="K85" s="19"/>
    </row>
    <row r="86" spans="4:12">
      <c r="J86" s="19"/>
      <c r="L86" s="19"/>
    </row>
    <row r="87" spans="4:12">
      <c r="J87" s="19"/>
      <c r="K87" s="19"/>
    </row>
    <row r="88" spans="4:12">
      <c r="D88" s="19"/>
      <c r="E88" s="19"/>
    </row>
    <row r="89" spans="4:12">
      <c r="D89" s="19"/>
      <c r="E89" s="19"/>
    </row>
    <row r="90" spans="4:12">
      <c r="D90" s="19"/>
      <c r="E90" s="19"/>
    </row>
    <row r="91" spans="4:12">
      <c r="D91" s="19"/>
      <c r="E91" s="19"/>
    </row>
    <row r="92" spans="4:12">
      <c r="D92" s="19"/>
      <c r="E92" s="19"/>
    </row>
    <row r="174" spans="1:32">
      <c r="A174" t="s">
        <v>598</v>
      </c>
      <c r="B174" t="s">
        <v>595</v>
      </c>
    </row>
    <row r="175" spans="1:32">
      <c r="A175" t="s">
        <v>596</v>
      </c>
      <c r="B175" s="19">
        <v>13.86</v>
      </c>
      <c r="C175" s="19">
        <v>27.72</v>
      </c>
      <c r="D175" s="19">
        <v>28.6</v>
      </c>
      <c r="E175" s="19">
        <v>32.400000000000006</v>
      </c>
      <c r="F175" s="19">
        <v>34.020000000000003</v>
      </c>
      <c r="G175" s="19">
        <v>34.580000000000005</v>
      </c>
      <c r="H175" s="19">
        <v>37.6</v>
      </c>
      <c r="I175" s="19">
        <v>37.76</v>
      </c>
      <c r="J175" s="19">
        <v>41.58</v>
      </c>
      <c r="K175" s="19">
        <v>44.24</v>
      </c>
      <c r="L175" s="19">
        <v>51.03</v>
      </c>
      <c r="M175" s="19">
        <v>51.870000000000005</v>
      </c>
      <c r="N175" s="19">
        <v>53.46</v>
      </c>
      <c r="O175" s="19">
        <v>55.44</v>
      </c>
      <c r="P175" s="19">
        <v>59.400000000000006</v>
      </c>
      <c r="Q175" s="19">
        <v>60.480000000000004</v>
      </c>
      <c r="R175" s="19">
        <v>68.040000000000006</v>
      </c>
      <c r="S175" s="19">
        <v>68.150000000000006</v>
      </c>
      <c r="T175" s="19">
        <v>68.44</v>
      </c>
      <c r="U175" s="19">
        <v>69.160000000000011</v>
      </c>
      <c r="V175" s="19">
        <v>69.3</v>
      </c>
      <c r="W175" s="19">
        <v>83.16</v>
      </c>
      <c r="X175" s="19">
        <v>88.48</v>
      </c>
      <c r="Y175" s="19">
        <v>97.02</v>
      </c>
      <c r="Z175" s="19">
        <v>102.06</v>
      </c>
      <c r="AA175" s="19">
        <v>103.4</v>
      </c>
      <c r="AB175" s="19">
        <v>103.74000000000001</v>
      </c>
      <c r="AC175" s="19">
        <v>103.83999999999999</v>
      </c>
      <c r="AD175" s="19">
        <v>106.92</v>
      </c>
      <c r="AE175" s="19">
        <v>110.88</v>
      </c>
      <c r="AF175" s="19" t="s">
        <v>597</v>
      </c>
    </row>
    <row r="176" spans="1:32">
      <c r="A176" s="16" t="s">
        <v>300</v>
      </c>
      <c r="B176" s="18">
        <v>42.993665810924355</v>
      </c>
      <c r="C176" s="18">
        <v>16.613461563025211</v>
      </c>
      <c r="D176" s="18"/>
      <c r="E176" s="18"/>
      <c r="F176" s="18"/>
      <c r="G176" s="18"/>
      <c r="H176" s="18"/>
      <c r="I176" s="18"/>
      <c r="J176" s="18">
        <v>14.98765008823529</v>
      </c>
      <c r="K176" s="18"/>
      <c r="L176" s="18"/>
      <c r="M176" s="18"/>
      <c r="N176" s="18">
        <v>36.255841294117651</v>
      </c>
      <c r="O176" s="18"/>
      <c r="P176" s="18"/>
      <c r="Q176" s="18"/>
      <c r="R176" s="18"/>
      <c r="S176" s="18"/>
      <c r="T176" s="18"/>
      <c r="U176" s="18"/>
      <c r="V176" s="18">
        <v>14.347965499999999</v>
      </c>
      <c r="W176" s="18">
        <v>6.2714794663865465</v>
      </c>
      <c r="X176" s="18"/>
      <c r="Y176" s="18">
        <v>6.405515764705898</v>
      </c>
      <c r="Z176" s="18"/>
      <c r="AA176" s="18"/>
      <c r="AB176" s="18"/>
      <c r="AC176" s="18"/>
      <c r="AD176" s="18"/>
      <c r="AE176" s="18">
        <v>1.4690053907562983</v>
      </c>
      <c r="AF176" s="18">
        <v>17.418073109768915</v>
      </c>
    </row>
    <row r="177" spans="1:32">
      <c r="A177" s="16" t="s">
        <v>336</v>
      </c>
      <c r="B177" s="18"/>
      <c r="C177" s="18">
        <v>45.556420075630257</v>
      </c>
      <c r="D177" s="18"/>
      <c r="E177" s="18"/>
      <c r="F177" s="18"/>
      <c r="G177" s="18"/>
      <c r="H177" s="18"/>
      <c r="I177" s="18"/>
      <c r="J177" s="18"/>
      <c r="K177" s="18"/>
      <c r="L177" s="18"/>
      <c r="M177" s="18"/>
      <c r="N177" s="18"/>
      <c r="O177" s="18">
        <v>29.940576319327747</v>
      </c>
      <c r="P177" s="18"/>
      <c r="Q177" s="18"/>
      <c r="R177" s="18"/>
      <c r="S177" s="18"/>
      <c r="T177" s="18"/>
      <c r="U177" s="18"/>
      <c r="V177" s="18"/>
      <c r="W177" s="18">
        <v>0.55076500840335729</v>
      </c>
      <c r="X177" s="18"/>
      <c r="Y177" s="18"/>
      <c r="Z177" s="18"/>
      <c r="AA177" s="18"/>
      <c r="AB177" s="18"/>
      <c r="AC177" s="18"/>
      <c r="AD177" s="18">
        <v>8.0682121470588211</v>
      </c>
      <c r="AE177" s="18"/>
      <c r="AF177" s="18">
        <v>21.028993387605031</v>
      </c>
    </row>
    <row r="178" spans="1:32">
      <c r="A178" s="16" t="s">
        <v>371</v>
      </c>
      <c r="B178" s="18"/>
      <c r="C178" s="18"/>
      <c r="D178" s="18"/>
      <c r="E178" s="18"/>
      <c r="F178" s="18"/>
      <c r="G178" s="18"/>
      <c r="H178" s="18">
        <v>12.926504037735846</v>
      </c>
      <c r="I178" s="18"/>
      <c r="J178" s="18"/>
      <c r="K178" s="18"/>
      <c r="L178" s="18"/>
      <c r="M178" s="18"/>
      <c r="N178" s="18"/>
      <c r="O178" s="18"/>
      <c r="P178" s="18"/>
      <c r="Q178" s="18"/>
      <c r="R178" s="18"/>
      <c r="S178" s="18">
        <v>26.250158571843251</v>
      </c>
      <c r="T178" s="18"/>
      <c r="U178" s="18"/>
      <c r="V178" s="18"/>
      <c r="W178" s="18"/>
      <c r="X178" s="18"/>
      <c r="Y178" s="18"/>
      <c r="Z178" s="18"/>
      <c r="AA178" s="18">
        <v>17.120441509433959</v>
      </c>
      <c r="AB178" s="18"/>
      <c r="AC178" s="18"/>
      <c r="AD178" s="18"/>
      <c r="AE178" s="18"/>
      <c r="AF178" s="18">
        <v>18.765701373004365</v>
      </c>
    </row>
    <row r="179" spans="1:32">
      <c r="A179" s="16" t="s">
        <v>425</v>
      </c>
      <c r="B179" s="18"/>
      <c r="C179" s="18"/>
      <c r="D179" s="18"/>
      <c r="E179" s="18"/>
      <c r="F179" s="18"/>
      <c r="G179" s="18"/>
      <c r="H179" s="18"/>
      <c r="I179" s="18">
        <v>26.693042692307682</v>
      </c>
      <c r="J179" s="18"/>
      <c r="K179" s="18"/>
      <c r="L179" s="18"/>
      <c r="M179" s="18"/>
      <c r="N179" s="18"/>
      <c r="O179" s="18"/>
      <c r="P179" s="18"/>
      <c r="Q179" s="18"/>
      <c r="R179" s="18"/>
      <c r="S179" s="18"/>
      <c r="T179" s="18">
        <v>12.871141254437866</v>
      </c>
      <c r="U179" s="18"/>
      <c r="V179" s="18"/>
      <c r="W179" s="18"/>
      <c r="X179" s="18"/>
      <c r="Y179" s="18"/>
      <c r="Z179" s="18"/>
      <c r="AA179" s="18"/>
      <c r="AB179" s="18"/>
      <c r="AC179" s="18">
        <v>13.000901919871797</v>
      </c>
      <c r="AD179" s="18"/>
      <c r="AE179" s="18"/>
      <c r="AF179" s="18">
        <v>17.521695288872447</v>
      </c>
    </row>
    <row r="180" spans="1:32">
      <c r="A180" s="16" t="s">
        <v>478</v>
      </c>
      <c r="B180" s="18"/>
      <c r="C180" s="18"/>
      <c r="D180" s="18"/>
      <c r="E180" s="18"/>
      <c r="F180" s="18">
        <v>21.518990832142858</v>
      </c>
      <c r="G180" s="18"/>
      <c r="H180" s="18"/>
      <c r="I180" s="18"/>
      <c r="J180" s="18"/>
      <c r="K180" s="18"/>
      <c r="L180" s="18">
        <v>3.1237154035714281</v>
      </c>
      <c r="M180" s="18"/>
      <c r="N180" s="18"/>
      <c r="O180" s="18"/>
      <c r="P180" s="18"/>
      <c r="Q180" s="18"/>
      <c r="R180" s="18">
        <v>13.713364617857138</v>
      </c>
      <c r="S180" s="18"/>
      <c r="T180" s="18"/>
      <c r="U180" s="18"/>
      <c r="V180" s="18"/>
      <c r="W180" s="18"/>
      <c r="X180" s="18"/>
      <c r="Y180" s="18"/>
      <c r="Z180" s="18">
        <v>4.027962975000003</v>
      </c>
      <c r="AA180" s="18"/>
      <c r="AB180" s="18"/>
      <c r="AC180" s="18"/>
      <c r="AD180" s="18"/>
      <c r="AE180" s="18"/>
      <c r="AF180" s="18">
        <v>10.596008457142851</v>
      </c>
    </row>
    <row r="181" spans="1:32">
      <c r="A181" s="16" t="s">
        <v>499</v>
      </c>
      <c r="B181" s="18"/>
      <c r="C181" s="18"/>
      <c r="D181" s="18"/>
      <c r="E181" s="18"/>
      <c r="F181" s="18"/>
      <c r="G181" s="18">
        <v>21.13247913928571</v>
      </c>
      <c r="H181" s="18"/>
      <c r="I181" s="18"/>
      <c r="J181" s="18"/>
      <c r="K181" s="18"/>
      <c r="L181" s="18"/>
      <c r="M181" s="18">
        <v>12.9247388</v>
      </c>
      <c r="N181" s="18"/>
      <c r="O181" s="18"/>
      <c r="P181" s="18"/>
      <c r="Q181" s="18"/>
      <c r="R181" s="18"/>
      <c r="S181" s="18"/>
      <c r="T181" s="18"/>
      <c r="U181" s="18">
        <v>13.188993250000005</v>
      </c>
      <c r="V181" s="18"/>
      <c r="W181" s="18"/>
      <c r="X181" s="18"/>
      <c r="Y181" s="18"/>
      <c r="Z181" s="18"/>
      <c r="AA181" s="18"/>
      <c r="AB181" s="18">
        <v>2.6229398499999985</v>
      </c>
      <c r="AC181" s="18"/>
      <c r="AD181" s="18"/>
      <c r="AE181" s="18"/>
      <c r="AF181" s="18">
        <v>12.467287759821428</v>
      </c>
    </row>
    <row r="182" spans="1:32">
      <c r="A182" s="16" t="s">
        <v>268</v>
      </c>
      <c r="B182" s="18"/>
      <c r="C182" s="18"/>
      <c r="D182" s="18"/>
      <c r="E182" s="18"/>
      <c r="F182" s="18"/>
      <c r="G182" s="18"/>
      <c r="H182" s="18"/>
      <c r="I182" s="18"/>
      <c r="J182" s="18"/>
      <c r="K182" s="18">
        <v>13.244078845238095</v>
      </c>
      <c r="L182" s="18"/>
      <c r="M182" s="18"/>
      <c r="N182" s="18"/>
      <c r="O182" s="18"/>
      <c r="P182" s="18"/>
      <c r="Q182" s="18"/>
      <c r="R182" s="18"/>
      <c r="S182" s="18"/>
      <c r="T182" s="18"/>
      <c r="U182" s="18"/>
      <c r="V182" s="18"/>
      <c r="W182" s="18"/>
      <c r="X182" s="18">
        <v>3.9535195952380948</v>
      </c>
      <c r="Y182" s="18"/>
      <c r="Z182" s="18"/>
      <c r="AA182" s="18"/>
      <c r="AB182" s="18"/>
      <c r="AC182" s="18"/>
      <c r="AD182" s="18"/>
      <c r="AE182" s="18"/>
      <c r="AF182" s="18">
        <v>8.5987992202380994</v>
      </c>
    </row>
    <row r="183" spans="1:32">
      <c r="A183" s="16" t="s">
        <v>521</v>
      </c>
      <c r="B183" s="18"/>
      <c r="C183" s="18"/>
      <c r="D183" s="18">
        <v>28.827139243589741</v>
      </c>
      <c r="E183" s="18"/>
      <c r="F183" s="18"/>
      <c r="G183" s="18"/>
      <c r="H183" s="18"/>
      <c r="I183" s="18"/>
      <c r="J183" s="18"/>
      <c r="K183" s="18"/>
      <c r="L183" s="18"/>
      <c r="M183" s="18"/>
      <c r="N183" s="18"/>
      <c r="O183" s="18"/>
      <c r="P183" s="18">
        <v>8.3132469999999987</v>
      </c>
      <c r="Q183" s="18"/>
      <c r="R183" s="18"/>
      <c r="S183" s="18"/>
      <c r="T183" s="18"/>
      <c r="U183" s="18"/>
      <c r="V183" s="18"/>
      <c r="W183" s="18"/>
      <c r="X183" s="18"/>
      <c r="Y183" s="18"/>
      <c r="Z183" s="18"/>
      <c r="AA183" s="18"/>
      <c r="AB183" s="18"/>
      <c r="AC183" s="18"/>
      <c r="AD183" s="18"/>
      <c r="AE183" s="18"/>
      <c r="AF183" s="18">
        <v>18.570193121794873</v>
      </c>
    </row>
    <row r="184" spans="1:32">
      <c r="A184" s="16" t="s">
        <v>236</v>
      </c>
      <c r="B184" s="18"/>
      <c r="C184" s="18"/>
      <c r="D184" s="18"/>
      <c r="E184" s="18">
        <v>21.048816972222212</v>
      </c>
      <c r="F184" s="18"/>
      <c r="G184" s="18"/>
      <c r="H184" s="18"/>
      <c r="I184" s="18"/>
      <c r="J184" s="18"/>
      <c r="K184" s="18"/>
      <c r="L184" s="18"/>
      <c r="M184" s="18"/>
      <c r="N184" s="18"/>
      <c r="O184" s="18"/>
      <c r="P184" s="18"/>
      <c r="Q184" s="18">
        <v>16.241271474358975</v>
      </c>
      <c r="R184" s="18"/>
      <c r="S184" s="18"/>
      <c r="T184" s="18"/>
      <c r="U184" s="18"/>
      <c r="V184" s="18"/>
      <c r="W184" s="18"/>
      <c r="X184" s="18"/>
      <c r="Y184" s="18"/>
      <c r="Z184" s="18"/>
      <c r="AA184" s="18"/>
      <c r="AB184" s="18"/>
      <c r="AC184" s="18"/>
      <c r="AD184" s="18"/>
      <c r="AE184" s="18"/>
      <c r="AF184" s="18">
        <v>18.64504422329059</v>
      </c>
    </row>
    <row r="185" spans="1:32">
      <c r="A185" s="16" t="s">
        <v>597</v>
      </c>
      <c r="B185">
        <v>42.993665810924355</v>
      </c>
      <c r="C185">
        <v>31.084940819327738</v>
      </c>
      <c r="D185">
        <v>28.827139243589741</v>
      </c>
      <c r="E185">
        <v>21.048816972222212</v>
      </c>
      <c r="F185">
        <v>21.518990832142858</v>
      </c>
      <c r="G185">
        <v>21.13247913928571</v>
      </c>
      <c r="H185">
        <v>12.926504037735846</v>
      </c>
      <c r="I185">
        <v>26.693042692307682</v>
      </c>
      <c r="J185">
        <v>14.98765008823529</v>
      </c>
      <c r="K185">
        <v>13.244078845238095</v>
      </c>
      <c r="L185">
        <v>3.1237154035714281</v>
      </c>
      <c r="M185">
        <v>12.9247388</v>
      </c>
      <c r="N185">
        <v>36.255841294117651</v>
      </c>
      <c r="O185">
        <v>29.940576319327747</v>
      </c>
      <c r="P185">
        <v>8.3132469999999987</v>
      </c>
      <c r="Q185">
        <v>16.241271474358975</v>
      </c>
      <c r="R185">
        <v>13.713364617857138</v>
      </c>
      <c r="S185">
        <v>26.250158571843251</v>
      </c>
      <c r="T185">
        <v>12.871141254437866</v>
      </c>
      <c r="U185">
        <v>13.188993250000005</v>
      </c>
      <c r="V185">
        <v>14.347965499999999</v>
      </c>
      <c r="W185">
        <v>3.4111222373949515</v>
      </c>
      <c r="X185">
        <v>3.9535195952380948</v>
      </c>
      <c r="Y185">
        <v>6.405515764705898</v>
      </c>
      <c r="Z185">
        <v>4.027962975000003</v>
      </c>
      <c r="AA185">
        <v>17.120441509433959</v>
      </c>
      <c r="AB185">
        <v>2.6229398499999985</v>
      </c>
      <c r="AC185">
        <v>13.000901919871797</v>
      </c>
      <c r="AD185">
        <v>8.0682121470588211</v>
      </c>
      <c r="AE185">
        <v>1.4690053907562983</v>
      </c>
      <c r="AF185">
        <v>16.847315015258495</v>
      </c>
    </row>
    <row r="187" spans="1:32">
      <c r="A187" t="s">
        <v>596</v>
      </c>
      <c r="B187">
        <v>13.86</v>
      </c>
      <c r="C187">
        <v>27.72</v>
      </c>
      <c r="D187">
        <v>28.6</v>
      </c>
      <c r="E187">
        <v>32.400000000000006</v>
      </c>
      <c r="F187">
        <v>34.020000000000003</v>
      </c>
      <c r="G187">
        <v>34.580000000000005</v>
      </c>
      <c r="H187">
        <v>37.6</v>
      </c>
      <c r="I187">
        <v>37.76</v>
      </c>
      <c r="J187">
        <v>41.58</v>
      </c>
      <c r="K187">
        <v>44.24</v>
      </c>
      <c r="L187">
        <v>51.03</v>
      </c>
      <c r="M187">
        <v>51.870000000000005</v>
      </c>
      <c r="N187">
        <v>53.46</v>
      </c>
      <c r="O187">
        <v>55.44</v>
      </c>
      <c r="P187">
        <v>59.400000000000006</v>
      </c>
      <c r="Q187">
        <v>60.480000000000004</v>
      </c>
      <c r="R187">
        <v>68.040000000000006</v>
      </c>
      <c r="S187">
        <v>68.150000000000006</v>
      </c>
      <c r="T187">
        <v>68.44</v>
      </c>
      <c r="U187">
        <v>69.160000000000011</v>
      </c>
      <c r="V187">
        <v>69.3</v>
      </c>
      <c r="W187">
        <v>83.16</v>
      </c>
      <c r="X187">
        <v>88.48</v>
      </c>
      <c r="Y187">
        <v>97.02</v>
      </c>
      <c r="Z187">
        <v>102.06</v>
      </c>
      <c r="AA187">
        <v>103.4</v>
      </c>
      <c r="AB187">
        <v>103.74000000000001</v>
      </c>
      <c r="AC187">
        <v>103.83999999999999</v>
      </c>
      <c r="AD187">
        <v>106.92</v>
      </c>
      <c r="AE187">
        <v>110.88</v>
      </c>
    </row>
    <row r="188" spans="1:32">
      <c r="A188" t="s">
        <v>300</v>
      </c>
      <c r="B188">
        <v>42.993665810924355</v>
      </c>
      <c r="C188">
        <v>16.613461563025211</v>
      </c>
      <c r="J188">
        <v>14.98765008823529</v>
      </c>
      <c r="N188">
        <v>36.255841294117651</v>
      </c>
      <c r="V188">
        <v>14.347965499999999</v>
      </c>
      <c r="W188">
        <v>6.2714794663865465</v>
      </c>
      <c r="Y188">
        <v>6.405515764705898</v>
      </c>
      <c r="AE188">
        <v>1.4690053907562983</v>
      </c>
    </row>
    <row r="189" spans="1:32">
      <c r="A189" t="s">
        <v>336</v>
      </c>
      <c r="C189">
        <v>45.556420075630257</v>
      </c>
      <c r="O189">
        <v>29.940576319327747</v>
      </c>
      <c r="W189">
        <v>0.55076500840335729</v>
      </c>
      <c r="AD189">
        <v>8.0682121470588211</v>
      </c>
    </row>
    <row r="190" spans="1:32">
      <c r="A190" t="s">
        <v>371</v>
      </c>
      <c r="H190">
        <v>12.926504037735846</v>
      </c>
      <c r="S190">
        <v>26.250158571843251</v>
      </c>
      <c r="AA190">
        <v>17.120441509433959</v>
      </c>
    </row>
    <row r="191" spans="1:32">
      <c r="A191" t="s">
        <v>425</v>
      </c>
      <c r="I191">
        <v>26.693042692307682</v>
      </c>
      <c r="T191">
        <v>12.871141254437866</v>
      </c>
      <c r="AC191">
        <v>13.000901919871797</v>
      </c>
    </row>
    <row r="192" spans="1:32">
      <c r="A192" t="s">
        <v>478</v>
      </c>
      <c r="F192">
        <v>21.518990832142858</v>
      </c>
      <c r="L192">
        <v>3.1237154035714281</v>
      </c>
      <c r="R192">
        <v>13.713364617857138</v>
      </c>
      <c r="Z192">
        <v>4.027962975000003</v>
      </c>
    </row>
    <row r="193" spans="1:28">
      <c r="A193" t="s">
        <v>499</v>
      </c>
      <c r="G193">
        <v>21.13247913928571</v>
      </c>
      <c r="M193">
        <v>12.9247388</v>
      </c>
      <c r="U193">
        <v>13.188993250000005</v>
      </c>
      <c r="AB193">
        <v>2.6229398499999985</v>
      </c>
    </row>
    <row r="194" spans="1:28">
      <c r="A194" t="s">
        <v>268</v>
      </c>
      <c r="K194">
        <v>13.244078845238095</v>
      </c>
      <c r="X194">
        <v>3.9535195952380948</v>
      </c>
    </row>
    <row r="195" spans="1:28">
      <c r="A195" t="s">
        <v>521</v>
      </c>
      <c r="D195">
        <v>28.827139243589741</v>
      </c>
      <c r="P195">
        <v>8.3132469999999987</v>
      </c>
    </row>
    <row r="196" spans="1:28">
      <c r="A196" t="s">
        <v>236</v>
      </c>
      <c r="E196">
        <v>21.048816972222212</v>
      </c>
      <c r="Q196">
        <v>16.241271474358975</v>
      </c>
    </row>
    <row r="199" spans="1:28">
      <c r="A199" t="s">
        <v>596</v>
      </c>
      <c r="B199" t="s">
        <v>300</v>
      </c>
      <c r="C199" t="s">
        <v>336</v>
      </c>
      <c r="D199" t="s">
        <v>371</v>
      </c>
      <c r="E199" t="s">
        <v>425</v>
      </c>
      <c r="F199" t="s">
        <v>478</v>
      </c>
      <c r="G199" t="s">
        <v>499</v>
      </c>
      <c r="H199" t="s">
        <v>268</v>
      </c>
      <c r="I199" t="s">
        <v>521</v>
      </c>
      <c r="J199" t="s">
        <v>236</v>
      </c>
    </row>
    <row r="200" spans="1:28">
      <c r="A200">
        <v>13.86</v>
      </c>
      <c r="B200">
        <v>42.993665810924355</v>
      </c>
    </row>
    <row r="201" spans="1:28">
      <c r="A201">
        <v>27.72</v>
      </c>
      <c r="B201">
        <v>16.613461563025211</v>
      </c>
      <c r="C201">
        <v>45.556420075630257</v>
      </c>
    </row>
    <row r="202" spans="1:28">
      <c r="A202">
        <v>28.6</v>
      </c>
      <c r="I202">
        <v>28.827139243589741</v>
      </c>
    </row>
    <row r="203" spans="1:28">
      <c r="A203">
        <v>32.400000000000006</v>
      </c>
      <c r="J203">
        <v>21.048816972222212</v>
      </c>
    </row>
    <row r="204" spans="1:28">
      <c r="A204">
        <v>34.020000000000003</v>
      </c>
      <c r="F204">
        <v>21.518990832142858</v>
      </c>
    </row>
    <row r="205" spans="1:28">
      <c r="A205">
        <v>34.580000000000005</v>
      </c>
      <c r="G205">
        <v>21.13247913928571</v>
      </c>
    </row>
    <row r="206" spans="1:28">
      <c r="A206">
        <v>37.6</v>
      </c>
      <c r="D206">
        <v>12.926504037735846</v>
      </c>
    </row>
    <row r="207" spans="1:28">
      <c r="A207">
        <v>37.76</v>
      </c>
      <c r="E207">
        <v>26.693042692307682</v>
      </c>
    </row>
    <row r="208" spans="1:28">
      <c r="A208">
        <v>41.58</v>
      </c>
      <c r="B208">
        <v>14.98765008823529</v>
      </c>
    </row>
    <row r="209" spans="1:10">
      <c r="A209">
        <v>44.24</v>
      </c>
      <c r="H209">
        <v>13.244078845238095</v>
      </c>
    </row>
    <row r="210" spans="1:10">
      <c r="A210">
        <v>51.03</v>
      </c>
      <c r="F210">
        <v>3.1237154035714281</v>
      </c>
    </row>
    <row r="211" spans="1:10">
      <c r="A211">
        <v>51.870000000000005</v>
      </c>
      <c r="G211">
        <v>12.9247388</v>
      </c>
    </row>
    <row r="212" spans="1:10">
      <c r="A212">
        <v>53.46</v>
      </c>
      <c r="B212">
        <v>36.255841294117651</v>
      </c>
    </row>
    <row r="213" spans="1:10">
      <c r="A213">
        <v>55.44</v>
      </c>
      <c r="C213">
        <v>29.940576319327747</v>
      </c>
    </row>
    <row r="214" spans="1:10">
      <c r="A214">
        <v>59.400000000000006</v>
      </c>
      <c r="I214">
        <v>8.3132469999999987</v>
      </c>
    </row>
    <row r="215" spans="1:10">
      <c r="A215">
        <v>60.480000000000004</v>
      </c>
      <c r="J215">
        <v>16.241271474358975</v>
      </c>
    </row>
    <row r="216" spans="1:10">
      <c r="A216">
        <v>68.040000000000006</v>
      </c>
      <c r="F216">
        <v>13.713364617857138</v>
      </c>
    </row>
    <row r="217" spans="1:10">
      <c r="A217">
        <v>68.150000000000006</v>
      </c>
      <c r="D217">
        <v>26.250158571843251</v>
      </c>
    </row>
    <row r="218" spans="1:10">
      <c r="A218">
        <v>68.44</v>
      </c>
      <c r="E218">
        <v>12.871141254437866</v>
      </c>
    </row>
    <row r="219" spans="1:10">
      <c r="A219">
        <v>69.160000000000011</v>
      </c>
      <c r="G219">
        <v>13.188993250000005</v>
      </c>
    </row>
    <row r="220" spans="1:10">
      <c r="A220">
        <v>69.3</v>
      </c>
      <c r="B220">
        <v>14.347965499999999</v>
      </c>
    </row>
    <row r="221" spans="1:10">
      <c r="A221">
        <v>83.16</v>
      </c>
      <c r="B221">
        <v>6.2714794663865465</v>
      </c>
      <c r="C221">
        <v>0.55076500840335729</v>
      </c>
    </row>
    <row r="222" spans="1:10">
      <c r="A222">
        <v>88.48</v>
      </c>
      <c r="H222">
        <v>3.9535195952380948</v>
      </c>
    </row>
    <row r="223" spans="1:10">
      <c r="A223">
        <v>97.02</v>
      </c>
      <c r="B223">
        <v>6.405515764705898</v>
      </c>
    </row>
    <row r="224" spans="1:10">
      <c r="A224">
        <v>102.06</v>
      </c>
      <c r="F224">
        <v>4.027962975000003</v>
      </c>
    </row>
    <row r="225" spans="1:14">
      <c r="A225">
        <v>103.4</v>
      </c>
      <c r="D225">
        <v>17.120441509433959</v>
      </c>
    </row>
    <row r="226" spans="1:14">
      <c r="A226">
        <v>103.74000000000001</v>
      </c>
      <c r="G226">
        <v>2.6229398499999985</v>
      </c>
    </row>
    <row r="227" spans="1:14">
      <c r="A227">
        <v>103.83999999999999</v>
      </c>
      <c r="E227">
        <v>13.000901919871797</v>
      </c>
    </row>
    <row r="228" spans="1:14">
      <c r="A228">
        <v>106.92</v>
      </c>
      <c r="C228">
        <v>8.0682121470588211</v>
      </c>
    </row>
    <row r="229" spans="1:14">
      <c r="A229">
        <v>110.88</v>
      </c>
      <c r="B229">
        <v>1.4690053907562983</v>
      </c>
    </row>
    <row r="231" spans="1:14">
      <c r="A231" t="s">
        <v>594</v>
      </c>
      <c r="B231" t="s">
        <v>595</v>
      </c>
    </row>
    <row r="232" spans="1:14">
      <c r="A232" t="s">
        <v>596</v>
      </c>
      <c r="B232">
        <v>1.5</v>
      </c>
      <c r="C232">
        <v>1.75</v>
      </c>
      <c r="D232">
        <v>2</v>
      </c>
      <c r="E232">
        <v>2.25</v>
      </c>
      <c r="F232">
        <v>2.5</v>
      </c>
      <c r="G232">
        <v>2.75</v>
      </c>
      <c r="H232">
        <v>3</v>
      </c>
      <c r="I232">
        <v>3.25</v>
      </c>
      <c r="J232">
        <v>3.5</v>
      </c>
      <c r="K232">
        <v>4</v>
      </c>
      <c r="L232">
        <v>5</v>
      </c>
      <c r="M232" t="s">
        <v>599</v>
      </c>
      <c r="N232" t="s">
        <v>597</v>
      </c>
    </row>
    <row r="233" spans="1:14">
      <c r="A233" s="16" t="s">
        <v>301</v>
      </c>
      <c r="F233">
        <v>77.678571428571459</v>
      </c>
      <c r="N233">
        <v>77.678571428571459</v>
      </c>
    </row>
    <row r="234" spans="1:14">
      <c r="A234" s="16" t="s">
        <v>302</v>
      </c>
      <c r="F234">
        <v>13.839285714285651</v>
      </c>
      <c r="N234">
        <v>13.839285714285651</v>
      </c>
    </row>
    <row r="235" spans="1:14">
      <c r="A235" s="16" t="s">
        <v>303</v>
      </c>
      <c r="I235">
        <v>113.54166666666669</v>
      </c>
      <c r="N235">
        <v>113.54166666666669</v>
      </c>
    </row>
    <row r="236" spans="1:14">
      <c r="A236" s="16" t="s">
        <v>304</v>
      </c>
      <c r="I236">
        <v>61.458333333333236</v>
      </c>
      <c r="N236">
        <v>61.458333333333236</v>
      </c>
    </row>
    <row r="237" spans="1:14">
      <c r="A237" s="16" t="s">
        <v>305</v>
      </c>
      <c r="D237">
        <v>141.8154761904762</v>
      </c>
      <c r="N237">
        <v>141.8154761904762</v>
      </c>
    </row>
    <row r="238" spans="1:14">
      <c r="A238" s="16" t="s">
        <v>306</v>
      </c>
      <c r="F238">
        <v>95.238095238095156</v>
      </c>
      <c r="N238">
        <v>95.238095238095156</v>
      </c>
    </row>
    <row r="239" spans="1:14">
      <c r="A239" s="16" t="s">
        <v>307</v>
      </c>
      <c r="E239">
        <v>69.047619047619037</v>
      </c>
      <c r="N239">
        <v>69.047619047619037</v>
      </c>
    </row>
    <row r="240" spans="1:14">
      <c r="A240" s="16" t="s">
        <v>308</v>
      </c>
      <c r="H240">
        <v>105.80357142857136</v>
      </c>
      <c r="N240">
        <v>105.80357142857136</v>
      </c>
    </row>
    <row r="241" spans="1:14">
      <c r="A241" s="16" t="s">
        <v>309</v>
      </c>
      <c r="C241">
        <v>264.58333333333337</v>
      </c>
      <c r="N241">
        <v>264.58333333333337</v>
      </c>
    </row>
    <row r="242" spans="1:14">
      <c r="A242" s="16" t="s">
        <v>310</v>
      </c>
      <c r="F242">
        <v>97.767857142857238</v>
      </c>
      <c r="N242">
        <v>97.767857142857238</v>
      </c>
    </row>
    <row r="243" spans="1:14">
      <c r="A243" s="16" t="s">
        <v>311</v>
      </c>
      <c r="J243">
        <v>77.380952380952266</v>
      </c>
      <c r="N243">
        <v>77.380952380952266</v>
      </c>
    </row>
    <row r="244" spans="1:14">
      <c r="A244" s="16" t="s">
        <v>312</v>
      </c>
      <c r="E244">
        <v>146.13095238095232</v>
      </c>
      <c r="N244">
        <v>146.13095238095232</v>
      </c>
    </row>
    <row r="245" spans="1:14">
      <c r="A245" s="16" t="s">
        <v>313</v>
      </c>
      <c r="F245">
        <v>56.845238095237931</v>
      </c>
      <c r="N245">
        <v>56.845238095237931</v>
      </c>
    </row>
    <row r="246" spans="1:14">
      <c r="A246" s="16" t="s">
        <v>314</v>
      </c>
      <c r="D246">
        <v>46.130952380952408</v>
      </c>
      <c r="N246">
        <v>46.130952380952408</v>
      </c>
    </row>
    <row r="247" spans="1:14">
      <c r="A247" s="16" t="s">
        <v>315</v>
      </c>
      <c r="D247">
        <v>100.74404761904763</v>
      </c>
      <c r="N247">
        <v>100.74404761904763</v>
      </c>
    </row>
    <row r="248" spans="1:14">
      <c r="A248" s="16" t="s">
        <v>316</v>
      </c>
      <c r="D248">
        <v>195.23809523809535</v>
      </c>
      <c r="N248">
        <v>195.23809523809535</v>
      </c>
    </row>
    <row r="249" spans="1:14">
      <c r="A249" s="16" t="s">
        <v>317</v>
      </c>
      <c r="H249">
        <v>49.7023809523808</v>
      </c>
      <c r="N249">
        <v>49.7023809523808</v>
      </c>
    </row>
    <row r="250" spans="1:14">
      <c r="A250" s="16" t="s">
        <v>318</v>
      </c>
      <c r="F250">
        <v>101.93452380952384</v>
      </c>
      <c r="N250">
        <v>101.93452380952384</v>
      </c>
    </row>
    <row r="251" spans="1:14">
      <c r="A251" s="16" t="s">
        <v>319</v>
      </c>
      <c r="H251">
        <v>74.107142857142861</v>
      </c>
      <c r="N251">
        <v>74.107142857142861</v>
      </c>
    </row>
    <row r="252" spans="1:14">
      <c r="A252" s="16" t="s">
        <v>320</v>
      </c>
      <c r="F252">
        <v>45.535714285714263</v>
      </c>
      <c r="N252">
        <v>45.535714285714263</v>
      </c>
    </row>
    <row r="253" spans="1:14">
      <c r="A253" s="16" t="s">
        <v>321</v>
      </c>
      <c r="C253">
        <v>170.3869047619047</v>
      </c>
      <c r="N253">
        <v>170.3869047619047</v>
      </c>
    </row>
    <row r="254" spans="1:14">
      <c r="A254" s="16" t="s">
        <v>322</v>
      </c>
      <c r="C254">
        <v>58.184523809523824</v>
      </c>
      <c r="N254">
        <v>58.184523809523824</v>
      </c>
    </row>
    <row r="255" spans="1:14">
      <c r="A255" s="16" t="s">
        <v>323</v>
      </c>
      <c r="G255">
        <v>180.95238095238085</v>
      </c>
      <c r="N255">
        <v>180.95238095238085</v>
      </c>
    </row>
    <row r="256" spans="1:14">
      <c r="A256" s="16" t="s">
        <v>324</v>
      </c>
      <c r="E256">
        <v>100.5952380952381</v>
      </c>
      <c r="N256">
        <v>100.5952380952381</v>
      </c>
    </row>
    <row r="257" spans="1:14">
      <c r="A257" s="16" t="s">
        <v>325</v>
      </c>
      <c r="E257">
        <v>45.535714285714391</v>
      </c>
      <c r="N257">
        <v>45.535714285714391</v>
      </c>
    </row>
    <row r="258" spans="1:14">
      <c r="A258" s="16" t="s">
        <v>326</v>
      </c>
      <c r="H258">
        <v>95.089285714285708</v>
      </c>
      <c r="N258">
        <v>95.089285714285708</v>
      </c>
    </row>
    <row r="259" spans="1:14">
      <c r="A259" s="16" t="s">
        <v>327</v>
      </c>
      <c r="F259">
        <v>140.32738095238102</v>
      </c>
      <c r="N259">
        <v>140.32738095238102</v>
      </c>
    </row>
    <row r="260" spans="1:14">
      <c r="A260" s="16" t="s">
        <v>328</v>
      </c>
      <c r="F260">
        <v>55.952380952380935</v>
      </c>
      <c r="N260">
        <v>55.952380952380935</v>
      </c>
    </row>
    <row r="261" spans="1:14">
      <c r="A261" s="16" t="s">
        <v>329</v>
      </c>
      <c r="H261">
        <v>75.595238095238102</v>
      </c>
      <c r="N261">
        <v>75.595238095238102</v>
      </c>
    </row>
    <row r="262" spans="1:14">
      <c r="A262" s="16" t="s">
        <v>330</v>
      </c>
      <c r="F262">
        <v>104.16666666666667</v>
      </c>
      <c r="N262">
        <v>104.16666666666667</v>
      </c>
    </row>
    <row r="263" spans="1:14">
      <c r="A263" s="16" t="s">
        <v>331</v>
      </c>
      <c r="D263">
        <v>179.16666666666674</v>
      </c>
      <c r="N263">
        <v>179.16666666666674</v>
      </c>
    </row>
    <row r="264" spans="1:14">
      <c r="A264" s="16" t="s">
        <v>332</v>
      </c>
      <c r="C264">
        <v>131.39880952380932</v>
      </c>
      <c r="N264">
        <v>131.39880952380932</v>
      </c>
    </row>
    <row r="265" spans="1:14">
      <c r="A265" s="16" t="s">
        <v>333</v>
      </c>
      <c r="C265">
        <v>221.42857142857156</v>
      </c>
      <c r="N265">
        <v>221.42857142857156</v>
      </c>
    </row>
    <row r="266" spans="1:14">
      <c r="A266" s="16" t="s">
        <v>334</v>
      </c>
      <c r="D266">
        <v>-76.785714285714192</v>
      </c>
      <c r="N266">
        <v>-76.785714285714192</v>
      </c>
    </row>
    <row r="267" spans="1:14">
      <c r="A267" s="16" t="s">
        <v>337</v>
      </c>
      <c r="C267">
        <v>126.1904761904764</v>
      </c>
      <c r="N267">
        <v>126.1904761904764</v>
      </c>
    </row>
    <row r="268" spans="1:14">
      <c r="A268" s="16" t="s">
        <v>338</v>
      </c>
      <c r="C268">
        <v>142.85714285714275</v>
      </c>
      <c r="N268">
        <v>142.85714285714275</v>
      </c>
    </row>
    <row r="269" spans="1:14">
      <c r="A269" s="16" t="s">
        <v>339</v>
      </c>
      <c r="D269">
        <v>161.90476190476201</v>
      </c>
      <c r="N269">
        <v>161.90476190476201</v>
      </c>
    </row>
    <row r="270" spans="1:14">
      <c r="A270" s="16" t="s">
        <v>340</v>
      </c>
      <c r="F270">
        <v>146.42857142857122</v>
      </c>
      <c r="N270">
        <v>146.42857142857122</v>
      </c>
    </row>
    <row r="271" spans="1:14">
      <c r="A271" s="16" t="s">
        <v>341</v>
      </c>
      <c r="B271">
        <v>305.95238095238108</v>
      </c>
      <c r="N271">
        <v>305.95238095238108</v>
      </c>
    </row>
    <row r="272" spans="1:14">
      <c r="A272" s="16" t="s">
        <v>342</v>
      </c>
      <c r="F272">
        <v>47.619047619047599</v>
      </c>
      <c r="N272">
        <v>47.619047619047599</v>
      </c>
    </row>
    <row r="273" spans="1:14">
      <c r="A273" s="16" t="s">
        <v>343</v>
      </c>
      <c r="E273">
        <v>125.00000000000007</v>
      </c>
      <c r="N273">
        <v>125.00000000000007</v>
      </c>
    </row>
    <row r="274" spans="1:14">
      <c r="A274" s="16" t="s">
        <v>344</v>
      </c>
      <c r="C274">
        <v>67.857142857142691</v>
      </c>
      <c r="N274">
        <v>67.857142857142691</v>
      </c>
    </row>
    <row r="275" spans="1:14">
      <c r="A275" s="16" t="s">
        <v>345</v>
      </c>
      <c r="C275">
        <v>9.5238095238094047</v>
      </c>
      <c r="N275">
        <v>9.5238095238094047</v>
      </c>
    </row>
    <row r="276" spans="1:14">
      <c r="A276" s="16" t="s">
        <v>346</v>
      </c>
      <c r="C276">
        <v>189.28571428571416</v>
      </c>
      <c r="N276">
        <v>189.28571428571416</v>
      </c>
    </row>
    <row r="277" spans="1:14">
      <c r="A277" s="16" t="s">
        <v>347</v>
      </c>
      <c r="E277">
        <v>99.999999999999872</v>
      </c>
      <c r="N277">
        <v>99.999999999999872</v>
      </c>
    </row>
    <row r="278" spans="1:14">
      <c r="A278" s="16" t="s">
        <v>348</v>
      </c>
      <c r="F278">
        <v>273.80952380952414</v>
      </c>
      <c r="N278">
        <v>273.80952380952414</v>
      </c>
    </row>
    <row r="279" spans="1:14">
      <c r="A279" s="16" t="s">
        <v>349</v>
      </c>
      <c r="F279">
        <v>298.80952380952397</v>
      </c>
      <c r="N279">
        <v>298.80952380952397</v>
      </c>
    </row>
    <row r="280" spans="1:14">
      <c r="A280" s="16" t="s">
        <v>350</v>
      </c>
      <c r="B280">
        <v>152.38095238095235</v>
      </c>
      <c r="N280">
        <v>152.38095238095235</v>
      </c>
    </row>
    <row r="281" spans="1:14">
      <c r="A281" s="16" t="s">
        <v>351</v>
      </c>
      <c r="E281">
        <v>353.57142857142844</v>
      </c>
      <c r="N281">
        <v>353.57142857142844</v>
      </c>
    </row>
    <row r="282" spans="1:14">
      <c r="A282" s="16" t="s">
        <v>352</v>
      </c>
      <c r="H282">
        <v>240.47619047619028</v>
      </c>
      <c r="N282">
        <v>240.47619047619028</v>
      </c>
    </row>
    <row r="283" spans="1:14">
      <c r="A283" s="16" t="s">
        <v>353</v>
      </c>
      <c r="J283">
        <v>7.1428571428572809</v>
      </c>
      <c r="N283">
        <v>7.1428571428572809</v>
      </c>
    </row>
    <row r="284" spans="1:14">
      <c r="A284" s="16" t="s">
        <v>354</v>
      </c>
      <c r="E284">
        <v>433.33333333333343</v>
      </c>
      <c r="N284">
        <v>433.33333333333343</v>
      </c>
    </row>
    <row r="285" spans="1:14">
      <c r="A285" s="16" t="s">
        <v>355</v>
      </c>
      <c r="C285">
        <v>305.95238095238108</v>
      </c>
      <c r="N285">
        <v>305.95238095238108</v>
      </c>
    </row>
    <row r="286" spans="1:14">
      <c r="A286" s="16" t="s">
        <v>356</v>
      </c>
      <c r="E286">
        <v>332.14285714285711</v>
      </c>
      <c r="N286">
        <v>332.14285714285711</v>
      </c>
    </row>
    <row r="287" spans="1:14">
      <c r="A287" s="16" t="s">
        <v>357</v>
      </c>
      <c r="E287">
        <v>147.61904761904745</v>
      </c>
      <c r="N287">
        <v>147.61904761904745</v>
      </c>
    </row>
    <row r="288" spans="1:14">
      <c r="A288" s="16" t="s">
        <v>358</v>
      </c>
      <c r="C288">
        <v>402.38095238095218</v>
      </c>
      <c r="N288">
        <v>402.38095238095218</v>
      </c>
    </row>
    <row r="289" spans="1:14">
      <c r="A289" s="16" t="s">
        <v>359</v>
      </c>
      <c r="H289">
        <v>94.047619047619264</v>
      </c>
      <c r="N289">
        <v>94.047619047619264</v>
      </c>
    </row>
    <row r="290" spans="1:14">
      <c r="A290" s="16" t="s">
        <v>360</v>
      </c>
      <c r="H290">
        <v>-65.476190476190339</v>
      </c>
      <c r="N290">
        <v>-65.476190476190339</v>
      </c>
    </row>
    <row r="291" spans="1:14">
      <c r="A291" s="16" t="s">
        <v>361</v>
      </c>
      <c r="D291">
        <v>84.523809523809632</v>
      </c>
      <c r="N291">
        <v>84.523809523809632</v>
      </c>
    </row>
    <row r="292" spans="1:14">
      <c r="A292" s="16" t="s">
        <v>362</v>
      </c>
      <c r="D292">
        <v>71.42857142857153</v>
      </c>
      <c r="N292">
        <v>71.42857142857153</v>
      </c>
    </row>
    <row r="293" spans="1:14">
      <c r="A293" s="16" t="s">
        <v>363</v>
      </c>
      <c r="E293">
        <v>192.85714285714306</v>
      </c>
      <c r="N293">
        <v>192.85714285714306</v>
      </c>
    </row>
    <row r="294" spans="1:14">
      <c r="A294" s="16" t="s">
        <v>364</v>
      </c>
      <c r="D294">
        <v>388.09523809523807</v>
      </c>
      <c r="N294">
        <v>388.09523809523807</v>
      </c>
    </row>
    <row r="295" spans="1:14">
      <c r="A295" s="16" t="s">
        <v>365</v>
      </c>
      <c r="E295">
        <v>191.66666666666677</v>
      </c>
      <c r="N295">
        <v>191.66666666666677</v>
      </c>
    </row>
    <row r="296" spans="1:14">
      <c r="A296" s="16" t="s">
        <v>366</v>
      </c>
      <c r="H296">
        <v>315.47619047619054</v>
      </c>
      <c r="N296">
        <v>315.47619047619054</v>
      </c>
    </row>
    <row r="297" spans="1:14">
      <c r="A297" s="16" t="s">
        <v>367</v>
      </c>
      <c r="C297">
        <v>-80.952380952380835</v>
      </c>
      <c r="N297">
        <v>-80.952380952380835</v>
      </c>
    </row>
    <row r="298" spans="1:14">
      <c r="A298" s="16" t="s">
        <v>368</v>
      </c>
      <c r="C298">
        <v>230.95238095238062</v>
      </c>
      <c r="N298">
        <v>230.95238095238062</v>
      </c>
    </row>
    <row r="299" spans="1:14">
      <c r="A299" s="16" t="s">
        <v>369</v>
      </c>
      <c r="D299">
        <v>66.666666666666785</v>
      </c>
      <c r="N299">
        <v>66.666666666666785</v>
      </c>
    </row>
    <row r="300" spans="1:14">
      <c r="A300" s="16" t="s">
        <v>370</v>
      </c>
      <c r="E300">
        <v>144.04761904761912</v>
      </c>
      <c r="N300">
        <v>144.04761904761912</v>
      </c>
    </row>
    <row r="301" spans="1:14">
      <c r="A301" s="16" t="s">
        <v>372</v>
      </c>
      <c r="M301">
        <v>156.1538461538463</v>
      </c>
      <c r="N301">
        <v>156.1538461538463</v>
      </c>
    </row>
    <row r="302" spans="1:14">
      <c r="A302" s="16" t="s">
        <v>373</v>
      </c>
      <c r="M302">
        <v>169.76495726495719</v>
      </c>
      <c r="N302">
        <v>169.76495726495719</v>
      </c>
    </row>
    <row r="303" spans="1:14">
      <c r="A303" s="16" t="s">
        <v>374</v>
      </c>
      <c r="M303">
        <v>110.61965811965804</v>
      </c>
      <c r="N303">
        <v>110.61965811965804</v>
      </c>
    </row>
    <row r="304" spans="1:14">
      <c r="A304" s="16" t="s">
        <v>375</v>
      </c>
      <c r="M304">
        <v>130.32051282051285</v>
      </c>
      <c r="N304">
        <v>130.32051282051285</v>
      </c>
    </row>
    <row r="305" spans="1:14">
      <c r="A305" s="16" t="s">
        <v>376</v>
      </c>
      <c r="M305">
        <v>157.13675213675211</v>
      </c>
      <c r="N305">
        <v>157.13675213675211</v>
      </c>
    </row>
    <row r="306" spans="1:14">
      <c r="A306" s="16" t="s">
        <v>377</v>
      </c>
      <c r="M306">
        <v>158.86752136752133</v>
      </c>
      <c r="N306">
        <v>158.86752136752133</v>
      </c>
    </row>
    <row r="307" spans="1:14">
      <c r="A307" s="16" t="s">
        <v>378</v>
      </c>
      <c r="M307">
        <v>124.42307692307695</v>
      </c>
      <c r="N307">
        <v>124.42307692307695</v>
      </c>
    </row>
    <row r="308" spans="1:14">
      <c r="A308" s="16" t="s">
        <v>379</v>
      </c>
      <c r="M308">
        <v>236.6239316239315</v>
      </c>
      <c r="N308">
        <v>236.6239316239315</v>
      </c>
    </row>
    <row r="309" spans="1:14">
      <c r="A309" s="16" t="s">
        <v>380</v>
      </c>
      <c r="M309">
        <v>211.85897435897436</v>
      </c>
      <c r="N309">
        <v>211.85897435897436</v>
      </c>
    </row>
    <row r="310" spans="1:14">
      <c r="A310" s="16" t="s">
        <v>381</v>
      </c>
      <c r="M310">
        <v>91.880341880341817</v>
      </c>
      <c r="N310">
        <v>91.880341880341817</v>
      </c>
    </row>
    <row r="311" spans="1:14">
      <c r="A311" s="16" t="s">
        <v>382</v>
      </c>
      <c r="M311">
        <v>109.63675213675219</v>
      </c>
      <c r="N311">
        <v>109.63675213675219</v>
      </c>
    </row>
    <row r="312" spans="1:14">
      <c r="A312" s="16" t="s">
        <v>383</v>
      </c>
      <c r="M312">
        <v>120.66239316239312</v>
      </c>
      <c r="N312">
        <v>120.66239316239312</v>
      </c>
    </row>
    <row r="313" spans="1:14">
      <c r="A313" s="16" t="s">
        <v>384</v>
      </c>
      <c r="M313">
        <v>118.5470085470086</v>
      </c>
      <c r="N313">
        <v>118.5470085470086</v>
      </c>
    </row>
    <row r="314" spans="1:14">
      <c r="A314" s="16" t="s">
        <v>385</v>
      </c>
      <c r="M314">
        <v>142.02991452991441</v>
      </c>
      <c r="N314">
        <v>142.02991452991441</v>
      </c>
    </row>
    <row r="315" spans="1:14">
      <c r="A315" s="16" t="s">
        <v>386</v>
      </c>
      <c r="M315">
        <v>120.98290598290589</v>
      </c>
      <c r="N315">
        <v>120.98290598290589</v>
      </c>
    </row>
    <row r="316" spans="1:14">
      <c r="A316" s="16" t="s">
        <v>387</v>
      </c>
      <c r="M316">
        <v>119.14529914529909</v>
      </c>
      <c r="N316">
        <v>119.14529914529909</v>
      </c>
    </row>
    <row r="317" spans="1:14">
      <c r="A317" s="16" t="s">
        <v>388</v>
      </c>
      <c r="M317">
        <v>235.34188034188045</v>
      </c>
      <c r="N317">
        <v>235.34188034188045</v>
      </c>
    </row>
    <row r="318" spans="1:14">
      <c r="A318" s="16" t="s">
        <v>389</v>
      </c>
      <c r="M318">
        <v>112.90598290598291</v>
      </c>
      <c r="N318">
        <v>112.90598290598291</v>
      </c>
    </row>
    <row r="319" spans="1:14">
      <c r="A319" s="16" t="s">
        <v>390</v>
      </c>
      <c r="M319">
        <v>125.17094017094023</v>
      </c>
      <c r="N319">
        <v>125.17094017094023</v>
      </c>
    </row>
    <row r="320" spans="1:14">
      <c r="A320" s="16" t="s">
        <v>391</v>
      </c>
      <c r="M320">
        <v>269.91452991452985</v>
      </c>
      <c r="N320">
        <v>269.91452991452985</v>
      </c>
    </row>
    <row r="321" spans="1:14">
      <c r="A321" s="16" t="s">
        <v>392</v>
      </c>
      <c r="M321">
        <v>208.37606837606825</v>
      </c>
      <c r="N321">
        <v>208.37606837606825</v>
      </c>
    </row>
    <row r="322" spans="1:14">
      <c r="A322" s="16" t="s">
        <v>393</v>
      </c>
      <c r="M322">
        <v>146.53846153846163</v>
      </c>
      <c r="N322">
        <v>146.53846153846163</v>
      </c>
    </row>
    <row r="323" spans="1:14">
      <c r="A323" s="16" t="s">
        <v>394</v>
      </c>
      <c r="M323">
        <v>180.96153846153854</v>
      </c>
      <c r="N323">
        <v>180.96153846153854</v>
      </c>
    </row>
    <row r="324" spans="1:14">
      <c r="A324" s="16" t="s">
        <v>395</v>
      </c>
      <c r="M324">
        <v>114.8717948717948</v>
      </c>
      <c r="N324">
        <v>114.8717948717948</v>
      </c>
    </row>
    <row r="325" spans="1:14">
      <c r="A325" s="16" t="s">
        <v>396</v>
      </c>
      <c r="M325">
        <v>28.119658119658066</v>
      </c>
      <c r="N325">
        <v>28.119658119658066</v>
      </c>
    </row>
    <row r="326" spans="1:14">
      <c r="A326" s="16" t="s">
        <v>397</v>
      </c>
      <c r="M326">
        <v>122.4358974358975</v>
      </c>
      <c r="N326">
        <v>122.4358974358975</v>
      </c>
    </row>
    <row r="327" spans="1:14">
      <c r="A327" s="16" t="s">
        <v>398</v>
      </c>
      <c r="M327">
        <v>183.99572649572644</v>
      </c>
      <c r="N327">
        <v>183.99572649572644</v>
      </c>
    </row>
    <row r="328" spans="1:14">
      <c r="A328" s="16" t="s">
        <v>399</v>
      </c>
      <c r="M328">
        <v>105.06410256410247</v>
      </c>
      <c r="N328">
        <v>105.06410256410247</v>
      </c>
    </row>
    <row r="329" spans="1:14">
      <c r="A329" s="16" t="s">
        <v>400</v>
      </c>
      <c r="M329">
        <v>158.50427350427364</v>
      </c>
      <c r="N329">
        <v>158.50427350427364</v>
      </c>
    </row>
    <row r="330" spans="1:14">
      <c r="A330" s="16" t="s">
        <v>401</v>
      </c>
      <c r="M330">
        <v>185.1495726495726</v>
      </c>
      <c r="N330">
        <v>185.1495726495726</v>
      </c>
    </row>
    <row r="331" spans="1:14">
      <c r="A331" s="16" t="s">
        <v>402</v>
      </c>
      <c r="M331">
        <v>144.82905982905987</v>
      </c>
      <c r="N331">
        <v>144.82905982905987</v>
      </c>
    </row>
    <row r="332" spans="1:14">
      <c r="A332" s="16" t="s">
        <v>403</v>
      </c>
      <c r="M332">
        <v>135.7905982905983</v>
      </c>
      <c r="N332">
        <v>135.7905982905983</v>
      </c>
    </row>
    <row r="333" spans="1:14">
      <c r="A333" s="16" t="s">
        <v>404</v>
      </c>
      <c r="M333">
        <v>218.71794871794873</v>
      </c>
      <c r="N333">
        <v>218.71794871794873</v>
      </c>
    </row>
    <row r="334" spans="1:14">
      <c r="A334" s="16" t="s">
        <v>405</v>
      </c>
      <c r="M334">
        <v>103.52564102564099</v>
      </c>
      <c r="N334">
        <v>103.52564102564099</v>
      </c>
    </row>
    <row r="335" spans="1:14">
      <c r="A335" s="16" t="s">
        <v>406</v>
      </c>
      <c r="M335">
        <v>148.24786324786328</v>
      </c>
      <c r="N335">
        <v>148.24786324786328</v>
      </c>
    </row>
    <row r="336" spans="1:14">
      <c r="A336" s="16" t="s">
        <v>407</v>
      </c>
      <c r="M336">
        <v>173.44017094017093</v>
      </c>
      <c r="N336">
        <v>173.44017094017093</v>
      </c>
    </row>
    <row r="337" spans="1:14">
      <c r="A337" s="16" t="s">
        <v>408</v>
      </c>
      <c r="M337">
        <v>124.23076923076928</v>
      </c>
      <c r="N337">
        <v>124.23076923076928</v>
      </c>
    </row>
    <row r="338" spans="1:14">
      <c r="A338" s="16" t="s">
        <v>409</v>
      </c>
      <c r="M338">
        <v>15.619658119658041</v>
      </c>
      <c r="N338">
        <v>15.619658119658041</v>
      </c>
    </row>
    <row r="339" spans="1:14">
      <c r="A339" s="16" t="s">
        <v>410</v>
      </c>
      <c r="M339">
        <v>143.91025641025644</v>
      </c>
      <c r="N339">
        <v>143.91025641025644</v>
      </c>
    </row>
    <row r="340" spans="1:14">
      <c r="A340" s="16" t="s">
        <v>411</v>
      </c>
      <c r="M340">
        <v>2.2649572649571894</v>
      </c>
      <c r="N340">
        <v>2.2649572649571894</v>
      </c>
    </row>
    <row r="341" spans="1:14">
      <c r="A341" s="16" t="s">
        <v>412</v>
      </c>
      <c r="M341">
        <v>216.38888888888883</v>
      </c>
      <c r="N341">
        <v>216.38888888888883</v>
      </c>
    </row>
    <row r="342" spans="1:14">
      <c r="A342" s="16" t="s">
        <v>413</v>
      </c>
      <c r="M342">
        <v>138.76068376068361</v>
      </c>
      <c r="N342">
        <v>138.76068376068361</v>
      </c>
    </row>
    <row r="343" spans="1:14">
      <c r="A343" s="16" t="s">
        <v>414</v>
      </c>
      <c r="M343">
        <v>66.089743589743591</v>
      </c>
      <c r="N343">
        <v>66.089743589743591</v>
      </c>
    </row>
    <row r="344" spans="1:14">
      <c r="A344" s="16" t="s">
        <v>415</v>
      </c>
      <c r="M344">
        <v>205.32051282051273</v>
      </c>
      <c r="N344">
        <v>205.32051282051273</v>
      </c>
    </row>
    <row r="345" spans="1:14">
      <c r="A345" s="16" t="s">
        <v>416</v>
      </c>
      <c r="M345">
        <v>98.504273504273556</v>
      </c>
      <c r="N345">
        <v>98.504273504273556</v>
      </c>
    </row>
    <row r="346" spans="1:14">
      <c r="A346" s="16" t="s">
        <v>417</v>
      </c>
      <c r="M346">
        <v>191.88034188034192</v>
      </c>
      <c r="N346">
        <v>191.88034188034192</v>
      </c>
    </row>
    <row r="347" spans="1:14">
      <c r="A347" s="16" t="s">
        <v>418</v>
      </c>
      <c r="M347">
        <v>156.62393162393164</v>
      </c>
      <c r="N347">
        <v>156.62393162393164</v>
      </c>
    </row>
    <row r="348" spans="1:14">
      <c r="A348" s="16" t="s">
        <v>419</v>
      </c>
      <c r="M348">
        <v>110.57692307692309</v>
      </c>
      <c r="N348">
        <v>110.57692307692309</v>
      </c>
    </row>
    <row r="349" spans="1:14">
      <c r="A349" s="16" t="s">
        <v>420</v>
      </c>
      <c r="M349">
        <v>70.405982905982967</v>
      </c>
      <c r="N349">
        <v>70.405982905982967</v>
      </c>
    </row>
    <row r="350" spans="1:14">
      <c r="A350" s="16" t="s">
        <v>421</v>
      </c>
      <c r="M350">
        <v>197.79914529914527</v>
      </c>
      <c r="N350">
        <v>197.79914529914527</v>
      </c>
    </row>
    <row r="351" spans="1:14">
      <c r="A351" s="16" t="s">
        <v>422</v>
      </c>
      <c r="M351">
        <v>329.99999999999983</v>
      </c>
      <c r="N351">
        <v>329.99999999999983</v>
      </c>
    </row>
    <row r="352" spans="1:14">
      <c r="A352" s="16" t="s">
        <v>423</v>
      </c>
      <c r="M352">
        <v>170.36324786324784</v>
      </c>
      <c r="N352">
        <v>170.36324786324784</v>
      </c>
    </row>
    <row r="353" spans="1:14">
      <c r="A353" s="16" t="s">
        <v>424</v>
      </c>
      <c r="M353">
        <v>125.06410256410264</v>
      </c>
      <c r="N353">
        <v>125.06410256410264</v>
      </c>
    </row>
    <row r="354" spans="1:14">
      <c r="A354" s="16" t="s">
        <v>426</v>
      </c>
      <c r="M354">
        <v>147.7136752136752</v>
      </c>
      <c r="N354">
        <v>147.7136752136752</v>
      </c>
    </row>
    <row r="355" spans="1:14">
      <c r="A355" s="16" t="s">
        <v>427</v>
      </c>
      <c r="M355">
        <v>135.40598290598288</v>
      </c>
      <c r="N355">
        <v>135.40598290598288</v>
      </c>
    </row>
    <row r="356" spans="1:14">
      <c r="A356" s="16" t="s">
        <v>428</v>
      </c>
      <c r="M356">
        <v>141.6666666666666</v>
      </c>
      <c r="N356">
        <v>141.6666666666666</v>
      </c>
    </row>
    <row r="357" spans="1:14">
      <c r="A357" s="16" t="s">
        <v>429</v>
      </c>
      <c r="M357">
        <v>155.91880341880338</v>
      </c>
      <c r="N357">
        <v>155.91880341880338</v>
      </c>
    </row>
    <row r="358" spans="1:14">
      <c r="A358" s="16" t="s">
        <v>430</v>
      </c>
      <c r="M358">
        <v>212.47863247863242</v>
      </c>
      <c r="N358">
        <v>212.47863247863242</v>
      </c>
    </row>
    <row r="359" spans="1:14">
      <c r="A359" s="16" t="s">
        <v>431</v>
      </c>
      <c r="M359">
        <v>219.05982905982899</v>
      </c>
      <c r="N359">
        <v>219.05982905982899</v>
      </c>
    </row>
    <row r="360" spans="1:14">
      <c r="A360" s="16" t="s">
        <v>432</v>
      </c>
      <c r="M360">
        <v>189.18803418803418</v>
      </c>
      <c r="N360">
        <v>189.18803418803418</v>
      </c>
    </row>
    <row r="361" spans="1:14">
      <c r="A361" s="16" t="s">
        <v>433</v>
      </c>
      <c r="M361">
        <v>197.20085470085473</v>
      </c>
      <c r="N361">
        <v>197.20085470085473</v>
      </c>
    </row>
    <row r="362" spans="1:14">
      <c r="A362" s="16" t="s">
        <v>434</v>
      </c>
      <c r="M362">
        <v>165.68376068376071</v>
      </c>
      <c r="N362">
        <v>165.68376068376071</v>
      </c>
    </row>
    <row r="363" spans="1:14">
      <c r="A363" s="16" t="s">
        <v>435</v>
      </c>
      <c r="M363">
        <v>124.27350427350429</v>
      </c>
      <c r="N363">
        <v>124.27350427350429</v>
      </c>
    </row>
    <row r="364" spans="1:14">
      <c r="A364" s="16" t="s">
        <v>436</v>
      </c>
      <c r="M364">
        <v>84.3376068376067</v>
      </c>
      <c r="N364">
        <v>84.3376068376067</v>
      </c>
    </row>
    <row r="365" spans="1:14">
      <c r="A365" s="16" t="s">
        <v>437</v>
      </c>
      <c r="M365">
        <v>28.482905982906086</v>
      </c>
      <c r="N365">
        <v>28.482905982906086</v>
      </c>
    </row>
    <row r="366" spans="1:14">
      <c r="A366" s="16" t="s">
        <v>438</v>
      </c>
      <c r="M366">
        <v>117.60683760683764</v>
      </c>
      <c r="N366">
        <v>117.60683760683764</v>
      </c>
    </row>
    <row r="367" spans="1:14">
      <c r="A367" s="16" t="s">
        <v>439</v>
      </c>
      <c r="M367">
        <v>183.46153846153854</v>
      </c>
      <c r="N367">
        <v>183.46153846153854</v>
      </c>
    </row>
    <row r="368" spans="1:14">
      <c r="A368" s="16" t="s">
        <v>440</v>
      </c>
      <c r="M368">
        <v>0.64102564102564463</v>
      </c>
      <c r="N368">
        <v>0.64102564102564463</v>
      </c>
    </row>
    <row r="369" spans="1:14">
      <c r="A369" s="16" t="s">
        <v>441</v>
      </c>
      <c r="M369">
        <v>85.448717948718013</v>
      </c>
      <c r="N369">
        <v>85.448717948718013</v>
      </c>
    </row>
    <row r="370" spans="1:14">
      <c r="A370" s="16" t="s">
        <v>442</v>
      </c>
      <c r="M370">
        <v>92.45726495726484</v>
      </c>
      <c r="N370">
        <v>92.45726495726484</v>
      </c>
    </row>
    <row r="371" spans="1:14">
      <c r="A371" s="16" t="s">
        <v>443</v>
      </c>
      <c r="M371">
        <v>154.44444444444449</v>
      </c>
      <c r="N371">
        <v>154.44444444444449</v>
      </c>
    </row>
    <row r="372" spans="1:14">
      <c r="A372" s="16" t="s">
        <v>444</v>
      </c>
      <c r="M372">
        <v>152.0085470085468</v>
      </c>
      <c r="N372">
        <v>152.0085470085468</v>
      </c>
    </row>
    <row r="373" spans="1:14">
      <c r="A373" s="16" t="s">
        <v>445</v>
      </c>
      <c r="M373">
        <v>174.35897435897434</v>
      </c>
      <c r="N373">
        <v>174.35897435897434</v>
      </c>
    </row>
    <row r="374" spans="1:14">
      <c r="A374" s="16" t="s">
        <v>446</v>
      </c>
      <c r="M374">
        <v>94.33760683760687</v>
      </c>
      <c r="N374">
        <v>94.33760683760687</v>
      </c>
    </row>
    <row r="375" spans="1:14">
      <c r="A375" s="16" t="s">
        <v>447</v>
      </c>
      <c r="M375">
        <v>79.059829059829113</v>
      </c>
      <c r="N375">
        <v>79.059829059829113</v>
      </c>
    </row>
    <row r="376" spans="1:14">
      <c r="A376" s="16" t="s">
        <v>448</v>
      </c>
      <c r="M376">
        <v>136.75213675213678</v>
      </c>
      <c r="N376">
        <v>136.75213675213678</v>
      </c>
    </row>
    <row r="377" spans="1:14">
      <c r="A377" s="16" t="s">
        <v>449</v>
      </c>
      <c r="M377">
        <v>110.2991452991452</v>
      </c>
      <c r="N377">
        <v>110.2991452991452</v>
      </c>
    </row>
    <row r="378" spans="1:14">
      <c r="A378" s="16" t="s">
        <v>450</v>
      </c>
      <c r="M378">
        <v>115.81196581196589</v>
      </c>
      <c r="N378">
        <v>115.81196581196589</v>
      </c>
    </row>
    <row r="379" spans="1:14">
      <c r="A379" s="16" t="s">
        <v>451</v>
      </c>
      <c r="M379">
        <v>98.226495726495656</v>
      </c>
      <c r="N379">
        <v>98.226495726495656</v>
      </c>
    </row>
    <row r="380" spans="1:14">
      <c r="A380" s="16" t="s">
        <v>452</v>
      </c>
      <c r="M380">
        <v>25.57692307692297</v>
      </c>
      <c r="N380">
        <v>25.57692307692297</v>
      </c>
    </row>
    <row r="381" spans="1:14">
      <c r="A381" s="16" t="s">
        <v>453</v>
      </c>
      <c r="M381">
        <v>59.59401709401709</v>
      </c>
      <c r="N381">
        <v>59.59401709401709</v>
      </c>
    </row>
    <row r="382" spans="1:14">
      <c r="A382" s="16" t="s">
        <v>454</v>
      </c>
      <c r="M382">
        <v>35.854700854700958</v>
      </c>
      <c r="N382">
        <v>35.854700854700958</v>
      </c>
    </row>
    <row r="383" spans="1:14">
      <c r="A383" s="16" t="s">
        <v>455</v>
      </c>
      <c r="M383">
        <v>163.76068376068375</v>
      </c>
      <c r="N383">
        <v>163.76068376068375</v>
      </c>
    </row>
    <row r="384" spans="1:14">
      <c r="A384" s="16" t="s">
        <v>456</v>
      </c>
      <c r="M384">
        <v>125.61965811965815</v>
      </c>
      <c r="N384">
        <v>125.61965811965815</v>
      </c>
    </row>
    <row r="385" spans="1:14">
      <c r="A385" s="16" t="s">
        <v>457</v>
      </c>
      <c r="M385">
        <v>163.14102564102566</v>
      </c>
      <c r="N385">
        <v>163.14102564102566</v>
      </c>
    </row>
    <row r="386" spans="1:14">
      <c r="A386" s="16" t="s">
        <v>458</v>
      </c>
      <c r="M386">
        <v>295.49145299145289</v>
      </c>
      <c r="N386">
        <v>295.49145299145289</v>
      </c>
    </row>
    <row r="387" spans="1:14">
      <c r="A387" s="16" t="s">
        <v>459</v>
      </c>
      <c r="M387">
        <v>-0.70512820512830621</v>
      </c>
      <c r="N387">
        <v>-0.70512820512830621</v>
      </c>
    </row>
    <row r="388" spans="1:14">
      <c r="A388" s="16" t="s">
        <v>460</v>
      </c>
      <c r="M388">
        <v>33.31196581196582</v>
      </c>
      <c r="N388">
        <v>33.31196581196582</v>
      </c>
    </row>
    <row r="389" spans="1:14">
      <c r="A389" s="16" t="s">
        <v>461</v>
      </c>
      <c r="M389">
        <v>201.41025641025649</v>
      </c>
      <c r="N389">
        <v>201.41025641025649</v>
      </c>
    </row>
    <row r="390" spans="1:14">
      <c r="A390" s="16" t="s">
        <v>462</v>
      </c>
      <c r="M390">
        <v>23.568376068376107</v>
      </c>
      <c r="N390">
        <v>23.568376068376107</v>
      </c>
    </row>
    <row r="391" spans="1:14">
      <c r="A391" s="16" t="s">
        <v>463</v>
      </c>
      <c r="M391">
        <v>126.23931623931634</v>
      </c>
      <c r="N391">
        <v>126.23931623931634</v>
      </c>
    </row>
    <row r="392" spans="1:14">
      <c r="A392" s="16" t="s">
        <v>464</v>
      </c>
      <c r="M392">
        <v>184.14529914529922</v>
      </c>
      <c r="N392">
        <v>184.14529914529922</v>
      </c>
    </row>
    <row r="393" spans="1:14">
      <c r="A393" s="16" t="s">
        <v>465</v>
      </c>
      <c r="M393">
        <v>54.316239316239255</v>
      </c>
      <c r="N393">
        <v>54.316239316239255</v>
      </c>
    </row>
    <row r="394" spans="1:14">
      <c r="A394" s="16" t="s">
        <v>466</v>
      </c>
      <c r="M394">
        <v>145.06410256410263</v>
      </c>
      <c r="N394">
        <v>145.06410256410263</v>
      </c>
    </row>
    <row r="395" spans="1:14">
      <c r="A395" s="16" t="s">
        <v>467</v>
      </c>
      <c r="M395">
        <v>121.96581196581211</v>
      </c>
      <c r="N395">
        <v>121.96581196581211</v>
      </c>
    </row>
    <row r="396" spans="1:14">
      <c r="A396" s="16" t="s">
        <v>468</v>
      </c>
      <c r="M396">
        <v>122.69230769230757</v>
      </c>
      <c r="N396">
        <v>122.69230769230757</v>
      </c>
    </row>
    <row r="397" spans="1:14">
      <c r="A397" s="16" t="s">
        <v>469</v>
      </c>
      <c r="M397">
        <v>97.905982905982796</v>
      </c>
      <c r="N397">
        <v>97.905982905982796</v>
      </c>
    </row>
    <row r="398" spans="1:14">
      <c r="A398" s="16" t="s">
        <v>470</v>
      </c>
      <c r="M398">
        <v>123.73931623931617</v>
      </c>
      <c r="N398">
        <v>123.73931623931617</v>
      </c>
    </row>
    <row r="399" spans="1:14">
      <c r="A399" s="16" t="s">
        <v>471</v>
      </c>
      <c r="M399">
        <v>58.504273504273556</v>
      </c>
      <c r="N399">
        <v>58.504273504273556</v>
      </c>
    </row>
    <row r="400" spans="1:14">
      <c r="A400" s="16" t="s">
        <v>472</v>
      </c>
      <c r="M400">
        <v>131.7948717948718</v>
      </c>
      <c r="N400">
        <v>131.7948717948718</v>
      </c>
    </row>
    <row r="401" spans="1:14">
      <c r="A401" s="16" t="s">
        <v>473</v>
      </c>
      <c r="M401">
        <v>108.09829059829066</v>
      </c>
      <c r="N401">
        <v>108.09829059829066</v>
      </c>
    </row>
    <row r="402" spans="1:14">
      <c r="A402" s="16" t="s">
        <v>474</v>
      </c>
      <c r="M402">
        <v>54.017094017094145</v>
      </c>
      <c r="N402">
        <v>54.017094017094145</v>
      </c>
    </row>
    <row r="403" spans="1:14">
      <c r="A403" s="16" t="s">
        <v>475</v>
      </c>
      <c r="M403">
        <v>16.324786324786359</v>
      </c>
      <c r="N403">
        <v>16.324786324786359</v>
      </c>
    </row>
    <row r="404" spans="1:14">
      <c r="A404" s="16" t="s">
        <v>476</v>
      </c>
      <c r="M404">
        <v>144.74358974358975</v>
      </c>
      <c r="N404">
        <v>144.74358974358975</v>
      </c>
    </row>
    <row r="405" spans="1:14">
      <c r="A405" s="16" t="s">
        <v>477</v>
      </c>
      <c r="M405">
        <v>182.71367521367515</v>
      </c>
      <c r="N405">
        <v>182.71367521367515</v>
      </c>
    </row>
    <row r="406" spans="1:14">
      <c r="A406" s="16" t="s">
        <v>479</v>
      </c>
      <c r="H406">
        <v>-14.285714285714363</v>
      </c>
      <c r="N406">
        <v>-14.285714285714363</v>
      </c>
    </row>
    <row r="407" spans="1:14">
      <c r="A407" s="16" t="s">
        <v>480</v>
      </c>
      <c r="J407">
        <v>-55.357142857142875</v>
      </c>
      <c r="N407">
        <v>-55.357142857142875</v>
      </c>
    </row>
    <row r="408" spans="1:14">
      <c r="A408" s="16" t="s">
        <v>481</v>
      </c>
      <c r="F408">
        <v>21.428571428571345</v>
      </c>
      <c r="N408">
        <v>21.428571428571345</v>
      </c>
    </row>
    <row r="409" spans="1:14">
      <c r="A409" s="16" t="s">
        <v>482</v>
      </c>
      <c r="K409">
        <v>-37.500000000000028</v>
      </c>
      <c r="N409">
        <v>-37.500000000000028</v>
      </c>
    </row>
    <row r="410" spans="1:14">
      <c r="A410" s="16" t="s">
        <v>483</v>
      </c>
      <c r="F410">
        <v>-28.571428571428463</v>
      </c>
      <c r="N410">
        <v>-28.571428571428463</v>
      </c>
    </row>
    <row r="411" spans="1:14">
      <c r="A411" s="16" t="s">
        <v>484</v>
      </c>
      <c r="H411">
        <v>-74.999999999999929</v>
      </c>
      <c r="N411">
        <v>-74.999999999999929</v>
      </c>
    </row>
    <row r="412" spans="1:14">
      <c r="A412" s="16" t="s">
        <v>485</v>
      </c>
      <c r="J412">
        <v>-114.28571428571425</v>
      </c>
      <c r="N412">
        <v>-114.28571428571425</v>
      </c>
    </row>
    <row r="413" spans="1:14">
      <c r="A413" s="16" t="s">
        <v>486</v>
      </c>
      <c r="H413">
        <v>-5.3571428571428044</v>
      </c>
      <c r="N413">
        <v>-5.3571428571428044</v>
      </c>
    </row>
    <row r="414" spans="1:14">
      <c r="A414" s="16" t="s">
        <v>487</v>
      </c>
      <c r="F414">
        <v>62.499999999999993</v>
      </c>
      <c r="N414">
        <v>62.499999999999993</v>
      </c>
    </row>
    <row r="415" spans="1:14">
      <c r="A415" s="16" t="s">
        <v>488</v>
      </c>
      <c r="H415">
        <v>-19.642857142857174</v>
      </c>
      <c r="N415">
        <v>-19.642857142857174</v>
      </c>
    </row>
    <row r="416" spans="1:14">
      <c r="A416" s="16" t="s">
        <v>489</v>
      </c>
      <c r="F416">
        <v>-3.5714285714286262</v>
      </c>
      <c r="N416">
        <v>-3.5714285714286262</v>
      </c>
    </row>
    <row r="417" spans="1:14">
      <c r="A417" s="16" t="s">
        <v>490</v>
      </c>
      <c r="H417">
        <v>-16.071428571428676</v>
      </c>
      <c r="N417">
        <v>-16.071428571428676</v>
      </c>
    </row>
    <row r="418" spans="1:14">
      <c r="A418" s="16" t="s">
        <v>491</v>
      </c>
      <c r="J418">
        <v>-76.785714285714249</v>
      </c>
      <c r="N418">
        <v>-76.785714285714249</v>
      </c>
    </row>
    <row r="419" spans="1:14">
      <c r="A419" s="16" t="s">
        <v>492</v>
      </c>
      <c r="J419">
        <v>-33.92857142857153</v>
      </c>
      <c r="N419">
        <v>-33.92857142857153</v>
      </c>
    </row>
    <row r="420" spans="1:14">
      <c r="A420" s="16" t="s">
        <v>493</v>
      </c>
      <c r="J420">
        <v>-96.42857142857153</v>
      </c>
      <c r="N420">
        <v>-96.42857142857153</v>
      </c>
    </row>
    <row r="421" spans="1:14">
      <c r="A421" s="16" t="s">
        <v>494</v>
      </c>
      <c r="H421">
        <v>-30.3571428571429</v>
      </c>
      <c r="N421">
        <v>-30.3571428571429</v>
      </c>
    </row>
    <row r="422" spans="1:14">
      <c r="A422" s="16" t="s">
        <v>495</v>
      </c>
      <c r="H422">
        <v>28.571428571428591</v>
      </c>
      <c r="N422">
        <v>28.571428571428591</v>
      </c>
    </row>
    <row r="423" spans="1:14">
      <c r="A423" s="16" t="s">
        <v>496</v>
      </c>
      <c r="J423">
        <v>50.000000000000085</v>
      </c>
      <c r="N423">
        <v>50.000000000000085</v>
      </c>
    </row>
    <row r="424" spans="1:14">
      <c r="A424" s="16" t="s">
        <v>497</v>
      </c>
      <c r="H424">
        <v>55.357142857142868</v>
      </c>
      <c r="N424">
        <v>55.357142857142868</v>
      </c>
    </row>
    <row r="425" spans="1:14">
      <c r="A425" s="16" t="s">
        <v>498</v>
      </c>
      <c r="J425">
        <v>-5.3571428571428044</v>
      </c>
      <c r="N425">
        <v>-5.3571428571428044</v>
      </c>
    </row>
    <row r="426" spans="1:14">
      <c r="A426" s="16" t="s">
        <v>500</v>
      </c>
      <c r="F426">
        <v>-28.57142857142847</v>
      </c>
      <c r="N426">
        <v>-28.57142857142847</v>
      </c>
    </row>
    <row r="427" spans="1:14">
      <c r="A427" s="16" t="s">
        <v>501</v>
      </c>
      <c r="F427">
        <v>-30.357142857142918</v>
      </c>
      <c r="N427">
        <v>-30.357142857142918</v>
      </c>
    </row>
    <row r="428" spans="1:14">
      <c r="A428" s="16" t="s">
        <v>502</v>
      </c>
      <c r="H428">
        <v>-16.071428571428545</v>
      </c>
      <c r="N428">
        <v>-16.071428571428545</v>
      </c>
    </row>
    <row r="429" spans="1:14">
      <c r="A429" s="16" t="s">
        <v>503</v>
      </c>
      <c r="H429">
        <v>89.285714285714278</v>
      </c>
      <c r="N429">
        <v>89.285714285714278</v>
      </c>
    </row>
    <row r="430" spans="1:14">
      <c r="A430" s="16" t="s">
        <v>504</v>
      </c>
      <c r="K430">
        <v>21.428571428571615</v>
      </c>
      <c r="N430">
        <v>21.428571428571615</v>
      </c>
    </row>
    <row r="431" spans="1:14">
      <c r="A431" s="16" t="s">
        <v>505</v>
      </c>
      <c r="F431">
        <v>78.571428571428527</v>
      </c>
      <c r="N431">
        <v>78.571428571428527</v>
      </c>
    </row>
    <row r="432" spans="1:14">
      <c r="A432" s="16" t="s">
        <v>506</v>
      </c>
      <c r="J432">
        <v>50.000000000000071</v>
      </c>
      <c r="N432">
        <v>50.000000000000071</v>
      </c>
    </row>
    <row r="433" spans="1:14">
      <c r="A433" s="16" t="s">
        <v>507</v>
      </c>
      <c r="J433">
        <v>-60.714285714285822</v>
      </c>
      <c r="N433">
        <v>-60.714285714285822</v>
      </c>
    </row>
    <row r="434" spans="1:14">
      <c r="A434" s="16" t="s">
        <v>508</v>
      </c>
      <c r="F434">
        <v>12.50000000000005</v>
      </c>
      <c r="N434">
        <v>12.50000000000005</v>
      </c>
    </row>
    <row r="435" spans="1:14">
      <c r="A435" s="16" t="s">
        <v>509</v>
      </c>
      <c r="H435">
        <v>19.642857142857167</v>
      </c>
      <c r="N435">
        <v>19.642857142857167</v>
      </c>
    </row>
    <row r="436" spans="1:14">
      <c r="A436" s="16" t="s">
        <v>510</v>
      </c>
      <c r="H436">
        <v>69.642857142857125</v>
      </c>
      <c r="N436">
        <v>69.642857142857125</v>
      </c>
    </row>
    <row r="437" spans="1:14">
      <c r="A437" s="16" t="s">
        <v>511</v>
      </c>
      <c r="H437">
        <v>-117.85714285714288</v>
      </c>
      <c r="N437">
        <v>-117.85714285714288</v>
      </c>
    </row>
    <row r="438" spans="1:14">
      <c r="A438" s="16" t="s">
        <v>512</v>
      </c>
      <c r="F438">
        <v>198.21428571428561</v>
      </c>
      <c r="N438">
        <v>198.21428571428561</v>
      </c>
    </row>
    <row r="439" spans="1:14">
      <c r="A439" s="16" t="s">
        <v>513</v>
      </c>
      <c r="H439">
        <v>30.357142857142776</v>
      </c>
      <c r="N439">
        <v>30.357142857142776</v>
      </c>
    </row>
    <row r="440" spans="1:14">
      <c r="A440" s="16" t="s">
        <v>514</v>
      </c>
      <c r="J440">
        <v>116.07142857142857</v>
      </c>
      <c r="N440">
        <v>116.07142857142857</v>
      </c>
    </row>
    <row r="441" spans="1:14">
      <c r="A441" s="16" t="s">
        <v>515</v>
      </c>
      <c r="F441">
        <v>66.071428571428626</v>
      </c>
      <c r="N441">
        <v>66.071428571428626</v>
      </c>
    </row>
    <row r="442" spans="1:14">
      <c r="A442" s="16" t="s">
        <v>516</v>
      </c>
      <c r="H442">
        <v>-21.42857142857148</v>
      </c>
      <c r="N442">
        <v>-21.42857142857148</v>
      </c>
    </row>
    <row r="443" spans="1:14">
      <c r="A443" s="16" t="s">
        <v>517</v>
      </c>
      <c r="J443">
        <v>-110.71428571428575</v>
      </c>
      <c r="N443">
        <v>-110.71428571428575</v>
      </c>
    </row>
    <row r="444" spans="1:14">
      <c r="A444" s="16" t="s">
        <v>518</v>
      </c>
      <c r="H444">
        <v>26.78571428571427</v>
      </c>
      <c r="N444">
        <v>26.78571428571427</v>
      </c>
    </row>
    <row r="445" spans="1:14">
      <c r="A445" s="16" t="s">
        <v>519</v>
      </c>
      <c r="H445">
        <v>-58.928571428571509</v>
      </c>
      <c r="N445">
        <v>-58.928571428571509</v>
      </c>
    </row>
    <row r="446" spans="1:14">
      <c r="A446" s="16" t="s">
        <v>269</v>
      </c>
      <c r="K446">
        <v>0</v>
      </c>
      <c r="N446">
        <v>0</v>
      </c>
    </row>
    <row r="447" spans="1:14">
      <c r="A447" s="16" t="s">
        <v>270</v>
      </c>
      <c r="L447">
        <v>-142.85714285714286</v>
      </c>
      <c r="N447">
        <v>-142.85714285714286</v>
      </c>
    </row>
    <row r="448" spans="1:14">
      <c r="A448" s="16" t="s">
        <v>271</v>
      </c>
      <c r="L448">
        <v>-178.57142857142858</v>
      </c>
      <c r="N448">
        <v>-178.57142857142858</v>
      </c>
    </row>
    <row r="449" spans="1:14">
      <c r="A449" s="16" t="s">
        <v>272</v>
      </c>
      <c r="K449">
        <v>-71.428571428571431</v>
      </c>
      <c r="N449">
        <v>-71.428571428571431</v>
      </c>
    </row>
    <row r="450" spans="1:14">
      <c r="A450" s="16" t="s">
        <v>273</v>
      </c>
      <c r="H450">
        <v>-142.85714285714286</v>
      </c>
      <c r="N450">
        <v>-142.85714285714286</v>
      </c>
    </row>
    <row r="451" spans="1:14">
      <c r="A451" s="16" t="s">
        <v>274</v>
      </c>
      <c r="H451">
        <v>0</v>
      </c>
      <c r="N451">
        <v>0</v>
      </c>
    </row>
    <row r="452" spans="1:14">
      <c r="A452" s="16" t="s">
        <v>275</v>
      </c>
      <c r="H452">
        <v>-142.85714285714286</v>
      </c>
      <c r="N452">
        <v>-142.85714285714286</v>
      </c>
    </row>
    <row r="453" spans="1:14">
      <c r="A453" s="16" t="s">
        <v>276</v>
      </c>
      <c r="K453">
        <v>-89.285714285714278</v>
      </c>
      <c r="N453">
        <v>-89.285714285714278</v>
      </c>
    </row>
    <row r="454" spans="1:14">
      <c r="A454" s="16" t="s">
        <v>277</v>
      </c>
      <c r="K454">
        <v>-142.85714285714286</v>
      </c>
      <c r="N454">
        <v>-142.85714285714286</v>
      </c>
    </row>
    <row r="455" spans="1:14">
      <c r="A455" s="16" t="s">
        <v>278</v>
      </c>
      <c r="H455">
        <v>-196.42857142857144</v>
      </c>
      <c r="N455">
        <v>-196.42857142857144</v>
      </c>
    </row>
    <row r="456" spans="1:14">
      <c r="A456" s="16" t="s">
        <v>279</v>
      </c>
      <c r="H456">
        <v>-125</v>
      </c>
      <c r="N456">
        <v>-125</v>
      </c>
    </row>
    <row r="457" spans="1:14">
      <c r="A457" s="16" t="s">
        <v>280</v>
      </c>
      <c r="K457">
        <v>-160.71428571428572</v>
      </c>
      <c r="N457">
        <v>-160.71428571428572</v>
      </c>
    </row>
    <row r="458" spans="1:14">
      <c r="A458" s="16" t="s">
        <v>281</v>
      </c>
      <c r="H458">
        <v>-142.85714285714286</v>
      </c>
      <c r="N458">
        <v>-142.85714285714286</v>
      </c>
    </row>
    <row r="459" spans="1:14">
      <c r="A459" s="16" t="s">
        <v>282</v>
      </c>
      <c r="L459">
        <v>-214.28571428571428</v>
      </c>
      <c r="N459">
        <v>-214.28571428571428</v>
      </c>
    </row>
    <row r="460" spans="1:14">
      <c r="A460" s="16" t="s">
        <v>283</v>
      </c>
      <c r="L460">
        <v>-142.85714285714286</v>
      </c>
      <c r="N460">
        <v>-142.85714285714286</v>
      </c>
    </row>
    <row r="461" spans="1:14">
      <c r="A461" s="16" t="s">
        <v>284</v>
      </c>
      <c r="K461">
        <v>-196.42857142857144</v>
      </c>
      <c r="N461">
        <v>-196.42857142857144</v>
      </c>
    </row>
    <row r="462" spans="1:14">
      <c r="A462" s="16" t="s">
        <v>285</v>
      </c>
      <c r="H462">
        <v>-196.42857142857144</v>
      </c>
      <c r="N462">
        <v>-196.42857142857144</v>
      </c>
    </row>
    <row r="463" spans="1:14">
      <c r="A463" s="16" t="s">
        <v>286</v>
      </c>
      <c r="K463">
        <v>-71.428571428571431</v>
      </c>
      <c r="N463">
        <v>-71.428571428571431</v>
      </c>
    </row>
    <row r="464" spans="1:14">
      <c r="A464" s="16" t="s">
        <v>287</v>
      </c>
      <c r="K464">
        <v>-107.14285714285714</v>
      </c>
      <c r="N464">
        <v>-107.14285714285714</v>
      </c>
    </row>
    <row r="465" spans="1:14">
      <c r="A465" s="16" t="s">
        <v>288</v>
      </c>
      <c r="H465">
        <v>-53.571428571428569</v>
      </c>
      <c r="N465">
        <v>-53.571428571428569</v>
      </c>
    </row>
    <row r="466" spans="1:14">
      <c r="A466" s="16" t="s">
        <v>289</v>
      </c>
      <c r="L466">
        <v>-214.28571428571428</v>
      </c>
      <c r="N466">
        <v>-214.28571428571428</v>
      </c>
    </row>
    <row r="467" spans="1:14">
      <c r="A467" s="16" t="s">
        <v>290</v>
      </c>
      <c r="L467">
        <v>-71.428571428571416</v>
      </c>
      <c r="N467">
        <v>-71.428571428571416</v>
      </c>
    </row>
    <row r="468" spans="1:14">
      <c r="A468" s="16" t="s">
        <v>291</v>
      </c>
      <c r="H468">
        <v>-71.428571428571431</v>
      </c>
      <c r="N468">
        <v>-71.428571428571431</v>
      </c>
    </row>
    <row r="469" spans="1:14">
      <c r="A469" s="16" t="s">
        <v>292</v>
      </c>
      <c r="L469">
        <v>-178.57142857142856</v>
      </c>
      <c r="N469">
        <v>-178.57142857142856</v>
      </c>
    </row>
    <row r="470" spans="1:14">
      <c r="A470" s="16" t="s">
        <v>293</v>
      </c>
      <c r="L470">
        <v>-107.14285714285715</v>
      </c>
      <c r="N470">
        <v>-107.14285714285715</v>
      </c>
    </row>
    <row r="471" spans="1:14">
      <c r="A471" s="16" t="s">
        <v>294</v>
      </c>
      <c r="H471">
        <v>-160.71428571428572</v>
      </c>
      <c r="N471">
        <v>-160.71428571428572</v>
      </c>
    </row>
    <row r="472" spans="1:14">
      <c r="A472" s="16" t="s">
        <v>295</v>
      </c>
      <c r="L472">
        <v>-71.428571428571416</v>
      </c>
      <c r="N472">
        <v>-71.428571428571416</v>
      </c>
    </row>
    <row r="473" spans="1:14">
      <c r="A473" s="16" t="s">
        <v>296</v>
      </c>
      <c r="H473">
        <v>-71.428571428571431</v>
      </c>
      <c r="N473">
        <v>-71.428571428571431</v>
      </c>
    </row>
    <row r="474" spans="1:14">
      <c r="A474" s="16" t="s">
        <v>297</v>
      </c>
      <c r="L474">
        <v>-142.85714285714286</v>
      </c>
      <c r="N474">
        <v>-142.85714285714286</v>
      </c>
    </row>
    <row r="475" spans="1:14">
      <c r="A475" s="16" t="s">
        <v>298</v>
      </c>
      <c r="L475">
        <v>-35.714285714285722</v>
      </c>
      <c r="N475">
        <v>-35.714285714285722</v>
      </c>
    </row>
    <row r="476" spans="1:14">
      <c r="A476" s="16" t="s">
        <v>522</v>
      </c>
      <c r="J476">
        <v>28.846153846153868</v>
      </c>
      <c r="N476">
        <v>28.846153846153868</v>
      </c>
    </row>
    <row r="477" spans="1:14">
      <c r="A477" s="16" t="s">
        <v>523</v>
      </c>
      <c r="H477">
        <v>189.56043956043959</v>
      </c>
      <c r="N477">
        <v>189.56043956043959</v>
      </c>
    </row>
    <row r="478" spans="1:14">
      <c r="A478" s="16" t="s">
        <v>524</v>
      </c>
      <c r="J478">
        <v>101.64835164835164</v>
      </c>
      <c r="N478">
        <v>101.64835164835164</v>
      </c>
    </row>
    <row r="479" spans="1:14">
      <c r="A479" s="16" t="s">
        <v>525</v>
      </c>
      <c r="J479">
        <v>173.07692307692307</v>
      </c>
      <c r="N479">
        <v>173.07692307692307</v>
      </c>
    </row>
    <row r="480" spans="1:14">
      <c r="A480" s="16" t="s">
        <v>526</v>
      </c>
      <c r="H480">
        <v>210.16483516483518</v>
      </c>
      <c r="N480">
        <v>210.16483516483518</v>
      </c>
    </row>
    <row r="481" spans="1:14">
      <c r="A481" s="16" t="s">
        <v>527</v>
      </c>
      <c r="H481">
        <v>-39.835164835164832</v>
      </c>
      <c r="N481">
        <v>-39.835164835164832</v>
      </c>
    </row>
    <row r="482" spans="1:14">
      <c r="A482" s="16" t="s">
        <v>528</v>
      </c>
      <c r="H482">
        <v>87.912087912087912</v>
      </c>
      <c r="N482">
        <v>87.912087912087912</v>
      </c>
    </row>
    <row r="483" spans="1:14">
      <c r="A483" s="16" t="s">
        <v>529</v>
      </c>
      <c r="H483">
        <v>64.560439560439576</v>
      </c>
      <c r="N483">
        <v>64.560439560439576</v>
      </c>
    </row>
    <row r="484" spans="1:14">
      <c r="A484" s="16" t="s">
        <v>530</v>
      </c>
      <c r="H484">
        <v>63.186813186813183</v>
      </c>
      <c r="N484">
        <v>63.186813186813183</v>
      </c>
    </row>
    <row r="485" spans="1:14">
      <c r="A485" s="16" t="s">
        <v>531</v>
      </c>
      <c r="H485">
        <v>50.824175824175825</v>
      </c>
      <c r="N485">
        <v>50.824175824175825</v>
      </c>
    </row>
    <row r="486" spans="1:14">
      <c r="A486" s="16" t="s">
        <v>532</v>
      </c>
      <c r="H486">
        <v>133.24175824175825</v>
      </c>
      <c r="N486">
        <v>133.24175824175825</v>
      </c>
    </row>
    <row r="487" spans="1:14">
      <c r="A487" s="16" t="s">
        <v>533</v>
      </c>
      <c r="H487">
        <v>71.428571428571416</v>
      </c>
      <c r="N487">
        <v>71.428571428571416</v>
      </c>
    </row>
    <row r="488" spans="1:14">
      <c r="A488" s="16" t="s">
        <v>534</v>
      </c>
      <c r="F488">
        <v>105.76923076923077</v>
      </c>
      <c r="N488">
        <v>105.76923076923077</v>
      </c>
    </row>
    <row r="489" spans="1:14">
      <c r="A489" s="16" t="s">
        <v>535</v>
      </c>
      <c r="H489">
        <v>-10.989010989010978</v>
      </c>
      <c r="N489">
        <v>-10.989010989010978</v>
      </c>
    </row>
    <row r="490" spans="1:14">
      <c r="A490" s="16" t="s">
        <v>536</v>
      </c>
      <c r="H490">
        <v>211.53846153846155</v>
      </c>
      <c r="N490">
        <v>211.53846153846155</v>
      </c>
    </row>
    <row r="491" spans="1:14">
      <c r="A491" s="16" t="s">
        <v>537</v>
      </c>
      <c r="H491">
        <v>140.1098901098901</v>
      </c>
      <c r="N491">
        <v>140.1098901098901</v>
      </c>
    </row>
    <row r="492" spans="1:14">
      <c r="A492" s="16" t="s">
        <v>538</v>
      </c>
      <c r="H492">
        <v>266.4835164835165</v>
      </c>
      <c r="N492">
        <v>266.4835164835165</v>
      </c>
    </row>
    <row r="493" spans="1:14">
      <c r="A493" s="16" t="s">
        <v>539</v>
      </c>
      <c r="H493">
        <v>317.30769230769232</v>
      </c>
      <c r="N493">
        <v>317.30769230769232</v>
      </c>
    </row>
    <row r="494" spans="1:14">
      <c r="A494" s="16" t="s">
        <v>540</v>
      </c>
      <c r="H494">
        <v>177.19780219780222</v>
      </c>
      <c r="N494">
        <v>177.19780219780222</v>
      </c>
    </row>
    <row r="495" spans="1:14">
      <c r="A495" s="16" t="s">
        <v>541</v>
      </c>
      <c r="H495">
        <v>212.91208791208791</v>
      </c>
      <c r="N495">
        <v>212.91208791208791</v>
      </c>
    </row>
    <row r="496" spans="1:14">
      <c r="A496" s="16" t="s">
        <v>542</v>
      </c>
      <c r="H496">
        <v>229.39560439560441</v>
      </c>
      <c r="N496">
        <v>229.39560439560441</v>
      </c>
    </row>
    <row r="497" spans="1:14">
      <c r="A497" s="16" t="s">
        <v>543</v>
      </c>
      <c r="H497">
        <v>30.219780219780205</v>
      </c>
      <c r="N497">
        <v>30.219780219780205</v>
      </c>
    </row>
    <row r="498" spans="1:14">
      <c r="A498" s="16" t="s">
        <v>544</v>
      </c>
      <c r="H498">
        <v>159.34065934065933</v>
      </c>
      <c r="N498">
        <v>159.34065934065933</v>
      </c>
    </row>
    <row r="499" spans="1:14">
      <c r="A499" s="16" t="s">
        <v>545</v>
      </c>
      <c r="H499">
        <v>217.03296703296706</v>
      </c>
      <c r="N499">
        <v>217.03296703296706</v>
      </c>
    </row>
    <row r="500" spans="1:14">
      <c r="A500" s="16" t="s">
        <v>546</v>
      </c>
      <c r="H500">
        <v>45.329670329670321</v>
      </c>
      <c r="N500">
        <v>45.329670329670321</v>
      </c>
    </row>
    <row r="501" spans="1:14">
      <c r="A501" s="16" t="s">
        <v>547</v>
      </c>
      <c r="J501">
        <v>145.60439560439559</v>
      </c>
      <c r="N501">
        <v>145.60439560439559</v>
      </c>
    </row>
    <row r="502" spans="1:14">
      <c r="A502" s="16" t="s">
        <v>548</v>
      </c>
      <c r="H502">
        <v>70.054945054945051</v>
      </c>
      <c r="N502">
        <v>70.054945054945051</v>
      </c>
    </row>
    <row r="503" spans="1:14">
      <c r="A503" s="16" t="s">
        <v>549</v>
      </c>
      <c r="J503">
        <v>-50.824175824175825</v>
      </c>
      <c r="N503">
        <v>-50.824175824175825</v>
      </c>
    </row>
    <row r="504" spans="1:14">
      <c r="A504" s="16" t="s">
        <v>550</v>
      </c>
      <c r="J504">
        <v>175.82417582417582</v>
      </c>
      <c r="N504">
        <v>175.82417582417582</v>
      </c>
    </row>
    <row r="505" spans="1:14">
      <c r="A505" s="16" t="s">
        <v>551</v>
      </c>
      <c r="J505">
        <v>134.61538461538461</v>
      </c>
      <c r="N505">
        <v>134.61538461538461</v>
      </c>
    </row>
    <row r="506" spans="1:14">
      <c r="A506" s="16" t="s">
        <v>237</v>
      </c>
      <c r="F506">
        <v>138.46153846153845</v>
      </c>
      <c r="N506">
        <v>138.46153846153845</v>
      </c>
    </row>
    <row r="507" spans="1:14">
      <c r="A507" s="16" t="s">
        <v>238</v>
      </c>
      <c r="F507">
        <v>89.743589743589723</v>
      </c>
      <c r="N507">
        <v>89.743589743589723</v>
      </c>
    </row>
    <row r="508" spans="1:14">
      <c r="A508" s="16" t="s">
        <v>239</v>
      </c>
      <c r="H508">
        <v>16.666666666666668</v>
      </c>
      <c r="N508">
        <v>16.666666666666668</v>
      </c>
    </row>
    <row r="509" spans="1:14">
      <c r="A509" s="16" t="s">
        <v>240</v>
      </c>
      <c r="H509">
        <v>111.53846153846153</v>
      </c>
      <c r="N509">
        <v>111.53846153846153</v>
      </c>
    </row>
    <row r="510" spans="1:14">
      <c r="A510" s="16" t="s">
        <v>241</v>
      </c>
      <c r="F510">
        <v>148.71794871794873</v>
      </c>
      <c r="N510">
        <v>148.71794871794873</v>
      </c>
    </row>
    <row r="511" spans="1:14">
      <c r="A511" s="16" t="s">
        <v>242</v>
      </c>
      <c r="H511">
        <v>69.230769230769226</v>
      </c>
      <c r="N511">
        <v>69.230769230769226</v>
      </c>
    </row>
    <row r="512" spans="1:14">
      <c r="A512" s="16" t="s">
        <v>243</v>
      </c>
      <c r="F512">
        <v>132.05128205128204</v>
      </c>
      <c r="N512">
        <v>132.05128205128204</v>
      </c>
    </row>
    <row r="513" spans="1:14">
      <c r="A513" s="16" t="s">
        <v>244</v>
      </c>
      <c r="H513">
        <v>44.871794871794862</v>
      </c>
      <c r="N513">
        <v>44.871794871794862</v>
      </c>
    </row>
    <row r="514" spans="1:14">
      <c r="A514" s="16" t="s">
        <v>245</v>
      </c>
      <c r="F514">
        <v>265.38461538461536</v>
      </c>
      <c r="N514">
        <v>265.38461538461536</v>
      </c>
    </row>
    <row r="515" spans="1:14">
      <c r="A515" s="16" t="s">
        <v>246</v>
      </c>
      <c r="F515">
        <v>198.71794871794873</v>
      </c>
      <c r="N515">
        <v>198.71794871794873</v>
      </c>
    </row>
    <row r="516" spans="1:14">
      <c r="A516" s="16" t="s">
        <v>247</v>
      </c>
      <c r="H516">
        <v>148.71794871794873</v>
      </c>
      <c r="N516">
        <v>148.71794871794873</v>
      </c>
    </row>
    <row r="517" spans="1:14">
      <c r="A517" s="16" t="s">
        <v>248</v>
      </c>
      <c r="H517">
        <v>80.769230769230774</v>
      </c>
      <c r="N517">
        <v>80.769230769230774</v>
      </c>
    </row>
    <row r="518" spans="1:14">
      <c r="A518" s="16" t="s">
        <v>249</v>
      </c>
      <c r="H518">
        <v>143.58974358974359</v>
      </c>
      <c r="N518">
        <v>143.58974358974359</v>
      </c>
    </row>
    <row r="519" spans="1:14">
      <c r="A519" s="16" t="s">
        <v>250</v>
      </c>
      <c r="F519">
        <v>208.97435897435898</v>
      </c>
      <c r="N519">
        <v>208.97435897435898</v>
      </c>
    </row>
    <row r="520" spans="1:14">
      <c r="A520" s="16" t="s">
        <v>251</v>
      </c>
      <c r="H520">
        <v>107.69230769230769</v>
      </c>
      <c r="N520">
        <v>107.69230769230769</v>
      </c>
    </row>
    <row r="521" spans="1:14">
      <c r="A521" s="16" t="s">
        <v>252</v>
      </c>
      <c r="H521">
        <v>179.4871794871795</v>
      </c>
      <c r="N521">
        <v>179.4871794871795</v>
      </c>
    </row>
    <row r="522" spans="1:14">
      <c r="A522" s="16" t="s">
        <v>253</v>
      </c>
      <c r="F522">
        <v>164.10256410256409</v>
      </c>
      <c r="N522">
        <v>164.10256410256409</v>
      </c>
    </row>
    <row r="523" spans="1:14">
      <c r="A523" s="16" t="s">
        <v>254</v>
      </c>
      <c r="F523">
        <v>93.589743589743605</v>
      </c>
      <c r="N523">
        <v>93.589743589743605</v>
      </c>
    </row>
    <row r="524" spans="1:14">
      <c r="A524" s="16" t="s">
        <v>255</v>
      </c>
      <c r="F524">
        <v>152.56410256410257</v>
      </c>
      <c r="N524">
        <v>152.56410256410257</v>
      </c>
    </row>
    <row r="525" spans="1:14">
      <c r="A525" s="16" t="s">
        <v>256</v>
      </c>
      <c r="F525">
        <v>174.35897435897436</v>
      </c>
      <c r="N525">
        <v>174.35897435897436</v>
      </c>
    </row>
    <row r="526" spans="1:14">
      <c r="A526" s="16" t="s">
        <v>257</v>
      </c>
      <c r="F526">
        <v>138.46153846153845</v>
      </c>
      <c r="N526">
        <v>138.46153846153845</v>
      </c>
    </row>
    <row r="527" spans="1:14">
      <c r="A527" s="16" t="s">
        <v>258</v>
      </c>
      <c r="F527">
        <v>38.461538461538467</v>
      </c>
      <c r="N527">
        <v>38.461538461538467</v>
      </c>
    </row>
    <row r="528" spans="1:14">
      <c r="A528" s="16" t="s">
        <v>259</v>
      </c>
      <c r="H528">
        <v>83.333333333333329</v>
      </c>
      <c r="N528">
        <v>83.333333333333329</v>
      </c>
    </row>
    <row r="529" spans="1:14">
      <c r="A529" s="16" t="s">
        <v>260</v>
      </c>
      <c r="F529">
        <v>135.89743589743591</v>
      </c>
      <c r="N529">
        <v>135.89743589743591</v>
      </c>
    </row>
    <row r="530" spans="1:14">
      <c r="A530" s="16" t="s">
        <v>261</v>
      </c>
      <c r="F530">
        <v>58.974358974358978</v>
      </c>
      <c r="N530">
        <v>58.974358974358978</v>
      </c>
    </row>
    <row r="531" spans="1:14">
      <c r="A531" s="16" t="s">
        <v>262</v>
      </c>
      <c r="H531">
        <v>126.92307692307693</v>
      </c>
      <c r="N531">
        <v>126.92307692307693</v>
      </c>
    </row>
    <row r="532" spans="1:14">
      <c r="A532" s="16" t="s">
        <v>263</v>
      </c>
      <c r="F532">
        <v>114.10256410256412</v>
      </c>
      <c r="N532">
        <v>114.10256410256412</v>
      </c>
    </row>
    <row r="533" spans="1:14">
      <c r="A533" s="16" t="s">
        <v>264</v>
      </c>
      <c r="F533">
        <v>64.102564102564088</v>
      </c>
      <c r="N533">
        <v>64.102564102564088</v>
      </c>
    </row>
    <row r="534" spans="1:14">
      <c r="A534" s="16" t="s">
        <v>265</v>
      </c>
      <c r="F534">
        <v>169.23076923076923</v>
      </c>
      <c r="N534">
        <v>169.23076923076923</v>
      </c>
    </row>
    <row r="535" spans="1:14">
      <c r="A535" s="16" t="s">
        <v>266</v>
      </c>
      <c r="H535">
        <v>80.769230769230774</v>
      </c>
      <c r="N535">
        <v>80.769230769230774</v>
      </c>
    </row>
    <row r="536" spans="1:14">
      <c r="A536" s="16" t="s">
        <v>597</v>
      </c>
      <c r="B536">
        <v>229.16666666666671</v>
      </c>
      <c r="C536">
        <v>162.42167919799485</v>
      </c>
      <c r="D536">
        <v>114.42577030812338</v>
      </c>
      <c r="E536">
        <v>161.34453781512605</v>
      </c>
      <c r="F536">
        <v>91.707717569786496</v>
      </c>
      <c r="G536">
        <v>180.95238095238085</v>
      </c>
      <c r="H536">
        <v>50.90205744411351</v>
      </c>
      <c r="I536">
        <v>87.499999999999957</v>
      </c>
      <c r="J536">
        <v>10.21716378859235</v>
      </c>
      <c r="K536">
        <v>-72.619047619047606</v>
      </c>
      <c r="L536">
        <v>-136.36363636363637</v>
      </c>
      <c r="M536">
        <v>132.7578347578347</v>
      </c>
      <c r="N536">
        <v>94.467193201906227</v>
      </c>
    </row>
  </sheetData>
  <customSheetViews>
    <customSheetView guid="{51F81FF1-EE1A-40FC-8953-32A9F2F33EA5}" state="hidden">
      <pageMargins left="0" right="0" top="0" bottom="0" header="0" footer="0"/>
    </customSheetView>
  </customSheetViews>
  <pageMargins left="0.7" right="0.7" top="0.75" bottom="0.75" header="0.3" footer="0.3"/>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B96FD-1B2B-4384-B216-586F1EE63C4E}">
  <sheetPr codeName="Sheet14"/>
  <dimension ref="A1:CG202"/>
  <sheetViews>
    <sheetView workbookViewId="0">
      <selection activeCell="A2" sqref="A2"/>
    </sheetView>
  </sheetViews>
  <sheetFormatPr defaultRowHeight="14.85"/>
  <cols>
    <col min="1" max="1" width="11" style="12" bestFit="1" customWidth="1"/>
    <col min="2" max="2" width="16.140625" style="12" bestFit="1" customWidth="1"/>
    <col min="3" max="3" width="9.85546875" style="12" customWidth="1"/>
    <col min="4" max="6" width="14.85546875" style="12" bestFit="1" customWidth="1"/>
    <col min="7" max="7" width="16.42578125" style="12" customWidth="1"/>
    <col min="8" max="8" width="24.5703125" style="12" bestFit="1" customWidth="1"/>
    <col min="9" max="11" width="25.42578125" style="12" customWidth="1"/>
    <col min="12" max="13" width="24.5703125" style="12" bestFit="1" customWidth="1"/>
    <col min="14" max="14" width="6.5703125" style="12" bestFit="1" customWidth="1"/>
    <col min="15" max="15" width="15.7109375" style="12" bestFit="1" customWidth="1"/>
    <col min="16" max="17" width="25.5703125" style="12" bestFit="1" customWidth="1"/>
    <col min="18" max="18" width="16.42578125" style="12" bestFit="1" customWidth="1"/>
    <col min="19" max="19" width="24.5703125" style="12" bestFit="1" customWidth="1"/>
    <col min="20" max="21" width="24.5703125" style="12" customWidth="1"/>
    <col min="22" max="22" width="6.5703125" style="12" bestFit="1" customWidth="1"/>
    <col min="23" max="23" width="15.7109375" style="12" bestFit="1" customWidth="1"/>
    <col min="24" max="25" width="15.5703125" style="12" bestFit="1" customWidth="1"/>
    <col min="26" max="26" width="18.5703125" style="12" customWidth="1"/>
    <col min="27" max="27" width="24.5703125" style="12" bestFit="1" customWidth="1"/>
    <col min="28" max="29" width="24.5703125" style="12" customWidth="1"/>
    <col min="30" max="30" width="6.5703125" style="12" bestFit="1" customWidth="1"/>
    <col min="31" max="31" width="15.7109375" style="12" bestFit="1" customWidth="1"/>
    <col min="32" max="33" width="15.5703125" style="12" bestFit="1" customWidth="1"/>
    <col min="34" max="34" width="16.42578125" style="12" bestFit="1" customWidth="1"/>
    <col min="35" max="35" width="24.5703125" style="12" bestFit="1" customWidth="1"/>
    <col min="36" max="37" width="24.5703125" style="12" customWidth="1"/>
    <col min="39" max="39" width="11" customWidth="1"/>
    <col min="41" max="41" width="12.85546875" customWidth="1"/>
    <col min="44" max="44" width="11.85546875" customWidth="1"/>
    <col min="49" max="49" width="11.5703125" customWidth="1"/>
    <col min="54" max="54" width="12.140625" customWidth="1"/>
    <col min="59" max="59" width="12" customWidth="1"/>
    <col min="77" max="77" width="29.5703125" customWidth="1"/>
    <col min="78" max="78" width="12.85546875" style="12" customWidth="1"/>
    <col min="79" max="80" width="12.7109375" style="12" bestFit="1" customWidth="1"/>
    <col min="81" max="81" width="8.7109375" style="12"/>
    <col min="85" max="85" width="8.7109375" style="12"/>
  </cols>
  <sheetData>
    <row r="1" spans="1:85">
      <c r="C1" s="12" t="s">
        <v>206</v>
      </c>
      <c r="D1" s="12">
        <v>40</v>
      </c>
      <c r="E1" s="12">
        <v>80</v>
      </c>
      <c r="F1" s="12">
        <v>120</v>
      </c>
      <c r="G1" s="12" t="s">
        <v>206</v>
      </c>
      <c r="H1" s="12">
        <v>40</v>
      </c>
      <c r="I1" s="12">
        <v>40</v>
      </c>
      <c r="J1" s="12">
        <v>40</v>
      </c>
      <c r="K1" s="12">
        <v>40</v>
      </c>
      <c r="L1" s="12">
        <v>80</v>
      </c>
      <c r="M1" s="12">
        <v>120</v>
      </c>
      <c r="N1" s="12" t="s">
        <v>208</v>
      </c>
      <c r="O1" s="12">
        <v>40</v>
      </c>
      <c r="P1" s="12">
        <v>80</v>
      </c>
      <c r="Q1" s="12">
        <v>120</v>
      </c>
      <c r="R1" s="12" t="s">
        <v>208</v>
      </c>
      <c r="S1" s="12">
        <v>40</v>
      </c>
      <c r="T1" s="12">
        <v>80</v>
      </c>
      <c r="U1" s="12">
        <v>120</v>
      </c>
      <c r="V1" s="12" t="s">
        <v>210</v>
      </c>
      <c r="W1" s="12">
        <v>40</v>
      </c>
      <c r="X1" s="12">
        <v>80</v>
      </c>
      <c r="Y1" s="12">
        <v>120</v>
      </c>
      <c r="Z1" s="12" t="s">
        <v>210</v>
      </c>
      <c r="AA1" s="12">
        <v>40</v>
      </c>
      <c r="AB1" s="12">
        <v>80</v>
      </c>
      <c r="AC1" s="12">
        <v>120</v>
      </c>
      <c r="AD1" s="12" t="s">
        <v>212</v>
      </c>
      <c r="AE1" s="12">
        <v>40</v>
      </c>
      <c r="AF1" s="12">
        <v>80</v>
      </c>
      <c r="AG1" s="12">
        <v>120</v>
      </c>
      <c r="AH1" s="12" t="s">
        <v>212</v>
      </c>
      <c r="AI1" s="12">
        <v>40</v>
      </c>
      <c r="AJ1" s="12">
        <v>80</v>
      </c>
      <c r="AK1" s="12">
        <v>120</v>
      </c>
      <c r="AM1" t="s">
        <v>600</v>
      </c>
      <c r="AR1" t="s">
        <v>601</v>
      </c>
      <c r="AW1" t="s">
        <v>602</v>
      </c>
      <c r="BB1" t="s">
        <v>603</v>
      </c>
      <c r="BH1" s="12" t="s">
        <v>604</v>
      </c>
      <c r="BI1" s="22" t="s">
        <v>605</v>
      </c>
      <c r="BJ1" s="22">
        <v>300</v>
      </c>
      <c r="CG1" s="22"/>
    </row>
    <row r="2" spans="1:85">
      <c r="A2" s="12" t="s">
        <v>578</v>
      </c>
      <c r="B2" s="12" t="s">
        <v>606</v>
      </c>
      <c r="C2" s="12" t="s">
        <v>607</v>
      </c>
      <c r="D2" s="12" t="s">
        <v>608</v>
      </c>
      <c r="E2" s="12" t="s">
        <v>609</v>
      </c>
      <c r="F2" s="12" t="s">
        <v>610</v>
      </c>
      <c r="G2" s="12" t="s">
        <v>611</v>
      </c>
      <c r="H2" s="12" t="s">
        <v>612</v>
      </c>
      <c r="I2" s="12" t="s">
        <v>613</v>
      </c>
      <c r="J2" s="12" t="s">
        <v>614</v>
      </c>
      <c r="K2" s="12" t="s">
        <v>615</v>
      </c>
      <c r="L2" s="12" t="s">
        <v>616</v>
      </c>
      <c r="M2" s="12" t="s">
        <v>617</v>
      </c>
      <c r="N2" s="12" t="s">
        <v>193</v>
      </c>
      <c r="O2" s="12" t="s">
        <v>618</v>
      </c>
      <c r="P2" s="12" t="s">
        <v>619</v>
      </c>
      <c r="Q2" s="12" t="s">
        <v>620</v>
      </c>
      <c r="R2" s="12" t="s">
        <v>611</v>
      </c>
      <c r="S2" s="12" t="s">
        <v>612</v>
      </c>
      <c r="T2" s="12" t="s">
        <v>616</v>
      </c>
      <c r="U2" s="12" t="s">
        <v>617</v>
      </c>
      <c r="V2" s="12" t="s">
        <v>193</v>
      </c>
      <c r="W2" s="12" t="s">
        <v>618</v>
      </c>
      <c r="X2" s="12" t="s">
        <v>619</v>
      </c>
      <c r="Y2" s="12" t="s">
        <v>620</v>
      </c>
      <c r="Z2" s="12" t="s">
        <v>611</v>
      </c>
      <c r="AA2" s="12" t="s">
        <v>612</v>
      </c>
      <c r="AB2" s="12" t="s">
        <v>616</v>
      </c>
      <c r="AC2" s="12" t="s">
        <v>617</v>
      </c>
      <c r="AD2" s="12" t="s">
        <v>193</v>
      </c>
      <c r="AE2" s="12" t="s">
        <v>618</v>
      </c>
      <c r="AF2" s="12" t="s">
        <v>619</v>
      </c>
      <c r="AG2" s="12" t="s">
        <v>620</v>
      </c>
      <c r="AH2" s="12" t="s">
        <v>611</v>
      </c>
      <c r="AI2" s="12" t="s">
        <v>612</v>
      </c>
      <c r="AJ2" s="12" t="s">
        <v>616</v>
      </c>
      <c r="AK2" s="12" t="s">
        <v>617</v>
      </c>
      <c r="AM2" s="16" t="s">
        <v>621</v>
      </c>
      <c r="AN2" s="12"/>
      <c r="AO2" s="12"/>
      <c r="AP2" s="12"/>
      <c r="AQ2" s="12"/>
      <c r="BH2" s="12"/>
      <c r="BI2" s="12"/>
      <c r="BJ2" s="12"/>
      <c r="CG2" s="22"/>
    </row>
    <row r="3" spans="1:85">
      <c r="A3" s="12">
        <v>1</v>
      </c>
      <c r="B3" s="12">
        <v>1</v>
      </c>
      <c r="C3" s="23">
        <f>(scatterplots_LWG_grazdays_CS!$V$3*$A3+scatterplots_LWG_grazdays_CS!$W$3)/1000</f>
        <v>0.29716000000000004</v>
      </c>
      <c r="D3" s="23">
        <f>$C3+D$1/1000</f>
        <v>0.33716000000000002</v>
      </c>
      <c r="E3" s="23">
        <f t="shared" ref="E3:F18" si="0">$C3+E$1/1000</f>
        <v>0.37716000000000005</v>
      </c>
      <c r="F3" s="23">
        <f t="shared" si="0"/>
        <v>0.41716000000000003</v>
      </c>
      <c r="G3" s="23">
        <f>C3</f>
        <v>0.29716000000000004</v>
      </c>
      <c r="H3" s="23">
        <f>C3</f>
        <v>0.29716000000000004</v>
      </c>
      <c r="I3" s="23">
        <f>C3</f>
        <v>0.29716000000000004</v>
      </c>
      <c r="J3" s="23">
        <f>C3</f>
        <v>0.29716000000000004</v>
      </c>
      <c r="K3" s="23">
        <f>C3</f>
        <v>0.29716000000000004</v>
      </c>
      <c r="L3" s="23">
        <f>C3</f>
        <v>0.29716000000000004</v>
      </c>
      <c r="M3" s="23">
        <f>C3</f>
        <v>0.29716000000000004</v>
      </c>
      <c r="N3" s="23">
        <f>(scatterplots_LWG_grazdays_CS!$V$4*$A3+scatterplots_LWG_grazdays_CS!$W$4)/1000</f>
        <v>0.29625999999999997</v>
      </c>
      <c r="O3" s="23">
        <f>$N3+O$1/1000</f>
        <v>0.33625999999999995</v>
      </c>
      <c r="P3" s="23">
        <f>$N3+P$1/1000</f>
        <v>0.37625999999999998</v>
      </c>
      <c r="Q3" s="23">
        <f>$N3+Q$1/1000</f>
        <v>0.41625999999999996</v>
      </c>
      <c r="R3" s="23">
        <f>N3</f>
        <v>0.29625999999999997</v>
      </c>
      <c r="S3" s="23">
        <f>$R3</f>
        <v>0.29625999999999997</v>
      </c>
      <c r="T3" s="23">
        <f>$R3</f>
        <v>0.29625999999999997</v>
      </c>
      <c r="U3" s="23">
        <f t="shared" ref="U3" si="1">$R3</f>
        <v>0.29625999999999997</v>
      </c>
      <c r="V3" s="23">
        <f>(scatterplots_LWG_grazdays_CS!$V$5*$A3+scatterplots_LWG_grazdays_CS!$W$5)/1000</f>
        <v>0.29572000000000004</v>
      </c>
      <c r="W3" s="23">
        <f>$V3+W$1/1000</f>
        <v>0.33572000000000002</v>
      </c>
      <c r="X3" s="23">
        <f>$V3+X$1/1000</f>
        <v>0.37572000000000005</v>
      </c>
      <c r="Y3" s="23">
        <f t="shared" ref="Y3:Y18" si="2">$V3+Y$1/1000</f>
        <v>0.41572000000000003</v>
      </c>
      <c r="Z3" s="23">
        <f>V3</f>
        <v>0.29572000000000004</v>
      </c>
      <c r="AA3" s="23">
        <f>$Z3</f>
        <v>0.29572000000000004</v>
      </c>
      <c r="AB3" s="23">
        <f t="shared" ref="AB3:AC3" si="3">$Z3</f>
        <v>0.29572000000000004</v>
      </c>
      <c r="AC3" s="23">
        <f t="shared" si="3"/>
        <v>0.29572000000000004</v>
      </c>
      <c r="AD3" s="23">
        <f>(scatterplots_LWG_grazdays_CS!$V$6*$A3+scatterplots_LWG_grazdays_CS!$W$6)/1000</f>
        <v>0.29486000000000001</v>
      </c>
      <c r="AE3" s="23">
        <f>$AD3+AE$1/1000</f>
        <v>0.33485999999999999</v>
      </c>
      <c r="AF3" s="23">
        <f t="shared" ref="AF3:AG18" si="4">$AD3+AF$1/1000</f>
        <v>0.37486000000000003</v>
      </c>
      <c r="AG3" s="23">
        <f t="shared" si="4"/>
        <v>0.41486000000000001</v>
      </c>
      <c r="AH3" s="23">
        <f>AD3</f>
        <v>0.29486000000000001</v>
      </c>
      <c r="AI3" s="23">
        <f>$AH3</f>
        <v>0.29486000000000001</v>
      </c>
      <c r="AJ3" s="23">
        <f t="shared" ref="AJ3:AK18" si="5">$AH3</f>
        <v>0.29486000000000001</v>
      </c>
      <c r="AK3" s="23">
        <f t="shared" si="5"/>
        <v>0.29486000000000001</v>
      </c>
      <c r="AM3" t="s">
        <v>183</v>
      </c>
      <c r="AN3" s="12" t="s">
        <v>184</v>
      </c>
      <c r="AO3" s="12" t="s">
        <v>130</v>
      </c>
      <c r="AP3" s="12" t="s">
        <v>147</v>
      </c>
      <c r="AQ3" s="12"/>
      <c r="AR3" t="s">
        <v>183</v>
      </c>
      <c r="AS3" s="12" t="s">
        <v>184</v>
      </c>
      <c r="AT3" s="12" t="s">
        <v>130</v>
      </c>
      <c r="AU3" s="12" t="s">
        <v>147</v>
      </c>
      <c r="AW3" t="s">
        <v>183</v>
      </c>
      <c r="AX3" s="12" t="s">
        <v>184</v>
      </c>
      <c r="AY3" s="12" t="s">
        <v>130</v>
      </c>
      <c r="AZ3" s="12" t="s">
        <v>147</v>
      </c>
      <c r="BB3" t="s">
        <v>183</v>
      </c>
      <c r="BC3" s="12" t="s">
        <v>184</v>
      </c>
      <c r="BD3" s="12" t="s">
        <v>130</v>
      </c>
      <c r="BE3" s="12" t="s">
        <v>147</v>
      </c>
      <c r="BG3" t="s">
        <v>183</v>
      </c>
      <c r="BH3" s="12" t="s">
        <v>128</v>
      </c>
      <c r="BI3" s="12" t="s">
        <v>130</v>
      </c>
      <c r="BJ3" s="12" t="s">
        <v>147</v>
      </c>
      <c r="CE3" s="12"/>
      <c r="CF3" s="12"/>
    </row>
    <row r="4" spans="1:85">
      <c r="A4" s="12">
        <v>2</v>
      </c>
      <c r="B4" s="12">
        <v>2</v>
      </c>
      <c r="C4" s="23">
        <f>(scatterplots_LWG_grazdays_CS!$V$3*$A4+scatterplots_LWG_grazdays_CS!$W$3)/1000</f>
        <v>0.29431999999999997</v>
      </c>
      <c r="D4" s="23">
        <f t="shared" ref="D4:F35" si="6">$C4+D$1/1000</f>
        <v>0.33431999999999995</v>
      </c>
      <c r="E4" s="23">
        <f t="shared" si="0"/>
        <v>0.37431999999999999</v>
      </c>
      <c r="F4" s="23">
        <f t="shared" si="0"/>
        <v>0.41431999999999997</v>
      </c>
      <c r="G4" s="23">
        <f>(scatterplots_LWG_grazdays_CS!$V$3*$A4+scatterplots_LWG_grazdays_CS!$W$3)/1000+G3</f>
        <v>0.59148000000000001</v>
      </c>
      <c r="H4" s="23">
        <f>C4+I3</f>
        <v>0.59148000000000001</v>
      </c>
      <c r="I4" s="23">
        <f>C4+J3</f>
        <v>0.59148000000000001</v>
      </c>
      <c r="J4" s="23">
        <f>C4+J3</f>
        <v>0.59148000000000001</v>
      </c>
      <c r="K4" s="23">
        <f>C4+K3</f>
        <v>0.59148000000000001</v>
      </c>
      <c r="L4" s="23">
        <f t="shared" ref="L4:L67" si="7">C4+L3</f>
        <v>0.59148000000000001</v>
      </c>
      <c r="M4" s="23">
        <f t="shared" ref="M4:M67" si="8">C4+M3</f>
        <v>0.59148000000000001</v>
      </c>
      <c r="N4" s="23">
        <f>(scatterplots_LWG_grazdays_CS!$V$4*$A4+scatterplots_LWG_grazdays_CS!$W$4)/1000</f>
        <v>0.29252</v>
      </c>
      <c r="O4" s="23">
        <f>$N4+O$1/1000</f>
        <v>0.33251999999999998</v>
      </c>
      <c r="P4" s="23">
        <f t="shared" ref="P4:Q18" si="9">$N4+P$1/1000</f>
        <v>0.37252000000000002</v>
      </c>
      <c r="Q4" s="23">
        <f t="shared" si="9"/>
        <v>0.41252</v>
      </c>
      <c r="R4" s="23">
        <f>(scatterplots_LWG_grazdays_CS!$V$4*$A4+scatterplots_LWG_grazdays_CS!$W$4)/1000+R3</f>
        <v>0.58877999999999997</v>
      </c>
      <c r="S4" s="23">
        <f>$N4+S3</f>
        <v>0.58877999999999997</v>
      </c>
      <c r="T4" s="23">
        <f t="shared" ref="T4:U19" si="10">$N4+T3</f>
        <v>0.58877999999999997</v>
      </c>
      <c r="U4" s="23">
        <f t="shared" si="10"/>
        <v>0.58877999999999997</v>
      </c>
      <c r="V4" s="23">
        <f>(scatterplots_LWG_grazdays_CS!$V$5*$A4+scatterplots_LWG_grazdays_CS!$W$5)/1000</f>
        <v>0.29143999999999998</v>
      </c>
      <c r="W4" s="23">
        <f t="shared" ref="W4:W67" si="11">V4+W$1/1000</f>
        <v>0.33143999999999996</v>
      </c>
      <c r="X4" s="23">
        <f t="shared" ref="X4:Y35" si="12">$V4+X$1/1000</f>
        <v>0.37143999999999999</v>
      </c>
      <c r="Y4" s="23">
        <f t="shared" si="2"/>
        <v>0.41143999999999997</v>
      </c>
      <c r="Z4" s="23">
        <f>(scatterplots_LWG_grazdays_CS!$V$5*$A4+scatterplots_LWG_grazdays_CS!$W$5)/1000+Z3</f>
        <v>0.58716000000000002</v>
      </c>
      <c r="AA4" s="23">
        <f>AA3+$V4</f>
        <v>0.58716000000000002</v>
      </c>
      <c r="AB4" s="23">
        <f t="shared" ref="AB4:AC19" si="13">AB3+$V4</f>
        <v>0.58716000000000002</v>
      </c>
      <c r="AC4" s="23">
        <f t="shared" si="13"/>
        <v>0.58716000000000002</v>
      </c>
      <c r="AD4" s="23">
        <f>(scatterplots_LWG_grazdays_CS!$V$6*$A4+scatterplots_LWG_grazdays_CS!$W$6)/1000</f>
        <v>0.28972000000000003</v>
      </c>
      <c r="AE4" s="23">
        <f t="shared" ref="AE4:AE67" si="14">AD4+AE$1/1000</f>
        <v>0.32972000000000001</v>
      </c>
      <c r="AF4" s="23">
        <f t="shared" si="4"/>
        <v>0.36972000000000005</v>
      </c>
      <c r="AG4" s="23">
        <f t="shared" si="4"/>
        <v>0.40972000000000003</v>
      </c>
      <c r="AH4" s="23">
        <f>(scatterplots_LWG_grazdays_CS!$V$6*$A4+scatterplots_LWG_grazdays_CS!$W$6)/1000+AH3</f>
        <v>0.5845800000000001</v>
      </c>
      <c r="AI4" s="23">
        <f t="shared" ref="AI4:AI67" si="15">AD4+AI3</f>
        <v>0.5845800000000001</v>
      </c>
      <c r="AJ4" s="23">
        <f t="shared" si="5"/>
        <v>0.5845800000000001</v>
      </c>
      <c r="AK4" s="23">
        <f t="shared" si="5"/>
        <v>0.5845800000000001</v>
      </c>
      <c r="AM4" t="s">
        <v>189</v>
      </c>
      <c r="AN4" s="12">
        <v>-1.4E-3</v>
      </c>
      <c r="AO4" s="12">
        <v>0.29849999999999999</v>
      </c>
      <c r="AP4" s="12">
        <v>0</v>
      </c>
      <c r="AQ4" s="12"/>
      <c r="AR4" t="s">
        <v>189</v>
      </c>
      <c r="AS4" s="12">
        <f>AN4</f>
        <v>-1.4E-3</v>
      </c>
      <c r="AT4" s="12">
        <v>0.33860000000000001</v>
      </c>
      <c r="AU4" s="12">
        <v>-3.56</v>
      </c>
      <c r="AW4" t="s">
        <v>189</v>
      </c>
      <c r="AX4" s="12">
        <f>AN4</f>
        <v>-1.4E-3</v>
      </c>
      <c r="AY4" s="12">
        <v>0.37859999999999999</v>
      </c>
      <c r="AZ4" s="12">
        <v>-7.12</v>
      </c>
      <c r="BB4" t="s">
        <v>189</v>
      </c>
      <c r="BC4" s="12">
        <f>AN4</f>
        <v>-1.4E-3</v>
      </c>
      <c r="BD4" s="12">
        <v>0.41860000000000003</v>
      </c>
      <c r="BE4" s="12">
        <v>-10.68</v>
      </c>
      <c r="BG4" t="s">
        <v>189</v>
      </c>
      <c r="BH4" s="12">
        <f>AS4</f>
        <v>-1.4E-3</v>
      </c>
      <c r="BI4" s="12">
        <f>0.3+BJ$1*0.0004</f>
        <v>0.42</v>
      </c>
      <c r="BJ4" s="37">
        <f>-BJ$1*0.036</f>
        <v>-10.799999999999999</v>
      </c>
      <c r="CE4" s="12"/>
      <c r="CF4" s="12"/>
    </row>
    <row r="5" spans="1:85">
      <c r="A5" s="12">
        <v>3</v>
      </c>
      <c r="B5" s="12">
        <v>3</v>
      </c>
      <c r="C5" s="23">
        <f>(scatterplots_LWG_grazdays_CS!$V$3*$A5+scatterplots_LWG_grazdays_CS!$W$3)/1000</f>
        <v>0.29148000000000002</v>
      </c>
      <c r="D5" s="23">
        <f t="shared" si="6"/>
        <v>0.33148</v>
      </c>
      <c r="E5" s="23">
        <f t="shared" si="0"/>
        <v>0.37148000000000003</v>
      </c>
      <c r="F5" s="23">
        <f t="shared" si="0"/>
        <v>0.41148000000000001</v>
      </c>
      <c r="G5" s="23">
        <f>(scatterplots_LWG_grazdays_CS!$V$3*$A5+scatterplots_LWG_grazdays_CS!$W$3)/1000+G4</f>
        <v>0.88295999999999997</v>
      </c>
      <c r="H5" s="23">
        <f>C5+J4</f>
        <v>0.88295999999999997</v>
      </c>
      <c r="I5" s="23">
        <f>C5+J4</f>
        <v>0.88295999999999997</v>
      </c>
      <c r="J5" s="23">
        <f>C5+J4</f>
        <v>0.88295999999999997</v>
      </c>
      <c r="K5" s="23">
        <f t="shared" ref="K5:K8" si="16">C5+K4</f>
        <v>0.88295999999999997</v>
      </c>
      <c r="L5" s="23">
        <f t="shared" si="7"/>
        <v>0.88295999999999997</v>
      </c>
      <c r="M5" s="23">
        <f t="shared" si="8"/>
        <v>0.88295999999999997</v>
      </c>
      <c r="N5" s="23">
        <f>(scatterplots_LWG_grazdays_CS!$V$4*$A5+scatterplots_LWG_grazdays_CS!$W$4)/1000</f>
        <v>0.28877999999999998</v>
      </c>
      <c r="O5" s="23">
        <f t="shared" ref="O5:Q67" si="17">$N5+O$1/1000</f>
        <v>0.32877999999999996</v>
      </c>
      <c r="P5" s="23">
        <f t="shared" si="9"/>
        <v>0.36878</v>
      </c>
      <c r="Q5" s="23">
        <f t="shared" si="9"/>
        <v>0.40877999999999998</v>
      </c>
      <c r="R5" s="23">
        <f>(scatterplots_LWG_grazdays_CS!$V$4*$A5+scatterplots_LWG_grazdays_CS!$W$4)/1000+R4</f>
        <v>0.8775599999999999</v>
      </c>
      <c r="S5" s="23">
        <f>N5+S4</f>
        <v>0.8775599999999999</v>
      </c>
      <c r="T5" s="23">
        <f t="shared" si="10"/>
        <v>0.8775599999999999</v>
      </c>
      <c r="U5" s="23">
        <f t="shared" si="10"/>
        <v>0.8775599999999999</v>
      </c>
      <c r="V5" s="23">
        <f>(scatterplots_LWG_grazdays_CS!$V$5*$A5+scatterplots_LWG_grazdays_CS!$W$5)/1000</f>
        <v>0.28716000000000003</v>
      </c>
      <c r="W5" s="23">
        <f t="shared" si="11"/>
        <v>0.32716000000000001</v>
      </c>
      <c r="X5" s="23">
        <f t="shared" si="12"/>
        <v>0.36716000000000004</v>
      </c>
      <c r="Y5" s="23">
        <f t="shared" si="2"/>
        <v>0.40716000000000002</v>
      </c>
      <c r="Z5" s="23">
        <f>(scatterplots_LWG_grazdays_CS!$V$5*$A5+scatterplots_LWG_grazdays_CS!$W$5)/1000+Z4</f>
        <v>0.87431999999999999</v>
      </c>
      <c r="AA5" s="23">
        <f t="shared" ref="AA5:AA68" si="18">AA4+V5</f>
        <v>0.87431999999999999</v>
      </c>
      <c r="AB5" s="23">
        <f t="shared" si="13"/>
        <v>0.87431999999999999</v>
      </c>
      <c r="AC5" s="23">
        <f t="shared" si="13"/>
        <v>0.87431999999999999</v>
      </c>
      <c r="AD5" s="23">
        <f>(scatterplots_LWG_grazdays_CS!$V$6*$A5+scatterplots_LWG_grazdays_CS!$W$6)/1000</f>
        <v>0.28458</v>
      </c>
      <c r="AE5" s="23">
        <f t="shared" si="14"/>
        <v>0.32457999999999998</v>
      </c>
      <c r="AF5" s="23">
        <f t="shared" si="4"/>
        <v>0.36458000000000002</v>
      </c>
      <c r="AG5" s="23">
        <f t="shared" si="4"/>
        <v>0.40458</v>
      </c>
      <c r="AH5" s="23">
        <f>(scatterplots_LWG_grazdays_CS!$V$6*$A5+scatterplots_LWG_grazdays_CS!$W$6)/1000+AH4</f>
        <v>0.86916000000000015</v>
      </c>
      <c r="AI5" s="23">
        <f t="shared" si="15"/>
        <v>0.86916000000000015</v>
      </c>
      <c r="AJ5" s="23">
        <f t="shared" si="5"/>
        <v>0.86916000000000015</v>
      </c>
      <c r="AK5" s="23">
        <f t="shared" si="5"/>
        <v>0.86916000000000015</v>
      </c>
      <c r="AM5" t="s">
        <v>190</v>
      </c>
      <c r="AN5" s="12">
        <v>-1.9E-3</v>
      </c>
      <c r="AO5" s="12">
        <v>0.29809999999999998</v>
      </c>
      <c r="AP5" s="12">
        <v>0</v>
      </c>
      <c r="AQ5" s="12"/>
      <c r="AR5" t="s">
        <v>190</v>
      </c>
      <c r="AS5" s="12">
        <v>-1.9E-3</v>
      </c>
      <c r="AT5" s="12">
        <f>AO5+0.04</f>
        <v>0.33809999999999996</v>
      </c>
      <c r="AU5" s="12">
        <v>-3.56</v>
      </c>
      <c r="AW5" t="s">
        <v>190</v>
      </c>
      <c r="AX5" s="12">
        <f t="shared" ref="AX5:AX7" si="19">AN5</f>
        <v>-1.9E-3</v>
      </c>
      <c r="AY5" s="12">
        <f>AO5+0.08</f>
        <v>0.37809999999999999</v>
      </c>
      <c r="AZ5" s="12">
        <v>-7.12</v>
      </c>
      <c r="BB5" t="s">
        <v>190</v>
      </c>
      <c r="BC5" s="12">
        <f t="shared" ref="BC5:BC7" si="20">AN5</f>
        <v>-1.9E-3</v>
      </c>
      <c r="BD5">
        <f>AO5+0.12</f>
        <v>0.41809999999999997</v>
      </c>
      <c r="BE5" s="12">
        <v>-10.68</v>
      </c>
      <c r="BG5" t="s">
        <v>190</v>
      </c>
      <c r="BH5" s="12">
        <f>AS5</f>
        <v>-1.9E-3</v>
      </c>
      <c r="BI5" s="12">
        <f t="shared" ref="BI5:BI7" si="21">0.3+BJ$1*0.0004</f>
        <v>0.42</v>
      </c>
      <c r="BJ5" s="37">
        <f t="shared" ref="BJ5:BJ7" si="22">-BJ$1*0.036</f>
        <v>-10.799999999999999</v>
      </c>
      <c r="CE5" s="12"/>
      <c r="CF5" s="12"/>
    </row>
    <row r="6" spans="1:85">
      <c r="A6" s="12">
        <v>4</v>
      </c>
      <c r="B6" s="12">
        <v>4</v>
      </c>
      <c r="C6" s="23">
        <f>(scatterplots_LWG_grazdays_CS!$V$3*$A6+scatterplots_LWG_grazdays_CS!$W$3)/1000</f>
        <v>0.28864000000000001</v>
      </c>
      <c r="D6" s="23">
        <f t="shared" si="6"/>
        <v>0.32863999999999999</v>
      </c>
      <c r="E6" s="23">
        <f t="shared" si="0"/>
        <v>0.36864000000000002</v>
      </c>
      <c r="F6" s="23">
        <f t="shared" si="0"/>
        <v>0.40864</v>
      </c>
      <c r="G6" s="23">
        <f>(scatterplots_LWG_grazdays_CS!$V$3*$A6+scatterplots_LWG_grazdays_CS!$W$3)/1000+G5</f>
        <v>1.1716</v>
      </c>
      <c r="H6" s="23">
        <f t="shared" ref="H6:H48" si="23">C6+H5</f>
        <v>1.1716</v>
      </c>
      <c r="I6" s="23">
        <f t="shared" ref="I6:J24" si="24">C6+I5</f>
        <v>1.1716</v>
      </c>
      <c r="J6" s="23">
        <f>C6+J5</f>
        <v>1.1716</v>
      </c>
      <c r="K6" s="23">
        <f t="shared" si="16"/>
        <v>1.1716</v>
      </c>
      <c r="L6" s="23">
        <f t="shared" si="7"/>
        <v>1.1716</v>
      </c>
      <c r="M6" s="23">
        <f t="shared" si="8"/>
        <v>1.1716</v>
      </c>
      <c r="N6" s="23">
        <f>(scatterplots_LWG_grazdays_CS!$V$4*$A6+scatterplots_LWG_grazdays_CS!$W$4)/1000</f>
        <v>0.28504000000000002</v>
      </c>
      <c r="O6" s="23">
        <f t="shared" si="17"/>
        <v>0.32504</v>
      </c>
      <c r="P6" s="23">
        <f t="shared" si="9"/>
        <v>0.36504000000000003</v>
      </c>
      <c r="Q6" s="23">
        <f t="shared" si="9"/>
        <v>0.40504000000000001</v>
      </c>
      <c r="R6" s="23">
        <f>(scatterplots_LWG_grazdays_CS!$V$4*$A6+scatterplots_LWG_grazdays_CS!$W$4)/1000+R5</f>
        <v>1.1625999999999999</v>
      </c>
      <c r="S6" s="23">
        <f t="shared" ref="S6:S54" si="25">N6+S5</f>
        <v>1.1625999999999999</v>
      </c>
      <c r="T6" s="23">
        <f t="shared" si="10"/>
        <v>1.1625999999999999</v>
      </c>
      <c r="U6" s="23">
        <f t="shared" si="10"/>
        <v>1.1625999999999999</v>
      </c>
      <c r="V6" s="23">
        <f>(scatterplots_LWG_grazdays_CS!$V$5*$A6+scatterplots_LWG_grazdays_CS!$W$5)/1000</f>
        <v>0.28288000000000002</v>
      </c>
      <c r="W6" s="23">
        <f t="shared" si="11"/>
        <v>0.32288</v>
      </c>
      <c r="X6" s="23">
        <f t="shared" si="12"/>
        <v>0.36288000000000004</v>
      </c>
      <c r="Y6" s="23">
        <f t="shared" si="2"/>
        <v>0.40288000000000002</v>
      </c>
      <c r="Z6" s="23">
        <f>(scatterplots_LWG_grazdays_CS!$V$5*$A6+scatterplots_LWG_grazdays_CS!$W$5)/1000+Z5</f>
        <v>1.1572</v>
      </c>
      <c r="AA6" s="23">
        <f t="shared" si="18"/>
        <v>1.1572</v>
      </c>
      <c r="AB6" s="23">
        <f t="shared" si="13"/>
        <v>1.1572</v>
      </c>
      <c r="AC6" s="23">
        <f t="shared" si="13"/>
        <v>1.1572</v>
      </c>
      <c r="AD6" s="23">
        <f>(scatterplots_LWG_grazdays_CS!$V$6*$A6+scatterplots_LWG_grazdays_CS!$W$6)/1000</f>
        <v>0.27944000000000002</v>
      </c>
      <c r="AE6" s="23">
        <f t="shared" si="14"/>
        <v>0.31944</v>
      </c>
      <c r="AF6" s="23">
        <f t="shared" si="4"/>
        <v>0.35944000000000004</v>
      </c>
      <c r="AG6" s="23">
        <f t="shared" si="4"/>
        <v>0.39944000000000002</v>
      </c>
      <c r="AH6" s="23">
        <f>(scatterplots_LWG_grazdays_CS!$V$6*$A6+scatterplots_LWG_grazdays_CS!$W$6)/1000+AH5</f>
        <v>1.1486000000000001</v>
      </c>
      <c r="AI6" s="23">
        <f t="shared" si="15"/>
        <v>1.1486000000000001</v>
      </c>
      <c r="AJ6" s="23">
        <f t="shared" si="5"/>
        <v>1.1486000000000001</v>
      </c>
      <c r="AK6" s="23">
        <f t="shared" si="5"/>
        <v>1.1486000000000001</v>
      </c>
      <c r="AM6" t="s">
        <v>191</v>
      </c>
      <c r="AN6" s="12">
        <v>-2.0999999999999999E-3</v>
      </c>
      <c r="AO6" s="12">
        <v>0.2979</v>
      </c>
      <c r="AP6" s="12">
        <v>0</v>
      </c>
      <c r="AQ6" s="12"/>
      <c r="AR6" t="s">
        <v>191</v>
      </c>
      <c r="AS6" s="12">
        <v>-2.0999999999999999E-3</v>
      </c>
      <c r="AT6" s="12">
        <f t="shared" ref="AT6:AT7" si="26">AO6+0.04</f>
        <v>0.33789999999999998</v>
      </c>
      <c r="AU6" s="12">
        <v>-3.56</v>
      </c>
      <c r="AW6" t="s">
        <v>191</v>
      </c>
      <c r="AX6" s="12">
        <f t="shared" si="19"/>
        <v>-2.0999999999999999E-3</v>
      </c>
      <c r="AY6" s="12">
        <f t="shared" ref="AY6:AY7" si="27">AO6+0.08</f>
        <v>0.37790000000000001</v>
      </c>
      <c r="AZ6" s="12">
        <v>-7.12</v>
      </c>
      <c r="BB6" t="s">
        <v>191</v>
      </c>
      <c r="BC6" s="12">
        <f t="shared" si="20"/>
        <v>-2.0999999999999999E-3</v>
      </c>
      <c r="BD6">
        <f t="shared" ref="BD6:BD7" si="28">AO6+0.12</f>
        <v>0.41789999999999999</v>
      </c>
      <c r="BE6" s="12">
        <v>-10.68</v>
      </c>
      <c r="BG6" t="s">
        <v>191</v>
      </c>
      <c r="BH6" s="12">
        <f>AS6</f>
        <v>-2.0999999999999999E-3</v>
      </c>
      <c r="BI6" s="12">
        <f t="shared" si="21"/>
        <v>0.42</v>
      </c>
      <c r="BJ6" s="37">
        <f t="shared" si="22"/>
        <v>-10.799999999999999</v>
      </c>
      <c r="CE6" s="12"/>
      <c r="CF6" s="12"/>
    </row>
    <row r="7" spans="1:85">
      <c r="A7" s="12">
        <v>5</v>
      </c>
      <c r="B7" s="12">
        <v>5</v>
      </c>
      <c r="C7" s="23">
        <f>(scatterplots_LWG_grazdays_CS!$V$3*$A7+scatterplots_LWG_grazdays_CS!$W$3)/1000</f>
        <v>0.2858</v>
      </c>
      <c r="D7" s="23">
        <f t="shared" si="6"/>
        <v>0.32579999999999998</v>
      </c>
      <c r="E7" s="23">
        <f t="shared" si="0"/>
        <v>0.36580000000000001</v>
      </c>
      <c r="F7" s="23">
        <f t="shared" si="0"/>
        <v>0.40579999999999999</v>
      </c>
      <c r="G7" s="23">
        <f>(scatterplots_LWG_grazdays_CS!$V$3*$A7+scatterplots_LWG_grazdays_CS!$W$3)/1000+G6</f>
        <v>1.4574</v>
      </c>
      <c r="H7" s="23">
        <f t="shared" si="23"/>
        <v>1.4574</v>
      </c>
      <c r="I7" s="23">
        <f t="shared" si="24"/>
        <v>1.4574</v>
      </c>
      <c r="J7" s="23">
        <f>C7+J6</f>
        <v>1.4574</v>
      </c>
      <c r="K7" s="23">
        <f t="shared" si="16"/>
        <v>1.4574</v>
      </c>
      <c r="L7" s="23">
        <f t="shared" si="7"/>
        <v>1.4574</v>
      </c>
      <c r="M7" s="23">
        <f t="shared" si="8"/>
        <v>1.4574</v>
      </c>
      <c r="N7" s="23">
        <f>(scatterplots_LWG_grazdays_CS!$V$4*$A7+scatterplots_LWG_grazdays_CS!$W$4)/1000</f>
        <v>0.28129999999999999</v>
      </c>
      <c r="O7" s="23">
        <f t="shared" si="17"/>
        <v>0.32129999999999997</v>
      </c>
      <c r="P7" s="23">
        <f t="shared" si="9"/>
        <v>0.36130000000000001</v>
      </c>
      <c r="Q7" s="23">
        <f t="shared" si="9"/>
        <v>0.40129999999999999</v>
      </c>
      <c r="R7" s="23">
        <f>(scatterplots_LWG_grazdays_CS!$V$4*$A7+scatterplots_LWG_grazdays_CS!$W$4)/1000+R6</f>
        <v>1.4438999999999997</v>
      </c>
      <c r="S7" s="23">
        <f t="shared" si="25"/>
        <v>1.4438999999999997</v>
      </c>
      <c r="T7" s="23">
        <f t="shared" si="10"/>
        <v>1.4438999999999997</v>
      </c>
      <c r="U7" s="23">
        <f t="shared" si="10"/>
        <v>1.4438999999999997</v>
      </c>
      <c r="V7" s="23">
        <f>(scatterplots_LWG_grazdays_CS!$V$5*$A7+scatterplots_LWG_grazdays_CS!$W$5)/1000</f>
        <v>0.27860000000000001</v>
      </c>
      <c r="W7" s="23">
        <f t="shared" si="11"/>
        <v>0.31859999999999999</v>
      </c>
      <c r="X7" s="23">
        <f t="shared" si="12"/>
        <v>0.35860000000000003</v>
      </c>
      <c r="Y7" s="23">
        <f t="shared" si="2"/>
        <v>0.39860000000000001</v>
      </c>
      <c r="Z7" s="23">
        <f>(scatterplots_LWG_grazdays_CS!$V$5*$A7+scatterplots_LWG_grazdays_CS!$W$5)/1000+Z6</f>
        <v>1.4358</v>
      </c>
      <c r="AA7" s="23">
        <f t="shared" si="18"/>
        <v>1.4358</v>
      </c>
      <c r="AB7" s="23">
        <f t="shared" si="13"/>
        <v>1.4358</v>
      </c>
      <c r="AC7" s="23">
        <f t="shared" si="13"/>
        <v>1.4358</v>
      </c>
      <c r="AD7" s="23">
        <f>(scatterplots_LWG_grazdays_CS!$V$6*$A7+scatterplots_LWG_grazdays_CS!$W$6)/1000</f>
        <v>0.27429999999999999</v>
      </c>
      <c r="AE7" s="23">
        <f t="shared" si="14"/>
        <v>0.31429999999999997</v>
      </c>
      <c r="AF7" s="23">
        <f t="shared" si="4"/>
        <v>0.3543</v>
      </c>
      <c r="AG7" s="23">
        <f t="shared" si="4"/>
        <v>0.39429999999999998</v>
      </c>
      <c r="AH7" s="23">
        <f>(scatterplots_LWG_grazdays_CS!$V$6*$A7+scatterplots_LWG_grazdays_CS!$W$6)/1000+AH6</f>
        <v>1.4229000000000001</v>
      </c>
      <c r="AI7" s="23">
        <f t="shared" si="15"/>
        <v>1.4229000000000001</v>
      </c>
      <c r="AJ7" s="23">
        <f t="shared" si="5"/>
        <v>1.4229000000000001</v>
      </c>
      <c r="AK7" s="23">
        <f t="shared" si="5"/>
        <v>1.4229000000000001</v>
      </c>
      <c r="AM7" t="s">
        <v>192</v>
      </c>
      <c r="AN7" s="12">
        <v>-2.5999999999999999E-3</v>
      </c>
      <c r="AO7" s="12">
        <v>0.2974</v>
      </c>
      <c r="AP7" s="12">
        <v>0</v>
      </c>
      <c r="AQ7" s="12"/>
      <c r="AR7" t="s">
        <v>192</v>
      </c>
      <c r="AS7" s="12">
        <v>-2.5999999999999999E-3</v>
      </c>
      <c r="AT7" s="12">
        <f t="shared" si="26"/>
        <v>0.33739999999999998</v>
      </c>
      <c r="AU7" s="12">
        <v>-3.56</v>
      </c>
      <c r="AW7" t="s">
        <v>192</v>
      </c>
      <c r="AX7" s="12">
        <f t="shared" si="19"/>
        <v>-2.5999999999999999E-3</v>
      </c>
      <c r="AY7" s="12">
        <f t="shared" si="27"/>
        <v>0.37740000000000001</v>
      </c>
      <c r="AZ7" s="12">
        <v>-7.12</v>
      </c>
      <c r="BB7" t="s">
        <v>192</v>
      </c>
      <c r="BC7" s="12">
        <f t="shared" si="20"/>
        <v>-2.5999999999999999E-3</v>
      </c>
      <c r="BD7">
        <f t="shared" si="28"/>
        <v>0.41739999999999999</v>
      </c>
      <c r="BE7" s="12">
        <v>-10.68</v>
      </c>
      <c r="BG7" t="s">
        <v>192</v>
      </c>
      <c r="BH7" s="12">
        <f>AS7</f>
        <v>-2.5999999999999999E-3</v>
      </c>
      <c r="BI7" s="12">
        <f t="shared" si="21"/>
        <v>0.42</v>
      </c>
      <c r="BJ7" s="37">
        <f t="shared" si="22"/>
        <v>-10.799999999999999</v>
      </c>
      <c r="CE7" s="12"/>
      <c r="CF7" s="12"/>
    </row>
    <row r="8" spans="1:85">
      <c r="A8" s="12">
        <v>6</v>
      </c>
      <c r="B8" s="12">
        <v>6</v>
      </c>
      <c r="C8" s="23">
        <f>(scatterplots_LWG_grazdays_CS!$V$3*$A8+scatterplots_LWG_grazdays_CS!$W$3)/1000</f>
        <v>0.28295999999999999</v>
      </c>
      <c r="D8" s="23">
        <f t="shared" si="6"/>
        <v>0.32295999999999997</v>
      </c>
      <c r="E8" s="23">
        <f t="shared" si="0"/>
        <v>0.36296</v>
      </c>
      <c r="F8" s="23">
        <f t="shared" si="0"/>
        <v>0.40295999999999998</v>
      </c>
      <c r="G8" s="23">
        <f>(scatterplots_LWG_grazdays_CS!$V$3*$A8+scatterplots_LWG_grazdays_CS!$W$3)/1000+G7</f>
        <v>1.7403599999999999</v>
      </c>
      <c r="H8" s="23">
        <f t="shared" si="23"/>
        <v>1.7403599999999999</v>
      </c>
      <c r="I8" s="23">
        <f t="shared" si="24"/>
        <v>1.7403599999999999</v>
      </c>
      <c r="J8" s="23">
        <f t="shared" ref="J8:K23" si="29">C8+J7</f>
        <v>1.7403599999999999</v>
      </c>
      <c r="K8" s="23">
        <f t="shared" si="16"/>
        <v>1.7403599999999999</v>
      </c>
      <c r="L8" s="23">
        <f t="shared" si="7"/>
        <v>1.7403599999999999</v>
      </c>
      <c r="M8" s="23">
        <f t="shared" si="8"/>
        <v>1.7403599999999999</v>
      </c>
      <c r="N8" s="23">
        <f>(scatterplots_LWG_grazdays_CS!$V$4*$A8+scatterplots_LWG_grazdays_CS!$W$4)/1000</f>
        <v>0.27756000000000003</v>
      </c>
      <c r="O8" s="23">
        <f t="shared" si="17"/>
        <v>0.31756000000000001</v>
      </c>
      <c r="P8" s="23">
        <f t="shared" si="9"/>
        <v>0.35756000000000004</v>
      </c>
      <c r="Q8" s="23">
        <f t="shared" si="9"/>
        <v>0.39756000000000002</v>
      </c>
      <c r="R8" s="23">
        <f>(scatterplots_LWG_grazdays_CS!$V$4*$A8+scatterplots_LWG_grazdays_CS!$W$4)/1000+R7</f>
        <v>1.7214599999999998</v>
      </c>
      <c r="S8" s="23">
        <f t="shared" si="25"/>
        <v>1.7214599999999998</v>
      </c>
      <c r="T8" s="23">
        <f t="shared" si="10"/>
        <v>1.7214599999999998</v>
      </c>
      <c r="U8" s="23">
        <f t="shared" si="10"/>
        <v>1.7214599999999998</v>
      </c>
      <c r="V8" s="23">
        <f>(scatterplots_LWG_grazdays_CS!$V$5*$A8+scatterplots_LWG_grazdays_CS!$W$5)/1000</f>
        <v>0.27432000000000001</v>
      </c>
      <c r="W8" s="23">
        <f t="shared" si="11"/>
        <v>0.31431999999999999</v>
      </c>
      <c r="X8" s="23">
        <f t="shared" si="12"/>
        <v>0.35432000000000002</v>
      </c>
      <c r="Y8" s="23">
        <f t="shared" si="2"/>
        <v>0.39432</v>
      </c>
      <c r="Z8" s="23">
        <f>(scatterplots_LWG_grazdays_CS!$V$5*$A8+scatterplots_LWG_grazdays_CS!$W$5)/1000+Z7</f>
        <v>1.7101199999999999</v>
      </c>
      <c r="AA8" s="23">
        <f t="shared" si="18"/>
        <v>1.7101199999999999</v>
      </c>
      <c r="AB8" s="23">
        <f t="shared" si="13"/>
        <v>1.7101199999999999</v>
      </c>
      <c r="AC8" s="23">
        <f t="shared" si="13"/>
        <v>1.7101199999999999</v>
      </c>
      <c r="AD8" s="23">
        <f>(scatterplots_LWG_grazdays_CS!$V$6*$A8+scatterplots_LWG_grazdays_CS!$W$6)/1000</f>
        <v>0.26916000000000001</v>
      </c>
      <c r="AE8" s="23">
        <f t="shared" si="14"/>
        <v>0.30915999999999999</v>
      </c>
      <c r="AF8" s="23">
        <f t="shared" si="4"/>
        <v>0.34916000000000003</v>
      </c>
      <c r="AG8" s="23">
        <f t="shared" si="4"/>
        <v>0.38916000000000001</v>
      </c>
      <c r="AH8" s="23">
        <f>(scatterplots_LWG_grazdays_CS!$V$6*$A8+scatterplots_LWG_grazdays_CS!$W$6)/1000+AH7</f>
        <v>1.6920600000000001</v>
      </c>
      <c r="AI8" s="23">
        <f t="shared" si="15"/>
        <v>1.6920600000000001</v>
      </c>
      <c r="AJ8" s="23">
        <f t="shared" si="5"/>
        <v>1.6920600000000001</v>
      </c>
      <c r="AK8" s="23">
        <f t="shared" si="5"/>
        <v>1.6920600000000001</v>
      </c>
      <c r="AZ8" s="12"/>
    </row>
    <row r="9" spans="1:85">
      <c r="A9" s="12">
        <v>7</v>
      </c>
      <c r="B9" s="12">
        <v>7</v>
      </c>
      <c r="C9" s="23">
        <f>(scatterplots_LWG_grazdays_CS!$V$3*$A9+scatterplots_LWG_grazdays_CS!$W$3)/1000</f>
        <v>0.28011999999999998</v>
      </c>
      <c r="D9" s="23">
        <f t="shared" si="6"/>
        <v>0.32011999999999996</v>
      </c>
      <c r="E9" s="23">
        <f t="shared" si="0"/>
        <v>0.36012</v>
      </c>
      <c r="F9" s="23">
        <f t="shared" si="0"/>
        <v>0.40011999999999998</v>
      </c>
      <c r="G9" s="23">
        <f>(scatterplots_LWG_grazdays_CS!$V$3*$A9+scatterplots_LWG_grazdays_CS!$W$3)/1000+G8</f>
        <v>2.0204800000000001</v>
      </c>
      <c r="H9" s="23">
        <f t="shared" si="23"/>
        <v>2.0204800000000001</v>
      </c>
      <c r="I9" s="23">
        <f t="shared" si="24"/>
        <v>2.0204800000000001</v>
      </c>
      <c r="J9" s="23">
        <f t="shared" si="29"/>
        <v>2.0204800000000001</v>
      </c>
      <c r="K9" s="23">
        <f>C9+K8</f>
        <v>2.0204800000000001</v>
      </c>
      <c r="L9" s="23">
        <f t="shared" si="7"/>
        <v>2.0204800000000001</v>
      </c>
      <c r="M9" s="23">
        <f t="shared" si="8"/>
        <v>2.0204800000000001</v>
      </c>
      <c r="N9" s="23">
        <f>(scatterplots_LWG_grazdays_CS!$V$4*$A9+scatterplots_LWG_grazdays_CS!$W$4)/1000</f>
        <v>0.27382000000000001</v>
      </c>
      <c r="O9" s="23">
        <f t="shared" si="17"/>
        <v>0.31381999999999999</v>
      </c>
      <c r="P9" s="23">
        <f t="shared" si="9"/>
        <v>0.35382000000000002</v>
      </c>
      <c r="Q9" s="23">
        <f t="shared" si="9"/>
        <v>0.39382</v>
      </c>
      <c r="R9" s="23">
        <f>(scatterplots_LWG_grazdays_CS!$V$4*$A9+scatterplots_LWG_grazdays_CS!$W$4)/1000+R8</f>
        <v>1.9952799999999997</v>
      </c>
      <c r="S9" s="23">
        <f t="shared" si="25"/>
        <v>1.9952799999999997</v>
      </c>
      <c r="T9" s="23">
        <f t="shared" si="10"/>
        <v>1.9952799999999997</v>
      </c>
      <c r="U9" s="23">
        <f t="shared" si="10"/>
        <v>1.9952799999999997</v>
      </c>
      <c r="V9" s="23">
        <f>(scatterplots_LWG_grazdays_CS!$V$5*$A9+scatterplots_LWG_grazdays_CS!$W$5)/1000</f>
        <v>0.27004</v>
      </c>
      <c r="W9" s="23">
        <f t="shared" si="11"/>
        <v>0.31003999999999998</v>
      </c>
      <c r="X9" s="23">
        <f t="shared" si="12"/>
        <v>0.35004000000000002</v>
      </c>
      <c r="Y9" s="23">
        <f t="shared" si="2"/>
        <v>0.39004</v>
      </c>
      <c r="Z9" s="23">
        <f>(scatterplots_LWG_grazdays_CS!$V$5*$A9+scatterplots_LWG_grazdays_CS!$W$5)/1000+Z8</f>
        <v>1.9801599999999999</v>
      </c>
      <c r="AA9" s="23">
        <f t="shared" si="18"/>
        <v>1.9801599999999999</v>
      </c>
      <c r="AB9" s="23">
        <f t="shared" si="13"/>
        <v>1.9801599999999999</v>
      </c>
      <c r="AC9" s="23">
        <f t="shared" si="13"/>
        <v>1.9801599999999999</v>
      </c>
      <c r="AD9" s="23">
        <f>(scatterplots_LWG_grazdays_CS!$V$6*$A9+scatterplots_LWG_grazdays_CS!$W$6)/1000</f>
        <v>0.26401999999999998</v>
      </c>
      <c r="AE9" s="23">
        <f t="shared" si="14"/>
        <v>0.30401999999999996</v>
      </c>
      <c r="AF9" s="23">
        <f t="shared" si="4"/>
        <v>0.34401999999999999</v>
      </c>
      <c r="AG9" s="23">
        <f t="shared" si="4"/>
        <v>0.38401999999999997</v>
      </c>
      <c r="AH9" s="23">
        <f>(scatterplots_LWG_grazdays_CS!$V$6*$A9+scatterplots_LWG_grazdays_CS!$W$6)/1000+AH8</f>
        <v>1.95608</v>
      </c>
      <c r="AI9" s="23">
        <f t="shared" si="15"/>
        <v>1.95608</v>
      </c>
      <c r="AJ9" s="23">
        <f t="shared" si="5"/>
        <v>1.95608</v>
      </c>
      <c r="AK9" s="23">
        <f t="shared" si="5"/>
        <v>1.95608</v>
      </c>
      <c r="BZ9" s="12" t="s">
        <v>622</v>
      </c>
      <c r="CA9" s="12" t="s">
        <v>623</v>
      </c>
      <c r="CB9" s="12" t="s">
        <v>179</v>
      </c>
    </row>
    <row r="10" spans="1:85">
      <c r="A10" s="12">
        <v>8</v>
      </c>
      <c r="B10" s="12">
        <v>8</v>
      </c>
      <c r="C10" s="23">
        <f>(scatterplots_LWG_grazdays_CS!$V$3*$A10+scatterplots_LWG_grazdays_CS!$W$3)/1000</f>
        <v>0.27727999999999997</v>
      </c>
      <c r="D10" s="23">
        <f t="shared" si="6"/>
        <v>0.31727999999999995</v>
      </c>
      <c r="E10" s="23">
        <f t="shared" si="0"/>
        <v>0.35727999999999999</v>
      </c>
      <c r="F10" s="23">
        <f t="shared" si="0"/>
        <v>0.39727999999999997</v>
      </c>
      <c r="G10" s="23">
        <f>(scatterplots_LWG_grazdays_CS!$V$3*$A10+scatterplots_LWG_grazdays_CS!$W$3)/1000+G9</f>
        <v>2.2977600000000002</v>
      </c>
      <c r="H10" s="23">
        <f t="shared" si="23"/>
        <v>2.2977600000000002</v>
      </c>
      <c r="I10" s="23">
        <f t="shared" si="24"/>
        <v>2.2977600000000002</v>
      </c>
      <c r="J10" s="23">
        <f t="shared" si="29"/>
        <v>2.2977600000000002</v>
      </c>
      <c r="K10" s="23">
        <f>C10+K9</f>
        <v>2.2977600000000002</v>
      </c>
      <c r="L10" s="23">
        <f t="shared" si="7"/>
        <v>2.2977600000000002</v>
      </c>
      <c r="M10" s="23">
        <f t="shared" si="8"/>
        <v>2.2977600000000002</v>
      </c>
      <c r="N10" s="23">
        <f>(scatterplots_LWG_grazdays_CS!$V$4*$A10+scatterplots_LWG_grazdays_CS!$W$4)/1000</f>
        <v>0.27007999999999999</v>
      </c>
      <c r="O10" s="23">
        <f t="shared" si="17"/>
        <v>0.31007999999999997</v>
      </c>
      <c r="P10" s="23">
        <f t="shared" si="9"/>
        <v>0.35008</v>
      </c>
      <c r="Q10" s="23">
        <f t="shared" si="9"/>
        <v>0.39007999999999998</v>
      </c>
      <c r="R10" s="23">
        <f>(scatterplots_LWG_grazdays_CS!$V$4*$A10+scatterplots_LWG_grazdays_CS!$W$4)/1000+R9</f>
        <v>2.2653599999999998</v>
      </c>
      <c r="S10" s="23">
        <f t="shared" si="25"/>
        <v>2.2653599999999998</v>
      </c>
      <c r="T10" s="23">
        <f t="shared" si="10"/>
        <v>2.2653599999999998</v>
      </c>
      <c r="U10" s="23">
        <f t="shared" si="10"/>
        <v>2.2653599999999998</v>
      </c>
      <c r="V10" s="23">
        <f>(scatterplots_LWG_grazdays_CS!$V$5*$A10+scatterplots_LWG_grazdays_CS!$W$5)/1000</f>
        <v>0.26576</v>
      </c>
      <c r="W10" s="23">
        <f t="shared" si="11"/>
        <v>0.30575999999999998</v>
      </c>
      <c r="X10" s="23">
        <f t="shared" si="12"/>
        <v>0.34576000000000001</v>
      </c>
      <c r="Y10" s="23">
        <f t="shared" si="2"/>
        <v>0.38575999999999999</v>
      </c>
      <c r="Z10" s="23">
        <f>(scatterplots_LWG_grazdays_CS!$V$5*$A10+scatterplots_LWG_grazdays_CS!$W$5)/1000+Z9</f>
        <v>2.2459199999999999</v>
      </c>
      <c r="AA10" s="23">
        <f t="shared" si="18"/>
        <v>2.2459199999999999</v>
      </c>
      <c r="AB10" s="23">
        <f t="shared" si="13"/>
        <v>2.2459199999999999</v>
      </c>
      <c r="AC10" s="23">
        <f t="shared" si="13"/>
        <v>2.2459199999999999</v>
      </c>
      <c r="AD10" s="23">
        <f>(scatterplots_LWG_grazdays_CS!$V$6*$A10+scatterplots_LWG_grazdays_CS!$W$6)/1000</f>
        <v>0.25888</v>
      </c>
      <c r="AE10" s="23">
        <f t="shared" si="14"/>
        <v>0.29887999999999998</v>
      </c>
      <c r="AF10" s="23">
        <f t="shared" si="4"/>
        <v>0.33888000000000001</v>
      </c>
      <c r="AG10" s="23">
        <f t="shared" si="4"/>
        <v>0.37887999999999999</v>
      </c>
      <c r="AH10" s="23">
        <f>(scatterplots_LWG_grazdays_CS!$V$6*$A10+scatterplots_LWG_grazdays_CS!$W$6)/1000+AH9</f>
        <v>2.21496</v>
      </c>
      <c r="AI10" s="23">
        <f t="shared" si="15"/>
        <v>2.21496</v>
      </c>
      <c r="AJ10" s="23">
        <f t="shared" si="5"/>
        <v>2.21496</v>
      </c>
      <c r="AK10" s="23">
        <f t="shared" si="5"/>
        <v>2.21496</v>
      </c>
      <c r="BY10" t="s">
        <v>624</v>
      </c>
      <c r="BZ10" s="12" t="s">
        <v>625</v>
      </c>
      <c r="CA10" s="12" t="s">
        <v>625</v>
      </c>
      <c r="CB10" s="12" t="s">
        <v>625</v>
      </c>
    </row>
    <row r="11" spans="1:85">
      <c r="A11" s="12">
        <v>9</v>
      </c>
      <c r="B11" s="12">
        <v>9</v>
      </c>
      <c r="C11" s="23">
        <f>(scatterplots_LWG_grazdays_CS!$V$3*$A11+scatterplots_LWG_grazdays_CS!$W$3)/1000</f>
        <v>0.27444000000000002</v>
      </c>
      <c r="D11" s="23">
        <f t="shared" si="6"/>
        <v>0.31444</v>
      </c>
      <c r="E11" s="23">
        <f t="shared" si="0"/>
        <v>0.35444000000000003</v>
      </c>
      <c r="F11" s="23">
        <f t="shared" si="0"/>
        <v>0.39444000000000001</v>
      </c>
      <c r="G11" s="23">
        <f>(scatterplots_LWG_grazdays_CS!$V$3*$A11+scatterplots_LWG_grazdays_CS!$W$3)/1000+G10</f>
        <v>2.5722000000000005</v>
      </c>
      <c r="H11" s="23">
        <f t="shared" si="23"/>
        <v>2.5722000000000005</v>
      </c>
      <c r="I11" s="23">
        <f t="shared" si="24"/>
        <v>2.5722000000000005</v>
      </c>
      <c r="J11" s="23">
        <f t="shared" si="29"/>
        <v>2.5722000000000005</v>
      </c>
      <c r="K11" s="23">
        <f>C11+K10</f>
        <v>2.5722000000000005</v>
      </c>
      <c r="L11" s="23">
        <f t="shared" si="7"/>
        <v>2.5722000000000005</v>
      </c>
      <c r="M11" s="23">
        <f t="shared" si="8"/>
        <v>2.5722000000000005</v>
      </c>
      <c r="N11" s="23">
        <f>(scatterplots_LWG_grazdays_CS!$V$4*$A11+scatterplots_LWG_grazdays_CS!$W$4)/1000</f>
        <v>0.26633999999999997</v>
      </c>
      <c r="O11" s="23">
        <f t="shared" si="17"/>
        <v>0.30633999999999995</v>
      </c>
      <c r="P11" s="23">
        <f t="shared" si="9"/>
        <v>0.34633999999999998</v>
      </c>
      <c r="Q11" s="23">
        <f t="shared" si="9"/>
        <v>0.38633999999999996</v>
      </c>
      <c r="R11" s="23">
        <f>(scatterplots_LWG_grazdays_CS!$V$4*$A11+scatterplots_LWG_grazdays_CS!$W$4)/1000+R10</f>
        <v>2.5316999999999998</v>
      </c>
      <c r="S11" s="23">
        <f t="shared" si="25"/>
        <v>2.5316999999999998</v>
      </c>
      <c r="T11" s="23">
        <f t="shared" si="10"/>
        <v>2.5316999999999998</v>
      </c>
      <c r="U11" s="23">
        <f t="shared" si="10"/>
        <v>2.5316999999999998</v>
      </c>
      <c r="V11" s="23">
        <f>(scatterplots_LWG_grazdays_CS!$V$5*$A11+scatterplots_LWG_grazdays_CS!$W$5)/1000</f>
        <v>0.26148000000000005</v>
      </c>
      <c r="W11" s="23">
        <f t="shared" si="11"/>
        <v>0.30148000000000003</v>
      </c>
      <c r="X11" s="23">
        <f t="shared" si="12"/>
        <v>0.34148000000000006</v>
      </c>
      <c r="Y11" s="23">
        <f t="shared" si="2"/>
        <v>0.38148000000000004</v>
      </c>
      <c r="Z11" s="23">
        <f>(scatterplots_LWG_grazdays_CS!$V$5*$A11+scatterplots_LWG_grazdays_CS!$W$5)/1000+Z10</f>
        <v>2.5074000000000001</v>
      </c>
      <c r="AA11" s="23">
        <f t="shared" si="18"/>
        <v>2.5074000000000001</v>
      </c>
      <c r="AB11" s="23">
        <f t="shared" si="13"/>
        <v>2.5074000000000001</v>
      </c>
      <c r="AC11" s="23">
        <f t="shared" si="13"/>
        <v>2.5074000000000001</v>
      </c>
      <c r="AD11" s="23">
        <f>(scatterplots_LWG_grazdays_CS!$V$6*$A11+scatterplots_LWG_grazdays_CS!$W$6)/1000</f>
        <v>0.25374000000000002</v>
      </c>
      <c r="AE11" s="23">
        <f t="shared" si="14"/>
        <v>0.29374</v>
      </c>
      <c r="AF11" s="23">
        <f t="shared" si="4"/>
        <v>0.33374000000000004</v>
      </c>
      <c r="AG11" s="23">
        <f t="shared" si="4"/>
        <v>0.37374000000000002</v>
      </c>
      <c r="AH11" s="23">
        <f>(scatterplots_LWG_grazdays_CS!$V$6*$A11+scatterplots_LWG_grazdays_CS!$W$6)/1000+AH10</f>
        <v>2.4687000000000001</v>
      </c>
      <c r="AI11" s="23">
        <f t="shared" si="15"/>
        <v>2.4687000000000001</v>
      </c>
      <c r="AJ11" s="23">
        <f t="shared" si="5"/>
        <v>2.4687000000000001</v>
      </c>
      <c r="AK11" s="23">
        <f t="shared" si="5"/>
        <v>2.4687000000000001</v>
      </c>
      <c r="BY11">
        <v>90</v>
      </c>
      <c r="BZ11">
        <v>-3.56</v>
      </c>
      <c r="CA11" s="12">
        <v>-7.12</v>
      </c>
      <c r="CB11" s="12">
        <v>-10.68</v>
      </c>
    </row>
    <row r="12" spans="1:85">
      <c r="A12" s="12">
        <v>10</v>
      </c>
      <c r="B12" s="12">
        <v>10</v>
      </c>
      <c r="C12" s="23">
        <f>(scatterplots_LWG_grazdays_CS!$V$3*$A12+scatterplots_LWG_grazdays_CS!$W$3)/1000</f>
        <v>0.27160000000000001</v>
      </c>
      <c r="D12" s="23">
        <f t="shared" si="6"/>
        <v>0.31159999999999999</v>
      </c>
      <c r="E12" s="23">
        <f t="shared" si="0"/>
        <v>0.35160000000000002</v>
      </c>
      <c r="F12" s="23">
        <f t="shared" si="0"/>
        <v>0.3916</v>
      </c>
      <c r="G12" s="23">
        <f>(scatterplots_LWG_grazdays_CS!$V$3*$A12+scatterplots_LWG_grazdays_CS!$W$3)/1000+G11</f>
        <v>2.8438000000000003</v>
      </c>
      <c r="H12" s="23">
        <f t="shared" si="23"/>
        <v>2.8438000000000003</v>
      </c>
      <c r="I12" s="23">
        <f t="shared" si="24"/>
        <v>2.8438000000000003</v>
      </c>
      <c r="J12" s="23">
        <f t="shared" si="29"/>
        <v>2.8438000000000003</v>
      </c>
      <c r="K12" s="23">
        <f>D12+K11</f>
        <v>2.8838000000000004</v>
      </c>
      <c r="L12" s="23">
        <f t="shared" si="7"/>
        <v>2.8438000000000003</v>
      </c>
      <c r="M12" s="23">
        <f t="shared" si="8"/>
        <v>2.8438000000000003</v>
      </c>
      <c r="N12" s="23">
        <f>(scatterplots_LWG_grazdays_CS!$V$4*$A12+scatterplots_LWG_grazdays_CS!$W$4)/1000</f>
        <v>0.2626</v>
      </c>
      <c r="O12" s="23">
        <f t="shared" si="17"/>
        <v>0.30259999999999998</v>
      </c>
      <c r="P12" s="23">
        <f t="shared" si="9"/>
        <v>0.34260000000000002</v>
      </c>
      <c r="Q12" s="23">
        <f t="shared" si="9"/>
        <v>0.3826</v>
      </c>
      <c r="R12" s="23">
        <f>(scatterplots_LWG_grazdays_CS!$V$4*$A12+scatterplots_LWG_grazdays_CS!$W$4)/1000+R11</f>
        <v>2.7942999999999998</v>
      </c>
      <c r="S12" s="23">
        <f t="shared" si="25"/>
        <v>2.7942999999999998</v>
      </c>
      <c r="T12" s="23">
        <f t="shared" si="10"/>
        <v>2.7942999999999998</v>
      </c>
      <c r="U12" s="23">
        <f t="shared" si="10"/>
        <v>2.7942999999999998</v>
      </c>
      <c r="V12" s="23">
        <f>(scatterplots_LWG_grazdays_CS!$V$5*$A12+scatterplots_LWG_grazdays_CS!$W$5)/1000</f>
        <v>0.25719999999999998</v>
      </c>
      <c r="W12" s="23">
        <f t="shared" si="11"/>
        <v>0.29719999999999996</v>
      </c>
      <c r="X12" s="23">
        <f t="shared" si="12"/>
        <v>0.3372</v>
      </c>
      <c r="Y12" s="23">
        <f t="shared" si="2"/>
        <v>0.37719999999999998</v>
      </c>
      <c r="Z12" s="23">
        <f>(scatterplots_LWG_grazdays_CS!$V$5*$A12+scatterplots_LWG_grazdays_CS!$W$5)/1000+Z11</f>
        <v>2.7646000000000002</v>
      </c>
      <c r="AA12" s="23">
        <f t="shared" si="18"/>
        <v>2.7646000000000002</v>
      </c>
      <c r="AB12" s="23">
        <f t="shared" si="13"/>
        <v>2.7646000000000002</v>
      </c>
      <c r="AC12" s="23">
        <f t="shared" si="13"/>
        <v>2.7646000000000002</v>
      </c>
      <c r="AD12" s="23">
        <f>(scatterplots_LWG_grazdays_CS!$V$6*$A12+scatterplots_LWG_grazdays_CS!$W$6)/1000</f>
        <v>0.24859999999999999</v>
      </c>
      <c r="AE12" s="23">
        <f t="shared" si="14"/>
        <v>0.28859999999999997</v>
      </c>
      <c r="AF12" s="23">
        <f t="shared" si="4"/>
        <v>0.3286</v>
      </c>
      <c r="AG12" s="23">
        <f t="shared" si="4"/>
        <v>0.36859999999999998</v>
      </c>
      <c r="AH12" s="23">
        <f>(scatterplots_LWG_grazdays_CS!$V$6*$A12+scatterplots_LWG_grazdays_CS!$W$6)/1000+AH11</f>
        <v>2.7173000000000003</v>
      </c>
      <c r="AI12" s="23">
        <f t="shared" si="15"/>
        <v>2.7173000000000003</v>
      </c>
      <c r="AJ12" s="23">
        <f t="shared" si="5"/>
        <v>2.7173000000000003</v>
      </c>
      <c r="AK12" s="23">
        <f t="shared" si="5"/>
        <v>2.7173000000000003</v>
      </c>
      <c r="BY12">
        <v>45</v>
      </c>
      <c r="BZ12">
        <v>-1.76</v>
      </c>
      <c r="CA12" s="12">
        <f>CA$11/BZ$11*$BZ12</f>
        <v>-3.52</v>
      </c>
      <c r="CB12" s="12">
        <f>CB$11/BZ$11*$BZ12</f>
        <v>-5.28</v>
      </c>
    </row>
    <row r="13" spans="1:85">
      <c r="A13" s="12">
        <v>11</v>
      </c>
      <c r="B13" s="12">
        <v>11</v>
      </c>
      <c r="C13" s="23">
        <f>(scatterplots_LWG_grazdays_CS!$V$3*$A13+scatterplots_LWG_grazdays_CS!$W$3)/1000</f>
        <v>0.26876</v>
      </c>
      <c r="D13" s="23">
        <f t="shared" si="6"/>
        <v>0.30875999999999998</v>
      </c>
      <c r="E13" s="23">
        <f t="shared" si="0"/>
        <v>0.34876000000000001</v>
      </c>
      <c r="F13" s="23">
        <f t="shared" si="0"/>
        <v>0.38875999999999999</v>
      </c>
      <c r="G13" s="23">
        <f>(scatterplots_LWG_grazdays_CS!$V$3*$A13+scatterplots_LWG_grazdays_CS!$W$3)/1000+G12</f>
        <v>3.1125600000000002</v>
      </c>
      <c r="H13" s="23">
        <f t="shared" si="23"/>
        <v>3.1125600000000002</v>
      </c>
      <c r="I13" s="23">
        <f t="shared" si="24"/>
        <v>3.1125600000000002</v>
      </c>
      <c r="J13" s="23">
        <f t="shared" si="29"/>
        <v>3.1125600000000002</v>
      </c>
      <c r="K13" s="23">
        <f t="shared" si="29"/>
        <v>3.1925600000000003</v>
      </c>
      <c r="L13" s="23">
        <f t="shared" si="7"/>
        <v>3.1125600000000002</v>
      </c>
      <c r="M13" s="23">
        <f t="shared" si="8"/>
        <v>3.1125600000000002</v>
      </c>
      <c r="N13" s="23">
        <f>(scatterplots_LWG_grazdays_CS!$V$4*$A13+scatterplots_LWG_grazdays_CS!$W$4)/1000</f>
        <v>0.25886000000000003</v>
      </c>
      <c r="O13" s="23">
        <f t="shared" si="17"/>
        <v>0.29886000000000001</v>
      </c>
      <c r="P13" s="23">
        <f t="shared" si="9"/>
        <v>0.33886000000000005</v>
      </c>
      <c r="Q13" s="23">
        <f t="shared" si="9"/>
        <v>0.37886000000000003</v>
      </c>
      <c r="R13" s="23">
        <f>(scatterplots_LWG_grazdays_CS!$V$4*$A13+scatterplots_LWG_grazdays_CS!$W$4)/1000+R12</f>
        <v>3.0531599999999997</v>
      </c>
      <c r="S13" s="23">
        <f t="shared" si="25"/>
        <v>3.0531599999999997</v>
      </c>
      <c r="T13" s="23">
        <f t="shared" si="10"/>
        <v>3.0531599999999997</v>
      </c>
      <c r="U13" s="23">
        <f t="shared" si="10"/>
        <v>3.0531599999999997</v>
      </c>
      <c r="V13" s="23">
        <f>(scatterplots_LWG_grazdays_CS!$V$5*$A13+scatterplots_LWG_grazdays_CS!$W$5)/1000</f>
        <v>0.25291999999999998</v>
      </c>
      <c r="W13" s="23">
        <f t="shared" si="11"/>
        <v>0.29291999999999996</v>
      </c>
      <c r="X13" s="23">
        <f t="shared" si="12"/>
        <v>0.33291999999999999</v>
      </c>
      <c r="Y13" s="23">
        <f t="shared" si="2"/>
        <v>0.37291999999999997</v>
      </c>
      <c r="Z13" s="23">
        <f>(scatterplots_LWG_grazdays_CS!$V$5*$A13+scatterplots_LWG_grazdays_CS!$W$5)/1000+Z12</f>
        <v>3.0175200000000002</v>
      </c>
      <c r="AA13" s="23">
        <f t="shared" si="18"/>
        <v>3.0175200000000002</v>
      </c>
      <c r="AB13" s="23">
        <f t="shared" si="13"/>
        <v>3.0175200000000002</v>
      </c>
      <c r="AC13" s="23">
        <f t="shared" si="13"/>
        <v>3.0175200000000002</v>
      </c>
      <c r="AD13" s="23">
        <f>(scatterplots_LWG_grazdays_CS!$V$6*$A13+scatterplots_LWG_grazdays_CS!$W$6)/1000</f>
        <v>0.24346000000000001</v>
      </c>
      <c r="AE13" s="23">
        <f t="shared" si="14"/>
        <v>0.28345999999999999</v>
      </c>
      <c r="AF13" s="23">
        <f t="shared" si="4"/>
        <v>0.32346000000000003</v>
      </c>
      <c r="AG13" s="23">
        <f t="shared" si="4"/>
        <v>0.36346000000000001</v>
      </c>
      <c r="AH13" s="23">
        <f>(scatterplots_LWG_grazdays_CS!$V$6*$A13+scatterplots_LWG_grazdays_CS!$W$6)/1000+AH12</f>
        <v>2.9607600000000005</v>
      </c>
      <c r="AI13" s="23">
        <f t="shared" si="15"/>
        <v>2.9607600000000005</v>
      </c>
      <c r="AJ13" s="23">
        <f t="shared" si="5"/>
        <v>2.9607600000000005</v>
      </c>
      <c r="AK13" s="23">
        <f t="shared" si="5"/>
        <v>2.9607600000000005</v>
      </c>
      <c r="BY13">
        <v>20</v>
      </c>
      <c r="BZ13">
        <v>-0.76</v>
      </c>
      <c r="CA13" s="12">
        <f t="shared" ref="CA13:CA14" si="30">CA$11/BZ$11*$BZ13</f>
        <v>-1.52</v>
      </c>
      <c r="CB13" s="12">
        <f t="shared" ref="CB13:CB14" si="31">CB$11/BZ$11*$BZ13</f>
        <v>-2.2800000000000002</v>
      </c>
    </row>
    <row r="14" spans="1:85">
      <c r="A14" s="12">
        <v>12</v>
      </c>
      <c r="B14" s="12">
        <v>12</v>
      </c>
      <c r="C14" s="23">
        <f>(scatterplots_LWG_grazdays_CS!$V$3*$A14+scatterplots_LWG_grazdays_CS!$W$3)/1000</f>
        <v>0.26591999999999999</v>
      </c>
      <c r="D14" s="23">
        <f t="shared" si="6"/>
        <v>0.30591999999999997</v>
      </c>
      <c r="E14" s="23">
        <f t="shared" si="0"/>
        <v>0.34592000000000001</v>
      </c>
      <c r="F14" s="23">
        <f t="shared" si="0"/>
        <v>0.38591999999999999</v>
      </c>
      <c r="G14" s="23">
        <f>(scatterplots_LWG_grazdays_CS!$V$3*$A14+scatterplots_LWG_grazdays_CS!$W$3)/1000+G13</f>
        <v>3.3784800000000001</v>
      </c>
      <c r="H14" s="23">
        <f t="shared" si="23"/>
        <v>3.3784800000000001</v>
      </c>
      <c r="I14" s="23">
        <f t="shared" si="24"/>
        <v>3.3784800000000001</v>
      </c>
      <c r="J14" s="23">
        <f t="shared" si="29"/>
        <v>3.3784800000000001</v>
      </c>
      <c r="K14" s="23">
        <f t="shared" si="29"/>
        <v>3.4984800000000003</v>
      </c>
      <c r="L14" s="23">
        <f t="shared" si="7"/>
        <v>3.3784800000000001</v>
      </c>
      <c r="M14" s="23">
        <f t="shared" si="8"/>
        <v>3.3784800000000001</v>
      </c>
      <c r="N14" s="23">
        <f>(scatterplots_LWG_grazdays_CS!$V$4*$A14+scatterplots_LWG_grazdays_CS!$W$4)/1000</f>
        <v>0.25512000000000001</v>
      </c>
      <c r="O14" s="23">
        <f t="shared" si="17"/>
        <v>0.29511999999999999</v>
      </c>
      <c r="P14" s="23">
        <f t="shared" si="9"/>
        <v>0.33512000000000003</v>
      </c>
      <c r="Q14" s="23">
        <f t="shared" si="9"/>
        <v>0.37512000000000001</v>
      </c>
      <c r="R14" s="23">
        <f>(scatterplots_LWG_grazdays_CS!$V$4*$A14+scatterplots_LWG_grazdays_CS!$W$4)/1000+R13</f>
        <v>3.3082799999999999</v>
      </c>
      <c r="S14" s="23">
        <f t="shared" si="25"/>
        <v>3.3082799999999999</v>
      </c>
      <c r="T14" s="23">
        <f t="shared" si="10"/>
        <v>3.3082799999999999</v>
      </c>
      <c r="U14" s="23">
        <f t="shared" si="10"/>
        <v>3.3082799999999999</v>
      </c>
      <c r="V14" s="23">
        <f>(scatterplots_LWG_grazdays_CS!$V$5*$A14+scatterplots_LWG_grazdays_CS!$W$5)/1000</f>
        <v>0.24864</v>
      </c>
      <c r="W14" s="23">
        <f t="shared" si="11"/>
        <v>0.28864000000000001</v>
      </c>
      <c r="X14" s="23">
        <f t="shared" si="12"/>
        <v>0.32863999999999999</v>
      </c>
      <c r="Y14" s="23">
        <f t="shared" si="2"/>
        <v>0.36863999999999997</v>
      </c>
      <c r="Z14" s="23">
        <f>(scatterplots_LWG_grazdays_CS!$V$5*$A14+scatterplots_LWG_grazdays_CS!$W$5)/1000+Z13</f>
        <v>3.2661600000000002</v>
      </c>
      <c r="AA14" s="23">
        <f t="shared" si="18"/>
        <v>3.2661600000000002</v>
      </c>
      <c r="AB14" s="23">
        <f t="shared" si="13"/>
        <v>3.2661600000000002</v>
      </c>
      <c r="AC14" s="23">
        <f t="shared" si="13"/>
        <v>3.2661600000000002</v>
      </c>
      <c r="AD14" s="23">
        <f>(scatterplots_LWG_grazdays_CS!$V$6*$A14+scatterplots_LWG_grazdays_CS!$W$6)/1000</f>
        <v>0.23832</v>
      </c>
      <c r="AE14" s="23">
        <f t="shared" si="14"/>
        <v>0.27832000000000001</v>
      </c>
      <c r="AF14" s="23">
        <f t="shared" si="4"/>
        <v>0.31831999999999999</v>
      </c>
      <c r="AG14" s="23">
        <f t="shared" si="4"/>
        <v>0.35831999999999997</v>
      </c>
      <c r="AH14" s="23">
        <f>(scatterplots_LWG_grazdays_CS!$V$6*$A14+scatterplots_LWG_grazdays_CS!$W$6)/1000+AH13</f>
        <v>3.1990800000000004</v>
      </c>
      <c r="AI14" s="23">
        <f t="shared" si="15"/>
        <v>3.1990800000000004</v>
      </c>
      <c r="AJ14" s="23">
        <f t="shared" si="5"/>
        <v>3.1990800000000004</v>
      </c>
      <c r="AK14" s="23">
        <f t="shared" si="5"/>
        <v>3.1990800000000004</v>
      </c>
      <c r="BY14">
        <v>10</v>
      </c>
      <c r="BZ14">
        <v>-0.36</v>
      </c>
      <c r="CA14" s="12">
        <f t="shared" si="30"/>
        <v>-0.72</v>
      </c>
      <c r="CB14" s="12">
        <f t="shared" si="31"/>
        <v>-1.08</v>
      </c>
    </row>
    <row r="15" spans="1:85">
      <c r="A15" s="12">
        <v>13</v>
      </c>
      <c r="B15" s="12">
        <v>13</v>
      </c>
      <c r="C15" s="23">
        <f>(scatterplots_LWG_grazdays_CS!$V$3*$A15+scatterplots_LWG_grazdays_CS!$W$3)/1000</f>
        <v>0.26307999999999998</v>
      </c>
      <c r="D15" s="23">
        <f t="shared" si="6"/>
        <v>0.30307999999999996</v>
      </c>
      <c r="E15" s="23">
        <f t="shared" si="0"/>
        <v>0.34308</v>
      </c>
      <c r="F15" s="23">
        <f t="shared" si="0"/>
        <v>0.38307999999999998</v>
      </c>
      <c r="G15" s="23">
        <f>(scatterplots_LWG_grazdays_CS!$V$3*$A15+scatterplots_LWG_grazdays_CS!$W$3)/1000+G14</f>
        <v>3.6415600000000001</v>
      </c>
      <c r="H15" s="23">
        <f t="shared" si="23"/>
        <v>3.6415600000000001</v>
      </c>
      <c r="I15" s="23">
        <f t="shared" si="24"/>
        <v>3.6415600000000001</v>
      </c>
      <c r="J15" s="23">
        <f t="shared" si="29"/>
        <v>3.6415600000000001</v>
      </c>
      <c r="K15" s="23">
        <f t="shared" si="29"/>
        <v>3.8015600000000003</v>
      </c>
      <c r="L15" s="23">
        <f t="shared" si="7"/>
        <v>3.6415600000000001</v>
      </c>
      <c r="M15" s="23">
        <f t="shared" si="8"/>
        <v>3.6415600000000001</v>
      </c>
      <c r="N15" s="23">
        <f>(scatterplots_LWG_grazdays_CS!$V$4*$A15+scatterplots_LWG_grazdays_CS!$W$4)/1000</f>
        <v>0.25137999999999999</v>
      </c>
      <c r="O15" s="23">
        <f t="shared" si="17"/>
        <v>0.29137999999999997</v>
      </c>
      <c r="P15" s="23">
        <f t="shared" si="9"/>
        <v>0.33138000000000001</v>
      </c>
      <c r="Q15" s="23">
        <f t="shared" si="9"/>
        <v>0.37137999999999999</v>
      </c>
      <c r="R15" s="23">
        <f>(scatterplots_LWG_grazdays_CS!$V$4*$A15+scatterplots_LWG_grazdays_CS!$W$4)/1000+R14</f>
        <v>3.55966</v>
      </c>
      <c r="S15" s="23">
        <f t="shared" si="25"/>
        <v>3.55966</v>
      </c>
      <c r="T15" s="23">
        <f t="shared" si="10"/>
        <v>3.55966</v>
      </c>
      <c r="U15" s="23">
        <f t="shared" si="10"/>
        <v>3.55966</v>
      </c>
      <c r="V15" s="23">
        <f>(scatterplots_LWG_grazdays_CS!$V$5*$A15+scatterplots_LWG_grazdays_CS!$W$5)/1000</f>
        <v>0.24436000000000002</v>
      </c>
      <c r="W15" s="23">
        <f t="shared" si="11"/>
        <v>0.28436</v>
      </c>
      <c r="X15" s="23">
        <f t="shared" si="12"/>
        <v>0.32436000000000004</v>
      </c>
      <c r="Y15" s="23">
        <f t="shared" si="2"/>
        <v>0.36436000000000002</v>
      </c>
      <c r="Z15" s="23">
        <f>(scatterplots_LWG_grazdays_CS!$V$5*$A15+scatterplots_LWG_grazdays_CS!$W$5)/1000+Z14</f>
        <v>3.5105200000000001</v>
      </c>
      <c r="AA15" s="23">
        <f t="shared" si="18"/>
        <v>3.5105200000000001</v>
      </c>
      <c r="AB15" s="23">
        <f t="shared" si="13"/>
        <v>3.5105200000000001</v>
      </c>
      <c r="AC15" s="23">
        <f t="shared" si="13"/>
        <v>3.5105200000000001</v>
      </c>
      <c r="AD15" s="23">
        <f>(scatterplots_LWG_grazdays_CS!$V$6*$A15+scatterplots_LWG_grazdays_CS!$W$6)/1000</f>
        <v>0.23318</v>
      </c>
      <c r="AE15" s="23">
        <f t="shared" si="14"/>
        <v>0.27317999999999998</v>
      </c>
      <c r="AF15" s="23">
        <f t="shared" si="4"/>
        <v>0.31318000000000001</v>
      </c>
      <c r="AG15" s="23">
        <f t="shared" si="4"/>
        <v>0.35317999999999999</v>
      </c>
      <c r="AH15" s="23">
        <f>(scatterplots_LWG_grazdays_CS!$V$6*$A15+scatterplots_LWG_grazdays_CS!$W$6)/1000+AH14</f>
        <v>3.4322600000000003</v>
      </c>
      <c r="AI15" s="23">
        <f t="shared" si="15"/>
        <v>3.4322600000000003</v>
      </c>
      <c r="AJ15" s="23">
        <f t="shared" si="5"/>
        <v>3.4322600000000003</v>
      </c>
      <c r="AK15" s="23">
        <f t="shared" si="5"/>
        <v>3.4322600000000003</v>
      </c>
    </row>
    <row r="16" spans="1:85">
      <c r="A16" s="12">
        <v>14</v>
      </c>
      <c r="B16" s="12">
        <v>14</v>
      </c>
      <c r="C16" s="23">
        <f>(scatterplots_LWG_grazdays_CS!$V$3*$A16+scatterplots_LWG_grazdays_CS!$W$3)/1000</f>
        <v>0.26024000000000003</v>
      </c>
      <c r="D16" s="23">
        <f t="shared" si="6"/>
        <v>0.30024000000000001</v>
      </c>
      <c r="E16" s="23">
        <f t="shared" si="0"/>
        <v>0.34024000000000004</v>
      </c>
      <c r="F16" s="23">
        <f t="shared" si="0"/>
        <v>0.38024000000000002</v>
      </c>
      <c r="G16" s="23">
        <f>(scatterplots_LWG_grazdays_CS!$V$3*$A16+scatterplots_LWG_grazdays_CS!$W$3)/1000+G15</f>
        <v>3.9018000000000002</v>
      </c>
      <c r="H16" s="23">
        <f t="shared" si="23"/>
        <v>3.9018000000000002</v>
      </c>
      <c r="I16" s="23">
        <f t="shared" si="24"/>
        <v>3.9018000000000002</v>
      </c>
      <c r="J16" s="23">
        <f t="shared" si="29"/>
        <v>3.9018000000000002</v>
      </c>
      <c r="K16" s="23">
        <f t="shared" si="29"/>
        <v>4.1017999999999999</v>
      </c>
      <c r="L16" s="23">
        <f t="shared" si="7"/>
        <v>3.9018000000000002</v>
      </c>
      <c r="M16" s="23">
        <f t="shared" si="8"/>
        <v>3.9018000000000002</v>
      </c>
      <c r="N16" s="23">
        <f>(scatterplots_LWG_grazdays_CS!$V$4*$A16+scatterplots_LWG_grazdays_CS!$W$4)/1000</f>
        <v>0.24764</v>
      </c>
      <c r="O16" s="23">
        <f t="shared" si="17"/>
        <v>0.28764000000000001</v>
      </c>
      <c r="P16" s="23">
        <f t="shared" si="9"/>
        <v>0.32763999999999999</v>
      </c>
      <c r="Q16" s="23">
        <f t="shared" si="9"/>
        <v>0.36763999999999997</v>
      </c>
      <c r="R16" s="23">
        <f>(scatterplots_LWG_grazdays_CS!$V$4*$A16+scatterplots_LWG_grazdays_CS!$W$4)/1000+R15</f>
        <v>3.8073000000000001</v>
      </c>
      <c r="S16" s="23">
        <f t="shared" si="25"/>
        <v>3.8073000000000001</v>
      </c>
      <c r="T16" s="23">
        <f t="shared" si="10"/>
        <v>3.8073000000000001</v>
      </c>
      <c r="U16" s="23">
        <f t="shared" si="10"/>
        <v>3.8073000000000001</v>
      </c>
      <c r="V16" s="23">
        <f>(scatterplots_LWG_grazdays_CS!$V$5*$A16+scatterplots_LWG_grazdays_CS!$W$5)/1000</f>
        <v>0.24007999999999999</v>
      </c>
      <c r="W16" s="23">
        <f t="shared" si="11"/>
        <v>0.28008</v>
      </c>
      <c r="X16" s="23">
        <f t="shared" si="12"/>
        <v>0.32007999999999998</v>
      </c>
      <c r="Y16" s="23">
        <f t="shared" si="2"/>
        <v>0.36007999999999996</v>
      </c>
      <c r="Z16" s="23">
        <f>(scatterplots_LWG_grazdays_CS!$V$5*$A16+scatterplots_LWG_grazdays_CS!$W$5)/1000+Z15</f>
        <v>3.7505999999999999</v>
      </c>
      <c r="AA16" s="23">
        <f t="shared" si="18"/>
        <v>3.7505999999999999</v>
      </c>
      <c r="AB16" s="23">
        <f t="shared" si="13"/>
        <v>3.7505999999999999</v>
      </c>
      <c r="AC16" s="23">
        <f t="shared" si="13"/>
        <v>3.7505999999999999</v>
      </c>
      <c r="AD16" s="23">
        <f>(scatterplots_LWG_grazdays_CS!$V$6*$A16+scatterplots_LWG_grazdays_CS!$W$6)/1000</f>
        <v>0.22804000000000002</v>
      </c>
      <c r="AE16" s="23">
        <f t="shared" si="14"/>
        <v>0.26804</v>
      </c>
      <c r="AF16" s="23">
        <f t="shared" si="4"/>
        <v>0.30804000000000004</v>
      </c>
      <c r="AG16" s="23">
        <f t="shared" si="4"/>
        <v>0.34804000000000002</v>
      </c>
      <c r="AH16" s="23">
        <f>(scatterplots_LWG_grazdays_CS!$V$6*$A16+scatterplots_LWG_grazdays_CS!$W$6)/1000+AH15</f>
        <v>3.6603000000000003</v>
      </c>
      <c r="AI16" s="23">
        <f t="shared" si="15"/>
        <v>3.6603000000000003</v>
      </c>
      <c r="AJ16" s="23">
        <f t="shared" si="5"/>
        <v>3.6603000000000003</v>
      </c>
      <c r="AK16" s="23">
        <f t="shared" si="5"/>
        <v>3.6603000000000003</v>
      </c>
    </row>
    <row r="17" spans="1:78">
      <c r="A17" s="12">
        <v>15</v>
      </c>
      <c r="B17" s="12">
        <v>15</v>
      </c>
      <c r="C17" s="23">
        <f>(scatterplots_LWG_grazdays_CS!$V$3*$A17+scatterplots_LWG_grazdays_CS!$W$3)/1000</f>
        <v>0.25739999999999996</v>
      </c>
      <c r="D17" s="23">
        <f t="shared" si="6"/>
        <v>0.29739999999999994</v>
      </c>
      <c r="E17" s="23">
        <f t="shared" si="0"/>
        <v>0.33739999999999998</v>
      </c>
      <c r="F17" s="23">
        <f t="shared" si="0"/>
        <v>0.37739999999999996</v>
      </c>
      <c r="G17" s="23">
        <f>(scatterplots_LWG_grazdays_CS!$V$3*$A17+scatterplots_LWG_grazdays_CS!$W$3)/1000+G16</f>
        <v>4.1592000000000002</v>
      </c>
      <c r="H17" s="23">
        <f t="shared" si="23"/>
        <v>4.1592000000000002</v>
      </c>
      <c r="I17" s="23">
        <f t="shared" si="24"/>
        <v>4.1592000000000002</v>
      </c>
      <c r="J17" s="23">
        <f>C17+J16</f>
        <v>4.1592000000000002</v>
      </c>
      <c r="K17" s="23">
        <f t="shared" si="29"/>
        <v>4.3991999999999996</v>
      </c>
      <c r="L17" s="23">
        <f t="shared" si="7"/>
        <v>4.1592000000000002</v>
      </c>
      <c r="M17" s="23">
        <f t="shared" si="8"/>
        <v>4.1592000000000002</v>
      </c>
      <c r="N17" s="23">
        <f>(scatterplots_LWG_grazdays_CS!$V$4*$A17+scatterplots_LWG_grazdays_CS!$W$4)/1000</f>
        <v>0.24390000000000001</v>
      </c>
      <c r="O17" s="23">
        <f t="shared" si="17"/>
        <v>0.28389999999999999</v>
      </c>
      <c r="P17" s="23">
        <f t="shared" si="9"/>
        <v>0.32390000000000002</v>
      </c>
      <c r="Q17" s="23">
        <f t="shared" si="9"/>
        <v>0.3639</v>
      </c>
      <c r="R17" s="23">
        <f>(scatterplots_LWG_grazdays_CS!$V$4*$A17+scatterplots_LWG_grazdays_CS!$W$4)/1000+R16</f>
        <v>4.0511999999999997</v>
      </c>
      <c r="S17" s="23">
        <f t="shared" si="25"/>
        <v>4.0511999999999997</v>
      </c>
      <c r="T17" s="23">
        <f t="shared" si="10"/>
        <v>4.0511999999999997</v>
      </c>
      <c r="U17" s="23">
        <f t="shared" si="10"/>
        <v>4.0511999999999997</v>
      </c>
      <c r="V17" s="23">
        <f>(scatterplots_LWG_grazdays_CS!$V$5*$A17+scatterplots_LWG_grazdays_CS!$W$5)/1000</f>
        <v>0.23580000000000001</v>
      </c>
      <c r="W17" s="23">
        <f t="shared" si="11"/>
        <v>0.27579999999999999</v>
      </c>
      <c r="X17" s="23">
        <f t="shared" si="12"/>
        <v>0.31580000000000003</v>
      </c>
      <c r="Y17" s="23">
        <f t="shared" si="2"/>
        <v>0.35580000000000001</v>
      </c>
      <c r="Z17" s="23">
        <f>(scatterplots_LWG_grazdays_CS!$V$5*$A17+scatterplots_LWG_grazdays_CS!$W$5)/1000+Z16</f>
        <v>3.9863999999999997</v>
      </c>
      <c r="AA17" s="23">
        <f t="shared" si="18"/>
        <v>3.9863999999999997</v>
      </c>
      <c r="AB17" s="23">
        <f t="shared" si="13"/>
        <v>3.9863999999999997</v>
      </c>
      <c r="AC17" s="23">
        <f t="shared" si="13"/>
        <v>3.9863999999999997</v>
      </c>
      <c r="AD17" s="23">
        <f>(scatterplots_LWG_grazdays_CS!$V$6*$A17+scatterplots_LWG_grazdays_CS!$W$6)/1000</f>
        <v>0.22290000000000001</v>
      </c>
      <c r="AE17" s="23">
        <f t="shared" si="14"/>
        <v>0.26290000000000002</v>
      </c>
      <c r="AF17" s="23">
        <f t="shared" si="4"/>
        <v>0.3029</v>
      </c>
      <c r="AG17" s="23">
        <f t="shared" si="4"/>
        <v>0.34289999999999998</v>
      </c>
      <c r="AH17" s="23">
        <f>(scatterplots_LWG_grazdays_CS!$V$6*$A17+scatterplots_LWG_grazdays_CS!$W$6)/1000+AH16</f>
        <v>3.8832000000000004</v>
      </c>
      <c r="AI17" s="23">
        <f t="shared" si="15"/>
        <v>3.8832000000000004</v>
      </c>
      <c r="AJ17" s="23">
        <f t="shared" si="5"/>
        <v>3.8832000000000004</v>
      </c>
      <c r="AK17" s="23">
        <f t="shared" si="5"/>
        <v>3.8832000000000004</v>
      </c>
    </row>
    <row r="18" spans="1:78">
      <c r="A18" s="12">
        <v>16</v>
      </c>
      <c r="B18" s="12">
        <v>16</v>
      </c>
      <c r="C18" s="23">
        <f>(scatterplots_LWG_grazdays_CS!$V$3*$A18+scatterplots_LWG_grazdays_CS!$W$3)/1000</f>
        <v>0.25456000000000001</v>
      </c>
      <c r="D18" s="23">
        <f t="shared" si="6"/>
        <v>0.29455999999999999</v>
      </c>
      <c r="E18" s="23">
        <f t="shared" si="0"/>
        <v>0.33456000000000002</v>
      </c>
      <c r="F18" s="23">
        <f t="shared" si="0"/>
        <v>0.37456</v>
      </c>
      <c r="G18" s="23">
        <f>(scatterplots_LWG_grazdays_CS!$V$3*$A18+scatterplots_LWG_grazdays_CS!$W$3)/1000+G17</f>
        <v>4.4137599999999999</v>
      </c>
      <c r="H18" s="23">
        <f t="shared" si="23"/>
        <v>4.4137599999999999</v>
      </c>
      <c r="I18" s="23">
        <f t="shared" si="24"/>
        <v>4.4137599999999999</v>
      </c>
      <c r="J18" s="23">
        <f>C18+J17</f>
        <v>4.4137599999999999</v>
      </c>
      <c r="K18" s="23">
        <f t="shared" si="29"/>
        <v>4.6937599999999993</v>
      </c>
      <c r="L18" s="23">
        <f t="shared" si="7"/>
        <v>4.4137599999999999</v>
      </c>
      <c r="M18" s="23">
        <f t="shared" si="8"/>
        <v>4.4137599999999999</v>
      </c>
      <c r="N18" s="23">
        <f>(scatterplots_LWG_grazdays_CS!$V$4*$A18+scatterplots_LWG_grazdays_CS!$W$4)/1000</f>
        <v>0.24015999999999998</v>
      </c>
      <c r="O18" s="23">
        <f t="shared" si="17"/>
        <v>0.28015999999999996</v>
      </c>
      <c r="P18" s="23">
        <f t="shared" si="9"/>
        <v>0.32016</v>
      </c>
      <c r="Q18" s="23">
        <f t="shared" si="9"/>
        <v>0.36015999999999998</v>
      </c>
      <c r="R18" s="23">
        <f>(scatterplots_LWG_grazdays_CS!$V$4*$A18+scatterplots_LWG_grazdays_CS!$W$4)/1000+R17</f>
        <v>4.2913600000000001</v>
      </c>
      <c r="S18" s="23">
        <f t="shared" si="25"/>
        <v>4.2913600000000001</v>
      </c>
      <c r="T18" s="23">
        <f t="shared" si="10"/>
        <v>4.2913600000000001</v>
      </c>
      <c r="U18" s="23">
        <f t="shared" si="10"/>
        <v>4.2913600000000001</v>
      </c>
      <c r="V18" s="23">
        <f>(scatterplots_LWG_grazdays_CS!$V$5*$A18+scatterplots_LWG_grazdays_CS!$W$5)/1000</f>
        <v>0.23151999999999998</v>
      </c>
      <c r="W18" s="23">
        <f t="shared" si="11"/>
        <v>0.27151999999999998</v>
      </c>
      <c r="X18" s="23">
        <f t="shared" si="12"/>
        <v>0.31151999999999996</v>
      </c>
      <c r="Y18" s="23">
        <f t="shared" si="2"/>
        <v>0.35151999999999994</v>
      </c>
      <c r="Z18" s="23">
        <f>(scatterplots_LWG_grazdays_CS!$V$5*$A18+scatterplots_LWG_grazdays_CS!$W$5)/1000+Z17</f>
        <v>4.2179199999999994</v>
      </c>
      <c r="AA18" s="23">
        <f t="shared" si="18"/>
        <v>4.2179199999999994</v>
      </c>
      <c r="AB18" s="23">
        <f t="shared" si="13"/>
        <v>4.2179199999999994</v>
      </c>
      <c r="AC18" s="23">
        <f t="shared" si="13"/>
        <v>4.2179199999999994</v>
      </c>
      <c r="AD18" s="23">
        <f>(scatterplots_LWG_grazdays_CS!$V$6*$A18+scatterplots_LWG_grazdays_CS!$W$6)/1000</f>
        <v>0.21775999999999998</v>
      </c>
      <c r="AE18" s="23">
        <f t="shared" si="14"/>
        <v>0.25775999999999999</v>
      </c>
      <c r="AF18" s="23">
        <f t="shared" si="4"/>
        <v>0.29775999999999997</v>
      </c>
      <c r="AG18" s="23">
        <f t="shared" si="4"/>
        <v>0.33775999999999995</v>
      </c>
      <c r="AH18" s="23">
        <f>(scatterplots_LWG_grazdays_CS!$V$6*$A18+scatterplots_LWG_grazdays_CS!$W$6)/1000+AH17</f>
        <v>4.1009600000000006</v>
      </c>
      <c r="AI18" s="23">
        <f t="shared" si="15"/>
        <v>4.1009600000000006</v>
      </c>
      <c r="AJ18" s="23">
        <f t="shared" si="5"/>
        <v>4.1009600000000006</v>
      </c>
      <c r="AK18" s="23">
        <f t="shared" si="5"/>
        <v>4.1009600000000006</v>
      </c>
    </row>
    <row r="19" spans="1:78">
      <c r="A19" s="12">
        <v>17</v>
      </c>
      <c r="B19" s="12">
        <v>17</v>
      </c>
      <c r="C19" s="23">
        <f>(scatterplots_LWG_grazdays_CS!$V$3*$A19+scatterplots_LWG_grazdays_CS!$W$3)/1000</f>
        <v>0.25172</v>
      </c>
      <c r="D19" s="23">
        <f t="shared" si="6"/>
        <v>0.29171999999999998</v>
      </c>
      <c r="E19" s="23">
        <f t="shared" si="6"/>
        <v>0.33172000000000001</v>
      </c>
      <c r="F19" s="23">
        <f t="shared" si="6"/>
        <v>0.37171999999999999</v>
      </c>
      <c r="G19" s="23">
        <f>(scatterplots_LWG_grazdays_CS!$V$3*$A19+scatterplots_LWG_grazdays_CS!$W$3)/1000+G18</f>
        <v>4.6654799999999996</v>
      </c>
      <c r="H19" s="23">
        <f t="shared" si="23"/>
        <v>4.6654799999999996</v>
      </c>
      <c r="I19" s="23">
        <f t="shared" si="24"/>
        <v>4.6654799999999996</v>
      </c>
      <c r="J19" s="23">
        <f>C19+J18</f>
        <v>4.6654799999999996</v>
      </c>
      <c r="K19" s="23">
        <f t="shared" si="29"/>
        <v>4.985479999999999</v>
      </c>
      <c r="L19" s="23">
        <f t="shared" si="7"/>
        <v>4.6654799999999996</v>
      </c>
      <c r="M19" s="23">
        <f t="shared" si="8"/>
        <v>4.6654799999999996</v>
      </c>
      <c r="N19" s="23">
        <f>(scatterplots_LWG_grazdays_CS!$V$4*$A19+scatterplots_LWG_grazdays_CS!$W$4)/1000</f>
        <v>0.23641999999999999</v>
      </c>
      <c r="O19" s="23">
        <f t="shared" si="17"/>
        <v>0.27642</v>
      </c>
      <c r="P19" s="23">
        <f t="shared" si="17"/>
        <v>0.31641999999999998</v>
      </c>
      <c r="Q19" s="23">
        <f t="shared" si="17"/>
        <v>0.35641999999999996</v>
      </c>
      <c r="R19" s="23">
        <f>(scatterplots_LWG_grazdays_CS!$V$4*$A19+scatterplots_LWG_grazdays_CS!$W$4)/1000+R18</f>
        <v>4.5277799999999999</v>
      </c>
      <c r="S19" s="23">
        <f t="shared" si="25"/>
        <v>4.5277799999999999</v>
      </c>
      <c r="T19" s="23">
        <f t="shared" si="10"/>
        <v>4.5277799999999999</v>
      </c>
      <c r="U19" s="23">
        <f t="shared" si="10"/>
        <v>4.5277799999999999</v>
      </c>
      <c r="V19" s="23">
        <f>(scatterplots_LWG_grazdays_CS!$V$5*$A19+scatterplots_LWG_grazdays_CS!$W$5)/1000</f>
        <v>0.22724</v>
      </c>
      <c r="W19" s="23">
        <f t="shared" si="11"/>
        <v>0.26723999999999998</v>
      </c>
      <c r="X19" s="23">
        <f t="shared" si="12"/>
        <v>0.30724000000000001</v>
      </c>
      <c r="Y19" s="23">
        <f t="shared" si="12"/>
        <v>0.34723999999999999</v>
      </c>
      <c r="Z19" s="23">
        <f>(scatterplots_LWG_grazdays_CS!$V$5*$A19+scatterplots_LWG_grazdays_CS!$W$5)/1000+Z18</f>
        <v>4.4451599999999996</v>
      </c>
      <c r="AA19" s="23">
        <f t="shared" si="18"/>
        <v>4.4451599999999996</v>
      </c>
      <c r="AB19" s="23">
        <f t="shared" si="13"/>
        <v>4.4451599999999996</v>
      </c>
      <c r="AC19" s="23">
        <f t="shared" si="13"/>
        <v>4.4451599999999996</v>
      </c>
      <c r="AD19" s="23">
        <f>(scatterplots_LWG_grazdays_CS!$V$6*$A19+scatterplots_LWG_grazdays_CS!$W$6)/1000</f>
        <v>0.21262</v>
      </c>
      <c r="AE19" s="23">
        <f t="shared" si="14"/>
        <v>0.25262000000000001</v>
      </c>
      <c r="AF19" s="23">
        <f t="shared" ref="AF19:AG82" si="32">$AD19+AF$1/1000</f>
        <v>0.29261999999999999</v>
      </c>
      <c r="AG19" s="23">
        <f t="shared" si="32"/>
        <v>0.33262000000000003</v>
      </c>
      <c r="AH19" s="23">
        <f>(scatterplots_LWG_grazdays_CS!$V$6*$A19+scatterplots_LWG_grazdays_CS!$W$6)/1000+AH18</f>
        <v>4.3135800000000009</v>
      </c>
      <c r="AI19" s="23">
        <f t="shared" si="15"/>
        <v>4.3135800000000009</v>
      </c>
      <c r="AJ19" s="23">
        <f t="shared" ref="AJ19:AK82" si="33">$AH19</f>
        <v>4.3135800000000009</v>
      </c>
      <c r="AK19" s="23">
        <f t="shared" si="33"/>
        <v>4.3135800000000009</v>
      </c>
    </row>
    <row r="20" spans="1:78">
      <c r="A20" s="12">
        <v>18</v>
      </c>
      <c r="B20" s="12">
        <v>18</v>
      </c>
      <c r="C20" s="23">
        <f>(scatterplots_LWG_grazdays_CS!$V$3*$A20+scatterplots_LWG_grazdays_CS!$W$3)/1000</f>
        <v>0.24887999999999999</v>
      </c>
      <c r="D20" s="23">
        <f t="shared" si="6"/>
        <v>0.28887999999999997</v>
      </c>
      <c r="E20" s="23">
        <f t="shared" si="6"/>
        <v>0.32888000000000001</v>
      </c>
      <c r="F20" s="23">
        <f t="shared" si="6"/>
        <v>0.36887999999999999</v>
      </c>
      <c r="G20" s="23">
        <f>(scatterplots_LWG_grazdays_CS!$V$3*$A20+scatterplots_LWG_grazdays_CS!$W$3)/1000+G19</f>
        <v>4.9143599999999994</v>
      </c>
      <c r="H20" s="23">
        <f t="shared" si="23"/>
        <v>4.9143599999999994</v>
      </c>
      <c r="I20" s="23">
        <f t="shared" si="24"/>
        <v>4.9143599999999994</v>
      </c>
      <c r="J20" s="23">
        <f>C20+J19</f>
        <v>4.9143599999999994</v>
      </c>
      <c r="K20" s="23">
        <f t="shared" si="29"/>
        <v>5.2743599999999988</v>
      </c>
      <c r="L20" s="23">
        <f t="shared" si="7"/>
        <v>4.9143599999999994</v>
      </c>
      <c r="M20" s="23">
        <f t="shared" si="8"/>
        <v>4.9143599999999994</v>
      </c>
      <c r="N20" s="23">
        <f>(scatterplots_LWG_grazdays_CS!$V$4*$A20+scatterplots_LWG_grazdays_CS!$W$4)/1000</f>
        <v>0.23268</v>
      </c>
      <c r="O20" s="23">
        <f t="shared" si="17"/>
        <v>0.27267999999999998</v>
      </c>
      <c r="P20" s="23">
        <f t="shared" si="17"/>
        <v>0.31268000000000001</v>
      </c>
      <c r="Q20" s="23">
        <f t="shared" si="17"/>
        <v>0.35267999999999999</v>
      </c>
      <c r="R20" s="23">
        <f>(scatterplots_LWG_grazdays_CS!$V$4*$A20+scatterplots_LWG_grazdays_CS!$W$4)/1000+R19</f>
        <v>4.7604600000000001</v>
      </c>
      <c r="S20" s="23">
        <f t="shared" si="25"/>
        <v>4.7604600000000001</v>
      </c>
      <c r="T20" s="23">
        <f t="shared" ref="T20:U35" si="34">$N20+T19</f>
        <v>4.7604600000000001</v>
      </c>
      <c r="U20" s="23">
        <f t="shared" si="34"/>
        <v>4.7604600000000001</v>
      </c>
      <c r="V20" s="23">
        <f>(scatterplots_LWG_grazdays_CS!$V$5*$A20+scatterplots_LWG_grazdays_CS!$W$5)/1000</f>
        <v>0.22295999999999999</v>
      </c>
      <c r="W20" s="23">
        <f t="shared" si="11"/>
        <v>0.26295999999999997</v>
      </c>
      <c r="X20" s="23">
        <f t="shared" si="12"/>
        <v>0.30296000000000001</v>
      </c>
      <c r="Y20" s="23">
        <f t="shared" si="12"/>
        <v>0.34295999999999999</v>
      </c>
      <c r="Z20" s="23">
        <f>(scatterplots_LWG_grazdays_CS!$V$5*$A20+scatterplots_LWG_grazdays_CS!$W$5)/1000+Z19</f>
        <v>4.6681199999999992</v>
      </c>
      <c r="AA20" s="23">
        <f t="shared" si="18"/>
        <v>4.6681199999999992</v>
      </c>
      <c r="AB20" s="23">
        <f t="shared" ref="AB20:AC35" si="35">AB19+$V20</f>
        <v>4.6681199999999992</v>
      </c>
      <c r="AC20" s="23">
        <f t="shared" si="35"/>
        <v>4.6681199999999992</v>
      </c>
      <c r="AD20" s="23">
        <f>(scatterplots_LWG_grazdays_CS!$V$6*$A20+scatterplots_LWG_grazdays_CS!$W$6)/1000</f>
        <v>0.20748000000000003</v>
      </c>
      <c r="AE20" s="23">
        <f t="shared" si="14"/>
        <v>0.24748000000000003</v>
      </c>
      <c r="AF20" s="23">
        <f t="shared" si="32"/>
        <v>0.28748000000000001</v>
      </c>
      <c r="AG20" s="23">
        <f t="shared" si="32"/>
        <v>0.32747999999999999</v>
      </c>
      <c r="AH20" s="23">
        <f>(scatterplots_LWG_grazdays_CS!$V$6*$A20+scatterplots_LWG_grazdays_CS!$W$6)/1000+AH19</f>
        <v>4.5210600000000012</v>
      </c>
      <c r="AI20" s="23">
        <f t="shared" si="15"/>
        <v>4.5210600000000012</v>
      </c>
      <c r="AJ20" s="23">
        <f t="shared" si="33"/>
        <v>4.5210600000000012</v>
      </c>
      <c r="AK20" s="23">
        <f t="shared" si="33"/>
        <v>4.5210600000000012</v>
      </c>
    </row>
    <row r="21" spans="1:78">
      <c r="A21" s="12">
        <v>19</v>
      </c>
      <c r="B21" s="12">
        <v>19</v>
      </c>
      <c r="C21" s="23">
        <f>(scatterplots_LWG_grazdays_CS!$V$3*$A21+scatterplots_LWG_grazdays_CS!$W$3)/1000</f>
        <v>0.24604000000000001</v>
      </c>
      <c r="D21" s="23">
        <f t="shared" si="6"/>
        <v>0.28604000000000002</v>
      </c>
      <c r="E21" s="23">
        <f t="shared" si="6"/>
        <v>0.32604</v>
      </c>
      <c r="F21" s="23">
        <f t="shared" si="6"/>
        <v>0.36604000000000003</v>
      </c>
      <c r="G21" s="23">
        <f>(scatterplots_LWG_grazdays_CS!$V$3*$A21+scatterplots_LWG_grazdays_CS!$W$3)/1000+G20</f>
        <v>5.1603999999999992</v>
      </c>
      <c r="H21" s="23">
        <f t="shared" si="23"/>
        <v>5.1603999999999992</v>
      </c>
      <c r="I21" s="23">
        <f t="shared" si="24"/>
        <v>5.1603999999999992</v>
      </c>
      <c r="J21" s="23">
        <f>C21+J20</f>
        <v>5.1603999999999992</v>
      </c>
      <c r="K21" s="23">
        <f t="shared" si="29"/>
        <v>5.5603999999999987</v>
      </c>
      <c r="L21" s="23">
        <f t="shared" si="7"/>
        <v>5.1603999999999992</v>
      </c>
      <c r="M21" s="23">
        <f t="shared" si="8"/>
        <v>5.1603999999999992</v>
      </c>
      <c r="N21" s="23">
        <f>(scatterplots_LWG_grazdays_CS!$V$4*$A21+scatterplots_LWG_grazdays_CS!$W$4)/1000</f>
        <v>0.22894</v>
      </c>
      <c r="O21" s="23">
        <f t="shared" si="17"/>
        <v>0.26894000000000001</v>
      </c>
      <c r="P21" s="23">
        <f t="shared" si="17"/>
        <v>0.30893999999999999</v>
      </c>
      <c r="Q21" s="23">
        <f t="shared" si="17"/>
        <v>0.34894000000000003</v>
      </c>
      <c r="R21" s="23">
        <f>(scatterplots_LWG_grazdays_CS!$V$4*$A21+scatterplots_LWG_grazdays_CS!$W$4)/1000+R20</f>
        <v>4.9893999999999998</v>
      </c>
      <c r="S21" s="23">
        <f t="shared" si="25"/>
        <v>4.9893999999999998</v>
      </c>
      <c r="T21" s="23">
        <f t="shared" si="34"/>
        <v>4.9893999999999998</v>
      </c>
      <c r="U21" s="23">
        <f t="shared" si="34"/>
        <v>4.9893999999999998</v>
      </c>
      <c r="V21" s="23">
        <f>(scatterplots_LWG_grazdays_CS!$V$5*$A21+scatterplots_LWG_grazdays_CS!$W$5)/1000</f>
        <v>0.21868000000000001</v>
      </c>
      <c r="W21" s="23">
        <f t="shared" si="11"/>
        <v>0.25868000000000002</v>
      </c>
      <c r="X21" s="23">
        <f t="shared" si="12"/>
        <v>0.29868</v>
      </c>
      <c r="Y21" s="23">
        <f t="shared" si="12"/>
        <v>0.33867999999999998</v>
      </c>
      <c r="Z21" s="23">
        <f>(scatterplots_LWG_grazdays_CS!$V$5*$A21+scatterplots_LWG_grazdays_CS!$W$5)/1000+Z20</f>
        <v>4.8867999999999991</v>
      </c>
      <c r="AA21" s="23">
        <f t="shared" si="18"/>
        <v>4.8867999999999991</v>
      </c>
      <c r="AB21" s="23">
        <f t="shared" si="35"/>
        <v>4.8867999999999991</v>
      </c>
      <c r="AC21" s="23">
        <f t="shared" si="35"/>
        <v>4.8867999999999991</v>
      </c>
      <c r="AD21" s="23">
        <f>(scatterplots_LWG_grazdays_CS!$V$6*$A21+scatterplots_LWG_grazdays_CS!$W$6)/1000</f>
        <v>0.20233999999999999</v>
      </c>
      <c r="AE21" s="23">
        <f t="shared" si="14"/>
        <v>0.24234</v>
      </c>
      <c r="AF21" s="23">
        <f t="shared" si="32"/>
        <v>0.28233999999999998</v>
      </c>
      <c r="AG21" s="23">
        <f t="shared" si="32"/>
        <v>0.32233999999999996</v>
      </c>
      <c r="AH21" s="23">
        <f>(scatterplots_LWG_grazdays_CS!$V$6*$A21+scatterplots_LWG_grazdays_CS!$W$6)/1000+AH20</f>
        <v>4.7234000000000016</v>
      </c>
      <c r="AI21" s="23">
        <f t="shared" si="15"/>
        <v>4.7234000000000016</v>
      </c>
      <c r="AJ21" s="23">
        <f t="shared" si="33"/>
        <v>4.7234000000000016</v>
      </c>
      <c r="AK21" s="23">
        <f t="shared" si="33"/>
        <v>4.7234000000000016</v>
      </c>
    </row>
    <row r="22" spans="1:78">
      <c r="A22" s="12">
        <v>20</v>
      </c>
      <c r="B22" s="12">
        <v>20</v>
      </c>
      <c r="C22" s="23">
        <f>(scatterplots_LWG_grazdays_CS!$V$3*$A22+scatterplots_LWG_grazdays_CS!$W$3)/1000</f>
        <v>0.2432</v>
      </c>
      <c r="D22" s="23">
        <f t="shared" si="6"/>
        <v>0.28320000000000001</v>
      </c>
      <c r="E22" s="23">
        <f t="shared" si="6"/>
        <v>0.32319999999999999</v>
      </c>
      <c r="F22" s="23">
        <f t="shared" si="6"/>
        <v>0.36319999999999997</v>
      </c>
      <c r="G22" s="23">
        <f>(scatterplots_LWG_grazdays_CS!$V$3*$A22+scatterplots_LWG_grazdays_CS!$W$3)/1000+G21</f>
        <v>5.4035999999999991</v>
      </c>
      <c r="H22" s="23">
        <f t="shared" si="23"/>
        <v>5.4035999999999991</v>
      </c>
      <c r="I22" s="23">
        <f t="shared" si="24"/>
        <v>5.4035999999999991</v>
      </c>
      <c r="J22" s="23">
        <f>D22+J21</f>
        <v>5.4435999999999991</v>
      </c>
      <c r="K22" s="23">
        <f t="shared" si="29"/>
        <v>5.8435999999999986</v>
      </c>
      <c r="L22" s="23">
        <f t="shared" si="7"/>
        <v>5.4035999999999991</v>
      </c>
      <c r="M22" s="23">
        <f t="shared" si="8"/>
        <v>5.4035999999999991</v>
      </c>
      <c r="N22" s="23">
        <f>(scatterplots_LWG_grazdays_CS!$V$4*$A22+scatterplots_LWG_grazdays_CS!$W$4)/1000</f>
        <v>0.22519999999999998</v>
      </c>
      <c r="O22" s="23">
        <f t="shared" si="17"/>
        <v>0.26519999999999999</v>
      </c>
      <c r="P22" s="23">
        <f t="shared" si="17"/>
        <v>0.30519999999999997</v>
      </c>
      <c r="Q22" s="23">
        <f t="shared" si="17"/>
        <v>0.34519999999999995</v>
      </c>
      <c r="R22" s="23">
        <f>(scatterplots_LWG_grazdays_CS!$V$4*$A22+scatterplots_LWG_grazdays_CS!$W$4)/1000+R21</f>
        <v>5.2145999999999999</v>
      </c>
      <c r="S22" s="23">
        <f t="shared" si="25"/>
        <v>5.2145999999999999</v>
      </c>
      <c r="T22" s="23">
        <f t="shared" si="34"/>
        <v>5.2145999999999999</v>
      </c>
      <c r="U22" s="23">
        <f t="shared" si="34"/>
        <v>5.2145999999999999</v>
      </c>
      <c r="V22" s="23">
        <f>(scatterplots_LWG_grazdays_CS!$V$5*$A22+scatterplots_LWG_grazdays_CS!$W$5)/1000</f>
        <v>0.21439999999999998</v>
      </c>
      <c r="W22" s="23">
        <f t="shared" si="11"/>
        <v>0.25439999999999996</v>
      </c>
      <c r="X22" s="23">
        <f t="shared" si="12"/>
        <v>0.2944</v>
      </c>
      <c r="Y22" s="23">
        <f t="shared" si="12"/>
        <v>0.33439999999999998</v>
      </c>
      <c r="Z22" s="23">
        <f>(scatterplots_LWG_grazdays_CS!$V$5*$A22+scatterplots_LWG_grazdays_CS!$W$5)/1000+Z21</f>
        <v>5.1011999999999995</v>
      </c>
      <c r="AA22" s="23">
        <f t="shared" si="18"/>
        <v>5.1011999999999995</v>
      </c>
      <c r="AB22" s="23">
        <f t="shared" si="35"/>
        <v>5.1011999999999995</v>
      </c>
      <c r="AC22" s="23">
        <f t="shared" si="35"/>
        <v>5.1011999999999995</v>
      </c>
      <c r="AD22" s="23">
        <f>(scatterplots_LWG_grazdays_CS!$V$6*$A22+scatterplots_LWG_grazdays_CS!$W$6)/1000</f>
        <v>0.19719999999999999</v>
      </c>
      <c r="AE22" s="23">
        <f t="shared" si="14"/>
        <v>0.23719999999999999</v>
      </c>
      <c r="AF22" s="23">
        <f t="shared" si="32"/>
        <v>0.2772</v>
      </c>
      <c r="AG22" s="23">
        <f t="shared" si="32"/>
        <v>0.31719999999999998</v>
      </c>
      <c r="AH22" s="23">
        <f>(scatterplots_LWG_grazdays_CS!$V$6*$A22+scatterplots_LWG_grazdays_CS!$W$6)/1000+AH21</f>
        <v>4.9206000000000012</v>
      </c>
      <c r="AI22" s="23">
        <f t="shared" si="15"/>
        <v>4.9206000000000012</v>
      </c>
      <c r="AJ22" s="23">
        <f t="shared" si="33"/>
        <v>4.9206000000000012</v>
      </c>
      <c r="AK22" s="23">
        <f t="shared" si="33"/>
        <v>4.9206000000000012</v>
      </c>
    </row>
    <row r="23" spans="1:78">
      <c r="A23" s="12">
        <v>21</v>
      </c>
      <c r="B23" s="12">
        <v>21</v>
      </c>
      <c r="C23" s="23">
        <f>(scatterplots_LWG_grazdays_CS!$V$3*$A23+scatterplots_LWG_grazdays_CS!$W$3)/1000</f>
        <v>0.24036000000000002</v>
      </c>
      <c r="D23" s="23">
        <f t="shared" si="6"/>
        <v>0.28036</v>
      </c>
      <c r="E23" s="23">
        <f t="shared" si="6"/>
        <v>0.32036000000000003</v>
      </c>
      <c r="F23" s="23">
        <f t="shared" si="6"/>
        <v>0.36036000000000001</v>
      </c>
      <c r="G23" s="23">
        <f>(scatterplots_LWG_grazdays_CS!$V$3*$A23+scatterplots_LWG_grazdays_CS!$W$3)/1000+G22</f>
        <v>5.643959999999999</v>
      </c>
      <c r="H23" s="23">
        <f t="shared" si="23"/>
        <v>5.643959999999999</v>
      </c>
      <c r="I23" s="23">
        <f t="shared" si="24"/>
        <v>5.643959999999999</v>
      </c>
      <c r="J23" s="23">
        <f>D23+J22</f>
        <v>5.723959999999999</v>
      </c>
      <c r="K23" s="23">
        <f t="shared" si="29"/>
        <v>6.1239599999999985</v>
      </c>
      <c r="L23" s="23">
        <f t="shared" si="7"/>
        <v>5.643959999999999</v>
      </c>
      <c r="M23" s="23">
        <f t="shared" si="8"/>
        <v>5.643959999999999</v>
      </c>
      <c r="N23" s="23">
        <f>(scatterplots_LWG_grazdays_CS!$V$4*$A23+scatterplots_LWG_grazdays_CS!$W$4)/1000</f>
        <v>0.22145999999999999</v>
      </c>
      <c r="O23" s="23">
        <f t="shared" si="17"/>
        <v>0.26145999999999997</v>
      </c>
      <c r="P23" s="23">
        <f t="shared" si="17"/>
        <v>0.30146000000000001</v>
      </c>
      <c r="Q23" s="23">
        <f t="shared" si="17"/>
        <v>0.34145999999999999</v>
      </c>
      <c r="R23" s="23">
        <f>(scatterplots_LWG_grazdays_CS!$V$4*$A23+scatterplots_LWG_grazdays_CS!$W$4)/1000+R22</f>
        <v>5.4360599999999994</v>
      </c>
      <c r="S23" s="23">
        <f t="shared" si="25"/>
        <v>5.4360599999999994</v>
      </c>
      <c r="T23" s="23">
        <f t="shared" si="34"/>
        <v>5.4360599999999994</v>
      </c>
      <c r="U23" s="23">
        <f t="shared" si="34"/>
        <v>5.4360599999999994</v>
      </c>
      <c r="V23" s="23">
        <f>(scatterplots_LWG_grazdays_CS!$V$5*$A23+scatterplots_LWG_grazdays_CS!$W$5)/1000</f>
        <v>0.21012</v>
      </c>
      <c r="W23" s="23">
        <f t="shared" si="11"/>
        <v>0.25012000000000001</v>
      </c>
      <c r="X23" s="23">
        <f t="shared" si="12"/>
        <v>0.29011999999999999</v>
      </c>
      <c r="Y23" s="23">
        <f t="shared" si="12"/>
        <v>0.33011999999999997</v>
      </c>
      <c r="Z23" s="23">
        <f>(scatterplots_LWG_grazdays_CS!$V$5*$A23+scatterplots_LWG_grazdays_CS!$W$5)/1000+Z22</f>
        <v>5.3113199999999994</v>
      </c>
      <c r="AA23" s="23">
        <f t="shared" si="18"/>
        <v>5.3113199999999994</v>
      </c>
      <c r="AB23" s="23">
        <f t="shared" si="35"/>
        <v>5.3113199999999994</v>
      </c>
      <c r="AC23" s="23">
        <f t="shared" si="35"/>
        <v>5.3113199999999994</v>
      </c>
      <c r="AD23" s="23">
        <f>(scatterplots_LWG_grazdays_CS!$V$6*$A23+scatterplots_LWG_grazdays_CS!$W$6)/1000</f>
        <v>0.19206000000000001</v>
      </c>
      <c r="AE23" s="23">
        <f t="shared" si="14"/>
        <v>0.23206000000000002</v>
      </c>
      <c r="AF23" s="23">
        <f t="shared" si="32"/>
        <v>0.27206000000000002</v>
      </c>
      <c r="AG23" s="23">
        <f t="shared" si="32"/>
        <v>0.31206</v>
      </c>
      <c r="AH23" s="23">
        <f>(scatterplots_LWG_grazdays_CS!$V$6*$A23+scatterplots_LWG_grazdays_CS!$W$6)/1000+AH22</f>
        <v>5.1126600000000009</v>
      </c>
      <c r="AI23" s="23">
        <f t="shared" si="15"/>
        <v>5.1126600000000009</v>
      </c>
      <c r="AJ23" s="23">
        <f t="shared" si="33"/>
        <v>5.1126600000000009</v>
      </c>
      <c r="AK23" s="23">
        <f t="shared" si="33"/>
        <v>5.1126600000000009</v>
      </c>
    </row>
    <row r="24" spans="1:78">
      <c r="A24" s="12">
        <v>22</v>
      </c>
      <c r="B24" s="12">
        <v>22</v>
      </c>
      <c r="C24" s="23">
        <f>(scatterplots_LWG_grazdays_CS!$V$3*$A24+scatterplots_LWG_grazdays_CS!$W$3)/1000</f>
        <v>0.23752000000000001</v>
      </c>
      <c r="D24" s="23">
        <f t="shared" si="6"/>
        <v>0.27751999999999999</v>
      </c>
      <c r="E24" s="23">
        <f t="shared" si="6"/>
        <v>0.31752000000000002</v>
      </c>
      <c r="F24" s="23">
        <f t="shared" si="6"/>
        <v>0.35752</v>
      </c>
      <c r="G24" s="23">
        <f>(scatterplots_LWG_grazdays_CS!$V$3*$A24+scatterplots_LWG_grazdays_CS!$W$3)/1000+G23</f>
        <v>5.8814799999999989</v>
      </c>
      <c r="H24" s="23">
        <f t="shared" si="23"/>
        <v>5.8814799999999989</v>
      </c>
      <c r="I24" s="23">
        <f t="shared" si="24"/>
        <v>5.8814799999999989</v>
      </c>
      <c r="J24" s="23">
        <f t="shared" si="24"/>
        <v>6.001479999999999</v>
      </c>
      <c r="K24" s="23">
        <f t="shared" ref="K24:K87" si="36">D24+K23</f>
        <v>6.4014799999999985</v>
      </c>
      <c r="L24" s="23">
        <f t="shared" si="7"/>
        <v>5.8814799999999989</v>
      </c>
      <c r="M24" s="23">
        <f t="shared" si="8"/>
        <v>5.8814799999999989</v>
      </c>
      <c r="N24" s="23">
        <f>(scatterplots_LWG_grazdays_CS!$V$4*$A24+scatterplots_LWG_grazdays_CS!$W$4)/1000</f>
        <v>0.21772</v>
      </c>
      <c r="O24" s="23">
        <f t="shared" si="17"/>
        <v>0.25772</v>
      </c>
      <c r="P24" s="23">
        <f t="shared" si="17"/>
        <v>0.29771999999999998</v>
      </c>
      <c r="Q24" s="23">
        <f t="shared" si="17"/>
        <v>0.33772000000000002</v>
      </c>
      <c r="R24" s="23">
        <f>(scatterplots_LWG_grazdays_CS!$V$4*$A24+scatterplots_LWG_grazdays_CS!$W$4)/1000+R23</f>
        <v>5.6537799999999994</v>
      </c>
      <c r="S24" s="23">
        <f t="shared" si="25"/>
        <v>5.6537799999999994</v>
      </c>
      <c r="T24" s="23">
        <f t="shared" si="34"/>
        <v>5.6537799999999994</v>
      </c>
      <c r="U24" s="23">
        <f t="shared" si="34"/>
        <v>5.6537799999999994</v>
      </c>
      <c r="V24" s="23">
        <f>(scatterplots_LWG_grazdays_CS!$V$5*$A24+scatterplots_LWG_grazdays_CS!$W$5)/1000</f>
        <v>0.20583999999999997</v>
      </c>
      <c r="W24" s="23">
        <f t="shared" si="11"/>
        <v>0.24583999999999998</v>
      </c>
      <c r="X24" s="23">
        <f t="shared" si="12"/>
        <v>0.28583999999999998</v>
      </c>
      <c r="Y24" s="23">
        <f t="shared" si="12"/>
        <v>0.32583999999999996</v>
      </c>
      <c r="Z24" s="23">
        <f>(scatterplots_LWG_grazdays_CS!$V$5*$A24+scatterplots_LWG_grazdays_CS!$W$5)/1000+Z23</f>
        <v>5.5171599999999996</v>
      </c>
      <c r="AA24" s="23">
        <f t="shared" si="18"/>
        <v>5.5171599999999996</v>
      </c>
      <c r="AB24" s="23">
        <f t="shared" si="35"/>
        <v>5.5171599999999996</v>
      </c>
      <c r="AC24" s="23">
        <f t="shared" si="35"/>
        <v>5.5171599999999996</v>
      </c>
      <c r="AD24" s="23">
        <f>(scatterplots_LWG_grazdays_CS!$V$6*$A24+scatterplots_LWG_grazdays_CS!$W$6)/1000</f>
        <v>0.18692</v>
      </c>
      <c r="AE24" s="23">
        <f t="shared" si="14"/>
        <v>0.22692000000000001</v>
      </c>
      <c r="AF24" s="23">
        <f t="shared" si="32"/>
        <v>0.26691999999999999</v>
      </c>
      <c r="AG24" s="23">
        <f t="shared" si="32"/>
        <v>0.30691999999999997</v>
      </c>
      <c r="AH24" s="23">
        <f>(scatterplots_LWG_grazdays_CS!$V$6*$A24+scatterplots_LWG_grazdays_CS!$W$6)/1000+AH23</f>
        <v>5.2995800000000006</v>
      </c>
      <c r="AI24" s="23">
        <f t="shared" si="15"/>
        <v>5.2995800000000006</v>
      </c>
      <c r="AJ24" s="23">
        <f t="shared" si="33"/>
        <v>5.2995800000000006</v>
      </c>
      <c r="AK24" s="23">
        <f t="shared" si="33"/>
        <v>5.2995800000000006</v>
      </c>
      <c r="BY24" t="s">
        <v>626</v>
      </c>
      <c r="BZ24" s="12" t="s">
        <v>627</v>
      </c>
    </row>
    <row r="25" spans="1:78">
      <c r="A25" s="12">
        <v>23</v>
      </c>
      <c r="B25" s="12">
        <v>23</v>
      </c>
      <c r="C25" s="23">
        <f>(scatterplots_LWG_grazdays_CS!$V$3*$A25+scatterplots_LWG_grazdays_CS!$W$3)/1000</f>
        <v>0.23468</v>
      </c>
      <c r="D25" s="23">
        <f t="shared" si="6"/>
        <v>0.27467999999999998</v>
      </c>
      <c r="E25" s="23">
        <f t="shared" si="6"/>
        <v>0.31468000000000002</v>
      </c>
      <c r="F25" s="23">
        <f t="shared" si="6"/>
        <v>0.35468</v>
      </c>
      <c r="G25" s="23">
        <f>(scatterplots_LWG_grazdays_CS!$V$3*$A25+scatterplots_LWG_grazdays_CS!$W$3)/1000+G24</f>
        <v>6.1161599999999989</v>
      </c>
      <c r="H25" s="23">
        <f t="shared" si="23"/>
        <v>6.1161599999999989</v>
      </c>
      <c r="I25" s="23">
        <f t="shared" ref="I25:J40" si="37">C25+I24</f>
        <v>6.1161599999999989</v>
      </c>
      <c r="J25" s="23">
        <f t="shared" si="37"/>
        <v>6.2761599999999991</v>
      </c>
      <c r="K25" s="23">
        <f t="shared" si="36"/>
        <v>6.6761599999999985</v>
      </c>
      <c r="L25" s="23">
        <f t="shared" si="7"/>
        <v>6.1161599999999989</v>
      </c>
      <c r="M25" s="23">
        <f t="shared" si="8"/>
        <v>6.1161599999999989</v>
      </c>
      <c r="N25" s="23">
        <f>(scatterplots_LWG_grazdays_CS!$V$4*$A25+scatterplots_LWG_grazdays_CS!$W$4)/1000</f>
        <v>0.21398</v>
      </c>
      <c r="O25" s="23">
        <f t="shared" si="17"/>
        <v>0.25397999999999998</v>
      </c>
      <c r="P25" s="23">
        <f t="shared" si="17"/>
        <v>0.29398000000000002</v>
      </c>
      <c r="Q25" s="23">
        <f t="shared" si="17"/>
        <v>0.33398</v>
      </c>
      <c r="R25" s="23">
        <f>(scatterplots_LWG_grazdays_CS!$V$4*$A25+scatterplots_LWG_grazdays_CS!$W$4)/1000+R24</f>
        <v>5.8677599999999996</v>
      </c>
      <c r="S25" s="23">
        <f t="shared" si="25"/>
        <v>5.8677599999999996</v>
      </c>
      <c r="T25" s="23">
        <f t="shared" si="34"/>
        <v>5.8677599999999996</v>
      </c>
      <c r="U25" s="23">
        <f t="shared" si="34"/>
        <v>5.8677599999999996</v>
      </c>
      <c r="V25" s="23">
        <f>(scatterplots_LWG_grazdays_CS!$V$5*$A25+scatterplots_LWG_grazdays_CS!$W$5)/1000</f>
        <v>0.20155999999999999</v>
      </c>
      <c r="W25" s="23">
        <f t="shared" si="11"/>
        <v>0.24156</v>
      </c>
      <c r="X25" s="23">
        <f t="shared" si="12"/>
        <v>0.28155999999999998</v>
      </c>
      <c r="Y25" s="23">
        <f t="shared" si="12"/>
        <v>0.32155999999999996</v>
      </c>
      <c r="Z25" s="23">
        <f>(scatterplots_LWG_grazdays_CS!$V$5*$A25+scatterplots_LWG_grazdays_CS!$W$5)/1000+Z24</f>
        <v>5.7187199999999994</v>
      </c>
      <c r="AA25" s="23">
        <f t="shared" si="18"/>
        <v>5.7187199999999994</v>
      </c>
      <c r="AB25" s="23">
        <f t="shared" si="35"/>
        <v>5.7187199999999994</v>
      </c>
      <c r="AC25" s="23">
        <f t="shared" si="35"/>
        <v>5.7187199999999994</v>
      </c>
      <c r="AD25" s="23">
        <f>(scatterplots_LWG_grazdays_CS!$V$6*$A25+scatterplots_LWG_grazdays_CS!$W$6)/1000</f>
        <v>0.18178</v>
      </c>
      <c r="AE25" s="23">
        <f t="shared" si="14"/>
        <v>0.22178</v>
      </c>
      <c r="AF25" s="23">
        <f t="shared" si="32"/>
        <v>0.26178000000000001</v>
      </c>
      <c r="AG25" s="23">
        <f t="shared" si="32"/>
        <v>0.30177999999999999</v>
      </c>
      <c r="AH25" s="23">
        <f>(scatterplots_LWG_grazdays_CS!$V$6*$A25+scatterplots_LWG_grazdays_CS!$W$6)/1000+AH24</f>
        <v>5.4813600000000005</v>
      </c>
      <c r="AI25" s="23">
        <f t="shared" si="15"/>
        <v>5.4813600000000005</v>
      </c>
      <c r="AJ25" s="23">
        <f t="shared" si="33"/>
        <v>5.4813600000000005</v>
      </c>
      <c r="AK25" s="23">
        <f t="shared" si="33"/>
        <v>5.4813600000000005</v>
      </c>
      <c r="BY25">
        <v>0</v>
      </c>
      <c r="BZ25" s="23">
        <f>(scatterplots_LWG_grazdays_CS!$V$3*$A178+scatterplots_LWG_grazdays_CS!$W$3)/1000</f>
        <v>-0.19983999999999996</v>
      </c>
    </row>
    <row r="26" spans="1:78">
      <c r="A26" s="12">
        <v>24</v>
      </c>
      <c r="B26" s="12">
        <v>24</v>
      </c>
      <c r="C26" s="23">
        <f>(scatterplots_LWG_grazdays_CS!$V$3*$A26+scatterplots_LWG_grazdays_CS!$W$3)/1000</f>
        <v>0.23183999999999999</v>
      </c>
      <c r="D26" s="23">
        <f t="shared" si="6"/>
        <v>0.27183999999999997</v>
      </c>
      <c r="E26" s="23">
        <f t="shared" si="6"/>
        <v>0.31184000000000001</v>
      </c>
      <c r="F26" s="23">
        <f t="shared" si="6"/>
        <v>0.35183999999999999</v>
      </c>
      <c r="G26" s="23">
        <f>(scatterplots_LWG_grazdays_CS!$V$3*$A26+scatterplots_LWG_grazdays_CS!$W$3)/1000+G25</f>
        <v>6.347999999999999</v>
      </c>
      <c r="H26" s="23">
        <f t="shared" si="23"/>
        <v>6.347999999999999</v>
      </c>
      <c r="I26" s="23">
        <f t="shared" si="37"/>
        <v>6.347999999999999</v>
      </c>
      <c r="J26" s="23">
        <f t="shared" si="37"/>
        <v>6.5479999999999992</v>
      </c>
      <c r="K26" s="23">
        <f t="shared" si="36"/>
        <v>6.9479999999999986</v>
      </c>
      <c r="L26" s="23">
        <f t="shared" si="7"/>
        <v>6.347999999999999</v>
      </c>
      <c r="M26" s="23">
        <f t="shared" si="8"/>
        <v>6.347999999999999</v>
      </c>
      <c r="N26" s="23">
        <f>(scatterplots_LWG_grazdays_CS!$V$4*$A26+scatterplots_LWG_grazdays_CS!$W$4)/1000</f>
        <v>0.21024000000000001</v>
      </c>
      <c r="O26" s="23">
        <f t="shared" si="17"/>
        <v>0.25024000000000002</v>
      </c>
      <c r="P26" s="23">
        <f t="shared" si="17"/>
        <v>0.29024</v>
      </c>
      <c r="Q26" s="23">
        <f t="shared" si="17"/>
        <v>0.33023999999999998</v>
      </c>
      <c r="R26" s="23">
        <f>(scatterplots_LWG_grazdays_CS!$V$4*$A26+scatterplots_LWG_grazdays_CS!$W$4)/1000+R25</f>
        <v>6.0779999999999994</v>
      </c>
      <c r="S26" s="23">
        <f t="shared" si="25"/>
        <v>6.0779999999999994</v>
      </c>
      <c r="T26" s="23">
        <f t="shared" si="34"/>
        <v>6.0779999999999994</v>
      </c>
      <c r="U26" s="23">
        <f t="shared" si="34"/>
        <v>6.0779999999999994</v>
      </c>
      <c r="V26" s="23">
        <f>(scatterplots_LWG_grazdays_CS!$V$5*$A26+scatterplots_LWG_grazdays_CS!$W$5)/1000</f>
        <v>0.19728000000000001</v>
      </c>
      <c r="W26" s="23">
        <f t="shared" si="11"/>
        <v>0.23728000000000002</v>
      </c>
      <c r="X26" s="23">
        <f t="shared" si="12"/>
        <v>0.27728000000000003</v>
      </c>
      <c r="Y26" s="23">
        <f t="shared" si="12"/>
        <v>0.31728000000000001</v>
      </c>
      <c r="Z26" s="23">
        <f>(scatterplots_LWG_grazdays_CS!$V$5*$A26+scatterplots_LWG_grazdays_CS!$W$5)/1000+Z25</f>
        <v>5.9159999999999995</v>
      </c>
      <c r="AA26" s="23">
        <f t="shared" si="18"/>
        <v>5.9159999999999995</v>
      </c>
      <c r="AB26" s="23">
        <f t="shared" si="35"/>
        <v>5.9159999999999995</v>
      </c>
      <c r="AC26" s="23">
        <f t="shared" si="35"/>
        <v>5.9159999999999995</v>
      </c>
      <c r="AD26" s="23">
        <f>(scatterplots_LWG_grazdays_CS!$V$6*$A26+scatterplots_LWG_grazdays_CS!$W$6)/1000</f>
        <v>0.17664000000000002</v>
      </c>
      <c r="AE26" s="23">
        <f t="shared" si="14"/>
        <v>0.21664000000000003</v>
      </c>
      <c r="AF26" s="23">
        <f t="shared" si="32"/>
        <v>0.25664000000000003</v>
      </c>
      <c r="AG26" s="23">
        <f t="shared" si="32"/>
        <v>0.29664000000000001</v>
      </c>
      <c r="AH26" s="23">
        <f>(scatterplots_LWG_grazdays_CS!$V$6*$A26+scatterplots_LWG_grazdays_CS!$W$6)/1000+AH25</f>
        <v>5.6580000000000004</v>
      </c>
      <c r="AI26" s="23">
        <f t="shared" si="15"/>
        <v>5.6580000000000004</v>
      </c>
      <c r="AJ26" s="23">
        <f t="shared" si="33"/>
        <v>5.6580000000000004</v>
      </c>
      <c r="AK26" s="23">
        <f t="shared" si="33"/>
        <v>5.6580000000000004</v>
      </c>
      <c r="BB26" s="12"/>
      <c r="BC26" s="12"/>
      <c r="BD26" s="12"/>
      <c r="BY26">
        <v>100</v>
      </c>
      <c r="BZ26" s="23">
        <f>BZ$25+D$1/1000</f>
        <v>-0.15983999999999995</v>
      </c>
    </row>
    <row r="27" spans="1:78">
      <c r="A27" s="12">
        <v>25</v>
      </c>
      <c r="B27" s="12">
        <v>25</v>
      </c>
      <c r="C27" s="23">
        <f>(scatterplots_LWG_grazdays_CS!$V$3*$A27+scatterplots_LWG_grazdays_CS!$W$3)/1000</f>
        <v>0.22900000000000001</v>
      </c>
      <c r="D27" s="23">
        <f t="shared" si="6"/>
        <v>0.26900000000000002</v>
      </c>
      <c r="E27" s="23">
        <f t="shared" si="6"/>
        <v>0.309</v>
      </c>
      <c r="F27" s="23">
        <f t="shared" si="6"/>
        <v>0.34899999999999998</v>
      </c>
      <c r="G27" s="23">
        <f>(scatterplots_LWG_grazdays_CS!$V$3*$A27+scatterplots_LWG_grazdays_CS!$W$3)/1000+G26</f>
        <v>6.5769999999999991</v>
      </c>
      <c r="H27" s="23">
        <f t="shared" si="23"/>
        <v>6.5769999999999991</v>
      </c>
      <c r="I27" s="23">
        <f t="shared" si="37"/>
        <v>6.5769999999999991</v>
      </c>
      <c r="J27" s="23">
        <f t="shared" si="37"/>
        <v>6.8169999999999993</v>
      </c>
      <c r="K27" s="23">
        <f t="shared" si="36"/>
        <v>7.2169999999999987</v>
      </c>
      <c r="L27" s="23">
        <f t="shared" si="7"/>
        <v>6.5769999999999991</v>
      </c>
      <c r="M27" s="23">
        <f t="shared" si="8"/>
        <v>6.5769999999999991</v>
      </c>
      <c r="N27" s="23">
        <f>(scatterplots_LWG_grazdays_CS!$V$4*$A27+scatterplots_LWG_grazdays_CS!$W$4)/1000</f>
        <v>0.20649999999999999</v>
      </c>
      <c r="O27" s="23">
        <f t="shared" si="17"/>
        <v>0.2465</v>
      </c>
      <c r="P27" s="23">
        <f t="shared" si="17"/>
        <v>0.28649999999999998</v>
      </c>
      <c r="Q27" s="23">
        <f t="shared" si="17"/>
        <v>0.32650000000000001</v>
      </c>
      <c r="R27" s="23">
        <f>(scatterplots_LWG_grazdays_CS!$V$4*$A27+scatterplots_LWG_grazdays_CS!$W$4)/1000+R26</f>
        <v>6.2844999999999995</v>
      </c>
      <c r="S27" s="23">
        <f t="shared" si="25"/>
        <v>6.2844999999999995</v>
      </c>
      <c r="T27" s="23">
        <f t="shared" si="34"/>
        <v>6.2844999999999995</v>
      </c>
      <c r="U27" s="23">
        <f t="shared" si="34"/>
        <v>6.2844999999999995</v>
      </c>
      <c r="V27" s="23">
        <f>(scatterplots_LWG_grazdays_CS!$V$5*$A27+scatterplots_LWG_grazdays_CS!$W$5)/1000</f>
        <v>0.193</v>
      </c>
      <c r="W27" s="23">
        <f t="shared" si="11"/>
        <v>0.23300000000000001</v>
      </c>
      <c r="X27" s="23">
        <f t="shared" si="12"/>
        <v>0.27300000000000002</v>
      </c>
      <c r="Y27" s="23">
        <f t="shared" si="12"/>
        <v>0.313</v>
      </c>
      <c r="Z27" s="23">
        <f>(scatterplots_LWG_grazdays_CS!$V$5*$A27+scatterplots_LWG_grazdays_CS!$W$5)/1000+Z26</f>
        <v>6.1089999999999991</v>
      </c>
      <c r="AA27" s="23">
        <f t="shared" si="18"/>
        <v>6.1089999999999991</v>
      </c>
      <c r="AB27" s="23">
        <f t="shared" si="35"/>
        <v>6.1089999999999991</v>
      </c>
      <c r="AC27" s="23">
        <f t="shared" si="35"/>
        <v>6.1089999999999991</v>
      </c>
      <c r="AD27" s="23">
        <f>(scatterplots_LWG_grazdays_CS!$V$6*$A27+scatterplots_LWG_grazdays_CS!$W$6)/1000</f>
        <v>0.17150000000000001</v>
      </c>
      <c r="AE27" s="23">
        <f t="shared" si="14"/>
        <v>0.21150000000000002</v>
      </c>
      <c r="AF27" s="23">
        <f t="shared" si="32"/>
        <v>0.2515</v>
      </c>
      <c r="AG27" s="23">
        <f t="shared" si="32"/>
        <v>0.29149999999999998</v>
      </c>
      <c r="AH27" s="23">
        <f>(scatterplots_LWG_grazdays_CS!$V$6*$A27+scatterplots_LWG_grazdays_CS!$W$6)/1000+AH26</f>
        <v>5.8295000000000003</v>
      </c>
      <c r="AI27" s="23">
        <f t="shared" si="15"/>
        <v>5.8295000000000003</v>
      </c>
      <c r="AJ27" s="23">
        <f t="shared" si="33"/>
        <v>5.8295000000000003</v>
      </c>
      <c r="AK27" s="23">
        <f t="shared" si="33"/>
        <v>5.8295000000000003</v>
      </c>
      <c r="BB27" s="12"/>
      <c r="BC27" s="12"/>
      <c r="BD27" s="12"/>
      <c r="BY27">
        <v>200</v>
      </c>
      <c r="BZ27" s="23">
        <f>BZ$25+E$1/1000</f>
        <v>-0.11983999999999996</v>
      </c>
    </row>
    <row r="28" spans="1:78">
      <c r="A28" s="12">
        <v>26</v>
      </c>
      <c r="B28" s="12">
        <v>26</v>
      </c>
      <c r="C28" s="23">
        <f>(scatterplots_LWG_grazdays_CS!$V$3*$A28+scatterplots_LWG_grazdays_CS!$W$3)/1000</f>
        <v>0.22616</v>
      </c>
      <c r="D28" s="23">
        <f t="shared" si="6"/>
        <v>0.26616000000000001</v>
      </c>
      <c r="E28" s="23">
        <f t="shared" si="6"/>
        <v>0.30615999999999999</v>
      </c>
      <c r="F28" s="23">
        <f t="shared" si="6"/>
        <v>0.34616000000000002</v>
      </c>
      <c r="G28" s="23">
        <f>(scatterplots_LWG_grazdays_CS!$V$3*$A28+scatterplots_LWG_grazdays_CS!$W$3)/1000+G27</f>
        <v>6.8031599999999992</v>
      </c>
      <c r="H28" s="23">
        <f t="shared" si="23"/>
        <v>6.8031599999999992</v>
      </c>
      <c r="I28" s="23">
        <f t="shared" si="37"/>
        <v>6.8031599999999992</v>
      </c>
      <c r="J28" s="23">
        <f t="shared" si="37"/>
        <v>7.0831599999999995</v>
      </c>
      <c r="K28" s="23">
        <f t="shared" si="36"/>
        <v>7.4831599999999989</v>
      </c>
      <c r="L28" s="23">
        <f t="shared" si="7"/>
        <v>6.8031599999999992</v>
      </c>
      <c r="M28" s="23">
        <f t="shared" si="8"/>
        <v>6.8031599999999992</v>
      </c>
      <c r="N28" s="23">
        <f>(scatterplots_LWG_grazdays_CS!$V$4*$A28+scatterplots_LWG_grazdays_CS!$W$4)/1000</f>
        <v>0.20276</v>
      </c>
      <c r="O28" s="23">
        <f t="shared" si="17"/>
        <v>0.24276</v>
      </c>
      <c r="P28" s="23">
        <f t="shared" si="17"/>
        <v>0.28276000000000001</v>
      </c>
      <c r="Q28" s="23">
        <f t="shared" si="17"/>
        <v>0.32275999999999999</v>
      </c>
      <c r="R28" s="23">
        <f>(scatterplots_LWG_grazdays_CS!$V$4*$A28+scatterplots_LWG_grazdays_CS!$W$4)/1000+R27</f>
        <v>6.4872599999999991</v>
      </c>
      <c r="S28" s="23">
        <f t="shared" si="25"/>
        <v>6.4872599999999991</v>
      </c>
      <c r="T28" s="23">
        <f t="shared" si="34"/>
        <v>6.4872599999999991</v>
      </c>
      <c r="U28" s="23">
        <f t="shared" si="34"/>
        <v>6.4872599999999991</v>
      </c>
      <c r="V28" s="23">
        <f>(scatterplots_LWG_grazdays_CS!$V$5*$A28+scatterplots_LWG_grazdays_CS!$W$5)/1000</f>
        <v>0.18872</v>
      </c>
      <c r="W28" s="23">
        <f t="shared" si="11"/>
        <v>0.22872000000000001</v>
      </c>
      <c r="X28" s="23">
        <f t="shared" si="12"/>
        <v>0.26872000000000001</v>
      </c>
      <c r="Y28" s="23">
        <f t="shared" si="12"/>
        <v>0.30871999999999999</v>
      </c>
      <c r="Z28" s="23">
        <f>(scatterplots_LWG_grazdays_CS!$V$5*$A28+scatterplots_LWG_grazdays_CS!$W$5)/1000+Z27</f>
        <v>6.2977199999999991</v>
      </c>
      <c r="AA28" s="23">
        <f t="shared" si="18"/>
        <v>6.2977199999999991</v>
      </c>
      <c r="AB28" s="23">
        <f t="shared" si="35"/>
        <v>6.2977199999999991</v>
      </c>
      <c r="AC28" s="23">
        <f t="shared" si="35"/>
        <v>6.2977199999999991</v>
      </c>
      <c r="AD28" s="23">
        <f>(scatterplots_LWG_grazdays_CS!$V$6*$A28+scatterplots_LWG_grazdays_CS!$W$6)/1000</f>
        <v>0.16636000000000001</v>
      </c>
      <c r="AE28" s="23">
        <f t="shared" si="14"/>
        <v>0.20636000000000002</v>
      </c>
      <c r="AF28" s="23">
        <f t="shared" si="32"/>
        <v>0.24636000000000002</v>
      </c>
      <c r="AG28" s="23">
        <f t="shared" si="32"/>
        <v>0.28636</v>
      </c>
      <c r="AH28" s="23">
        <f>(scatterplots_LWG_grazdays_CS!$V$6*$A28+scatterplots_LWG_grazdays_CS!$W$6)/1000+AH27</f>
        <v>5.9958600000000004</v>
      </c>
      <c r="AI28" s="23">
        <f t="shared" si="15"/>
        <v>5.9958600000000004</v>
      </c>
      <c r="AJ28" s="23">
        <f t="shared" si="33"/>
        <v>5.9958600000000004</v>
      </c>
      <c r="AK28" s="23">
        <f t="shared" si="33"/>
        <v>5.9958600000000004</v>
      </c>
      <c r="BB28" s="12"/>
      <c r="BC28" s="12"/>
      <c r="BD28" s="12"/>
      <c r="BY28">
        <v>300</v>
      </c>
      <c r="BZ28" s="23">
        <f>BZ$25+F$1/1000</f>
        <v>-7.9839999999999967E-2</v>
      </c>
    </row>
    <row r="29" spans="1:78">
      <c r="A29" s="12">
        <v>27</v>
      </c>
      <c r="B29" s="12">
        <v>27</v>
      </c>
      <c r="C29" s="23">
        <f>(scatterplots_LWG_grazdays_CS!$V$3*$A29+scatterplots_LWG_grazdays_CS!$W$3)/1000</f>
        <v>0.22331999999999999</v>
      </c>
      <c r="D29" s="23">
        <f t="shared" si="6"/>
        <v>0.26332</v>
      </c>
      <c r="E29" s="23">
        <f t="shared" si="6"/>
        <v>0.30331999999999998</v>
      </c>
      <c r="F29" s="23">
        <f t="shared" si="6"/>
        <v>0.34331999999999996</v>
      </c>
      <c r="G29" s="23">
        <f>(scatterplots_LWG_grazdays_CS!$V$3*$A29+scatterplots_LWG_grazdays_CS!$W$3)/1000+G28</f>
        <v>7.0264799999999994</v>
      </c>
      <c r="H29" s="23">
        <f t="shared" si="23"/>
        <v>7.0264799999999994</v>
      </c>
      <c r="I29" s="23">
        <f t="shared" si="37"/>
        <v>7.0264799999999994</v>
      </c>
      <c r="J29" s="23">
        <f t="shared" si="37"/>
        <v>7.3464799999999997</v>
      </c>
      <c r="K29" s="23">
        <f t="shared" si="36"/>
        <v>7.7464799999999991</v>
      </c>
      <c r="L29" s="23">
        <f t="shared" si="7"/>
        <v>7.0264799999999994</v>
      </c>
      <c r="M29" s="23">
        <f t="shared" si="8"/>
        <v>7.0264799999999994</v>
      </c>
      <c r="N29" s="23">
        <f>(scatterplots_LWG_grazdays_CS!$V$4*$A29+scatterplots_LWG_grazdays_CS!$W$4)/1000</f>
        <v>0.19901999999999997</v>
      </c>
      <c r="O29" s="23">
        <f t="shared" si="17"/>
        <v>0.23901999999999998</v>
      </c>
      <c r="P29" s="23">
        <f t="shared" si="17"/>
        <v>0.27901999999999999</v>
      </c>
      <c r="Q29" s="23">
        <f t="shared" si="17"/>
        <v>0.31901999999999997</v>
      </c>
      <c r="R29" s="23">
        <f>(scatterplots_LWG_grazdays_CS!$V$4*$A29+scatterplots_LWG_grazdays_CS!$W$4)/1000+R28</f>
        <v>6.6862799999999991</v>
      </c>
      <c r="S29" s="23">
        <f t="shared" si="25"/>
        <v>6.6862799999999991</v>
      </c>
      <c r="T29" s="23">
        <f t="shared" si="34"/>
        <v>6.6862799999999991</v>
      </c>
      <c r="U29" s="23">
        <f t="shared" si="34"/>
        <v>6.6862799999999991</v>
      </c>
      <c r="V29" s="23">
        <f>(scatterplots_LWG_grazdays_CS!$V$5*$A29+scatterplots_LWG_grazdays_CS!$W$5)/1000</f>
        <v>0.18443999999999999</v>
      </c>
      <c r="W29" s="23">
        <f t="shared" si="11"/>
        <v>0.22444</v>
      </c>
      <c r="X29" s="23">
        <f t="shared" si="12"/>
        <v>0.26444000000000001</v>
      </c>
      <c r="Y29" s="23">
        <f t="shared" si="12"/>
        <v>0.30443999999999999</v>
      </c>
      <c r="Z29" s="23">
        <f>(scatterplots_LWG_grazdays_CS!$V$5*$A29+scatterplots_LWG_grazdays_CS!$W$5)/1000+Z28</f>
        <v>6.4821599999999995</v>
      </c>
      <c r="AA29" s="23">
        <f t="shared" si="18"/>
        <v>6.4821599999999995</v>
      </c>
      <c r="AB29" s="23">
        <f t="shared" si="35"/>
        <v>6.4821599999999995</v>
      </c>
      <c r="AC29" s="23">
        <f t="shared" si="35"/>
        <v>6.4821599999999995</v>
      </c>
      <c r="AD29" s="23">
        <f>(scatterplots_LWG_grazdays_CS!$V$6*$A29+scatterplots_LWG_grazdays_CS!$W$6)/1000</f>
        <v>0.16122</v>
      </c>
      <c r="AE29" s="23">
        <f t="shared" si="14"/>
        <v>0.20122000000000001</v>
      </c>
      <c r="AF29" s="23">
        <f t="shared" si="32"/>
        <v>0.24121999999999999</v>
      </c>
      <c r="AG29" s="23">
        <f t="shared" si="32"/>
        <v>0.28122000000000003</v>
      </c>
      <c r="AH29" s="23">
        <f>(scatterplots_LWG_grazdays_CS!$V$6*$A29+scatterplots_LWG_grazdays_CS!$W$6)/1000+AH28</f>
        <v>6.1570800000000006</v>
      </c>
      <c r="AI29" s="23">
        <f t="shared" si="15"/>
        <v>6.1570800000000006</v>
      </c>
      <c r="AJ29" s="23">
        <f t="shared" si="33"/>
        <v>6.1570800000000006</v>
      </c>
      <c r="AK29" s="23">
        <f t="shared" si="33"/>
        <v>6.1570800000000006</v>
      </c>
      <c r="BB29" s="12"/>
      <c r="BC29" s="12"/>
      <c r="BD29" s="12"/>
    </row>
    <row r="30" spans="1:78">
      <c r="A30" s="12">
        <v>28</v>
      </c>
      <c r="B30" s="12">
        <v>28</v>
      </c>
      <c r="C30" s="23">
        <f>(scatterplots_LWG_grazdays_CS!$V$3*$A30+scatterplots_LWG_grazdays_CS!$W$3)/1000</f>
        <v>0.22048000000000001</v>
      </c>
      <c r="D30" s="23">
        <f t="shared" si="6"/>
        <v>0.26047999999999999</v>
      </c>
      <c r="E30" s="23">
        <f t="shared" si="6"/>
        <v>0.30048000000000002</v>
      </c>
      <c r="F30" s="23">
        <f t="shared" si="6"/>
        <v>0.34048</v>
      </c>
      <c r="G30" s="23">
        <f>(scatterplots_LWG_grazdays_CS!$V$3*$A30+scatterplots_LWG_grazdays_CS!$W$3)/1000+G29</f>
        <v>7.2469599999999996</v>
      </c>
      <c r="H30" s="23">
        <f t="shared" si="23"/>
        <v>7.2469599999999996</v>
      </c>
      <c r="I30" s="23">
        <f t="shared" si="37"/>
        <v>7.2469599999999996</v>
      </c>
      <c r="J30" s="23">
        <f t="shared" si="37"/>
        <v>7.6069599999999999</v>
      </c>
      <c r="K30" s="23">
        <f t="shared" si="36"/>
        <v>8.0069599999999994</v>
      </c>
      <c r="L30" s="23">
        <f t="shared" si="7"/>
        <v>7.2469599999999996</v>
      </c>
      <c r="M30" s="23">
        <f t="shared" si="8"/>
        <v>7.2469599999999996</v>
      </c>
      <c r="N30" s="23">
        <f>(scatterplots_LWG_grazdays_CS!$V$4*$A30+scatterplots_LWG_grazdays_CS!$W$4)/1000</f>
        <v>0.19528000000000001</v>
      </c>
      <c r="O30" s="23">
        <f t="shared" si="17"/>
        <v>0.23528000000000002</v>
      </c>
      <c r="P30" s="23">
        <f t="shared" si="17"/>
        <v>0.27528000000000002</v>
      </c>
      <c r="Q30" s="23">
        <f t="shared" si="17"/>
        <v>0.31528</v>
      </c>
      <c r="R30" s="23">
        <f>(scatterplots_LWG_grazdays_CS!$V$4*$A30+scatterplots_LWG_grazdays_CS!$W$4)/1000+R29</f>
        <v>6.8815599999999995</v>
      </c>
      <c r="S30" s="23">
        <f t="shared" si="25"/>
        <v>6.8815599999999995</v>
      </c>
      <c r="T30" s="23">
        <f t="shared" si="34"/>
        <v>6.8815599999999995</v>
      </c>
      <c r="U30" s="23">
        <f t="shared" si="34"/>
        <v>6.8815599999999995</v>
      </c>
      <c r="V30" s="23">
        <f>(scatterplots_LWG_grazdays_CS!$V$5*$A30+scatterplots_LWG_grazdays_CS!$W$5)/1000</f>
        <v>0.18015999999999999</v>
      </c>
      <c r="W30" s="23">
        <f t="shared" si="11"/>
        <v>0.22015999999999999</v>
      </c>
      <c r="X30" s="23">
        <f t="shared" si="12"/>
        <v>0.26016</v>
      </c>
      <c r="Y30" s="23">
        <f t="shared" si="12"/>
        <v>0.30015999999999998</v>
      </c>
      <c r="Z30" s="23">
        <f>(scatterplots_LWG_grazdays_CS!$V$5*$A30+scatterplots_LWG_grazdays_CS!$W$5)/1000+Z29</f>
        <v>6.6623199999999994</v>
      </c>
      <c r="AA30" s="23">
        <f t="shared" si="18"/>
        <v>6.6623199999999994</v>
      </c>
      <c r="AB30" s="23">
        <f t="shared" si="35"/>
        <v>6.6623199999999994</v>
      </c>
      <c r="AC30" s="23">
        <f t="shared" si="35"/>
        <v>6.6623199999999994</v>
      </c>
      <c r="AD30" s="23">
        <f>(scatterplots_LWG_grazdays_CS!$V$6*$A30+scatterplots_LWG_grazdays_CS!$W$6)/1000</f>
        <v>0.15608000000000002</v>
      </c>
      <c r="AE30" s="23">
        <f t="shared" si="14"/>
        <v>0.19608000000000003</v>
      </c>
      <c r="AF30" s="23">
        <f t="shared" si="32"/>
        <v>0.23608000000000001</v>
      </c>
      <c r="AG30" s="23">
        <f t="shared" si="32"/>
        <v>0.27607999999999999</v>
      </c>
      <c r="AH30" s="23">
        <f>(scatterplots_LWG_grazdays_CS!$V$6*$A30+scatterplots_LWG_grazdays_CS!$W$6)/1000+AH29</f>
        <v>6.3131600000000008</v>
      </c>
      <c r="AI30" s="23">
        <f t="shared" si="15"/>
        <v>6.3131600000000008</v>
      </c>
      <c r="AJ30" s="23">
        <f t="shared" si="33"/>
        <v>6.3131600000000008</v>
      </c>
      <c r="AK30" s="23">
        <f t="shared" si="33"/>
        <v>6.3131600000000008</v>
      </c>
      <c r="BB30" s="12"/>
      <c r="BC30" s="12"/>
      <c r="BD30" s="12"/>
    </row>
    <row r="31" spans="1:78">
      <c r="A31" s="12">
        <v>29</v>
      </c>
      <c r="B31" s="12">
        <v>29</v>
      </c>
      <c r="C31" s="23">
        <f>(scatterplots_LWG_grazdays_CS!$V$3*$A31+scatterplots_LWG_grazdays_CS!$W$3)/1000</f>
        <v>0.21764</v>
      </c>
      <c r="D31" s="23">
        <f t="shared" si="6"/>
        <v>0.25763999999999998</v>
      </c>
      <c r="E31" s="23">
        <f t="shared" si="6"/>
        <v>0.29764000000000002</v>
      </c>
      <c r="F31" s="23">
        <f t="shared" si="6"/>
        <v>0.33764</v>
      </c>
      <c r="G31" s="23">
        <f>(scatterplots_LWG_grazdays_CS!$V$3*$A31+scatterplots_LWG_grazdays_CS!$W$3)/1000+G30</f>
        <v>7.4645999999999999</v>
      </c>
      <c r="H31" s="23">
        <f t="shared" si="23"/>
        <v>7.4645999999999999</v>
      </c>
      <c r="I31" s="23">
        <f t="shared" si="37"/>
        <v>7.4645999999999999</v>
      </c>
      <c r="J31" s="23">
        <f t="shared" si="37"/>
        <v>7.8646000000000003</v>
      </c>
      <c r="K31" s="23">
        <f t="shared" si="36"/>
        <v>8.2645999999999997</v>
      </c>
      <c r="L31" s="23">
        <f t="shared" si="7"/>
        <v>7.4645999999999999</v>
      </c>
      <c r="M31" s="23">
        <f t="shared" si="8"/>
        <v>7.4645999999999999</v>
      </c>
      <c r="N31" s="23">
        <f>(scatterplots_LWG_grazdays_CS!$V$4*$A31+scatterplots_LWG_grazdays_CS!$W$4)/1000</f>
        <v>0.19153999999999999</v>
      </c>
      <c r="O31" s="23">
        <f t="shared" si="17"/>
        <v>0.23154</v>
      </c>
      <c r="P31" s="23">
        <f t="shared" si="17"/>
        <v>0.27154</v>
      </c>
      <c r="Q31" s="23">
        <f t="shared" si="17"/>
        <v>0.31153999999999998</v>
      </c>
      <c r="R31" s="23">
        <f>(scatterplots_LWG_grazdays_CS!$V$4*$A31+scatterplots_LWG_grazdays_CS!$W$4)/1000+R30</f>
        <v>7.0730999999999993</v>
      </c>
      <c r="S31" s="23">
        <f t="shared" si="25"/>
        <v>7.0730999999999993</v>
      </c>
      <c r="T31" s="23">
        <f t="shared" si="34"/>
        <v>7.0730999999999993</v>
      </c>
      <c r="U31" s="23">
        <f t="shared" si="34"/>
        <v>7.0730999999999993</v>
      </c>
      <c r="V31" s="23">
        <f>(scatterplots_LWG_grazdays_CS!$V$5*$A31+scatterplots_LWG_grazdays_CS!$W$5)/1000</f>
        <v>0.17588000000000001</v>
      </c>
      <c r="W31" s="23">
        <f t="shared" si="11"/>
        <v>0.21588000000000002</v>
      </c>
      <c r="X31" s="23">
        <f t="shared" si="12"/>
        <v>0.25588</v>
      </c>
      <c r="Y31" s="23">
        <f t="shared" si="12"/>
        <v>0.29588000000000003</v>
      </c>
      <c r="Z31" s="23">
        <f>(scatterplots_LWG_grazdays_CS!$V$5*$A31+scatterplots_LWG_grazdays_CS!$W$5)/1000+Z30</f>
        <v>6.8381999999999996</v>
      </c>
      <c r="AA31" s="23">
        <f t="shared" si="18"/>
        <v>6.8381999999999996</v>
      </c>
      <c r="AB31" s="23">
        <f t="shared" si="35"/>
        <v>6.8381999999999996</v>
      </c>
      <c r="AC31" s="23">
        <f t="shared" si="35"/>
        <v>6.8381999999999996</v>
      </c>
      <c r="AD31" s="23">
        <f>(scatterplots_LWG_grazdays_CS!$V$6*$A31+scatterplots_LWG_grazdays_CS!$W$6)/1000</f>
        <v>0.15093999999999999</v>
      </c>
      <c r="AE31" s="23">
        <f t="shared" si="14"/>
        <v>0.19094</v>
      </c>
      <c r="AF31" s="23">
        <f t="shared" si="32"/>
        <v>0.23093999999999998</v>
      </c>
      <c r="AG31" s="23">
        <f t="shared" si="32"/>
        <v>0.27093999999999996</v>
      </c>
      <c r="AH31" s="23">
        <f>(scatterplots_LWG_grazdays_CS!$V$6*$A31+scatterplots_LWG_grazdays_CS!$W$6)/1000+AH30</f>
        <v>6.4641000000000011</v>
      </c>
      <c r="AI31" s="23">
        <f t="shared" si="15"/>
        <v>6.4641000000000011</v>
      </c>
      <c r="AJ31" s="23">
        <f t="shared" si="33"/>
        <v>6.4641000000000011</v>
      </c>
      <c r="AK31" s="23">
        <f t="shared" si="33"/>
        <v>6.4641000000000011</v>
      </c>
    </row>
    <row r="32" spans="1:78">
      <c r="A32" s="12">
        <v>30</v>
      </c>
      <c r="B32" s="12">
        <v>30</v>
      </c>
      <c r="C32" s="23">
        <f>(scatterplots_LWG_grazdays_CS!$V$3*$A32+scatterplots_LWG_grazdays_CS!$W$3)/1000</f>
        <v>0.21480000000000002</v>
      </c>
      <c r="D32" s="23">
        <f t="shared" si="6"/>
        <v>0.25480000000000003</v>
      </c>
      <c r="E32" s="23">
        <f t="shared" si="6"/>
        <v>0.29480000000000001</v>
      </c>
      <c r="F32" s="23">
        <f t="shared" si="6"/>
        <v>0.33479999999999999</v>
      </c>
      <c r="G32" s="23">
        <f>(scatterplots_LWG_grazdays_CS!$V$3*$A32+scatterplots_LWG_grazdays_CS!$W$3)/1000+G31</f>
        <v>7.6794000000000002</v>
      </c>
      <c r="H32" s="23">
        <f t="shared" si="23"/>
        <v>7.6794000000000002</v>
      </c>
      <c r="I32" s="23">
        <f t="shared" si="37"/>
        <v>7.6794000000000002</v>
      </c>
      <c r="J32" s="23">
        <f t="shared" si="37"/>
        <v>8.1194000000000006</v>
      </c>
      <c r="K32" s="23">
        <f t="shared" si="36"/>
        <v>8.5193999999999992</v>
      </c>
      <c r="L32" s="23">
        <f t="shared" si="7"/>
        <v>7.6794000000000002</v>
      </c>
      <c r="M32" s="23">
        <f t="shared" si="8"/>
        <v>7.6794000000000002</v>
      </c>
      <c r="N32" s="23">
        <f>(scatterplots_LWG_grazdays_CS!$V$4*$A32+scatterplots_LWG_grazdays_CS!$W$4)/1000</f>
        <v>0.18780000000000002</v>
      </c>
      <c r="O32" s="23">
        <f t="shared" si="17"/>
        <v>0.22780000000000003</v>
      </c>
      <c r="P32" s="23">
        <f t="shared" si="17"/>
        <v>0.26780000000000004</v>
      </c>
      <c r="Q32" s="23">
        <f t="shared" si="17"/>
        <v>0.30780000000000002</v>
      </c>
      <c r="R32" s="23">
        <f>(scatterplots_LWG_grazdays_CS!$V$4*$A32+scatterplots_LWG_grazdays_CS!$W$4)/1000+R31</f>
        <v>7.2608999999999995</v>
      </c>
      <c r="S32" s="23">
        <f t="shared" si="25"/>
        <v>7.2608999999999995</v>
      </c>
      <c r="T32" s="23">
        <f t="shared" si="34"/>
        <v>7.2608999999999995</v>
      </c>
      <c r="U32" s="23">
        <f t="shared" si="34"/>
        <v>7.2608999999999995</v>
      </c>
      <c r="V32" s="23">
        <f>(scatterplots_LWG_grazdays_CS!$V$5*$A32+scatterplots_LWG_grazdays_CS!$W$5)/1000</f>
        <v>0.1716</v>
      </c>
      <c r="W32" s="23">
        <f t="shared" si="11"/>
        <v>0.21160000000000001</v>
      </c>
      <c r="X32" s="23">
        <f t="shared" si="12"/>
        <v>0.25159999999999999</v>
      </c>
      <c r="Y32" s="23">
        <f t="shared" si="12"/>
        <v>0.29159999999999997</v>
      </c>
      <c r="Z32" s="23">
        <f>(scatterplots_LWG_grazdays_CS!$V$5*$A32+scatterplots_LWG_grazdays_CS!$W$5)/1000+Z31</f>
        <v>7.0097999999999994</v>
      </c>
      <c r="AA32" s="23">
        <f t="shared" si="18"/>
        <v>7.0097999999999994</v>
      </c>
      <c r="AB32" s="23">
        <f t="shared" si="35"/>
        <v>7.0097999999999994</v>
      </c>
      <c r="AC32" s="23">
        <f t="shared" si="35"/>
        <v>7.0097999999999994</v>
      </c>
      <c r="AD32" s="23">
        <f>(scatterplots_LWG_grazdays_CS!$V$6*$A32+scatterplots_LWG_grazdays_CS!$W$6)/1000</f>
        <v>0.14580000000000001</v>
      </c>
      <c r="AE32" s="23">
        <f t="shared" si="14"/>
        <v>0.18580000000000002</v>
      </c>
      <c r="AF32" s="23">
        <f t="shared" si="32"/>
        <v>0.2258</v>
      </c>
      <c r="AG32" s="23">
        <f t="shared" si="32"/>
        <v>0.26580000000000004</v>
      </c>
      <c r="AH32" s="23">
        <f>(scatterplots_LWG_grazdays_CS!$V$6*$A32+scatterplots_LWG_grazdays_CS!$W$6)/1000+AH31</f>
        <v>6.6099000000000014</v>
      </c>
      <c r="AI32" s="23">
        <f t="shared" si="15"/>
        <v>6.6099000000000014</v>
      </c>
      <c r="AJ32" s="23">
        <f t="shared" si="33"/>
        <v>6.6099000000000014</v>
      </c>
      <c r="AK32" s="23">
        <f t="shared" si="33"/>
        <v>6.6099000000000014</v>
      </c>
    </row>
    <row r="33" spans="1:37">
      <c r="A33" s="12">
        <v>31</v>
      </c>
      <c r="B33" s="12">
        <v>31</v>
      </c>
      <c r="C33" s="23">
        <f>(scatterplots_LWG_grazdays_CS!$V$3*$A33+scatterplots_LWG_grazdays_CS!$W$3)/1000</f>
        <v>0.21196000000000001</v>
      </c>
      <c r="D33" s="23">
        <f t="shared" si="6"/>
        <v>0.25196000000000002</v>
      </c>
      <c r="E33" s="23">
        <f t="shared" si="6"/>
        <v>0.29196</v>
      </c>
      <c r="F33" s="23">
        <f t="shared" si="6"/>
        <v>0.33196000000000003</v>
      </c>
      <c r="G33" s="23">
        <f>(scatterplots_LWG_grazdays_CS!$V$3*$A33+scatterplots_LWG_grazdays_CS!$W$3)/1000+G32</f>
        <v>7.8913600000000006</v>
      </c>
      <c r="H33" s="23">
        <f t="shared" si="23"/>
        <v>7.8913600000000006</v>
      </c>
      <c r="I33" s="23">
        <f t="shared" si="37"/>
        <v>7.8913600000000006</v>
      </c>
      <c r="J33" s="23">
        <f t="shared" si="37"/>
        <v>8.371360000000001</v>
      </c>
      <c r="K33" s="23">
        <f t="shared" si="36"/>
        <v>8.7713599999999996</v>
      </c>
      <c r="L33" s="23">
        <f t="shared" si="7"/>
        <v>7.8913600000000006</v>
      </c>
      <c r="M33" s="23">
        <f t="shared" si="8"/>
        <v>7.8913600000000006</v>
      </c>
      <c r="N33" s="23">
        <f>(scatterplots_LWG_grazdays_CS!$V$4*$A33+scatterplots_LWG_grazdays_CS!$W$4)/1000</f>
        <v>0.18406</v>
      </c>
      <c r="O33" s="23">
        <f t="shared" si="17"/>
        <v>0.22406000000000001</v>
      </c>
      <c r="P33" s="23">
        <f t="shared" si="17"/>
        <v>0.26406000000000002</v>
      </c>
      <c r="Q33" s="23">
        <f t="shared" si="17"/>
        <v>0.30406</v>
      </c>
      <c r="R33" s="23">
        <f>(scatterplots_LWG_grazdays_CS!$V$4*$A33+scatterplots_LWG_grazdays_CS!$W$4)/1000+R32</f>
        <v>7.4449599999999991</v>
      </c>
      <c r="S33" s="23">
        <f t="shared" si="25"/>
        <v>7.4449599999999991</v>
      </c>
      <c r="T33" s="23">
        <f t="shared" si="34"/>
        <v>7.4449599999999991</v>
      </c>
      <c r="U33" s="23">
        <f t="shared" si="34"/>
        <v>7.4449599999999991</v>
      </c>
      <c r="V33" s="23">
        <f>(scatterplots_LWG_grazdays_CS!$V$5*$A33+scatterplots_LWG_grazdays_CS!$W$5)/1000</f>
        <v>0.16732</v>
      </c>
      <c r="W33" s="23">
        <f t="shared" si="11"/>
        <v>0.20732</v>
      </c>
      <c r="X33" s="23">
        <f t="shared" si="12"/>
        <v>0.24731999999999998</v>
      </c>
      <c r="Y33" s="23">
        <f t="shared" si="12"/>
        <v>0.28732000000000002</v>
      </c>
      <c r="Z33" s="23">
        <f>(scatterplots_LWG_grazdays_CS!$V$5*$A33+scatterplots_LWG_grazdays_CS!$W$5)/1000+Z32</f>
        <v>7.1771199999999995</v>
      </c>
      <c r="AA33" s="23">
        <f t="shared" si="18"/>
        <v>7.1771199999999995</v>
      </c>
      <c r="AB33" s="23">
        <f t="shared" si="35"/>
        <v>7.1771199999999995</v>
      </c>
      <c r="AC33" s="23">
        <f t="shared" si="35"/>
        <v>7.1771199999999995</v>
      </c>
      <c r="AD33" s="23">
        <f>(scatterplots_LWG_grazdays_CS!$V$6*$A33+scatterplots_LWG_grazdays_CS!$W$6)/1000</f>
        <v>0.14066000000000001</v>
      </c>
      <c r="AE33" s="23">
        <f t="shared" si="14"/>
        <v>0.18066000000000002</v>
      </c>
      <c r="AF33" s="23">
        <f t="shared" si="32"/>
        <v>0.22066000000000002</v>
      </c>
      <c r="AG33" s="23">
        <f t="shared" si="32"/>
        <v>0.26066</v>
      </c>
      <c r="AH33" s="23">
        <f>(scatterplots_LWG_grazdays_CS!$V$6*$A33+scatterplots_LWG_grazdays_CS!$W$6)/1000+AH32</f>
        <v>6.7505600000000019</v>
      </c>
      <c r="AI33" s="23">
        <f t="shared" si="15"/>
        <v>6.7505600000000019</v>
      </c>
      <c r="AJ33" s="23">
        <f t="shared" si="33"/>
        <v>6.7505600000000019</v>
      </c>
      <c r="AK33" s="23">
        <f t="shared" si="33"/>
        <v>6.7505600000000019</v>
      </c>
    </row>
    <row r="34" spans="1:37">
      <c r="A34" s="12">
        <v>32</v>
      </c>
      <c r="B34" s="12">
        <v>32</v>
      </c>
      <c r="C34" s="23">
        <f>(scatterplots_LWG_grazdays_CS!$V$3*$A34+scatterplots_LWG_grazdays_CS!$W$3)/1000</f>
        <v>0.20912</v>
      </c>
      <c r="D34" s="23">
        <f t="shared" si="6"/>
        <v>0.24912000000000001</v>
      </c>
      <c r="E34" s="23">
        <f t="shared" si="6"/>
        <v>0.28911999999999999</v>
      </c>
      <c r="F34" s="23">
        <f t="shared" si="6"/>
        <v>0.32911999999999997</v>
      </c>
      <c r="G34" s="23">
        <f>(scatterplots_LWG_grazdays_CS!$V$3*$A34+scatterplots_LWG_grazdays_CS!$W$3)/1000+G33</f>
        <v>8.100480000000001</v>
      </c>
      <c r="H34" s="23">
        <f t="shared" si="23"/>
        <v>8.100480000000001</v>
      </c>
      <c r="I34" s="23">
        <f t="shared" si="37"/>
        <v>8.100480000000001</v>
      </c>
      <c r="J34" s="23">
        <f t="shared" si="37"/>
        <v>8.6204800000000006</v>
      </c>
      <c r="K34" s="23">
        <f t="shared" si="36"/>
        <v>9.0204799999999992</v>
      </c>
      <c r="L34" s="23">
        <f t="shared" si="7"/>
        <v>8.100480000000001</v>
      </c>
      <c r="M34" s="23">
        <f t="shared" si="8"/>
        <v>8.100480000000001</v>
      </c>
      <c r="N34" s="23">
        <f>(scatterplots_LWG_grazdays_CS!$V$4*$A34+scatterplots_LWG_grazdays_CS!$W$4)/1000</f>
        <v>0.18031999999999998</v>
      </c>
      <c r="O34" s="23">
        <f t="shared" si="17"/>
        <v>0.22031999999999999</v>
      </c>
      <c r="P34" s="23">
        <f t="shared" si="17"/>
        <v>0.26032</v>
      </c>
      <c r="Q34" s="23">
        <f t="shared" si="17"/>
        <v>0.30031999999999998</v>
      </c>
      <c r="R34" s="23">
        <f>(scatterplots_LWG_grazdays_CS!$V$4*$A34+scatterplots_LWG_grazdays_CS!$W$4)/1000+R33</f>
        <v>7.6252799999999992</v>
      </c>
      <c r="S34" s="23">
        <f t="shared" si="25"/>
        <v>7.6252799999999992</v>
      </c>
      <c r="T34" s="23">
        <f t="shared" si="34"/>
        <v>7.6252799999999992</v>
      </c>
      <c r="U34" s="23">
        <f t="shared" si="34"/>
        <v>7.6252799999999992</v>
      </c>
      <c r="V34" s="23">
        <f>(scatterplots_LWG_grazdays_CS!$V$5*$A34+scatterplots_LWG_grazdays_CS!$W$5)/1000</f>
        <v>0.16303999999999999</v>
      </c>
      <c r="W34" s="23">
        <f t="shared" si="11"/>
        <v>0.20304</v>
      </c>
      <c r="X34" s="23">
        <f t="shared" si="12"/>
        <v>0.24303999999999998</v>
      </c>
      <c r="Y34" s="23">
        <f t="shared" si="12"/>
        <v>0.28303999999999996</v>
      </c>
      <c r="Z34" s="23">
        <f>(scatterplots_LWG_grazdays_CS!$V$5*$A34+scatterplots_LWG_grazdays_CS!$W$5)/1000+Z33</f>
        <v>7.3401599999999991</v>
      </c>
      <c r="AA34" s="23">
        <f t="shared" si="18"/>
        <v>7.3401599999999991</v>
      </c>
      <c r="AB34" s="23">
        <f t="shared" si="35"/>
        <v>7.3401599999999991</v>
      </c>
      <c r="AC34" s="23">
        <f t="shared" si="35"/>
        <v>7.3401599999999991</v>
      </c>
      <c r="AD34" s="23">
        <f>(scatterplots_LWG_grazdays_CS!$V$6*$A34+scatterplots_LWG_grazdays_CS!$W$6)/1000</f>
        <v>0.13552</v>
      </c>
      <c r="AE34" s="23">
        <f t="shared" si="14"/>
        <v>0.17552000000000001</v>
      </c>
      <c r="AF34" s="23">
        <f t="shared" si="32"/>
        <v>0.21551999999999999</v>
      </c>
      <c r="AG34" s="23">
        <f t="shared" si="32"/>
        <v>0.25551999999999997</v>
      </c>
      <c r="AH34" s="23">
        <f>(scatterplots_LWG_grazdays_CS!$V$6*$A34+scatterplots_LWG_grazdays_CS!$W$6)/1000+AH33</f>
        <v>6.8860800000000015</v>
      </c>
      <c r="AI34" s="23">
        <f t="shared" si="15"/>
        <v>6.8860800000000015</v>
      </c>
      <c r="AJ34" s="23">
        <f t="shared" si="33"/>
        <v>6.8860800000000015</v>
      </c>
      <c r="AK34" s="23">
        <f t="shared" si="33"/>
        <v>6.8860800000000015</v>
      </c>
    </row>
    <row r="35" spans="1:37">
      <c r="A35" s="12">
        <v>33</v>
      </c>
      <c r="B35" s="12">
        <v>33</v>
      </c>
      <c r="C35" s="23">
        <f>(scatterplots_LWG_grazdays_CS!$V$3*$A35+scatterplots_LWG_grazdays_CS!$W$3)/1000</f>
        <v>0.20627999999999999</v>
      </c>
      <c r="D35" s="23">
        <f t="shared" si="6"/>
        <v>0.24628</v>
      </c>
      <c r="E35" s="23">
        <f t="shared" si="6"/>
        <v>0.28627999999999998</v>
      </c>
      <c r="F35" s="23">
        <f t="shared" si="6"/>
        <v>0.32628000000000001</v>
      </c>
      <c r="G35" s="23">
        <f>(scatterplots_LWG_grazdays_CS!$V$3*$A35+scatterplots_LWG_grazdays_CS!$W$3)/1000+G34</f>
        <v>8.3067600000000006</v>
      </c>
      <c r="H35" s="23">
        <f t="shared" si="23"/>
        <v>8.3067600000000006</v>
      </c>
      <c r="I35" s="23">
        <f t="shared" si="37"/>
        <v>8.3067600000000006</v>
      </c>
      <c r="J35" s="23">
        <f t="shared" si="37"/>
        <v>8.8667600000000011</v>
      </c>
      <c r="K35" s="23">
        <f t="shared" si="36"/>
        <v>9.2667599999999997</v>
      </c>
      <c r="L35" s="23">
        <f t="shared" si="7"/>
        <v>8.3067600000000006</v>
      </c>
      <c r="M35" s="23">
        <f t="shared" si="8"/>
        <v>8.3067600000000006</v>
      </c>
      <c r="N35" s="23">
        <f>(scatterplots_LWG_grazdays_CS!$V$4*$A35+scatterplots_LWG_grazdays_CS!$W$4)/1000</f>
        <v>0.17657999999999999</v>
      </c>
      <c r="O35" s="23">
        <f t="shared" si="17"/>
        <v>0.21657999999999999</v>
      </c>
      <c r="P35" s="23">
        <f t="shared" si="17"/>
        <v>0.25657999999999997</v>
      </c>
      <c r="Q35" s="23">
        <f t="shared" si="17"/>
        <v>0.29657999999999995</v>
      </c>
      <c r="R35" s="23">
        <f>(scatterplots_LWG_grazdays_CS!$V$4*$A35+scatterplots_LWG_grazdays_CS!$W$4)/1000+R34</f>
        <v>7.8018599999999996</v>
      </c>
      <c r="S35" s="23">
        <f t="shared" si="25"/>
        <v>7.8018599999999996</v>
      </c>
      <c r="T35" s="23">
        <f t="shared" si="34"/>
        <v>7.8018599999999996</v>
      </c>
      <c r="U35" s="23">
        <f t="shared" si="34"/>
        <v>7.8018599999999996</v>
      </c>
      <c r="V35" s="23">
        <f>(scatterplots_LWG_grazdays_CS!$V$5*$A35+scatterplots_LWG_grazdays_CS!$W$5)/1000</f>
        <v>0.15875999999999998</v>
      </c>
      <c r="W35" s="23">
        <f t="shared" si="11"/>
        <v>0.19875999999999999</v>
      </c>
      <c r="X35" s="23">
        <f t="shared" si="12"/>
        <v>0.23875999999999997</v>
      </c>
      <c r="Y35" s="23">
        <f t="shared" si="12"/>
        <v>0.27876000000000001</v>
      </c>
      <c r="Z35" s="23">
        <f>(scatterplots_LWG_grazdays_CS!$V$5*$A35+scatterplots_LWG_grazdays_CS!$W$5)/1000+Z34</f>
        <v>7.4989199999999991</v>
      </c>
      <c r="AA35" s="23">
        <f t="shared" si="18"/>
        <v>7.4989199999999991</v>
      </c>
      <c r="AB35" s="23">
        <f t="shared" si="35"/>
        <v>7.4989199999999991</v>
      </c>
      <c r="AC35" s="23">
        <f t="shared" si="35"/>
        <v>7.4989199999999991</v>
      </c>
      <c r="AD35" s="23">
        <f>(scatterplots_LWG_grazdays_CS!$V$6*$A35+scatterplots_LWG_grazdays_CS!$W$6)/1000</f>
        <v>0.13038000000000002</v>
      </c>
      <c r="AE35" s="23">
        <f t="shared" si="14"/>
        <v>0.17038000000000003</v>
      </c>
      <c r="AF35" s="23">
        <f t="shared" si="32"/>
        <v>0.21038000000000001</v>
      </c>
      <c r="AG35" s="23">
        <f t="shared" si="32"/>
        <v>0.25038000000000005</v>
      </c>
      <c r="AH35" s="23">
        <f>(scatterplots_LWG_grazdays_CS!$V$6*$A35+scatterplots_LWG_grazdays_CS!$W$6)/1000+AH34</f>
        <v>7.0164600000000013</v>
      </c>
      <c r="AI35" s="23">
        <f t="shared" si="15"/>
        <v>7.0164600000000013</v>
      </c>
      <c r="AJ35" s="23">
        <f t="shared" si="33"/>
        <v>7.0164600000000013</v>
      </c>
      <c r="AK35" s="23">
        <f t="shared" si="33"/>
        <v>7.0164600000000013</v>
      </c>
    </row>
    <row r="36" spans="1:37">
      <c r="A36" s="12">
        <v>34</v>
      </c>
      <c r="B36" s="12">
        <v>34</v>
      </c>
      <c r="C36" s="23">
        <f>(scatterplots_LWG_grazdays_CS!$V$3*$A36+scatterplots_LWG_grazdays_CS!$W$3)/1000</f>
        <v>0.20344000000000001</v>
      </c>
      <c r="D36" s="23">
        <f t="shared" ref="D36:F67" si="38">$C36+D$1/1000</f>
        <v>0.24344000000000002</v>
      </c>
      <c r="E36" s="23">
        <f t="shared" si="38"/>
        <v>0.28344000000000003</v>
      </c>
      <c r="F36" s="23">
        <f t="shared" si="38"/>
        <v>0.32344000000000001</v>
      </c>
      <c r="G36" s="23">
        <f>(scatterplots_LWG_grazdays_CS!$V$3*$A36+scatterplots_LWG_grazdays_CS!$W$3)/1000+G35</f>
        <v>8.5102000000000011</v>
      </c>
      <c r="H36" s="23">
        <f t="shared" si="23"/>
        <v>8.5102000000000011</v>
      </c>
      <c r="I36" s="23">
        <f t="shared" si="37"/>
        <v>8.5102000000000011</v>
      </c>
      <c r="J36" s="23">
        <f t="shared" si="37"/>
        <v>9.1102000000000007</v>
      </c>
      <c r="K36" s="23">
        <f t="shared" si="36"/>
        <v>9.5101999999999993</v>
      </c>
      <c r="L36" s="23">
        <f t="shared" si="7"/>
        <v>8.5102000000000011</v>
      </c>
      <c r="M36" s="23">
        <f t="shared" si="8"/>
        <v>8.5102000000000011</v>
      </c>
      <c r="N36" s="23">
        <f>(scatterplots_LWG_grazdays_CS!$V$4*$A36+scatterplots_LWG_grazdays_CS!$W$4)/1000</f>
        <v>0.17283999999999997</v>
      </c>
      <c r="O36" s="23">
        <f t="shared" si="17"/>
        <v>0.21283999999999997</v>
      </c>
      <c r="P36" s="23">
        <f t="shared" si="17"/>
        <v>0.25283999999999995</v>
      </c>
      <c r="Q36" s="23">
        <f t="shared" si="17"/>
        <v>0.29283999999999999</v>
      </c>
      <c r="R36" s="23">
        <f>(scatterplots_LWG_grazdays_CS!$V$4*$A36+scatterplots_LWG_grazdays_CS!$W$4)/1000+R35</f>
        <v>7.9746999999999995</v>
      </c>
      <c r="S36" s="23">
        <f t="shared" si="25"/>
        <v>7.9746999999999995</v>
      </c>
      <c r="T36" s="23">
        <f t="shared" ref="T36:U51" si="39">$N36+T35</f>
        <v>7.9746999999999995</v>
      </c>
      <c r="U36" s="23">
        <f t="shared" si="39"/>
        <v>7.9746999999999995</v>
      </c>
      <c r="V36" s="23">
        <f>(scatterplots_LWG_grazdays_CS!$V$5*$A36+scatterplots_LWG_grazdays_CS!$W$5)/1000</f>
        <v>0.15447999999999998</v>
      </c>
      <c r="W36" s="23">
        <f t="shared" si="11"/>
        <v>0.19447999999999999</v>
      </c>
      <c r="X36" s="23">
        <f t="shared" ref="X36:Y67" si="40">$V36+X$1/1000</f>
        <v>0.23447999999999997</v>
      </c>
      <c r="Y36" s="23">
        <f t="shared" si="40"/>
        <v>0.27447999999999995</v>
      </c>
      <c r="Z36" s="23">
        <f>(scatterplots_LWG_grazdays_CS!$V$5*$A36+scatterplots_LWG_grazdays_CS!$W$5)/1000+Z35</f>
        <v>7.6533999999999995</v>
      </c>
      <c r="AA36" s="23">
        <f t="shared" si="18"/>
        <v>7.6533999999999995</v>
      </c>
      <c r="AB36" s="23">
        <f t="shared" ref="AB36:AC51" si="41">AB35+$V36</f>
        <v>7.6533999999999995</v>
      </c>
      <c r="AC36" s="23">
        <f t="shared" si="41"/>
        <v>7.6533999999999995</v>
      </c>
      <c r="AD36" s="23">
        <f>(scatterplots_LWG_grazdays_CS!$V$6*$A36+scatterplots_LWG_grazdays_CS!$W$6)/1000</f>
        <v>0.12524000000000002</v>
      </c>
      <c r="AE36" s="23">
        <f t="shared" si="14"/>
        <v>0.16524000000000003</v>
      </c>
      <c r="AF36" s="23">
        <f t="shared" si="32"/>
        <v>0.20524000000000003</v>
      </c>
      <c r="AG36" s="23">
        <f t="shared" si="32"/>
        <v>0.24524000000000001</v>
      </c>
      <c r="AH36" s="23">
        <f>(scatterplots_LWG_grazdays_CS!$V$6*$A36+scatterplots_LWG_grazdays_CS!$W$6)/1000+AH35</f>
        <v>7.141700000000001</v>
      </c>
      <c r="AI36" s="23">
        <f t="shared" si="15"/>
        <v>7.141700000000001</v>
      </c>
      <c r="AJ36" s="23">
        <f t="shared" si="33"/>
        <v>7.141700000000001</v>
      </c>
      <c r="AK36" s="23">
        <f t="shared" si="33"/>
        <v>7.141700000000001</v>
      </c>
    </row>
    <row r="37" spans="1:37">
      <c r="A37" s="12">
        <v>35</v>
      </c>
      <c r="B37" s="12">
        <v>35</v>
      </c>
      <c r="C37" s="23">
        <f>(scatterplots_LWG_grazdays_CS!$V$3*$A37+scatterplots_LWG_grazdays_CS!$W$3)/1000</f>
        <v>0.20060000000000003</v>
      </c>
      <c r="D37" s="23">
        <f t="shared" si="38"/>
        <v>0.24060000000000004</v>
      </c>
      <c r="E37" s="23">
        <f t="shared" si="38"/>
        <v>0.28060000000000002</v>
      </c>
      <c r="F37" s="23">
        <f t="shared" si="38"/>
        <v>0.3206</v>
      </c>
      <c r="G37" s="23">
        <f>(scatterplots_LWG_grazdays_CS!$V$3*$A37+scatterplots_LWG_grazdays_CS!$W$3)/1000+G36</f>
        <v>8.7108000000000008</v>
      </c>
      <c r="H37" s="23">
        <f t="shared" si="23"/>
        <v>8.7108000000000008</v>
      </c>
      <c r="I37" s="23">
        <f t="shared" si="37"/>
        <v>8.7108000000000008</v>
      </c>
      <c r="J37" s="23">
        <f t="shared" si="37"/>
        <v>9.3508000000000013</v>
      </c>
      <c r="K37" s="23">
        <f t="shared" si="36"/>
        <v>9.7507999999999999</v>
      </c>
      <c r="L37" s="23">
        <f t="shared" si="7"/>
        <v>8.7108000000000008</v>
      </c>
      <c r="M37" s="23">
        <f t="shared" si="8"/>
        <v>8.7108000000000008</v>
      </c>
      <c r="N37" s="23">
        <f>(scatterplots_LWG_grazdays_CS!$V$4*$A37+scatterplots_LWG_grazdays_CS!$W$4)/1000</f>
        <v>0.1691</v>
      </c>
      <c r="O37" s="23">
        <f t="shared" si="17"/>
        <v>0.20910000000000001</v>
      </c>
      <c r="P37" s="23">
        <f t="shared" si="17"/>
        <v>0.24909999999999999</v>
      </c>
      <c r="Q37" s="23">
        <f t="shared" si="17"/>
        <v>0.28910000000000002</v>
      </c>
      <c r="R37" s="23">
        <f>(scatterplots_LWG_grazdays_CS!$V$4*$A37+scatterplots_LWG_grazdays_CS!$W$4)/1000+R36</f>
        <v>8.1437999999999988</v>
      </c>
      <c r="S37" s="23">
        <f t="shared" si="25"/>
        <v>8.1437999999999988</v>
      </c>
      <c r="T37" s="23">
        <f t="shared" si="39"/>
        <v>8.1437999999999988</v>
      </c>
      <c r="U37" s="23">
        <f t="shared" si="39"/>
        <v>8.1437999999999988</v>
      </c>
      <c r="V37" s="23">
        <f>(scatterplots_LWG_grazdays_CS!$V$5*$A37+scatterplots_LWG_grazdays_CS!$W$5)/1000</f>
        <v>0.1502</v>
      </c>
      <c r="W37" s="23">
        <f t="shared" si="11"/>
        <v>0.19020000000000001</v>
      </c>
      <c r="X37" s="23">
        <f t="shared" si="40"/>
        <v>0.23020000000000002</v>
      </c>
      <c r="Y37" s="23">
        <f t="shared" si="40"/>
        <v>0.2702</v>
      </c>
      <c r="Z37" s="23">
        <f>(scatterplots_LWG_grazdays_CS!$V$5*$A37+scatterplots_LWG_grazdays_CS!$W$5)/1000+Z36</f>
        <v>7.8035999999999994</v>
      </c>
      <c r="AA37" s="23">
        <f t="shared" si="18"/>
        <v>7.8035999999999994</v>
      </c>
      <c r="AB37" s="23">
        <f t="shared" si="41"/>
        <v>7.8035999999999994</v>
      </c>
      <c r="AC37" s="23">
        <f t="shared" si="41"/>
        <v>7.8035999999999994</v>
      </c>
      <c r="AD37" s="23">
        <f>(scatterplots_LWG_grazdays_CS!$V$6*$A37+scatterplots_LWG_grazdays_CS!$W$6)/1000</f>
        <v>0.12010000000000003</v>
      </c>
      <c r="AE37" s="23">
        <f t="shared" si="14"/>
        <v>0.16010000000000002</v>
      </c>
      <c r="AF37" s="23">
        <f t="shared" si="32"/>
        <v>0.20010000000000003</v>
      </c>
      <c r="AG37" s="23">
        <f t="shared" si="32"/>
        <v>0.24010000000000004</v>
      </c>
      <c r="AH37" s="23">
        <f>(scatterplots_LWG_grazdays_CS!$V$6*$A37+scatterplots_LWG_grazdays_CS!$W$6)/1000+AH36</f>
        <v>7.2618000000000009</v>
      </c>
      <c r="AI37" s="23">
        <f t="shared" si="15"/>
        <v>7.2618000000000009</v>
      </c>
      <c r="AJ37" s="23">
        <f t="shared" si="33"/>
        <v>7.2618000000000009</v>
      </c>
      <c r="AK37" s="23">
        <f t="shared" si="33"/>
        <v>7.2618000000000009</v>
      </c>
    </row>
    <row r="38" spans="1:37">
      <c r="A38" s="12">
        <v>36</v>
      </c>
      <c r="B38" s="12">
        <v>36</v>
      </c>
      <c r="C38" s="23">
        <f>(scatterplots_LWG_grazdays_CS!$V$3*$A38+scatterplots_LWG_grazdays_CS!$W$3)/1000</f>
        <v>0.19775999999999999</v>
      </c>
      <c r="D38" s="23">
        <f t="shared" si="38"/>
        <v>0.23776</v>
      </c>
      <c r="E38" s="23">
        <f t="shared" si="38"/>
        <v>0.27776000000000001</v>
      </c>
      <c r="F38" s="23">
        <f t="shared" si="38"/>
        <v>0.31775999999999999</v>
      </c>
      <c r="G38" s="23">
        <f>(scatterplots_LWG_grazdays_CS!$V$3*$A38+scatterplots_LWG_grazdays_CS!$W$3)/1000+G37</f>
        <v>8.9085600000000014</v>
      </c>
      <c r="H38" s="23">
        <f t="shared" si="23"/>
        <v>8.9085600000000014</v>
      </c>
      <c r="I38" s="23">
        <f t="shared" si="37"/>
        <v>8.9085600000000014</v>
      </c>
      <c r="J38" s="23">
        <f t="shared" si="37"/>
        <v>9.5885600000000011</v>
      </c>
      <c r="K38" s="23">
        <f t="shared" si="36"/>
        <v>9.9885599999999997</v>
      </c>
      <c r="L38" s="23">
        <f t="shared" si="7"/>
        <v>8.9085600000000014</v>
      </c>
      <c r="M38" s="23">
        <f t="shared" si="8"/>
        <v>8.9085600000000014</v>
      </c>
      <c r="N38" s="23">
        <f>(scatterplots_LWG_grazdays_CS!$V$4*$A38+scatterplots_LWG_grazdays_CS!$W$4)/1000</f>
        <v>0.16535999999999998</v>
      </c>
      <c r="O38" s="23">
        <f t="shared" si="17"/>
        <v>0.20535999999999999</v>
      </c>
      <c r="P38" s="23">
        <f t="shared" si="17"/>
        <v>0.24535999999999997</v>
      </c>
      <c r="Q38" s="23">
        <f t="shared" si="17"/>
        <v>0.28535999999999995</v>
      </c>
      <c r="R38" s="23">
        <f>(scatterplots_LWG_grazdays_CS!$V$4*$A38+scatterplots_LWG_grazdays_CS!$W$4)/1000+R37</f>
        <v>8.3091599999999985</v>
      </c>
      <c r="S38" s="23">
        <f t="shared" si="25"/>
        <v>8.3091599999999985</v>
      </c>
      <c r="T38" s="23">
        <f t="shared" si="39"/>
        <v>8.3091599999999985</v>
      </c>
      <c r="U38" s="23">
        <f t="shared" si="39"/>
        <v>8.3091599999999985</v>
      </c>
      <c r="V38" s="23">
        <f>(scatterplots_LWG_grazdays_CS!$V$5*$A38+scatterplots_LWG_grazdays_CS!$W$5)/1000</f>
        <v>0.14591999999999999</v>
      </c>
      <c r="W38" s="23">
        <f t="shared" si="11"/>
        <v>0.18592</v>
      </c>
      <c r="X38" s="23">
        <f t="shared" si="40"/>
        <v>0.22592000000000001</v>
      </c>
      <c r="Y38" s="23">
        <f t="shared" si="40"/>
        <v>0.26591999999999999</v>
      </c>
      <c r="Z38" s="23">
        <f>(scatterplots_LWG_grazdays_CS!$V$5*$A38+scatterplots_LWG_grazdays_CS!$W$5)/1000+Z37</f>
        <v>7.9495199999999997</v>
      </c>
      <c r="AA38" s="23">
        <f t="shared" si="18"/>
        <v>7.9495199999999997</v>
      </c>
      <c r="AB38" s="23">
        <f t="shared" si="41"/>
        <v>7.9495199999999997</v>
      </c>
      <c r="AC38" s="23">
        <f t="shared" si="41"/>
        <v>7.9495199999999997</v>
      </c>
      <c r="AD38" s="23">
        <f>(scatterplots_LWG_grazdays_CS!$V$6*$A38+scatterplots_LWG_grazdays_CS!$W$6)/1000</f>
        <v>0.11496000000000001</v>
      </c>
      <c r="AE38" s="23">
        <f t="shared" si="14"/>
        <v>0.15496000000000001</v>
      </c>
      <c r="AF38" s="23">
        <f t="shared" si="32"/>
        <v>0.19496000000000002</v>
      </c>
      <c r="AG38" s="23">
        <f t="shared" si="32"/>
        <v>0.23496</v>
      </c>
      <c r="AH38" s="23">
        <f>(scatterplots_LWG_grazdays_CS!$V$6*$A38+scatterplots_LWG_grazdays_CS!$W$6)/1000+AH37</f>
        <v>7.3767600000000009</v>
      </c>
      <c r="AI38" s="23">
        <f t="shared" si="15"/>
        <v>7.3767600000000009</v>
      </c>
      <c r="AJ38" s="23">
        <f t="shared" si="33"/>
        <v>7.3767600000000009</v>
      </c>
      <c r="AK38" s="23">
        <f t="shared" si="33"/>
        <v>7.3767600000000009</v>
      </c>
    </row>
    <row r="39" spans="1:37">
      <c r="A39" s="12">
        <v>37</v>
      </c>
      <c r="B39" s="12">
        <v>37</v>
      </c>
      <c r="C39" s="23">
        <f>(scatterplots_LWG_grazdays_CS!$V$3*$A39+scatterplots_LWG_grazdays_CS!$W$3)/1000</f>
        <v>0.19492000000000001</v>
      </c>
      <c r="D39" s="23">
        <f t="shared" si="38"/>
        <v>0.23492000000000002</v>
      </c>
      <c r="E39" s="23">
        <f t="shared" si="38"/>
        <v>0.27492</v>
      </c>
      <c r="F39" s="23">
        <f t="shared" si="38"/>
        <v>0.31491999999999998</v>
      </c>
      <c r="G39" s="23">
        <f>(scatterplots_LWG_grazdays_CS!$V$3*$A39+scatterplots_LWG_grazdays_CS!$W$3)/1000+G38</f>
        <v>9.1034800000000011</v>
      </c>
      <c r="H39" s="23">
        <f t="shared" si="23"/>
        <v>9.1034800000000011</v>
      </c>
      <c r="I39" s="23">
        <f t="shared" si="37"/>
        <v>9.1034800000000011</v>
      </c>
      <c r="J39" s="23">
        <f t="shared" si="37"/>
        <v>9.8234800000000018</v>
      </c>
      <c r="K39" s="23">
        <f t="shared" si="36"/>
        <v>10.22348</v>
      </c>
      <c r="L39" s="23">
        <f t="shared" si="7"/>
        <v>9.1034800000000011</v>
      </c>
      <c r="M39" s="23">
        <f t="shared" si="8"/>
        <v>9.1034800000000011</v>
      </c>
      <c r="N39" s="23">
        <f>(scatterplots_LWG_grazdays_CS!$V$4*$A39+scatterplots_LWG_grazdays_CS!$W$4)/1000</f>
        <v>0.16162000000000001</v>
      </c>
      <c r="O39" s="23">
        <f t="shared" si="17"/>
        <v>0.20162000000000002</v>
      </c>
      <c r="P39" s="23">
        <f t="shared" si="17"/>
        <v>0.24162</v>
      </c>
      <c r="Q39" s="23">
        <f t="shared" si="17"/>
        <v>0.28161999999999998</v>
      </c>
      <c r="R39" s="23">
        <f>(scatterplots_LWG_grazdays_CS!$V$4*$A39+scatterplots_LWG_grazdays_CS!$W$4)/1000+R38</f>
        <v>8.4707799999999978</v>
      </c>
      <c r="S39" s="23">
        <f t="shared" si="25"/>
        <v>8.4707799999999978</v>
      </c>
      <c r="T39" s="23">
        <f t="shared" si="39"/>
        <v>8.4707799999999978</v>
      </c>
      <c r="U39" s="23">
        <f t="shared" si="39"/>
        <v>8.4707799999999978</v>
      </c>
      <c r="V39" s="23">
        <f>(scatterplots_LWG_grazdays_CS!$V$5*$A39+scatterplots_LWG_grazdays_CS!$W$5)/1000</f>
        <v>0.14163999999999999</v>
      </c>
      <c r="W39" s="23">
        <f t="shared" si="11"/>
        <v>0.18164</v>
      </c>
      <c r="X39" s="23">
        <f t="shared" si="40"/>
        <v>0.22164</v>
      </c>
      <c r="Y39" s="23">
        <f t="shared" si="40"/>
        <v>0.26163999999999998</v>
      </c>
      <c r="Z39" s="23">
        <f>(scatterplots_LWG_grazdays_CS!$V$5*$A39+scatterplots_LWG_grazdays_CS!$W$5)/1000+Z38</f>
        <v>8.0911600000000004</v>
      </c>
      <c r="AA39" s="23">
        <f t="shared" si="18"/>
        <v>8.0911600000000004</v>
      </c>
      <c r="AB39" s="23">
        <f t="shared" si="41"/>
        <v>8.0911600000000004</v>
      </c>
      <c r="AC39" s="23">
        <f t="shared" si="41"/>
        <v>8.0911600000000004</v>
      </c>
      <c r="AD39" s="23">
        <f>(scatterplots_LWG_grazdays_CS!$V$6*$A39+scatterplots_LWG_grazdays_CS!$W$6)/1000</f>
        <v>0.10982000000000001</v>
      </c>
      <c r="AE39" s="23">
        <f t="shared" si="14"/>
        <v>0.14982000000000001</v>
      </c>
      <c r="AF39" s="23">
        <f t="shared" si="32"/>
        <v>0.18982000000000002</v>
      </c>
      <c r="AG39" s="23">
        <f t="shared" si="32"/>
        <v>0.22982000000000002</v>
      </c>
      <c r="AH39" s="23">
        <f>(scatterplots_LWG_grazdays_CS!$V$6*$A39+scatterplots_LWG_grazdays_CS!$W$6)/1000+AH38</f>
        <v>7.4865800000000009</v>
      </c>
      <c r="AI39" s="23">
        <f t="shared" si="15"/>
        <v>7.4865800000000009</v>
      </c>
      <c r="AJ39" s="23">
        <f t="shared" si="33"/>
        <v>7.4865800000000009</v>
      </c>
      <c r="AK39" s="23">
        <f t="shared" si="33"/>
        <v>7.4865800000000009</v>
      </c>
    </row>
    <row r="40" spans="1:37">
      <c r="A40" s="12">
        <v>38</v>
      </c>
      <c r="B40" s="12">
        <v>38</v>
      </c>
      <c r="C40" s="23">
        <f>(scatterplots_LWG_grazdays_CS!$V$3*$A40+scatterplots_LWG_grazdays_CS!$W$3)/1000</f>
        <v>0.19208</v>
      </c>
      <c r="D40" s="23">
        <f t="shared" si="38"/>
        <v>0.23208000000000001</v>
      </c>
      <c r="E40" s="23">
        <f t="shared" si="38"/>
        <v>0.27207999999999999</v>
      </c>
      <c r="F40" s="23">
        <f t="shared" si="38"/>
        <v>0.31208000000000002</v>
      </c>
      <c r="G40" s="23">
        <f>(scatterplots_LWG_grazdays_CS!$V$3*$A40+scatterplots_LWG_grazdays_CS!$W$3)/1000+G39</f>
        <v>9.2955600000000018</v>
      </c>
      <c r="H40" s="23">
        <f t="shared" si="23"/>
        <v>9.2955600000000018</v>
      </c>
      <c r="I40" s="23">
        <f t="shared" si="37"/>
        <v>9.2955600000000018</v>
      </c>
      <c r="J40" s="23">
        <f t="shared" si="37"/>
        <v>10.055560000000002</v>
      </c>
      <c r="K40" s="23">
        <f t="shared" si="36"/>
        <v>10.45556</v>
      </c>
      <c r="L40" s="23">
        <f t="shared" si="7"/>
        <v>9.2955600000000018</v>
      </c>
      <c r="M40" s="23">
        <f t="shared" si="8"/>
        <v>9.2955600000000018</v>
      </c>
      <c r="N40" s="23">
        <f>(scatterplots_LWG_grazdays_CS!$V$4*$A40+scatterplots_LWG_grazdays_CS!$W$4)/1000</f>
        <v>0.15787999999999999</v>
      </c>
      <c r="O40" s="23">
        <f t="shared" si="17"/>
        <v>0.19788</v>
      </c>
      <c r="P40" s="23">
        <f t="shared" si="17"/>
        <v>0.23787999999999998</v>
      </c>
      <c r="Q40" s="23">
        <f t="shared" si="17"/>
        <v>0.27788000000000002</v>
      </c>
      <c r="R40" s="23">
        <f>(scatterplots_LWG_grazdays_CS!$V$4*$A40+scatterplots_LWG_grazdays_CS!$W$4)/1000+R39</f>
        <v>8.6286599999999982</v>
      </c>
      <c r="S40" s="23">
        <f t="shared" si="25"/>
        <v>8.6286599999999982</v>
      </c>
      <c r="T40" s="23">
        <f t="shared" si="39"/>
        <v>8.6286599999999982</v>
      </c>
      <c r="U40" s="23">
        <f t="shared" si="39"/>
        <v>8.6286599999999982</v>
      </c>
      <c r="V40" s="23">
        <f>(scatterplots_LWG_grazdays_CS!$V$5*$A40+scatterplots_LWG_grazdays_CS!$W$5)/1000</f>
        <v>0.13735999999999998</v>
      </c>
      <c r="W40" s="23">
        <f t="shared" si="11"/>
        <v>0.17735999999999999</v>
      </c>
      <c r="X40" s="23">
        <f t="shared" si="40"/>
        <v>0.21736</v>
      </c>
      <c r="Y40" s="23">
        <f t="shared" si="40"/>
        <v>0.25735999999999998</v>
      </c>
      <c r="Z40" s="23">
        <f>(scatterplots_LWG_grazdays_CS!$V$5*$A40+scatterplots_LWG_grazdays_CS!$W$5)/1000+Z39</f>
        <v>8.2285199999999996</v>
      </c>
      <c r="AA40" s="23">
        <f t="shared" si="18"/>
        <v>8.2285199999999996</v>
      </c>
      <c r="AB40" s="23">
        <f t="shared" si="41"/>
        <v>8.2285199999999996</v>
      </c>
      <c r="AC40" s="23">
        <f t="shared" si="41"/>
        <v>8.2285199999999996</v>
      </c>
      <c r="AD40" s="23">
        <f>(scatterplots_LWG_grazdays_CS!$V$6*$A40+scatterplots_LWG_grazdays_CS!$W$6)/1000</f>
        <v>0.10468000000000001</v>
      </c>
      <c r="AE40" s="23">
        <f t="shared" si="14"/>
        <v>0.14468</v>
      </c>
      <c r="AF40" s="23">
        <f t="shared" si="32"/>
        <v>0.18468000000000001</v>
      </c>
      <c r="AG40" s="23">
        <f t="shared" si="32"/>
        <v>0.22467999999999999</v>
      </c>
      <c r="AH40" s="23">
        <f>(scatterplots_LWG_grazdays_CS!$V$6*$A40+scatterplots_LWG_grazdays_CS!$W$6)/1000+AH39</f>
        <v>7.591260000000001</v>
      </c>
      <c r="AI40" s="23">
        <f t="shared" si="15"/>
        <v>7.591260000000001</v>
      </c>
      <c r="AJ40" s="23">
        <f t="shared" si="33"/>
        <v>7.591260000000001</v>
      </c>
      <c r="AK40" s="23">
        <f t="shared" si="33"/>
        <v>7.591260000000001</v>
      </c>
    </row>
    <row r="41" spans="1:37">
      <c r="A41" s="12">
        <v>39</v>
      </c>
      <c r="B41" s="12">
        <v>39</v>
      </c>
      <c r="C41" s="23">
        <f>(scatterplots_LWG_grazdays_CS!$V$3*$A41+scatterplots_LWG_grazdays_CS!$W$3)/1000</f>
        <v>0.18924000000000002</v>
      </c>
      <c r="D41" s="23">
        <f t="shared" si="38"/>
        <v>0.22924000000000003</v>
      </c>
      <c r="E41" s="23">
        <f t="shared" si="38"/>
        <v>0.26924000000000003</v>
      </c>
      <c r="F41" s="23">
        <f t="shared" si="38"/>
        <v>0.30924000000000001</v>
      </c>
      <c r="G41" s="23">
        <f>(scatterplots_LWG_grazdays_CS!$V$3*$A41+scatterplots_LWG_grazdays_CS!$W$3)/1000+G40</f>
        <v>9.4848000000000017</v>
      </c>
      <c r="H41" s="23">
        <f t="shared" si="23"/>
        <v>9.4848000000000017</v>
      </c>
      <c r="I41" s="23">
        <f t="shared" ref="I41:J56" si="42">C41+I40</f>
        <v>9.4848000000000017</v>
      </c>
      <c r="J41" s="23">
        <f t="shared" si="42"/>
        <v>10.284800000000002</v>
      </c>
      <c r="K41" s="23">
        <f t="shared" si="36"/>
        <v>10.684800000000001</v>
      </c>
      <c r="L41" s="23">
        <f t="shared" si="7"/>
        <v>9.4848000000000017</v>
      </c>
      <c r="M41" s="23">
        <f t="shared" si="8"/>
        <v>9.4848000000000017</v>
      </c>
      <c r="N41" s="23">
        <f>(scatterplots_LWG_grazdays_CS!$V$4*$A41+scatterplots_LWG_grazdays_CS!$W$4)/1000</f>
        <v>0.15414</v>
      </c>
      <c r="O41" s="23">
        <f t="shared" si="17"/>
        <v>0.19414000000000001</v>
      </c>
      <c r="P41" s="23">
        <f t="shared" si="17"/>
        <v>0.23414000000000001</v>
      </c>
      <c r="Q41" s="23">
        <f t="shared" si="17"/>
        <v>0.27413999999999999</v>
      </c>
      <c r="R41" s="23">
        <f>(scatterplots_LWG_grazdays_CS!$V$4*$A41+scatterplots_LWG_grazdays_CS!$W$4)/1000+R40</f>
        <v>8.7827999999999982</v>
      </c>
      <c r="S41" s="23">
        <f t="shared" si="25"/>
        <v>8.7827999999999982</v>
      </c>
      <c r="T41" s="23">
        <f t="shared" si="39"/>
        <v>8.7827999999999982</v>
      </c>
      <c r="U41" s="23">
        <f t="shared" si="39"/>
        <v>8.7827999999999982</v>
      </c>
      <c r="V41" s="23">
        <f>(scatterplots_LWG_grazdays_CS!$V$5*$A41+scatterplots_LWG_grazdays_CS!$W$5)/1000</f>
        <v>0.13307999999999998</v>
      </c>
      <c r="W41" s="23">
        <f t="shared" si="11"/>
        <v>0.17307999999999998</v>
      </c>
      <c r="X41" s="23">
        <f t="shared" si="40"/>
        <v>0.21307999999999999</v>
      </c>
      <c r="Y41" s="23">
        <f t="shared" si="40"/>
        <v>0.25307999999999997</v>
      </c>
      <c r="Z41" s="23">
        <f>(scatterplots_LWG_grazdays_CS!$V$5*$A41+scatterplots_LWG_grazdays_CS!$W$5)/1000+Z40</f>
        <v>8.3615999999999993</v>
      </c>
      <c r="AA41" s="23">
        <f t="shared" si="18"/>
        <v>8.3615999999999993</v>
      </c>
      <c r="AB41" s="23">
        <f t="shared" si="41"/>
        <v>8.3615999999999993</v>
      </c>
      <c r="AC41" s="23">
        <f t="shared" si="41"/>
        <v>8.3615999999999993</v>
      </c>
      <c r="AD41" s="23">
        <f>(scatterplots_LWG_grazdays_CS!$V$6*$A41+scatterplots_LWG_grazdays_CS!$W$6)/1000</f>
        <v>9.9540000000000017E-2</v>
      </c>
      <c r="AE41" s="23">
        <f t="shared" si="14"/>
        <v>0.13954000000000003</v>
      </c>
      <c r="AF41" s="23">
        <f t="shared" si="32"/>
        <v>0.17954000000000003</v>
      </c>
      <c r="AG41" s="23">
        <f t="shared" si="32"/>
        <v>0.21954000000000001</v>
      </c>
      <c r="AH41" s="23">
        <f>(scatterplots_LWG_grazdays_CS!$V$6*$A41+scatterplots_LWG_grazdays_CS!$W$6)/1000+AH40</f>
        <v>7.6908000000000012</v>
      </c>
      <c r="AI41" s="23">
        <f t="shared" si="15"/>
        <v>7.6908000000000012</v>
      </c>
      <c r="AJ41" s="23">
        <f t="shared" si="33"/>
        <v>7.6908000000000012</v>
      </c>
      <c r="AK41" s="23">
        <f t="shared" si="33"/>
        <v>7.6908000000000012</v>
      </c>
    </row>
    <row r="42" spans="1:37">
      <c r="A42" s="12">
        <v>40</v>
      </c>
      <c r="B42" s="12">
        <v>40</v>
      </c>
      <c r="C42" s="23">
        <f>(scatterplots_LWG_grazdays_CS!$V$3*$A42+scatterplots_LWG_grazdays_CS!$W$3)/1000</f>
        <v>0.18640000000000001</v>
      </c>
      <c r="D42" s="23">
        <f t="shared" si="38"/>
        <v>0.22640000000000002</v>
      </c>
      <c r="E42" s="23">
        <f t="shared" si="38"/>
        <v>0.26640000000000003</v>
      </c>
      <c r="F42" s="23">
        <f t="shared" si="38"/>
        <v>0.30640000000000001</v>
      </c>
      <c r="G42" s="23">
        <f>(scatterplots_LWG_grazdays_CS!$V$3*$A42+scatterplots_LWG_grazdays_CS!$W$3)/1000+G41</f>
        <v>9.6712000000000025</v>
      </c>
      <c r="H42" s="23">
        <f t="shared" si="23"/>
        <v>9.6712000000000025</v>
      </c>
      <c r="I42" s="23">
        <f t="shared" si="42"/>
        <v>9.6712000000000025</v>
      </c>
      <c r="J42" s="23">
        <f t="shared" si="42"/>
        <v>10.511200000000002</v>
      </c>
      <c r="K42" s="23">
        <f t="shared" si="36"/>
        <v>10.911200000000001</v>
      </c>
      <c r="L42" s="23">
        <f t="shared" si="7"/>
        <v>9.6712000000000025</v>
      </c>
      <c r="M42" s="23">
        <f t="shared" si="8"/>
        <v>9.6712000000000025</v>
      </c>
      <c r="N42" s="23">
        <f>(scatterplots_LWG_grazdays_CS!$V$4*$A42+scatterplots_LWG_grazdays_CS!$W$4)/1000</f>
        <v>0.15039999999999998</v>
      </c>
      <c r="O42" s="23">
        <f t="shared" si="17"/>
        <v>0.19039999999999999</v>
      </c>
      <c r="P42" s="23">
        <f t="shared" si="17"/>
        <v>0.23039999999999999</v>
      </c>
      <c r="Q42" s="23">
        <f t="shared" si="17"/>
        <v>0.27039999999999997</v>
      </c>
      <c r="R42" s="23">
        <f>(scatterplots_LWG_grazdays_CS!$V$4*$A42+scatterplots_LWG_grazdays_CS!$W$4)/1000+R41</f>
        <v>8.9331999999999976</v>
      </c>
      <c r="S42" s="23">
        <f t="shared" si="25"/>
        <v>8.9331999999999976</v>
      </c>
      <c r="T42" s="23">
        <f t="shared" si="39"/>
        <v>8.9331999999999976</v>
      </c>
      <c r="U42" s="23">
        <f t="shared" si="39"/>
        <v>8.9331999999999976</v>
      </c>
      <c r="V42" s="23">
        <f>(scatterplots_LWG_grazdays_CS!$V$5*$A42+scatterplots_LWG_grazdays_CS!$W$5)/1000</f>
        <v>0.12879999999999997</v>
      </c>
      <c r="W42" s="23">
        <f t="shared" si="11"/>
        <v>0.16879999999999998</v>
      </c>
      <c r="X42" s="23">
        <f t="shared" si="40"/>
        <v>0.20879999999999999</v>
      </c>
      <c r="Y42" s="23">
        <f t="shared" si="40"/>
        <v>0.24879999999999997</v>
      </c>
      <c r="Z42" s="23">
        <f>(scatterplots_LWG_grazdays_CS!$V$5*$A42+scatterplots_LWG_grazdays_CS!$W$5)/1000+Z41</f>
        <v>8.4903999999999993</v>
      </c>
      <c r="AA42" s="23">
        <f t="shared" si="18"/>
        <v>8.4903999999999993</v>
      </c>
      <c r="AB42" s="23">
        <f t="shared" si="41"/>
        <v>8.4903999999999993</v>
      </c>
      <c r="AC42" s="23">
        <f t="shared" si="41"/>
        <v>8.4903999999999993</v>
      </c>
      <c r="AD42" s="23">
        <f>(scatterplots_LWG_grazdays_CS!$V$6*$A42+scatterplots_LWG_grazdays_CS!$W$6)/1000</f>
        <v>9.4400000000000012E-2</v>
      </c>
      <c r="AE42" s="23">
        <f t="shared" si="14"/>
        <v>0.13440000000000002</v>
      </c>
      <c r="AF42" s="23">
        <f t="shared" si="32"/>
        <v>0.1744</v>
      </c>
      <c r="AG42" s="23">
        <f t="shared" si="32"/>
        <v>0.21440000000000001</v>
      </c>
      <c r="AH42" s="23">
        <f>(scatterplots_LWG_grazdays_CS!$V$6*$A42+scatterplots_LWG_grazdays_CS!$W$6)/1000+AH41</f>
        <v>7.7852000000000015</v>
      </c>
      <c r="AI42" s="23">
        <f t="shared" si="15"/>
        <v>7.7852000000000015</v>
      </c>
      <c r="AJ42" s="23">
        <f t="shared" si="33"/>
        <v>7.7852000000000015</v>
      </c>
      <c r="AK42" s="23">
        <f t="shared" si="33"/>
        <v>7.7852000000000015</v>
      </c>
    </row>
    <row r="43" spans="1:37">
      <c r="A43" s="12">
        <v>41</v>
      </c>
      <c r="B43" s="12">
        <v>41</v>
      </c>
      <c r="C43" s="23">
        <f>(scatterplots_LWG_grazdays_CS!$V$3*$A43+scatterplots_LWG_grazdays_CS!$W$3)/1000</f>
        <v>0.18356</v>
      </c>
      <c r="D43" s="23">
        <f t="shared" si="38"/>
        <v>0.22356000000000001</v>
      </c>
      <c r="E43" s="23">
        <f t="shared" si="38"/>
        <v>0.26356000000000002</v>
      </c>
      <c r="F43" s="23">
        <f t="shared" si="38"/>
        <v>0.30356</v>
      </c>
      <c r="G43" s="23">
        <f>(scatterplots_LWG_grazdays_CS!$V$3*$A43+scatterplots_LWG_grazdays_CS!$W$3)/1000+G42</f>
        <v>9.8547600000000024</v>
      </c>
      <c r="H43" s="23">
        <f t="shared" si="23"/>
        <v>9.8547600000000024</v>
      </c>
      <c r="I43" s="23">
        <f t="shared" si="42"/>
        <v>9.8547600000000024</v>
      </c>
      <c r="J43" s="23">
        <f t="shared" si="42"/>
        <v>10.734760000000003</v>
      </c>
      <c r="K43" s="23">
        <f t="shared" si="36"/>
        <v>11.134760000000002</v>
      </c>
      <c r="L43" s="23">
        <f t="shared" si="7"/>
        <v>9.8547600000000024</v>
      </c>
      <c r="M43" s="23">
        <f t="shared" si="8"/>
        <v>9.8547600000000024</v>
      </c>
      <c r="N43" s="23">
        <f>(scatterplots_LWG_grazdays_CS!$V$4*$A43+scatterplots_LWG_grazdays_CS!$W$4)/1000</f>
        <v>0.14665999999999998</v>
      </c>
      <c r="O43" s="23">
        <f t="shared" si="17"/>
        <v>0.18665999999999999</v>
      </c>
      <c r="P43" s="23">
        <f t="shared" si="17"/>
        <v>0.22665999999999997</v>
      </c>
      <c r="Q43" s="23">
        <f t="shared" si="17"/>
        <v>0.26666000000000001</v>
      </c>
      <c r="R43" s="23">
        <f>(scatterplots_LWG_grazdays_CS!$V$4*$A43+scatterplots_LWG_grazdays_CS!$W$4)/1000+R42</f>
        <v>9.0798599999999983</v>
      </c>
      <c r="S43" s="23">
        <f t="shared" si="25"/>
        <v>9.0798599999999983</v>
      </c>
      <c r="T43" s="23">
        <f t="shared" si="39"/>
        <v>9.0798599999999983</v>
      </c>
      <c r="U43" s="23">
        <f t="shared" si="39"/>
        <v>9.0798599999999983</v>
      </c>
      <c r="V43" s="23">
        <f>(scatterplots_LWG_grazdays_CS!$V$5*$A43+scatterplots_LWG_grazdays_CS!$W$5)/1000</f>
        <v>0.12451999999999998</v>
      </c>
      <c r="W43" s="23">
        <f t="shared" si="11"/>
        <v>0.16451999999999997</v>
      </c>
      <c r="X43" s="23">
        <f t="shared" si="40"/>
        <v>0.20451999999999998</v>
      </c>
      <c r="Y43" s="23">
        <f t="shared" si="40"/>
        <v>0.24451999999999996</v>
      </c>
      <c r="Z43" s="23">
        <f>(scatterplots_LWG_grazdays_CS!$V$5*$A43+scatterplots_LWG_grazdays_CS!$W$5)/1000+Z42</f>
        <v>8.6149199999999997</v>
      </c>
      <c r="AA43" s="23">
        <f t="shared" si="18"/>
        <v>8.6149199999999997</v>
      </c>
      <c r="AB43" s="23">
        <f t="shared" si="41"/>
        <v>8.6149199999999997</v>
      </c>
      <c r="AC43" s="23">
        <f t="shared" si="41"/>
        <v>8.6149199999999997</v>
      </c>
      <c r="AD43" s="23">
        <f>(scatterplots_LWG_grazdays_CS!$V$6*$A43+scatterplots_LWG_grazdays_CS!$W$6)/1000</f>
        <v>8.926000000000002E-2</v>
      </c>
      <c r="AE43" s="23">
        <f t="shared" si="14"/>
        <v>0.12926000000000001</v>
      </c>
      <c r="AF43" s="23">
        <f t="shared" si="32"/>
        <v>0.16926000000000002</v>
      </c>
      <c r="AG43" s="23">
        <f t="shared" si="32"/>
        <v>0.20926</v>
      </c>
      <c r="AH43" s="23">
        <f>(scatterplots_LWG_grazdays_CS!$V$6*$A43+scatterplots_LWG_grazdays_CS!$W$6)/1000+AH42</f>
        <v>7.8744600000000018</v>
      </c>
      <c r="AI43" s="23">
        <f t="shared" si="15"/>
        <v>7.8744600000000018</v>
      </c>
      <c r="AJ43" s="23">
        <f t="shared" si="33"/>
        <v>7.8744600000000018</v>
      </c>
      <c r="AK43" s="23">
        <f t="shared" si="33"/>
        <v>7.8744600000000018</v>
      </c>
    </row>
    <row r="44" spans="1:37">
      <c r="A44" s="12">
        <v>42</v>
      </c>
      <c r="B44" s="12">
        <v>42</v>
      </c>
      <c r="C44" s="23">
        <f>(scatterplots_LWG_grazdays_CS!$V$3*$A44+scatterplots_LWG_grazdays_CS!$W$3)/1000</f>
        <v>0.18071999999999999</v>
      </c>
      <c r="D44" s="23">
        <f t="shared" si="38"/>
        <v>0.22072</v>
      </c>
      <c r="E44" s="23">
        <f t="shared" si="38"/>
        <v>0.26072000000000001</v>
      </c>
      <c r="F44" s="23">
        <f t="shared" si="38"/>
        <v>0.30071999999999999</v>
      </c>
      <c r="G44" s="23">
        <f>(scatterplots_LWG_grazdays_CS!$V$3*$A44+scatterplots_LWG_grazdays_CS!$W$3)/1000+G43</f>
        <v>10.035480000000003</v>
      </c>
      <c r="H44" s="23">
        <f t="shared" si="23"/>
        <v>10.035480000000003</v>
      </c>
      <c r="I44" s="23">
        <f t="shared" si="42"/>
        <v>10.035480000000003</v>
      </c>
      <c r="J44" s="23">
        <f>D44+J43</f>
        <v>10.955480000000003</v>
      </c>
      <c r="K44" s="23">
        <f t="shared" si="36"/>
        <v>11.355480000000002</v>
      </c>
      <c r="L44" s="23">
        <f t="shared" si="7"/>
        <v>10.035480000000003</v>
      </c>
      <c r="M44" s="23">
        <f t="shared" si="8"/>
        <v>10.035480000000003</v>
      </c>
      <c r="N44" s="23">
        <f>(scatterplots_LWG_grazdays_CS!$V$4*$A44+scatterplots_LWG_grazdays_CS!$W$4)/1000</f>
        <v>0.14291999999999999</v>
      </c>
      <c r="O44" s="23">
        <f t="shared" si="17"/>
        <v>0.18292</v>
      </c>
      <c r="P44" s="23">
        <f t="shared" si="17"/>
        <v>0.22292000000000001</v>
      </c>
      <c r="Q44" s="23">
        <f t="shared" si="17"/>
        <v>0.26291999999999999</v>
      </c>
      <c r="R44" s="23">
        <f>(scatterplots_LWG_grazdays_CS!$V$4*$A44+scatterplots_LWG_grazdays_CS!$W$4)/1000+R43</f>
        <v>9.2227799999999984</v>
      </c>
      <c r="S44" s="23">
        <f t="shared" si="25"/>
        <v>9.2227799999999984</v>
      </c>
      <c r="T44" s="23">
        <f t="shared" si="39"/>
        <v>9.2227799999999984</v>
      </c>
      <c r="U44" s="23">
        <f t="shared" si="39"/>
        <v>9.2227799999999984</v>
      </c>
      <c r="V44" s="23">
        <f>(scatterplots_LWG_grazdays_CS!$V$5*$A44+scatterplots_LWG_grazdays_CS!$W$5)/1000</f>
        <v>0.12023999999999999</v>
      </c>
      <c r="W44" s="23">
        <f t="shared" si="11"/>
        <v>0.16023999999999999</v>
      </c>
      <c r="X44" s="23">
        <f t="shared" si="40"/>
        <v>0.20023999999999997</v>
      </c>
      <c r="Y44" s="23">
        <f t="shared" si="40"/>
        <v>0.24023999999999998</v>
      </c>
      <c r="Z44" s="23">
        <f>(scatterplots_LWG_grazdays_CS!$V$5*$A44+scatterplots_LWG_grazdays_CS!$W$5)/1000+Z43</f>
        <v>8.7351600000000005</v>
      </c>
      <c r="AA44" s="23">
        <f t="shared" si="18"/>
        <v>8.7351600000000005</v>
      </c>
      <c r="AB44" s="23">
        <f t="shared" si="41"/>
        <v>8.7351600000000005</v>
      </c>
      <c r="AC44" s="23">
        <f t="shared" si="41"/>
        <v>8.7351600000000005</v>
      </c>
      <c r="AD44" s="23">
        <f>(scatterplots_LWG_grazdays_CS!$V$6*$A44+scatterplots_LWG_grazdays_CS!$W$6)/1000</f>
        <v>8.412E-2</v>
      </c>
      <c r="AE44" s="23">
        <f t="shared" si="14"/>
        <v>0.12412000000000001</v>
      </c>
      <c r="AF44" s="23">
        <f t="shared" si="32"/>
        <v>0.16411999999999999</v>
      </c>
      <c r="AG44" s="23">
        <f t="shared" si="32"/>
        <v>0.20412</v>
      </c>
      <c r="AH44" s="23">
        <f>(scatterplots_LWG_grazdays_CS!$V$6*$A44+scatterplots_LWG_grazdays_CS!$W$6)/1000+AH43</f>
        <v>7.9585800000000022</v>
      </c>
      <c r="AI44" s="23">
        <f t="shared" si="15"/>
        <v>7.9585800000000022</v>
      </c>
      <c r="AJ44" s="23">
        <f t="shared" si="33"/>
        <v>7.9585800000000022</v>
      </c>
      <c r="AK44" s="23">
        <f t="shared" si="33"/>
        <v>7.9585800000000022</v>
      </c>
    </row>
    <row r="45" spans="1:37">
      <c r="A45" s="12">
        <v>43</v>
      </c>
      <c r="B45" s="12">
        <v>43</v>
      </c>
      <c r="C45" s="23">
        <f>(scatterplots_LWG_grazdays_CS!$V$3*$A45+scatterplots_LWG_grazdays_CS!$W$3)/1000</f>
        <v>0.17787999999999998</v>
      </c>
      <c r="D45" s="23">
        <f t="shared" si="38"/>
        <v>0.21787999999999999</v>
      </c>
      <c r="E45" s="23">
        <f t="shared" si="38"/>
        <v>0.25788</v>
      </c>
      <c r="F45" s="23">
        <f t="shared" si="38"/>
        <v>0.29787999999999998</v>
      </c>
      <c r="G45" s="23">
        <f>(scatterplots_LWG_grazdays_CS!$V$3*$A45+scatterplots_LWG_grazdays_CS!$W$3)/1000+G44</f>
        <v>10.213360000000003</v>
      </c>
      <c r="H45" s="23">
        <f t="shared" si="23"/>
        <v>10.213360000000003</v>
      </c>
      <c r="I45" s="23">
        <f t="shared" si="42"/>
        <v>10.213360000000003</v>
      </c>
      <c r="J45" s="23">
        <f t="shared" si="42"/>
        <v>11.173360000000002</v>
      </c>
      <c r="K45" s="23">
        <f t="shared" si="36"/>
        <v>11.573360000000001</v>
      </c>
      <c r="L45" s="23">
        <f t="shared" si="7"/>
        <v>10.213360000000003</v>
      </c>
      <c r="M45" s="23">
        <f t="shared" si="8"/>
        <v>10.213360000000003</v>
      </c>
      <c r="N45" s="23">
        <f>(scatterplots_LWG_grazdays_CS!$V$4*$A45+scatterplots_LWG_grazdays_CS!$W$4)/1000</f>
        <v>0.13917999999999997</v>
      </c>
      <c r="O45" s="23">
        <f t="shared" si="17"/>
        <v>0.17917999999999998</v>
      </c>
      <c r="P45" s="23">
        <f t="shared" si="17"/>
        <v>0.21917999999999999</v>
      </c>
      <c r="Q45" s="23">
        <f t="shared" si="17"/>
        <v>0.25917999999999997</v>
      </c>
      <c r="R45" s="23">
        <f>(scatterplots_LWG_grazdays_CS!$V$4*$A45+scatterplots_LWG_grazdays_CS!$W$4)/1000+R44</f>
        <v>9.3619599999999981</v>
      </c>
      <c r="S45" s="23">
        <f t="shared" si="25"/>
        <v>9.3619599999999981</v>
      </c>
      <c r="T45" s="23">
        <f t="shared" si="39"/>
        <v>9.3619599999999981</v>
      </c>
      <c r="U45" s="23">
        <f t="shared" si="39"/>
        <v>9.3619599999999981</v>
      </c>
      <c r="V45" s="23">
        <f>(scatterplots_LWG_grazdays_CS!$V$5*$A45+scatterplots_LWG_grazdays_CS!$W$5)/1000</f>
        <v>0.11595999999999998</v>
      </c>
      <c r="W45" s="23">
        <f t="shared" si="11"/>
        <v>0.15595999999999999</v>
      </c>
      <c r="X45" s="23">
        <f t="shared" si="40"/>
        <v>0.19595999999999997</v>
      </c>
      <c r="Y45" s="23">
        <f t="shared" si="40"/>
        <v>0.23595999999999998</v>
      </c>
      <c r="Z45" s="23">
        <f>(scatterplots_LWG_grazdays_CS!$V$5*$A45+scatterplots_LWG_grazdays_CS!$W$5)/1000+Z44</f>
        <v>8.8511199999999999</v>
      </c>
      <c r="AA45" s="23">
        <f t="shared" si="18"/>
        <v>8.8511199999999999</v>
      </c>
      <c r="AB45" s="23">
        <f t="shared" si="41"/>
        <v>8.8511199999999999</v>
      </c>
      <c r="AC45" s="23">
        <f t="shared" si="41"/>
        <v>8.8511199999999999</v>
      </c>
      <c r="AD45" s="23">
        <f>(scatterplots_LWG_grazdays_CS!$V$6*$A45+scatterplots_LWG_grazdays_CS!$W$6)/1000</f>
        <v>7.8980000000000022E-2</v>
      </c>
      <c r="AE45" s="23">
        <f t="shared" si="14"/>
        <v>0.11898000000000003</v>
      </c>
      <c r="AF45" s="23">
        <f t="shared" si="32"/>
        <v>0.15898000000000001</v>
      </c>
      <c r="AG45" s="23">
        <f t="shared" si="32"/>
        <v>0.19898000000000002</v>
      </c>
      <c r="AH45" s="23">
        <f>(scatterplots_LWG_grazdays_CS!$V$6*$A45+scatterplots_LWG_grazdays_CS!$W$6)/1000+AH44</f>
        <v>8.0375600000000027</v>
      </c>
      <c r="AI45" s="23">
        <f t="shared" si="15"/>
        <v>8.0375600000000027</v>
      </c>
      <c r="AJ45" s="23">
        <f t="shared" si="33"/>
        <v>8.0375600000000027</v>
      </c>
      <c r="AK45" s="23">
        <f t="shared" si="33"/>
        <v>8.0375600000000027</v>
      </c>
    </row>
    <row r="46" spans="1:37">
      <c r="A46" s="12">
        <v>44</v>
      </c>
      <c r="B46" s="12">
        <v>44</v>
      </c>
      <c r="C46" s="23">
        <f>(scatterplots_LWG_grazdays_CS!$V$3*$A46+scatterplots_LWG_grazdays_CS!$W$3)/1000</f>
        <v>0.17504000000000003</v>
      </c>
      <c r="D46" s="23">
        <f t="shared" si="38"/>
        <v>0.21504000000000004</v>
      </c>
      <c r="E46" s="23">
        <f t="shared" si="38"/>
        <v>0.25504000000000004</v>
      </c>
      <c r="F46" s="23">
        <f t="shared" si="38"/>
        <v>0.29504000000000002</v>
      </c>
      <c r="G46" s="23">
        <f>(scatterplots_LWG_grazdays_CS!$V$3*$A46+scatterplots_LWG_grazdays_CS!$W$3)/1000+G45</f>
        <v>10.388400000000003</v>
      </c>
      <c r="H46" s="23">
        <f t="shared" si="23"/>
        <v>10.388400000000003</v>
      </c>
      <c r="I46" s="23">
        <f t="shared" si="42"/>
        <v>10.388400000000003</v>
      </c>
      <c r="J46" s="23">
        <f t="shared" si="42"/>
        <v>11.388400000000003</v>
      </c>
      <c r="K46" s="23">
        <f t="shared" si="36"/>
        <v>11.788400000000001</v>
      </c>
      <c r="L46" s="23">
        <f t="shared" si="7"/>
        <v>10.388400000000003</v>
      </c>
      <c r="M46" s="23">
        <f t="shared" si="8"/>
        <v>10.388400000000003</v>
      </c>
      <c r="N46" s="23">
        <f>(scatterplots_LWG_grazdays_CS!$V$4*$A46+scatterplots_LWG_grazdays_CS!$W$4)/1000</f>
        <v>0.13544</v>
      </c>
      <c r="O46" s="23">
        <f t="shared" si="17"/>
        <v>0.17544000000000001</v>
      </c>
      <c r="P46" s="23">
        <f t="shared" si="17"/>
        <v>0.21544000000000002</v>
      </c>
      <c r="Q46" s="23">
        <f t="shared" si="17"/>
        <v>0.25544</v>
      </c>
      <c r="R46" s="23">
        <f>(scatterplots_LWG_grazdays_CS!$V$4*$A46+scatterplots_LWG_grazdays_CS!$W$4)/1000+R45</f>
        <v>9.497399999999999</v>
      </c>
      <c r="S46" s="23">
        <f t="shared" si="25"/>
        <v>9.497399999999999</v>
      </c>
      <c r="T46" s="23">
        <f t="shared" si="39"/>
        <v>9.497399999999999</v>
      </c>
      <c r="U46" s="23">
        <f t="shared" si="39"/>
        <v>9.497399999999999</v>
      </c>
      <c r="V46" s="23">
        <f>(scatterplots_LWG_grazdays_CS!$V$5*$A46+scatterplots_LWG_grazdays_CS!$W$5)/1000</f>
        <v>0.11167999999999997</v>
      </c>
      <c r="W46" s="23">
        <f t="shared" si="11"/>
        <v>0.15167999999999998</v>
      </c>
      <c r="X46" s="23">
        <f t="shared" si="40"/>
        <v>0.19167999999999996</v>
      </c>
      <c r="Y46" s="23">
        <f t="shared" si="40"/>
        <v>0.23167999999999997</v>
      </c>
      <c r="Z46" s="23">
        <f>(scatterplots_LWG_grazdays_CS!$V$5*$A46+scatterplots_LWG_grazdays_CS!$W$5)/1000+Z45</f>
        <v>8.9627999999999997</v>
      </c>
      <c r="AA46" s="23">
        <f t="shared" si="18"/>
        <v>8.9627999999999997</v>
      </c>
      <c r="AB46" s="23">
        <f t="shared" si="41"/>
        <v>8.9627999999999997</v>
      </c>
      <c r="AC46" s="23">
        <f t="shared" si="41"/>
        <v>8.9627999999999997</v>
      </c>
      <c r="AD46" s="23">
        <f>(scatterplots_LWG_grazdays_CS!$V$6*$A46+scatterplots_LWG_grazdays_CS!$W$6)/1000</f>
        <v>7.3840000000000003E-2</v>
      </c>
      <c r="AE46" s="23">
        <f t="shared" si="14"/>
        <v>0.11384</v>
      </c>
      <c r="AF46" s="23">
        <f t="shared" si="32"/>
        <v>0.15384</v>
      </c>
      <c r="AG46" s="23">
        <f t="shared" si="32"/>
        <v>0.19384000000000001</v>
      </c>
      <c r="AH46" s="23">
        <f>(scatterplots_LWG_grazdays_CS!$V$6*$A46+scatterplots_LWG_grazdays_CS!$W$6)/1000+AH45</f>
        <v>8.1114000000000033</v>
      </c>
      <c r="AI46" s="23">
        <f t="shared" si="15"/>
        <v>8.1114000000000033</v>
      </c>
      <c r="AJ46" s="23">
        <f t="shared" si="33"/>
        <v>8.1114000000000033</v>
      </c>
      <c r="AK46" s="23">
        <f t="shared" si="33"/>
        <v>8.1114000000000033</v>
      </c>
    </row>
    <row r="47" spans="1:37">
      <c r="A47" s="12">
        <v>45</v>
      </c>
      <c r="B47" s="12">
        <v>45</v>
      </c>
      <c r="C47" s="23">
        <f>(scatterplots_LWG_grazdays_CS!$V$3*$A47+scatterplots_LWG_grazdays_CS!$W$3)/1000</f>
        <v>0.17219999999999999</v>
      </c>
      <c r="D47" s="23">
        <f t="shared" si="38"/>
        <v>0.2122</v>
      </c>
      <c r="E47" s="23">
        <f t="shared" si="38"/>
        <v>0.25219999999999998</v>
      </c>
      <c r="F47" s="23">
        <f t="shared" si="38"/>
        <v>0.29220000000000002</v>
      </c>
      <c r="G47" s="23">
        <f>(scatterplots_LWG_grazdays_CS!$V$3*$A47+scatterplots_LWG_grazdays_CS!$W$3)/1000+G46</f>
        <v>10.560600000000003</v>
      </c>
      <c r="H47" s="23">
        <f>C47+H46</f>
        <v>10.560600000000003</v>
      </c>
      <c r="I47" s="23">
        <f>D47+I46</f>
        <v>10.600600000000002</v>
      </c>
      <c r="J47" s="23">
        <f t="shared" si="42"/>
        <v>11.600600000000002</v>
      </c>
      <c r="K47" s="23">
        <f t="shared" si="36"/>
        <v>12.0006</v>
      </c>
      <c r="L47" s="23">
        <f t="shared" si="7"/>
        <v>10.560600000000003</v>
      </c>
      <c r="M47" s="23">
        <f t="shared" si="8"/>
        <v>10.560600000000003</v>
      </c>
      <c r="N47" s="23">
        <f>(scatterplots_LWG_grazdays_CS!$V$4*$A47+scatterplots_LWG_grazdays_CS!$W$4)/1000</f>
        <v>0.13169999999999998</v>
      </c>
      <c r="O47" s="23">
        <f t="shared" si="17"/>
        <v>0.17169999999999999</v>
      </c>
      <c r="P47" s="23">
        <f t="shared" si="17"/>
        <v>0.2117</v>
      </c>
      <c r="Q47" s="23">
        <f t="shared" si="17"/>
        <v>0.25169999999999998</v>
      </c>
      <c r="R47" s="23">
        <f>(scatterplots_LWG_grazdays_CS!$V$4*$A47+scatterplots_LWG_grazdays_CS!$W$4)/1000+R46</f>
        <v>9.6290999999999993</v>
      </c>
      <c r="S47" s="23">
        <f t="shared" si="25"/>
        <v>9.6290999999999993</v>
      </c>
      <c r="T47" s="23">
        <f t="shared" si="39"/>
        <v>9.6290999999999993</v>
      </c>
      <c r="U47" s="23">
        <f t="shared" si="39"/>
        <v>9.6290999999999993</v>
      </c>
      <c r="V47" s="23">
        <f>(scatterplots_LWG_grazdays_CS!$V$5*$A47+scatterplots_LWG_grazdays_CS!$W$5)/1000</f>
        <v>0.10739999999999998</v>
      </c>
      <c r="W47" s="23">
        <f t="shared" si="11"/>
        <v>0.14739999999999998</v>
      </c>
      <c r="X47" s="23">
        <f t="shared" si="40"/>
        <v>0.18739999999999998</v>
      </c>
      <c r="Y47" s="23">
        <f t="shared" si="40"/>
        <v>0.22739999999999999</v>
      </c>
      <c r="Z47" s="23">
        <f>(scatterplots_LWG_grazdays_CS!$V$5*$A47+scatterplots_LWG_grazdays_CS!$W$5)/1000+Z46</f>
        <v>9.0701999999999998</v>
      </c>
      <c r="AA47" s="23">
        <f t="shared" si="18"/>
        <v>9.0701999999999998</v>
      </c>
      <c r="AB47" s="23">
        <f t="shared" si="41"/>
        <v>9.0701999999999998</v>
      </c>
      <c r="AC47" s="23">
        <f t="shared" si="41"/>
        <v>9.0701999999999998</v>
      </c>
      <c r="AD47" s="23">
        <f>(scatterplots_LWG_grazdays_CS!$V$6*$A47+scatterplots_LWG_grazdays_CS!$W$6)/1000</f>
        <v>6.8700000000000011E-2</v>
      </c>
      <c r="AE47" s="23">
        <f t="shared" si="14"/>
        <v>0.10870000000000002</v>
      </c>
      <c r="AF47" s="23">
        <f t="shared" si="32"/>
        <v>0.1487</v>
      </c>
      <c r="AG47" s="23">
        <f t="shared" si="32"/>
        <v>0.18870000000000001</v>
      </c>
      <c r="AH47" s="23">
        <f>(scatterplots_LWG_grazdays_CS!$V$6*$A47+scatterplots_LWG_grazdays_CS!$W$6)/1000+AH46</f>
        <v>8.180100000000003</v>
      </c>
      <c r="AI47" s="23">
        <f t="shared" si="15"/>
        <v>8.180100000000003</v>
      </c>
      <c r="AJ47" s="23">
        <f t="shared" si="33"/>
        <v>8.180100000000003</v>
      </c>
      <c r="AK47" s="23">
        <f t="shared" si="33"/>
        <v>8.180100000000003</v>
      </c>
    </row>
    <row r="48" spans="1:37">
      <c r="A48" s="12">
        <v>46</v>
      </c>
      <c r="B48" s="12">
        <v>46</v>
      </c>
      <c r="C48" s="23">
        <f>(scatterplots_LWG_grazdays_CS!$V$3*$A48+scatterplots_LWG_grazdays_CS!$W$3)/1000</f>
        <v>0.16936000000000001</v>
      </c>
      <c r="D48" s="23">
        <f t="shared" si="38"/>
        <v>0.20936000000000002</v>
      </c>
      <c r="E48" s="23">
        <f t="shared" si="38"/>
        <v>0.24936000000000003</v>
      </c>
      <c r="F48" s="23">
        <f t="shared" si="38"/>
        <v>0.28936000000000001</v>
      </c>
      <c r="G48" s="23">
        <f>(scatterplots_LWG_grazdays_CS!$V$3*$A48+scatterplots_LWG_grazdays_CS!$W$3)/1000+G47</f>
        <v>10.729960000000002</v>
      </c>
      <c r="H48" s="23">
        <f t="shared" si="23"/>
        <v>10.729960000000002</v>
      </c>
      <c r="I48" s="23">
        <f>D48+I47</f>
        <v>10.809960000000002</v>
      </c>
      <c r="J48" s="23">
        <f t="shared" si="42"/>
        <v>11.809960000000002</v>
      </c>
      <c r="K48" s="23">
        <f t="shared" si="36"/>
        <v>12.209960000000001</v>
      </c>
      <c r="L48" s="23">
        <f t="shared" si="7"/>
        <v>10.729960000000002</v>
      </c>
      <c r="M48" s="23">
        <f t="shared" si="8"/>
        <v>10.729960000000002</v>
      </c>
      <c r="N48" s="23">
        <f>(scatterplots_LWG_grazdays_CS!$V$4*$A48+scatterplots_LWG_grazdays_CS!$W$4)/1000</f>
        <v>0.12795999999999999</v>
      </c>
      <c r="O48" s="23">
        <f t="shared" si="17"/>
        <v>0.16796</v>
      </c>
      <c r="P48" s="23">
        <f t="shared" si="17"/>
        <v>0.20795999999999998</v>
      </c>
      <c r="Q48" s="23">
        <f t="shared" si="17"/>
        <v>0.24795999999999999</v>
      </c>
      <c r="R48" s="23">
        <f>(scatterplots_LWG_grazdays_CS!$V$4*$A48+scatterplots_LWG_grazdays_CS!$W$4)/1000+R47</f>
        <v>9.7570599999999992</v>
      </c>
      <c r="S48" s="23">
        <f t="shared" si="25"/>
        <v>9.7570599999999992</v>
      </c>
      <c r="T48" s="23">
        <f t="shared" si="39"/>
        <v>9.7570599999999992</v>
      </c>
      <c r="U48" s="23">
        <f t="shared" si="39"/>
        <v>9.7570599999999992</v>
      </c>
      <c r="V48" s="23">
        <f>(scatterplots_LWG_grazdays_CS!$V$5*$A48+scatterplots_LWG_grazdays_CS!$W$5)/1000</f>
        <v>0.10311999999999998</v>
      </c>
      <c r="W48" s="23">
        <f t="shared" si="11"/>
        <v>0.14311999999999997</v>
      </c>
      <c r="X48" s="23">
        <f t="shared" si="40"/>
        <v>0.18311999999999998</v>
      </c>
      <c r="Y48" s="23">
        <f t="shared" si="40"/>
        <v>0.22311999999999999</v>
      </c>
      <c r="Z48" s="23">
        <f>(scatterplots_LWG_grazdays_CS!$V$5*$A48+scatterplots_LWG_grazdays_CS!$W$5)/1000+Z47</f>
        <v>9.1733200000000004</v>
      </c>
      <c r="AA48" s="23">
        <f t="shared" si="18"/>
        <v>9.1733200000000004</v>
      </c>
      <c r="AB48" s="23">
        <f t="shared" si="41"/>
        <v>9.1733200000000004</v>
      </c>
      <c r="AC48" s="23">
        <f t="shared" si="41"/>
        <v>9.1733200000000004</v>
      </c>
      <c r="AD48" s="23">
        <f>(scatterplots_LWG_grazdays_CS!$V$6*$A48+scatterplots_LWG_grazdays_CS!$W$6)/1000</f>
        <v>6.3560000000000005E-2</v>
      </c>
      <c r="AE48" s="23">
        <f t="shared" si="14"/>
        <v>0.10356000000000001</v>
      </c>
      <c r="AF48" s="23">
        <f t="shared" si="32"/>
        <v>0.14356000000000002</v>
      </c>
      <c r="AG48" s="23">
        <f t="shared" si="32"/>
        <v>0.18356</v>
      </c>
      <c r="AH48" s="23">
        <f>(scatterplots_LWG_grazdays_CS!$V$6*$A48+scatterplots_LWG_grazdays_CS!$W$6)/1000+AH47</f>
        <v>8.2436600000000038</v>
      </c>
      <c r="AI48" s="23">
        <f t="shared" si="15"/>
        <v>8.2436600000000038</v>
      </c>
      <c r="AJ48" s="23">
        <f t="shared" si="33"/>
        <v>8.2436600000000038</v>
      </c>
      <c r="AK48" s="23">
        <f t="shared" si="33"/>
        <v>8.2436600000000038</v>
      </c>
    </row>
    <row r="49" spans="1:37">
      <c r="A49" s="12">
        <v>47</v>
      </c>
      <c r="B49" s="12">
        <v>47</v>
      </c>
      <c r="C49" s="23">
        <f>(scatterplots_LWG_grazdays_CS!$V$3*$A49+scatterplots_LWG_grazdays_CS!$W$3)/1000</f>
        <v>0.16652</v>
      </c>
      <c r="D49" s="23">
        <f t="shared" si="38"/>
        <v>0.20652000000000001</v>
      </c>
      <c r="E49" s="23">
        <f t="shared" si="38"/>
        <v>0.24652000000000002</v>
      </c>
      <c r="F49" s="23">
        <f t="shared" si="38"/>
        <v>0.28652</v>
      </c>
      <c r="G49" s="23">
        <f>(scatterplots_LWG_grazdays_CS!$V$3*$A49+scatterplots_LWG_grazdays_CS!$W$3)/1000+G48</f>
        <v>10.896480000000002</v>
      </c>
      <c r="H49" s="23">
        <f t="shared" ref="H49:I64" si="43">C49+H48</f>
        <v>10.896480000000002</v>
      </c>
      <c r="I49" s="23">
        <f>D49+I48</f>
        <v>11.016480000000001</v>
      </c>
      <c r="J49" s="23">
        <f t="shared" si="42"/>
        <v>12.016480000000001</v>
      </c>
      <c r="K49" s="23">
        <f t="shared" si="36"/>
        <v>12.41648</v>
      </c>
      <c r="L49" s="23">
        <f t="shared" si="7"/>
        <v>10.896480000000002</v>
      </c>
      <c r="M49" s="23">
        <f t="shared" si="8"/>
        <v>10.896480000000002</v>
      </c>
      <c r="N49" s="23">
        <f>(scatterplots_LWG_grazdays_CS!$V$4*$A49+scatterplots_LWG_grazdays_CS!$W$4)/1000</f>
        <v>0.12422</v>
      </c>
      <c r="O49" s="23">
        <f t="shared" si="17"/>
        <v>0.16422</v>
      </c>
      <c r="P49" s="23">
        <f t="shared" si="17"/>
        <v>0.20422000000000001</v>
      </c>
      <c r="Q49" s="23">
        <f t="shared" si="17"/>
        <v>0.24421999999999999</v>
      </c>
      <c r="R49" s="23">
        <f>(scatterplots_LWG_grazdays_CS!$V$4*$A49+scatterplots_LWG_grazdays_CS!$W$4)/1000+R48</f>
        <v>9.8812799999999985</v>
      </c>
      <c r="S49" s="23">
        <f t="shared" si="25"/>
        <v>9.8812799999999985</v>
      </c>
      <c r="T49" s="23">
        <f t="shared" si="39"/>
        <v>9.8812799999999985</v>
      </c>
      <c r="U49" s="23">
        <f t="shared" si="39"/>
        <v>9.8812799999999985</v>
      </c>
      <c r="V49" s="23">
        <f>(scatterplots_LWG_grazdays_CS!$V$5*$A49+scatterplots_LWG_grazdays_CS!$W$5)/1000</f>
        <v>9.883999999999997E-2</v>
      </c>
      <c r="W49" s="23">
        <f t="shared" si="11"/>
        <v>0.13883999999999996</v>
      </c>
      <c r="X49" s="23">
        <f t="shared" si="40"/>
        <v>0.17883999999999997</v>
      </c>
      <c r="Y49" s="23">
        <f t="shared" si="40"/>
        <v>0.21883999999999998</v>
      </c>
      <c r="Z49" s="23">
        <f>(scatterplots_LWG_grazdays_CS!$V$5*$A49+scatterplots_LWG_grazdays_CS!$W$5)/1000+Z48</f>
        <v>9.2721599999999995</v>
      </c>
      <c r="AA49" s="23">
        <f t="shared" si="18"/>
        <v>9.2721599999999995</v>
      </c>
      <c r="AB49" s="23">
        <f t="shared" si="41"/>
        <v>9.2721599999999995</v>
      </c>
      <c r="AC49" s="23">
        <f t="shared" si="41"/>
        <v>9.2721599999999995</v>
      </c>
      <c r="AD49" s="23">
        <f>(scatterplots_LWG_grazdays_CS!$V$6*$A49+scatterplots_LWG_grazdays_CS!$W$6)/1000</f>
        <v>5.8420000000000014E-2</v>
      </c>
      <c r="AE49" s="23">
        <f t="shared" si="14"/>
        <v>9.8420000000000007E-2</v>
      </c>
      <c r="AF49" s="23">
        <f t="shared" si="32"/>
        <v>0.13842000000000002</v>
      </c>
      <c r="AG49" s="23">
        <f t="shared" si="32"/>
        <v>0.17842000000000002</v>
      </c>
      <c r="AH49" s="23">
        <f>(scatterplots_LWG_grazdays_CS!$V$6*$A49+scatterplots_LWG_grazdays_CS!$W$6)/1000+AH48</f>
        <v>8.3020800000000037</v>
      </c>
      <c r="AI49" s="23">
        <f t="shared" si="15"/>
        <v>8.3020800000000037</v>
      </c>
      <c r="AJ49" s="23">
        <f t="shared" si="33"/>
        <v>8.3020800000000037</v>
      </c>
      <c r="AK49" s="23">
        <f t="shared" si="33"/>
        <v>8.3020800000000037</v>
      </c>
    </row>
    <row r="50" spans="1:37">
      <c r="A50" s="12">
        <v>48</v>
      </c>
      <c r="B50" s="12">
        <v>48</v>
      </c>
      <c r="C50" s="23">
        <f>(scatterplots_LWG_grazdays_CS!$V$3*$A50+scatterplots_LWG_grazdays_CS!$W$3)/1000</f>
        <v>0.16368000000000002</v>
      </c>
      <c r="D50" s="23">
        <f t="shared" si="38"/>
        <v>0.20368000000000003</v>
      </c>
      <c r="E50" s="23">
        <f t="shared" si="38"/>
        <v>0.24368000000000001</v>
      </c>
      <c r="F50" s="23">
        <f t="shared" si="38"/>
        <v>0.28368000000000004</v>
      </c>
      <c r="G50" s="23">
        <f>(scatterplots_LWG_grazdays_CS!$V$3*$A50+scatterplots_LWG_grazdays_CS!$W$3)/1000+G49</f>
        <v>11.060160000000002</v>
      </c>
      <c r="H50" s="23">
        <f t="shared" si="43"/>
        <v>11.060160000000002</v>
      </c>
      <c r="I50" s="23">
        <f t="shared" si="43"/>
        <v>11.220160000000002</v>
      </c>
      <c r="J50" s="23">
        <f t="shared" si="42"/>
        <v>12.220160000000002</v>
      </c>
      <c r="K50" s="23">
        <f t="shared" si="36"/>
        <v>12.62016</v>
      </c>
      <c r="L50" s="23">
        <f t="shared" si="7"/>
        <v>11.060160000000002</v>
      </c>
      <c r="M50" s="23">
        <f t="shared" si="8"/>
        <v>11.060160000000002</v>
      </c>
      <c r="N50" s="23">
        <f>(scatterplots_LWG_grazdays_CS!$V$4*$A50+scatterplots_LWG_grazdays_CS!$W$4)/1000</f>
        <v>0.12047999999999999</v>
      </c>
      <c r="O50" s="23">
        <f t="shared" si="17"/>
        <v>0.16047999999999998</v>
      </c>
      <c r="P50" s="23">
        <f t="shared" si="17"/>
        <v>0.20047999999999999</v>
      </c>
      <c r="Q50" s="23">
        <f t="shared" si="17"/>
        <v>0.24047999999999997</v>
      </c>
      <c r="R50" s="23">
        <f>(scatterplots_LWG_grazdays_CS!$V$4*$A50+scatterplots_LWG_grazdays_CS!$W$4)/1000+R49</f>
        <v>10.001759999999999</v>
      </c>
      <c r="S50" s="23">
        <f t="shared" si="25"/>
        <v>10.001759999999999</v>
      </c>
      <c r="T50" s="23">
        <f t="shared" si="39"/>
        <v>10.001759999999999</v>
      </c>
      <c r="U50" s="23">
        <f t="shared" si="39"/>
        <v>10.001759999999999</v>
      </c>
      <c r="V50" s="23">
        <f>(scatterplots_LWG_grazdays_CS!$V$5*$A50+scatterplots_LWG_grazdays_CS!$W$5)/1000</f>
        <v>9.4560000000000005E-2</v>
      </c>
      <c r="W50" s="23">
        <f t="shared" si="11"/>
        <v>0.13456000000000001</v>
      </c>
      <c r="X50" s="23">
        <f t="shared" si="40"/>
        <v>0.17455999999999999</v>
      </c>
      <c r="Y50" s="23">
        <f t="shared" si="40"/>
        <v>0.21456</v>
      </c>
      <c r="Z50" s="23">
        <f>(scatterplots_LWG_grazdays_CS!$V$5*$A50+scatterplots_LWG_grazdays_CS!$W$5)/1000+Z49</f>
        <v>9.366719999999999</v>
      </c>
      <c r="AA50" s="23">
        <f t="shared" si="18"/>
        <v>9.366719999999999</v>
      </c>
      <c r="AB50" s="23">
        <f t="shared" si="41"/>
        <v>9.366719999999999</v>
      </c>
      <c r="AC50" s="23">
        <f t="shared" si="41"/>
        <v>9.366719999999999</v>
      </c>
      <c r="AD50" s="23">
        <f>(scatterplots_LWG_grazdays_CS!$V$6*$A50+scatterplots_LWG_grazdays_CS!$W$6)/1000</f>
        <v>5.3280000000000029E-2</v>
      </c>
      <c r="AE50" s="23">
        <f t="shared" si="14"/>
        <v>9.328000000000003E-2</v>
      </c>
      <c r="AF50" s="23">
        <f t="shared" si="32"/>
        <v>0.13328000000000004</v>
      </c>
      <c r="AG50" s="23">
        <f t="shared" si="32"/>
        <v>0.17328000000000002</v>
      </c>
      <c r="AH50" s="23">
        <f>(scatterplots_LWG_grazdays_CS!$V$6*$A50+scatterplots_LWG_grazdays_CS!$W$6)/1000+AH49</f>
        <v>8.3553600000000046</v>
      </c>
      <c r="AI50" s="23">
        <f t="shared" si="15"/>
        <v>8.3553600000000046</v>
      </c>
      <c r="AJ50" s="23">
        <f t="shared" si="33"/>
        <v>8.3553600000000046</v>
      </c>
      <c r="AK50" s="23">
        <f t="shared" si="33"/>
        <v>8.3553600000000046</v>
      </c>
    </row>
    <row r="51" spans="1:37">
      <c r="A51" s="12">
        <v>49</v>
      </c>
      <c r="B51" s="12">
        <v>49</v>
      </c>
      <c r="C51" s="23">
        <f>(scatterplots_LWG_grazdays_CS!$V$3*$A51+scatterplots_LWG_grazdays_CS!$W$3)/1000</f>
        <v>0.16084000000000001</v>
      </c>
      <c r="D51" s="23">
        <f t="shared" si="38"/>
        <v>0.20084000000000002</v>
      </c>
      <c r="E51" s="23">
        <f t="shared" si="38"/>
        <v>0.24084</v>
      </c>
      <c r="F51" s="23">
        <f t="shared" si="38"/>
        <v>0.28083999999999998</v>
      </c>
      <c r="G51" s="23">
        <f>(scatterplots_LWG_grazdays_CS!$V$3*$A51+scatterplots_LWG_grazdays_CS!$W$3)/1000+G50</f>
        <v>11.221000000000002</v>
      </c>
      <c r="H51" s="23">
        <f t="shared" si="43"/>
        <v>11.221000000000002</v>
      </c>
      <c r="I51" s="23">
        <f t="shared" si="43"/>
        <v>11.421000000000001</v>
      </c>
      <c r="J51" s="23">
        <f t="shared" si="42"/>
        <v>12.421000000000001</v>
      </c>
      <c r="K51" s="23">
        <f t="shared" si="36"/>
        <v>12.821</v>
      </c>
      <c r="L51" s="23">
        <f t="shared" si="7"/>
        <v>11.221000000000002</v>
      </c>
      <c r="M51" s="23">
        <f t="shared" si="8"/>
        <v>11.221000000000002</v>
      </c>
      <c r="N51" s="23">
        <f>(scatterplots_LWG_grazdays_CS!$V$4*$A51+scatterplots_LWG_grazdays_CS!$W$4)/1000</f>
        <v>0.11673999999999998</v>
      </c>
      <c r="O51" s="23">
        <f t="shared" si="17"/>
        <v>0.15673999999999999</v>
      </c>
      <c r="P51" s="23">
        <f t="shared" si="17"/>
        <v>0.19673999999999997</v>
      </c>
      <c r="Q51" s="23">
        <f t="shared" si="17"/>
        <v>0.23673999999999998</v>
      </c>
      <c r="R51" s="23">
        <f>(scatterplots_LWG_grazdays_CS!$V$4*$A51+scatterplots_LWG_grazdays_CS!$W$4)/1000+R50</f>
        <v>10.118499999999999</v>
      </c>
      <c r="S51" s="23">
        <f t="shared" si="25"/>
        <v>10.118499999999999</v>
      </c>
      <c r="T51" s="23">
        <f t="shared" si="39"/>
        <v>10.118499999999999</v>
      </c>
      <c r="U51" s="23">
        <f t="shared" si="39"/>
        <v>10.118499999999999</v>
      </c>
      <c r="V51" s="23">
        <f>(scatterplots_LWG_grazdays_CS!$V$5*$A51+scatterplots_LWG_grazdays_CS!$W$5)/1000</f>
        <v>9.0279999999999999E-2</v>
      </c>
      <c r="W51" s="23">
        <f t="shared" si="11"/>
        <v>0.13028000000000001</v>
      </c>
      <c r="X51" s="23">
        <f t="shared" si="40"/>
        <v>0.17027999999999999</v>
      </c>
      <c r="Y51" s="23">
        <f t="shared" si="40"/>
        <v>0.21027999999999999</v>
      </c>
      <c r="Z51" s="23">
        <f>(scatterplots_LWG_grazdays_CS!$V$5*$A51+scatterplots_LWG_grazdays_CS!$W$5)/1000+Z50</f>
        <v>9.456999999999999</v>
      </c>
      <c r="AA51" s="23">
        <f t="shared" si="18"/>
        <v>9.456999999999999</v>
      </c>
      <c r="AB51" s="23">
        <f t="shared" si="41"/>
        <v>9.456999999999999</v>
      </c>
      <c r="AC51" s="23">
        <f t="shared" si="41"/>
        <v>9.456999999999999</v>
      </c>
      <c r="AD51" s="23">
        <f>(scatterplots_LWG_grazdays_CS!$V$6*$A51+scatterplots_LWG_grazdays_CS!$W$6)/1000</f>
        <v>4.8140000000000016E-2</v>
      </c>
      <c r="AE51" s="23">
        <f t="shared" si="14"/>
        <v>8.8140000000000024E-2</v>
      </c>
      <c r="AF51" s="23">
        <f t="shared" si="32"/>
        <v>0.12814000000000003</v>
      </c>
      <c r="AG51" s="23">
        <f t="shared" si="32"/>
        <v>0.16814000000000001</v>
      </c>
      <c r="AH51" s="23">
        <f>(scatterplots_LWG_grazdays_CS!$V$6*$A51+scatterplots_LWG_grazdays_CS!$W$6)/1000+AH50</f>
        <v>8.4035000000000046</v>
      </c>
      <c r="AI51" s="23">
        <f t="shared" si="15"/>
        <v>8.4035000000000046</v>
      </c>
      <c r="AJ51" s="23">
        <f t="shared" si="33"/>
        <v>8.4035000000000046</v>
      </c>
      <c r="AK51" s="23">
        <f t="shared" si="33"/>
        <v>8.4035000000000046</v>
      </c>
    </row>
    <row r="52" spans="1:37">
      <c r="A52" s="12">
        <v>50</v>
      </c>
      <c r="B52" s="12">
        <v>50</v>
      </c>
      <c r="C52" s="23">
        <f>(scatterplots_LWG_grazdays_CS!$V$3*$A52+scatterplots_LWG_grazdays_CS!$W$3)/1000</f>
        <v>0.158</v>
      </c>
      <c r="D52" s="23">
        <f t="shared" si="38"/>
        <v>0.19800000000000001</v>
      </c>
      <c r="E52" s="23">
        <f t="shared" si="38"/>
        <v>0.23799999999999999</v>
      </c>
      <c r="F52" s="23">
        <f t="shared" si="38"/>
        <v>0.27800000000000002</v>
      </c>
      <c r="G52" s="23">
        <f>(scatterplots_LWG_grazdays_CS!$V$3*$A52+scatterplots_LWG_grazdays_CS!$W$3)/1000+G51</f>
        <v>11.379000000000001</v>
      </c>
      <c r="H52" s="23">
        <f t="shared" si="43"/>
        <v>11.379000000000001</v>
      </c>
      <c r="I52" s="23">
        <f t="shared" si="43"/>
        <v>11.619000000000002</v>
      </c>
      <c r="J52" s="23">
        <f t="shared" si="42"/>
        <v>12.619000000000002</v>
      </c>
      <c r="K52" s="23">
        <f t="shared" si="36"/>
        <v>13.019</v>
      </c>
      <c r="L52" s="23">
        <f t="shared" si="7"/>
        <v>11.379000000000001</v>
      </c>
      <c r="M52" s="23">
        <f t="shared" si="8"/>
        <v>11.379000000000001</v>
      </c>
      <c r="N52" s="23">
        <f>(scatterplots_LWG_grazdays_CS!$V$4*$A52+scatterplots_LWG_grazdays_CS!$W$4)/1000</f>
        <v>0.113</v>
      </c>
      <c r="O52" s="23">
        <f t="shared" si="17"/>
        <v>0.153</v>
      </c>
      <c r="P52" s="23">
        <f t="shared" si="17"/>
        <v>0.193</v>
      </c>
      <c r="Q52" s="23">
        <f t="shared" si="17"/>
        <v>0.23299999999999998</v>
      </c>
      <c r="R52" s="23">
        <f>(scatterplots_LWG_grazdays_CS!$V$4*$A52+scatterplots_LWG_grazdays_CS!$W$4)/1000+R51</f>
        <v>10.231499999999999</v>
      </c>
      <c r="S52" s="23">
        <f t="shared" si="25"/>
        <v>10.231499999999999</v>
      </c>
      <c r="T52" s="23">
        <f t="shared" ref="T52:U67" si="44">$N52+T51</f>
        <v>10.231499999999999</v>
      </c>
      <c r="U52" s="23">
        <f t="shared" si="44"/>
        <v>10.231499999999999</v>
      </c>
      <c r="V52" s="23">
        <f>(scatterplots_LWG_grazdays_CS!$V$5*$A52+scatterplots_LWG_grazdays_CS!$W$5)/1000</f>
        <v>8.5999999999999993E-2</v>
      </c>
      <c r="W52" s="23">
        <f t="shared" si="11"/>
        <v>0.126</v>
      </c>
      <c r="X52" s="23">
        <f t="shared" si="40"/>
        <v>0.16599999999999998</v>
      </c>
      <c r="Y52" s="23">
        <f t="shared" si="40"/>
        <v>0.20599999999999999</v>
      </c>
      <c r="Z52" s="23">
        <f>(scatterplots_LWG_grazdays_CS!$V$5*$A52+scatterplots_LWG_grazdays_CS!$W$5)/1000+Z51</f>
        <v>9.5429999999999993</v>
      </c>
      <c r="AA52" s="23">
        <f t="shared" si="18"/>
        <v>9.5429999999999993</v>
      </c>
      <c r="AB52" s="23">
        <f t="shared" ref="AB52:AC67" si="45">AB51+$V52</f>
        <v>9.5429999999999993</v>
      </c>
      <c r="AC52" s="23">
        <f t="shared" si="45"/>
        <v>9.5429999999999993</v>
      </c>
      <c r="AD52" s="23">
        <f>(scatterplots_LWG_grazdays_CS!$V$6*$A52+scatterplots_LWG_grazdays_CS!$W$6)/1000</f>
        <v>4.2999999999999997E-2</v>
      </c>
      <c r="AE52" s="23">
        <f t="shared" si="14"/>
        <v>8.299999999999999E-2</v>
      </c>
      <c r="AF52" s="23">
        <f t="shared" si="32"/>
        <v>0.123</v>
      </c>
      <c r="AG52" s="23">
        <f t="shared" si="32"/>
        <v>0.16299999999999998</v>
      </c>
      <c r="AH52" s="23">
        <f>(scatterplots_LWG_grazdays_CS!$V$6*$A52+scatterplots_LWG_grazdays_CS!$W$6)/1000+AH51</f>
        <v>8.4465000000000039</v>
      </c>
      <c r="AI52" s="23">
        <f t="shared" si="15"/>
        <v>8.4465000000000039</v>
      </c>
      <c r="AJ52" s="23">
        <f t="shared" si="33"/>
        <v>8.4465000000000039</v>
      </c>
      <c r="AK52" s="23">
        <f t="shared" si="33"/>
        <v>8.4465000000000039</v>
      </c>
    </row>
    <row r="53" spans="1:37">
      <c r="A53" s="12">
        <v>51</v>
      </c>
      <c r="B53" s="12">
        <v>51</v>
      </c>
      <c r="C53" s="23">
        <f>(scatterplots_LWG_grazdays_CS!$V$3*$A53+scatterplots_LWG_grazdays_CS!$W$3)/1000</f>
        <v>0.15515999999999999</v>
      </c>
      <c r="D53" s="23">
        <f t="shared" si="38"/>
        <v>0.19516</v>
      </c>
      <c r="E53" s="23">
        <f t="shared" si="38"/>
        <v>0.23515999999999998</v>
      </c>
      <c r="F53" s="23">
        <f t="shared" si="38"/>
        <v>0.27515999999999996</v>
      </c>
      <c r="G53" s="23">
        <f>(scatterplots_LWG_grazdays_CS!$V$3*$A53+scatterplots_LWG_grazdays_CS!$W$3)/1000+G52</f>
        <v>11.534160000000002</v>
      </c>
      <c r="H53" s="23">
        <f t="shared" si="43"/>
        <v>11.534160000000002</v>
      </c>
      <c r="I53" s="23">
        <f t="shared" si="43"/>
        <v>11.814160000000001</v>
      </c>
      <c r="J53" s="23">
        <f t="shared" si="42"/>
        <v>12.814160000000001</v>
      </c>
      <c r="K53" s="23">
        <f t="shared" si="36"/>
        <v>13.21416</v>
      </c>
      <c r="L53" s="23">
        <f t="shared" si="7"/>
        <v>11.534160000000002</v>
      </c>
      <c r="M53" s="23">
        <f t="shared" si="8"/>
        <v>11.534160000000002</v>
      </c>
      <c r="N53" s="23">
        <f>(scatterplots_LWG_grazdays_CS!$V$4*$A53+scatterplots_LWG_grazdays_CS!$W$4)/1000</f>
        <v>0.10926</v>
      </c>
      <c r="O53" s="23">
        <f t="shared" si="17"/>
        <v>0.14926</v>
      </c>
      <c r="P53" s="23">
        <f t="shared" si="17"/>
        <v>0.18925999999999998</v>
      </c>
      <c r="Q53" s="23">
        <f t="shared" si="17"/>
        <v>0.22925999999999999</v>
      </c>
      <c r="R53" s="23">
        <f>(scatterplots_LWG_grazdays_CS!$V$4*$A53+scatterplots_LWG_grazdays_CS!$W$4)/1000+R52</f>
        <v>10.34076</v>
      </c>
      <c r="S53" s="23">
        <f t="shared" si="25"/>
        <v>10.34076</v>
      </c>
      <c r="T53" s="23">
        <f t="shared" si="44"/>
        <v>10.34076</v>
      </c>
      <c r="U53" s="23">
        <f t="shared" si="44"/>
        <v>10.34076</v>
      </c>
      <c r="V53" s="23">
        <f>(scatterplots_LWG_grazdays_CS!$V$5*$A53+scatterplots_LWG_grazdays_CS!$W$5)/1000</f>
        <v>8.1720000000000001E-2</v>
      </c>
      <c r="W53" s="23">
        <f t="shared" si="11"/>
        <v>0.12171999999999999</v>
      </c>
      <c r="X53" s="23">
        <f t="shared" si="40"/>
        <v>0.16172</v>
      </c>
      <c r="Y53" s="23">
        <f t="shared" si="40"/>
        <v>0.20172000000000001</v>
      </c>
      <c r="Z53" s="23">
        <f>(scatterplots_LWG_grazdays_CS!$V$5*$A53+scatterplots_LWG_grazdays_CS!$W$5)/1000+Z52</f>
        <v>9.6247199999999999</v>
      </c>
      <c r="AA53" s="23">
        <f t="shared" si="18"/>
        <v>9.6247199999999999</v>
      </c>
      <c r="AB53" s="23">
        <f t="shared" si="45"/>
        <v>9.6247199999999999</v>
      </c>
      <c r="AC53" s="23">
        <f t="shared" si="45"/>
        <v>9.6247199999999999</v>
      </c>
      <c r="AD53" s="23">
        <f>(scatterplots_LWG_grazdays_CS!$V$6*$A53+scatterplots_LWG_grazdays_CS!$W$6)/1000</f>
        <v>3.7860000000000012E-2</v>
      </c>
      <c r="AE53" s="23">
        <f t="shared" si="14"/>
        <v>7.7860000000000013E-2</v>
      </c>
      <c r="AF53" s="23">
        <f t="shared" si="32"/>
        <v>0.11786000000000002</v>
      </c>
      <c r="AG53" s="23">
        <f t="shared" si="32"/>
        <v>0.15786</v>
      </c>
      <c r="AH53" s="23">
        <f>(scatterplots_LWG_grazdays_CS!$V$6*$A53+scatterplots_LWG_grazdays_CS!$W$6)/1000+AH52</f>
        <v>8.4843600000000041</v>
      </c>
      <c r="AI53" s="23">
        <f t="shared" si="15"/>
        <v>8.4843600000000041</v>
      </c>
      <c r="AJ53" s="23">
        <f t="shared" si="33"/>
        <v>8.4843600000000041</v>
      </c>
      <c r="AK53" s="23">
        <f t="shared" si="33"/>
        <v>8.4843600000000041</v>
      </c>
    </row>
    <row r="54" spans="1:37">
      <c r="A54" s="12">
        <v>52</v>
      </c>
      <c r="B54" s="12">
        <v>52</v>
      </c>
      <c r="C54" s="23">
        <f>(scatterplots_LWG_grazdays_CS!$V$3*$A54+scatterplots_LWG_grazdays_CS!$W$3)/1000</f>
        <v>0.15231999999999998</v>
      </c>
      <c r="D54" s="23">
        <f t="shared" si="38"/>
        <v>0.19231999999999999</v>
      </c>
      <c r="E54" s="23">
        <f t="shared" si="38"/>
        <v>0.23231999999999997</v>
      </c>
      <c r="F54" s="23">
        <f t="shared" si="38"/>
        <v>0.27232000000000001</v>
      </c>
      <c r="G54" s="23">
        <f>(scatterplots_LWG_grazdays_CS!$V$3*$A54+scatterplots_LWG_grazdays_CS!$W$3)/1000+G53</f>
        <v>11.686480000000001</v>
      </c>
      <c r="H54" s="23">
        <f t="shared" si="43"/>
        <v>11.686480000000001</v>
      </c>
      <c r="I54" s="23">
        <f t="shared" si="43"/>
        <v>12.006480000000002</v>
      </c>
      <c r="J54" s="23">
        <f t="shared" si="42"/>
        <v>13.006480000000002</v>
      </c>
      <c r="K54" s="23">
        <f t="shared" si="36"/>
        <v>13.40648</v>
      </c>
      <c r="L54" s="23">
        <f t="shared" si="7"/>
        <v>11.686480000000001</v>
      </c>
      <c r="M54" s="23">
        <f t="shared" si="8"/>
        <v>11.686480000000001</v>
      </c>
      <c r="N54" s="23">
        <f>(scatterplots_LWG_grazdays_CS!$V$4*$A54+scatterplots_LWG_grazdays_CS!$W$4)/1000</f>
        <v>0.10551999999999997</v>
      </c>
      <c r="O54" s="23">
        <f t="shared" si="17"/>
        <v>0.14551999999999998</v>
      </c>
      <c r="P54" s="23">
        <f t="shared" si="17"/>
        <v>0.18551999999999996</v>
      </c>
      <c r="Q54" s="23">
        <f t="shared" si="17"/>
        <v>0.22551999999999997</v>
      </c>
      <c r="R54" s="23">
        <f>(scatterplots_LWG_grazdays_CS!$V$4*$A54+scatterplots_LWG_grazdays_CS!$W$4)/1000+R53</f>
        <v>10.44628</v>
      </c>
      <c r="S54" s="23">
        <f t="shared" si="25"/>
        <v>10.44628</v>
      </c>
      <c r="T54" s="23">
        <f t="shared" si="44"/>
        <v>10.44628</v>
      </c>
      <c r="U54" s="23">
        <f t="shared" si="44"/>
        <v>10.44628</v>
      </c>
      <c r="V54" s="23">
        <f>(scatterplots_LWG_grazdays_CS!$V$5*$A54+scatterplots_LWG_grazdays_CS!$W$5)/1000</f>
        <v>7.7439999999999995E-2</v>
      </c>
      <c r="W54" s="23">
        <f t="shared" si="11"/>
        <v>0.11743999999999999</v>
      </c>
      <c r="X54" s="23">
        <f t="shared" si="40"/>
        <v>0.15744</v>
      </c>
      <c r="Y54" s="23">
        <f t="shared" si="40"/>
        <v>0.19744</v>
      </c>
      <c r="Z54" s="23">
        <f>(scatterplots_LWG_grazdays_CS!$V$5*$A54+scatterplots_LWG_grazdays_CS!$W$5)/1000+Z53</f>
        <v>9.7021599999999992</v>
      </c>
      <c r="AA54" s="23">
        <f t="shared" si="18"/>
        <v>9.7021599999999992</v>
      </c>
      <c r="AB54" s="23">
        <f t="shared" si="45"/>
        <v>9.7021599999999992</v>
      </c>
      <c r="AC54" s="23">
        <f t="shared" si="45"/>
        <v>9.7021599999999992</v>
      </c>
      <c r="AD54" s="23">
        <f>(scatterplots_LWG_grazdays_CS!$V$6*$A54+scatterplots_LWG_grazdays_CS!$W$6)/1000</f>
        <v>3.2720000000000027E-2</v>
      </c>
      <c r="AE54" s="23">
        <f t="shared" si="14"/>
        <v>7.2720000000000035E-2</v>
      </c>
      <c r="AF54" s="23">
        <f t="shared" si="32"/>
        <v>0.11272000000000003</v>
      </c>
      <c r="AG54" s="23">
        <f t="shared" si="32"/>
        <v>0.15272000000000002</v>
      </c>
      <c r="AH54" s="23">
        <f>(scatterplots_LWG_grazdays_CS!$V$6*$A54+scatterplots_LWG_grazdays_CS!$W$6)/1000+AH53</f>
        <v>8.5170800000000035</v>
      </c>
      <c r="AI54" s="23">
        <f t="shared" si="15"/>
        <v>8.5170800000000035</v>
      </c>
      <c r="AJ54" s="23">
        <f t="shared" si="33"/>
        <v>8.5170800000000035</v>
      </c>
      <c r="AK54" s="23">
        <f t="shared" si="33"/>
        <v>8.5170800000000035</v>
      </c>
    </row>
    <row r="55" spans="1:37">
      <c r="A55" s="12">
        <v>53</v>
      </c>
      <c r="B55" s="12">
        <v>53</v>
      </c>
      <c r="C55" s="23">
        <f>(scatterplots_LWG_grazdays_CS!$V$3*$A55+scatterplots_LWG_grazdays_CS!$W$3)/1000</f>
        <v>0.14948000000000003</v>
      </c>
      <c r="D55" s="23">
        <f t="shared" si="38"/>
        <v>0.18948000000000004</v>
      </c>
      <c r="E55" s="23">
        <f t="shared" si="38"/>
        <v>0.22948000000000002</v>
      </c>
      <c r="F55" s="23">
        <f t="shared" si="38"/>
        <v>0.26948000000000005</v>
      </c>
      <c r="G55" s="23">
        <f>(scatterplots_LWG_grazdays_CS!$V$3*$A55+scatterplots_LWG_grazdays_CS!$W$3)/1000+G54</f>
        <v>11.835960000000002</v>
      </c>
      <c r="H55" s="23">
        <f t="shared" si="43"/>
        <v>11.835960000000002</v>
      </c>
      <c r="I55" s="23">
        <f t="shared" si="43"/>
        <v>12.195960000000001</v>
      </c>
      <c r="J55" s="23">
        <f t="shared" si="42"/>
        <v>13.195960000000001</v>
      </c>
      <c r="K55" s="23">
        <f t="shared" si="36"/>
        <v>13.59596</v>
      </c>
      <c r="L55" s="23">
        <f t="shared" si="7"/>
        <v>11.835960000000002</v>
      </c>
      <c r="M55" s="23">
        <f t="shared" si="8"/>
        <v>11.835960000000002</v>
      </c>
      <c r="N55" s="23">
        <f>(scatterplots_LWG_grazdays_CS!$V$4*$A55+scatterplots_LWG_grazdays_CS!$W$4)/1000</f>
        <v>0.10178</v>
      </c>
      <c r="O55" s="23">
        <f t="shared" si="17"/>
        <v>0.14177999999999999</v>
      </c>
      <c r="P55" s="23">
        <f t="shared" si="17"/>
        <v>0.18178</v>
      </c>
      <c r="Q55" s="23">
        <f t="shared" si="17"/>
        <v>0.22177999999999998</v>
      </c>
      <c r="R55" s="23">
        <f>(scatterplots_LWG_grazdays_CS!$V$4*$A55+scatterplots_LWG_grazdays_CS!$W$4)/1000+R54</f>
        <v>10.54806</v>
      </c>
      <c r="S55" s="23">
        <f>N55+S54</f>
        <v>10.54806</v>
      </c>
      <c r="T55" s="23">
        <f t="shared" si="44"/>
        <v>10.54806</v>
      </c>
      <c r="U55" s="23">
        <f t="shared" si="44"/>
        <v>10.54806</v>
      </c>
      <c r="V55" s="23">
        <f>(scatterplots_LWG_grazdays_CS!$V$5*$A55+scatterplots_LWG_grazdays_CS!$W$5)/1000</f>
        <v>7.3160000000000003E-2</v>
      </c>
      <c r="W55" s="23">
        <f t="shared" si="11"/>
        <v>0.11316000000000001</v>
      </c>
      <c r="X55" s="23">
        <f t="shared" si="40"/>
        <v>0.15316000000000002</v>
      </c>
      <c r="Y55" s="23">
        <f t="shared" si="40"/>
        <v>0.19316</v>
      </c>
      <c r="Z55" s="23">
        <f>(scatterplots_LWG_grazdays_CS!$V$5*$A55+scatterplots_LWG_grazdays_CS!$W$5)/1000+Z54</f>
        <v>9.7753199999999989</v>
      </c>
      <c r="AA55" s="23">
        <f t="shared" si="18"/>
        <v>9.7753199999999989</v>
      </c>
      <c r="AB55" s="23">
        <f t="shared" si="45"/>
        <v>9.7753199999999989</v>
      </c>
      <c r="AC55" s="23">
        <f t="shared" si="45"/>
        <v>9.7753199999999989</v>
      </c>
      <c r="AD55" s="23">
        <f>(scatterplots_LWG_grazdays_CS!$V$6*$A55+scatterplots_LWG_grazdays_CS!$W$6)/1000</f>
        <v>2.7580000000000042E-2</v>
      </c>
      <c r="AE55" s="23">
        <f t="shared" si="14"/>
        <v>6.7580000000000043E-2</v>
      </c>
      <c r="AF55" s="23">
        <f t="shared" si="32"/>
        <v>0.10758000000000004</v>
      </c>
      <c r="AG55" s="23">
        <f t="shared" si="32"/>
        <v>0.14758000000000004</v>
      </c>
      <c r="AH55" s="23">
        <f>(scatterplots_LWG_grazdays_CS!$V$6*$A55+scatterplots_LWG_grazdays_CS!$W$6)/1000+AH54</f>
        <v>8.5446600000000039</v>
      </c>
      <c r="AI55" s="23">
        <f t="shared" si="15"/>
        <v>8.5446600000000039</v>
      </c>
      <c r="AJ55" s="23">
        <f t="shared" si="33"/>
        <v>8.5446600000000039</v>
      </c>
      <c r="AK55" s="23">
        <f t="shared" si="33"/>
        <v>8.5446600000000039</v>
      </c>
    </row>
    <row r="56" spans="1:37">
      <c r="A56" s="12">
        <v>54</v>
      </c>
      <c r="B56" s="12">
        <v>54</v>
      </c>
      <c r="C56" s="23">
        <f>(scatterplots_LWG_grazdays_CS!$V$3*$A56+scatterplots_LWG_grazdays_CS!$W$3)/1000</f>
        <v>0.14664000000000002</v>
      </c>
      <c r="D56" s="23">
        <f t="shared" si="38"/>
        <v>0.18664000000000003</v>
      </c>
      <c r="E56" s="23">
        <f t="shared" si="38"/>
        <v>0.22664000000000001</v>
      </c>
      <c r="F56" s="23">
        <f t="shared" si="38"/>
        <v>0.26663999999999999</v>
      </c>
      <c r="G56" s="23">
        <f>(scatterplots_LWG_grazdays_CS!$V$3*$A56+scatterplots_LWG_grazdays_CS!$W$3)/1000+G55</f>
        <v>11.982600000000001</v>
      </c>
      <c r="H56" s="23">
        <f t="shared" si="43"/>
        <v>11.982600000000001</v>
      </c>
      <c r="I56" s="23">
        <f t="shared" si="43"/>
        <v>12.382600000000002</v>
      </c>
      <c r="J56" s="23">
        <f t="shared" si="42"/>
        <v>13.382600000000002</v>
      </c>
      <c r="K56" s="23">
        <f t="shared" si="36"/>
        <v>13.7826</v>
      </c>
      <c r="L56" s="23">
        <f t="shared" si="7"/>
        <v>11.982600000000001</v>
      </c>
      <c r="M56" s="23">
        <f t="shared" si="8"/>
        <v>11.982600000000001</v>
      </c>
      <c r="N56" s="23">
        <f>(scatterplots_LWG_grazdays_CS!$V$4*$A56+scatterplots_LWG_grazdays_CS!$W$4)/1000</f>
        <v>9.8039999999999988E-2</v>
      </c>
      <c r="O56" s="23">
        <f t="shared" si="17"/>
        <v>0.13804</v>
      </c>
      <c r="P56" s="23">
        <f t="shared" si="17"/>
        <v>0.17803999999999998</v>
      </c>
      <c r="Q56" s="23">
        <f t="shared" si="17"/>
        <v>0.21803999999999998</v>
      </c>
      <c r="R56" s="23">
        <f>(scatterplots_LWG_grazdays_CS!$V$4*$A56+scatterplots_LWG_grazdays_CS!$W$4)/1000+R55</f>
        <v>10.646099999999999</v>
      </c>
      <c r="S56" s="23">
        <f t="shared" ref="S56:S91" si="46">N56+S55</f>
        <v>10.646099999999999</v>
      </c>
      <c r="T56" s="23">
        <f t="shared" si="44"/>
        <v>10.646099999999999</v>
      </c>
      <c r="U56" s="23">
        <f t="shared" si="44"/>
        <v>10.646099999999999</v>
      </c>
      <c r="V56" s="23">
        <f>(scatterplots_LWG_grazdays_CS!$V$5*$A56+scatterplots_LWG_grazdays_CS!$W$5)/1000</f>
        <v>6.8879999999999997E-2</v>
      </c>
      <c r="W56" s="23">
        <f t="shared" si="11"/>
        <v>0.10888</v>
      </c>
      <c r="X56" s="23">
        <f t="shared" si="40"/>
        <v>0.14888000000000001</v>
      </c>
      <c r="Y56" s="23">
        <f t="shared" si="40"/>
        <v>0.18887999999999999</v>
      </c>
      <c r="Z56" s="23">
        <f>(scatterplots_LWG_grazdays_CS!$V$5*$A56+scatterplots_LWG_grazdays_CS!$W$5)/1000+Z55</f>
        <v>9.844199999999999</v>
      </c>
      <c r="AA56" s="23">
        <f t="shared" si="18"/>
        <v>9.844199999999999</v>
      </c>
      <c r="AB56" s="23">
        <f t="shared" si="45"/>
        <v>9.844199999999999</v>
      </c>
      <c r="AC56" s="23">
        <f t="shared" si="45"/>
        <v>9.844199999999999</v>
      </c>
      <c r="AD56" s="23">
        <f>(scatterplots_LWG_grazdays_CS!$V$6*$A56+scatterplots_LWG_grazdays_CS!$W$6)/1000</f>
        <v>2.2439999999999998E-2</v>
      </c>
      <c r="AE56" s="23">
        <f t="shared" si="14"/>
        <v>6.2439999999999996E-2</v>
      </c>
      <c r="AF56" s="23">
        <f t="shared" si="32"/>
        <v>0.10244</v>
      </c>
      <c r="AG56" s="23">
        <f t="shared" si="32"/>
        <v>0.14243999999999998</v>
      </c>
      <c r="AH56" s="23">
        <f>(scatterplots_LWG_grazdays_CS!$V$6*$A56+scatterplots_LWG_grazdays_CS!$W$6)/1000+AH55</f>
        <v>8.5671000000000035</v>
      </c>
      <c r="AI56" s="23">
        <f t="shared" si="15"/>
        <v>8.5671000000000035</v>
      </c>
      <c r="AJ56" s="23">
        <f t="shared" si="33"/>
        <v>8.5671000000000035</v>
      </c>
      <c r="AK56" s="23">
        <f t="shared" si="33"/>
        <v>8.5671000000000035</v>
      </c>
    </row>
    <row r="57" spans="1:37">
      <c r="A57" s="12">
        <v>55</v>
      </c>
      <c r="B57" s="12">
        <v>55</v>
      </c>
      <c r="C57" s="23">
        <f>(scatterplots_LWG_grazdays_CS!$V$3*$A57+scatterplots_LWG_grazdays_CS!$W$3)/1000</f>
        <v>0.14380000000000001</v>
      </c>
      <c r="D57" s="23">
        <f t="shared" si="38"/>
        <v>0.18380000000000002</v>
      </c>
      <c r="E57" s="23">
        <f t="shared" si="38"/>
        <v>0.2238</v>
      </c>
      <c r="F57" s="23">
        <f t="shared" si="38"/>
        <v>0.26380000000000003</v>
      </c>
      <c r="G57" s="23">
        <f>(scatterplots_LWG_grazdays_CS!$V$3*$A57+scatterplots_LWG_grazdays_CS!$W$3)/1000+G56</f>
        <v>12.126400000000002</v>
      </c>
      <c r="H57" s="23">
        <f t="shared" si="43"/>
        <v>12.126400000000002</v>
      </c>
      <c r="I57" s="23">
        <f t="shared" si="43"/>
        <v>12.566400000000002</v>
      </c>
      <c r="J57" s="23">
        <f t="shared" ref="J57:J120" si="47">D57+J56</f>
        <v>13.566400000000002</v>
      </c>
      <c r="K57" s="23">
        <f t="shared" si="36"/>
        <v>13.9664</v>
      </c>
      <c r="L57" s="23">
        <f t="shared" si="7"/>
        <v>12.126400000000002</v>
      </c>
      <c r="M57" s="23">
        <f t="shared" si="8"/>
        <v>12.126400000000002</v>
      </c>
      <c r="N57" s="23">
        <f>(scatterplots_LWG_grazdays_CS!$V$4*$A57+scatterplots_LWG_grazdays_CS!$W$4)/1000</f>
        <v>9.4299999999999981E-2</v>
      </c>
      <c r="O57" s="23">
        <f t="shared" si="17"/>
        <v>0.13429999999999997</v>
      </c>
      <c r="P57" s="23">
        <f t="shared" si="17"/>
        <v>0.17429999999999998</v>
      </c>
      <c r="Q57" s="23">
        <f t="shared" si="17"/>
        <v>0.21429999999999999</v>
      </c>
      <c r="R57" s="23">
        <f>(scatterplots_LWG_grazdays_CS!$V$4*$A57+scatterplots_LWG_grazdays_CS!$W$4)/1000+R56</f>
        <v>10.740399999999999</v>
      </c>
      <c r="S57" s="23">
        <f t="shared" si="46"/>
        <v>10.740399999999999</v>
      </c>
      <c r="T57" s="23">
        <f t="shared" si="44"/>
        <v>10.740399999999999</v>
      </c>
      <c r="U57" s="23">
        <f t="shared" si="44"/>
        <v>10.740399999999999</v>
      </c>
      <c r="V57" s="23">
        <f>(scatterplots_LWG_grazdays_CS!$V$5*$A57+scatterplots_LWG_grazdays_CS!$W$5)/1000</f>
        <v>6.4599999999999991E-2</v>
      </c>
      <c r="W57" s="23">
        <f t="shared" si="11"/>
        <v>0.1046</v>
      </c>
      <c r="X57" s="23">
        <f t="shared" si="40"/>
        <v>0.14460000000000001</v>
      </c>
      <c r="Y57" s="23">
        <f t="shared" si="40"/>
        <v>0.18459999999999999</v>
      </c>
      <c r="Z57" s="23">
        <f>(scatterplots_LWG_grazdays_CS!$V$5*$A57+scatterplots_LWG_grazdays_CS!$W$5)/1000+Z56</f>
        <v>9.9087999999999994</v>
      </c>
      <c r="AA57" s="23">
        <f t="shared" si="18"/>
        <v>9.9087999999999994</v>
      </c>
      <c r="AB57" s="23">
        <f t="shared" si="45"/>
        <v>9.9087999999999994</v>
      </c>
      <c r="AC57" s="23">
        <f t="shared" si="45"/>
        <v>9.9087999999999994</v>
      </c>
      <c r="AD57" s="23">
        <f>(scatterplots_LWG_grazdays_CS!$V$6*$A57+scatterplots_LWG_grazdays_CS!$W$6)/1000</f>
        <v>1.730000000000001E-2</v>
      </c>
      <c r="AE57" s="23">
        <f t="shared" si="14"/>
        <v>5.7300000000000011E-2</v>
      </c>
      <c r="AF57" s="23">
        <f t="shared" si="32"/>
        <v>9.7300000000000011E-2</v>
      </c>
      <c r="AG57" s="23">
        <f t="shared" si="32"/>
        <v>0.13730000000000001</v>
      </c>
      <c r="AH57" s="23">
        <f>(scatterplots_LWG_grazdays_CS!$V$6*$A57+scatterplots_LWG_grazdays_CS!$W$6)/1000+AH56</f>
        <v>8.584400000000004</v>
      </c>
      <c r="AI57" s="23">
        <f t="shared" si="15"/>
        <v>8.584400000000004</v>
      </c>
      <c r="AJ57" s="23">
        <f t="shared" si="33"/>
        <v>8.584400000000004</v>
      </c>
      <c r="AK57" s="23">
        <f t="shared" si="33"/>
        <v>8.584400000000004</v>
      </c>
    </row>
    <row r="58" spans="1:37">
      <c r="A58" s="12">
        <v>56</v>
      </c>
      <c r="B58" s="12">
        <v>56</v>
      </c>
      <c r="C58" s="23">
        <f>(scatterplots_LWG_grazdays_CS!$V$3*$A58+scatterplots_LWG_grazdays_CS!$W$3)/1000</f>
        <v>0.14096</v>
      </c>
      <c r="D58" s="23">
        <f t="shared" si="38"/>
        <v>0.18096000000000001</v>
      </c>
      <c r="E58" s="23">
        <f t="shared" si="38"/>
        <v>0.22095999999999999</v>
      </c>
      <c r="F58" s="23">
        <f t="shared" si="38"/>
        <v>0.26095999999999997</v>
      </c>
      <c r="G58" s="23">
        <f>(scatterplots_LWG_grazdays_CS!$V$3*$A58+scatterplots_LWG_grazdays_CS!$W$3)/1000+G57</f>
        <v>12.267360000000002</v>
      </c>
      <c r="H58" s="23">
        <f t="shared" si="43"/>
        <v>12.267360000000002</v>
      </c>
      <c r="I58" s="23">
        <f t="shared" si="43"/>
        <v>12.747360000000002</v>
      </c>
      <c r="J58" s="23">
        <f t="shared" si="47"/>
        <v>13.747360000000002</v>
      </c>
      <c r="K58" s="23">
        <f t="shared" si="36"/>
        <v>14.147360000000001</v>
      </c>
      <c r="L58" s="23">
        <f t="shared" si="7"/>
        <v>12.267360000000002</v>
      </c>
      <c r="M58" s="23">
        <f t="shared" si="8"/>
        <v>12.267360000000002</v>
      </c>
      <c r="N58" s="23">
        <f>(scatterplots_LWG_grazdays_CS!$V$4*$A58+scatterplots_LWG_grazdays_CS!$W$4)/1000</f>
        <v>9.0560000000000002E-2</v>
      </c>
      <c r="O58" s="23">
        <f t="shared" si="17"/>
        <v>0.13056000000000001</v>
      </c>
      <c r="P58" s="23">
        <f t="shared" si="17"/>
        <v>0.17055999999999999</v>
      </c>
      <c r="Q58" s="23">
        <f t="shared" si="17"/>
        <v>0.21056</v>
      </c>
      <c r="R58" s="23">
        <f>(scatterplots_LWG_grazdays_CS!$V$4*$A58+scatterplots_LWG_grazdays_CS!$W$4)/1000+R57</f>
        <v>10.830959999999999</v>
      </c>
      <c r="S58" s="23">
        <f t="shared" si="46"/>
        <v>10.830959999999999</v>
      </c>
      <c r="T58" s="23">
        <f t="shared" si="44"/>
        <v>10.830959999999999</v>
      </c>
      <c r="U58" s="23">
        <f t="shared" si="44"/>
        <v>10.830959999999999</v>
      </c>
      <c r="V58" s="23">
        <f>(scatterplots_LWG_grazdays_CS!$V$5*$A58+scatterplots_LWG_grazdays_CS!$W$5)/1000</f>
        <v>6.0319999999999992E-2</v>
      </c>
      <c r="W58" s="23">
        <f t="shared" si="11"/>
        <v>0.10031999999999999</v>
      </c>
      <c r="X58" s="23">
        <f t="shared" si="40"/>
        <v>0.14032</v>
      </c>
      <c r="Y58" s="23">
        <f t="shared" si="40"/>
        <v>0.18031999999999998</v>
      </c>
      <c r="Z58" s="23">
        <f>(scatterplots_LWG_grazdays_CS!$V$5*$A58+scatterplots_LWG_grazdays_CS!$W$5)/1000+Z57</f>
        <v>9.9691200000000002</v>
      </c>
      <c r="AA58" s="23">
        <f t="shared" si="18"/>
        <v>9.9691200000000002</v>
      </c>
      <c r="AB58" s="23">
        <f t="shared" si="45"/>
        <v>9.9691200000000002</v>
      </c>
      <c r="AC58" s="23">
        <f t="shared" si="45"/>
        <v>9.9691200000000002</v>
      </c>
      <c r="AD58" s="23">
        <f>(scatterplots_LWG_grazdays_CS!$V$6*$A58+scatterplots_LWG_grazdays_CS!$W$6)/1000</f>
        <v>1.2160000000000025E-2</v>
      </c>
      <c r="AE58" s="23">
        <f t="shared" si="14"/>
        <v>5.2160000000000026E-2</v>
      </c>
      <c r="AF58" s="23">
        <f t="shared" si="32"/>
        <v>9.216000000000002E-2</v>
      </c>
      <c r="AG58" s="23">
        <f t="shared" si="32"/>
        <v>0.13216000000000003</v>
      </c>
      <c r="AH58" s="23">
        <f>(scatterplots_LWG_grazdays_CS!$V$6*$A58+scatterplots_LWG_grazdays_CS!$W$6)/1000+AH57</f>
        <v>8.5965600000000038</v>
      </c>
      <c r="AI58" s="23">
        <f t="shared" si="15"/>
        <v>8.5965600000000038</v>
      </c>
      <c r="AJ58" s="23">
        <f t="shared" si="33"/>
        <v>8.5965600000000038</v>
      </c>
      <c r="AK58" s="23">
        <f t="shared" si="33"/>
        <v>8.5965600000000038</v>
      </c>
    </row>
    <row r="59" spans="1:37">
      <c r="A59" s="12">
        <v>57</v>
      </c>
      <c r="B59" s="12">
        <v>57</v>
      </c>
      <c r="C59" s="23">
        <f>(scatterplots_LWG_grazdays_CS!$V$3*$A59+scatterplots_LWG_grazdays_CS!$W$3)/1000</f>
        <v>0.13811999999999999</v>
      </c>
      <c r="D59" s="23">
        <f t="shared" si="38"/>
        <v>0.17812</v>
      </c>
      <c r="E59" s="23">
        <f t="shared" si="38"/>
        <v>0.21811999999999998</v>
      </c>
      <c r="F59" s="23">
        <f t="shared" si="38"/>
        <v>0.25812000000000002</v>
      </c>
      <c r="G59" s="23">
        <f>(scatterplots_LWG_grazdays_CS!$V$3*$A59+scatterplots_LWG_grazdays_CS!$W$3)/1000+G58</f>
        <v>12.405480000000003</v>
      </c>
      <c r="H59" s="23">
        <f t="shared" si="43"/>
        <v>12.405480000000003</v>
      </c>
      <c r="I59" s="23">
        <f t="shared" si="43"/>
        <v>12.925480000000002</v>
      </c>
      <c r="J59" s="23">
        <f t="shared" si="47"/>
        <v>13.925480000000002</v>
      </c>
      <c r="K59" s="23">
        <f t="shared" si="36"/>
        <v>14.325480000000001</v>
      </c>
      <c r="L59" s="23">
        <f t="shared" si="7"/>
        <v>12.405480000000003</v>
      </c>
      <c r="M59" s="23">
        <f t="shared" si="8"/>
        <v>12.405480000000003</v>
      </c>
      <c r="N59" s="23">
        <f>(scatterplots_LWG_grazdays_CS!$V$4*$A59+scatterplots_LWG_grazdays_CS!$W$4)/1000</f>
        <v>8.6819999999999994E-2</v>
      </c>
      <c r="O59" s="23">
        <f t="shared" si="17"/>
        <v>0.12681999999999999</v>
      </c>
      <c r="P59" s="23">
        <f t="shared" si="17"/>
        <v>0.16682</v>
      </c>
      <c r="Q59" s="23">
        <f t="shared" si="17"/>
        <v>0.20682</v>
      </c>
      <c r="R59" s="23">
        <f>(scatterplots_LWG_grazdays_CS!$V$4*$A59+scatterplots_LWG_grazdays_CS!$W$4)/1000+R58</f>
        <v>10.917779999999999</v>
      </c>
      <c r="S59" s="23">
        <f t="shared" si="46"/>
        <v>10.917779999999999</v>
      </c>
      <c r="T59" s="23">
        <f t="shared" si="44"/>
        <v>10.917779999999999</v>
      </c>
      <c r="U59" s="23">
        <f t="shared" si="44"/>
        <v>10.917779999999999</v>
      </c>
      <c r="V59" s="23">
        <f>(scatterplots_LWG_grazdays_CS!$V$5*$A59+scatterplots_LWG_grazdays_CS!$W$5)/1000</f>
        <v>5.6039999999999993E-2</v>
      </c>
      <c r="W59" s="23">
        <f t="shared" si="11"/>
        <v>9.6039999999999986E-2</v>
      </c>
      <c r="X59" s="23">
        <f t="shared" si="40"/>
        <v>0.13603999999999999</v>
      </c>
      <c r="Y59" s="23">
        <f t="shared" si="40"/>
        <v>0.17603999999999997</v>
      </c>
      <c r="Z59" s="23">
        <f>(scatterplots_LWG_grazdays_CS!$V$5*$A59+scatterplots_LWG_grazdays_CS!$W$5)/1000+Z58</f>
        <v>10.02516</v>
      </c>
      <c r="AA59" s="23">
        <f t="shared" si="18"/>
        <v>10.02516</v>
      </c>
      <c r="AB59" s="23">
        <f t="shared" si="45"/>
        <v>10.02516</v>
      </c>
      <c r="AC59" s="23">
        <f t="shared" si="45"/>
        <v>10.02516</v>
      </c>
      <c r="AD59" s="23">
        <f>(scatterplots_LWG_grazdays_CS!$V$6*$A59+scatterplots_LWG_grazdays_CS!$W$6)/1000</f>
        <v>7.0200000000000384E-3</v>
      </c>
      <c r="AE59" s="23">
        <f t="shared" si="14"/>
        <v>4.7020000000000041E-2</v>
      </c>
      <c r="AF59" s="23">
        <f t="shared" si="32"/>
        <v>8.7020000000000042E-2</v>
      </c>
      <c r="AG59" s="23">
        <f t="shared" si="32"/>
        <v>0.12702000000000002</v>
      </c>
      <c r="AH59" s="23">
        <f>(scatterplots_LWG_grazdays_CS!$V$6*$A59+scatterplots_LWG_grazdays_CS!$W$6)/1000+AH58</f>
        <v>8.6035800000000044</v>
      </c>
      <c r="AI59" s="23">
        <f t="shared" si="15"/>
        <v>8.6035800000000044</v>
      </c>
      <c r="AJ59" s="23">
        <f t="shared" si="33"/>
        <v>8.6035800000000044</v>
      </c>
      <c r="AK59" s="23">
        <f t="shared" si="33"/>
        <v>8.6035800000000044</v>
      </c>
    </row>
    <row r="60" spans="1:37">
      <c r="A60" s="12">
        <v>58</v>
      </c>
      <c r="B60" s="12">
        <v>58</v>
      </c>
      <c r="C60" s="23">
        <f>(scatterplots_LWG_grazdays_CS!$V$3*$A60+scatterplots_LWG_grazdays_CS!$W$3)/1000</f>
        <v>0.13528000000000001</v>
      </c>
      <c r="D60" s="23">
        <f t="shared" si="38"/>
        <v>0.17528000000000002</v>
      </c>
      <c r="E60" s="23">
        <f t="shared" si="38"/>
        <v>0.21528000000000003</v>
      </c>
      <c r="F60" s="23">
        <f t="shared" si="38"/>
        <v>0.25528000000000001</v>
      </c>
      <c r="G60" s="23">
        <f>(scatterplots_LWG_grazdays_CS!$V$3*$A60+scatterplots_LWG_grazdays_CS!$W$3)/1000+G59</f>
        <v>12.540760000000002</v>
      </c>
      <c r="H60" s="23">
        <f t="shared" si="43"/>
        <v>12.540760000000002</v>
      </c>
      <c r="I60" s="23">
        <f t="shared" si="43"/>
        <v>13.100760000000003</v>
      </c>
      <c r="J60" s="23">
        <f t="shared" si="47"/>
        <v>14.100760000000003</v>
      </c>
      <c r="K60" s="23">
        <f t="shared" si="36"/>
        <v>14.500760000000001</v>
      </c>
      <c r="L60" s="23">
        <f t="shared" si="7"/>
        <v>12.540760000000002</v>
      </c>
      <c r="M60" s="23">
        <f t="shared" si="8"/>
        <v>12.540760000000002</v>
      </c>
      <c r="N60" s="23">
        <f>(scatterplots_LWG_grazdays_CS!$V$4*$A60+scatterplots_LWG_grazdays_CS!$W$4)/1000</f>
        <v>8.3079999999999987E-2</v>
      </c>
      <c r="O60" s="23">
        <f t="shared" si="17"/>
        <v>0.12307999999999999</v>
      </c>
      <c r="P60" s="23">
        <f t="shared" si="17"/>
        <v>0.16308</v>
      </c>
      <c r="Q60" s="23">
        <f t="shared" si="17"/>
        <v>0.20307999999999998</v>
      </c>
      <c r="R60" s="23">
        <f>(scatterplots_LWG_grazdays_CS!$V$4*$A60+scatterplots_LWG_grazdays_CS!$W$4)/1000+R59</f>
        <v>11.000859999999999</v>
      </c>
      <c r="S60" s="23">
        <f t="shared" si="46"/>
        <v>11.000859999999999</v>
      </c>
      <c r="T60" s="23">
        <f t="shared" si="44"/>
        <v>11.000859999999999</v>
      </c>
      <c r="U60" s="23">
        <f t="shared" si="44"/>
        <v>11.000859999999999</v>
      </c>
      <c r="V60" s="23">
        <f>(scatterplots_LWG_grazdays_CS!$V$5*$A60+scatterplots_LWG_grazdays_CS!$W$5)/1000</f>
        <v>5.1759999999999994E-2</v>
      </c>
      <c r="W60" s="23">
        <f t="shared" si="11"/>
        <v>9.1759999999999994E-2</v>
      </c>
      <c r="X60" s="23">
        <f t="shared" si="40"/>
        <v>0.13175999999999999</v>
      </c>
      <c r="Y60" s="23">
        <f t="shared" si="40"/>
        <v>0.17176</v>
      </c>
      <c r="Z60" s="23">
        <f>(scatterplots_LWG_grazdays_CS!$V$5*$A60+scatterplots_LWG_grazdays_CS!$W$5)/1000+Z59</f>
        <v>10.076919999999999</v>
      </c>
      <c r="AA60" s="23">
        <f t="shared" si="18"/>
        <v>10.076919999999999</v>
      </c>
      <c r="AB60" s="23">
        <f t="shared" si="45"/>
        <v>10.076919999999999</v>
      </c>
      <c r="AC60" s="23">
        <f t="shared" si="45"/>
        <v>10.076919999999999</v>
      </c>
      <c r="AD60" s="23">
        <f>(scatterplots_LWG_grazdays_CS!$V$6*$A60+scatterplots_LWG_grazdays_CS!$W$6)/1000</f>
        <v>1.8799999999999954E-3</v>
      </c>
      <c r="AE60" s="23">
        <f t="shared" si="14"/>
        <v>4.1879999999999994E-2</v>
      </c>
      <c r="AF60" s="23">
        <f t="shared" si="32"/>
        <v>8.1879999999999994E-2</v>
      </c>
      <c r="AG60" s="23">
        <f t="shared" si="32"/>
        <v>0.12187999999999999</v>
      </c>
      <c r="AH60" s="23">
        <f>(scatterplots_LWG_grazdays_CS!$V$6*$A60+scatterplots_LWG_grazdays_CS!$W$6)/1000+AH59</f>
        <v>8.6054600000000043</v>
      </c>
      <c r="AI60" s="23">
        <f t="shared" si="15"/>
        <v>8.6054600000000043</v>
      </c>
      <c r="AJ60" s="23">
        <f t="shared" si="33"/>
        <v>8.6054600000000043</v>
      </c>
      <c r="AK60" s="23">
        <f t="shared" si="33"/>
        <v>8.6054600000000043</v>
      </c>
    </row>
    <row r="61" spans="1:37">
      <c r="A61" s="12">
        <v>59</v>
      </c>
      <c r="B61" s="12">
        <v>59</v>
      </c>
      <c r="C61" s="23">
        <f>(scatterplots_LWG_grazdays_CS!$V$3*$A61+scatterplots_LWG_grazdays_CS!$W$3)/1000</f>
        <v>0.13244</v>
      </c>
      <c r="D61" s="23">
        <f t="shared" si="38"/>
        <v>0.17244000000000001</v>
      </c>
      <c r="E61" s="23">
        <f t="shared" si="38"/>
        <v>0.21244000000000002</v>
      </c>
      <c r="F61" s="23">
        <f t="shared" si="38"/>
        <v>0.25244</v>
      </c>
      <c r="G61" s="23">
        <f>(scatterplots_LWG_grazdays_CS!$V$3*$A61+scatterplots_LWG_grazdays_CS!$W$3)/1000+G60</f>
        <v>12.673200000000003</v>
      </c>
      <c r="H61" s="23">
        <f t="shared" si="43"/>
        <v>12.673200000000003</v>
      </c>
      <c r="I61" s="23">
        <f t="shared" si="43"/>
        <v>13.273200000000003</v>
      </c>
      <c r="J61" s="23">
        <f t="shared" si="47"/>
        <v>14.273200000000003</v>
      </c>
      <c r="K61" s="23">
        <f t="shared" si="36"/>
        <v>14.673200000000001</v>
      </c>
      <c r="L61" s="23">
        <f t="shared" si="7"/>
        <v>12.673200000000003</v>
      </c>
      <c r="M61" s="23">
        <f t="shared" si="8"/>
        <v>12.673200000000003</v>
      </c>
      <c r="N61" s="23">
        <f>(scatterplots_LWG_grazdays_CS!$V$4*$A61+scatterplots_LWG_grazdays_CS!$W$4)/1000</f>
        <v>7.933999999999998E-2</v>
      </c>
      <c r="O61" s="23">
        <f t="shared" si="17"/>
        <v>0.11933999999999997</v>
      </c>
      <c r="P61" s="23">
        <f t="shared" si="17"/>
        <v>0.15933999999999998</v>
      </c>
      <c r="Q61" s="23">
        <f t="shared" si="17"/>
        <v>0.19933999999999996</v>
      </c>
      <c r="R61" s="23">
        <f>(scatterplots_LWG_grazdays_CS!$V$4*$A61+scatterplots_LWG_grazdays_CS!$W$4)/1000+R60</f>
        <v>11.0802</v>
      </c>
      <c r="S61" s="23">
        <f t="shared" si="46"/>
        <v>11.0802</v>
      </c>
      <c r="T61" s="23">
        <f t="shared" si="44"/>
        <v>11.0802</v>
      </c>
      <c r="U61" s="23">
        <f t="shared" si="44"/>
        <v>11.0802</v>
      </c>
      <c r="V61" s="23">
        <f>(scatterplots_LWG_grazdays_CS!$V$5*$A61+scatterplots_LWG_grazdays_CS!$W$5)/1000</f>
        <v>4.7479999999999987E-2</v>
      </c>
      <c r="W61" s="23">
        <f t="shared" si="11"/>
        <v>8.7479999999999988E-2</v>
      </c>
      <c r="X61" s="23">
        <f t="shared" si="40"/>
        <v>0.12747999999999998</v>
      </c>
      <c r="Y61" s="23">
        <f t="shared" si="40"/>
        <v>0.16747999999999999</v>
      </c>
      <c r="Z61" s="23">
        <f>(scatterplots_LWG_grazdays_CS!$V$5*$A61+scatterplots_LWG_grazdays_CS!$W$5)/1000+Z60</f>
        <v>10.1244</v>
      </c>
      <c r="AA61" s="23">
        <f t="shared" si="18"/>
        <v>10.1244</v>
      </c>
      <c r="AB61" s="23">
        <f t="shared" si="45"/>
        <v>10.1244</v>
      </c>
      <c r="AC61" s="23">
        <f t="shared" si="45"/>
        <v>10.1244</v>
      </c>
      <c r="AD61" s="23">
        <f>(scatterplots_LWG_grazdays_CS!$V$6*$A61+scatterplots_LWG_grazdays_CS!$W$6)/1000</f>
        <v>-3.2599999999999908E-3</v>
      </c>
      <c r="AE61" s="23">
        <f t="shared" si="14"/>
        <v>3.6740000000000009E-2</v>
      </c>
      <c r="AF61" s="23">
        <f t="shared" si="32"/>
        <v>7.6740000000000017E-2</v>
      </c>
      <c r="AG61" s="23">
        <f t="shared" si="32"/>
        <v>0.11674000000000001</v>
      </c>
      <c r="AH61" s="23">
        <f>(scatterplots_LWG_grazdays_CS!$V$6*$A61+scatterplots_LWG_grazdays_CS!$W$6)/1000+AH60</f>
        <v>8.6022000000000052</v>
      </c>
      <c r="AI61" s="23">
        <f t="shared" si="15"/>
        <v>8.6022000000000052</v>
      </c>
      <c r="AJ61" s="23">
        <f t="shared" si="33"/>
        <v>8.6022000000000052</v>
      </c>
      <c r="AK61" s="23">
        <f t="shared" si="33"/>
        <v>8.6022000000000052</v>
      </c>
    </row>
    <row r="62" spans="1:37">
      <c r="A62" s="12">
        <v>60</v>
      </c>
      <c r="B62" s="12">
        <v>60</v>
      </c>
      <c r="C62" s="23">
        <f>(scatterplots_LWG_grazdays_CS!$V$3*$A62+scatterplots_LWG_grazdays_CS!$W$3)/1000</f>
        <v>0.12960000000000002</v>
      </c>
      <c r="D62" s="23">
        <f t="shared" si="38"/>
        <v>0.16960000000000003</v>
      </c>
      <c r="E62" s="23">
        <f t="shared" si="38"/>
        <v>0.20960000000000001</v>
      </c>
      <c r="F62" s="23">
        <f t="shared" si="38"/>
        <v>0.24960000000000002</v>
      </c>
      <c r="G62" s="23">
        <f>(scatterplots_LWG_grazdays_CS!$V$3*$A62+scatterplots_LWG_grazdays_CS!$W$3)/1000+G61</f>
        <v>12.802800000000003</v>
      </c>
      <c r="H62" s="23">
        <f t="shared" si="43"/>
        <v>12.802800000000003</v>
      </c>
      <c r="I62" s="23">
        <f t="shared" si="43"/>
        <v>13.442800000000004</v>
      </c>
      <c r="J62" s="23">
        <f t="shared" si="47"/>
        <v>14.442800000000004</v>
      </c>
      <c r="K62" s="23">
        <f t="shared" si="36"/>
        <v>14.842800000000002</v>
      </c>
      <c r="L62" s="23">
        <f t="shared" si="7"/>
        <v>12.802800000000003</v>
      </c>
      <c r="M62" s="23">
        <f t="shared" si="8"/>
        <v>12.802800000000003</v>
      </c>
      <c r="N62" s="23">
        <f>(scatterplots_LWG_grazdays_CS!$V$4*$A62+scatterplots_LWG_grazdays_CS!$W$4)/1000</f>
        <v>7.5600000000000001E-2</v>
      </c>
      <c r="O62" s="23">
        <f t="shared" si="17"/>
        <v>0.11560000000000001</v>
      </c>
      <c r="P62" s="23">
        <f t="shared" si="17"/>
        <v>0.15560000000000002</v>
      </c>
      <c r="Q62" s="23">
        <f t="shared" si="17"/>
        <v>0.1956</v>
      </c>
      <c r="R62" s="23">
        <f>(scatterplots_LWG_grazdays_CS!$V$4*$A62+scatterplots_LWG_grazdays_CS!$W$4)/1000+R61</f>
        <v>11.155799999999999</v>
      </c>
      <c r="S62" s="23">
        <f t="shared" si="46"/>
        <v>11.155799999999999</v>
      </c>
      <c r="T62" s="23">
        <f t="shared" si="44"/>
        <v>11.155799999999999</v>
      </c>
      <c r="U62" s="23">
        <f t="shared" si="44"/>
        <v>11.155799999999999</v>
      </c>
      <c r="V62" s="23">
        <f>(scatterplots_LWG_grazdays_CS!$V$5*$A62+scatterplots_LWG_grazdays_CS!$W$5)/1000</f>
        <v>4.3199999999999988E-2</v>
      </c>
      <c r="W62" s="23">
        <f t="shared" si="11"/>
        <v>8.3199999999999996E-2</v>
      </c>
      <c r="X62" s="23">
        <f t="shared" si="40"/>
        <v>0.12319999999999999</v>
      </c>
      <c r="Y62" s="23">
        <f t="shared" si="40"/>
        <v>0.16319999999999998</v>
      </c>
      <c r="Z62" s="23">
        <f>(scatterplots_LWG_grazdays_CS!$V$5*$A62+scatterplots_LWG_grazdays_CS!$W$5)/1000+Z61</f>
        <v>10.1676</v>
      </c>
      <c r="AA62" s="23">
        <f t="shared" si="18"/>
        <v>10.1676</v>
      </c>
      <c r="AB62" s="23">
        <f t="shared" si="45"/>
        <v>10.1676</v>
      </c>
      <c r="AC62" s="23">
        <f t="shared" si="45"/>
        <v>10.1676</v>
      </c>
      <c r="AD62" s="23">
        <f>(scatterplots_LWG_grazdays_CS!$V$6*$A62+scatterplots_LWG_grazdays_CS!$W$6)/1000</f>
        <v>-8.3999999999999769E-3</v>
      </c>
      <c r="AE62" s="23">
        <f t="shared" si="14"/>
        <v>3.1600000000000024E-2</v>
      </c>
      <c r="AF62" s="23">
        <f t="shared" si="32"/>
        <v>7.1600000000000025E-2</v>
      </c>
      <c r="AG62" s="23">
        <f t="shared" si="32"/>
        <v>0.11160000000000002</v>
      </c>
      <c r="AH62" s="23">
        <f>(scatterplots_LWG_grazdays_CS!$V$6*$A62+scatterplots_LWG_grazdays_CS!$W$6)/1000+AH61</f>
        <v>8.5938000000000052</v>
      </c>
      <c r="AI62" s="23">
        <f t="shared" si="15"/>
        <v>8.5938000000000052</v>
      </c>
      <c r="AJ62" s="23">
        <f t="shared" si="33"/>
        <v>8.5938000000000052</v>
      </c>
      <c r="AK62" s="23">
        <f t="shared" si="33"/>
        <v>8.5938000000000052</v>
      </c>
    </row>
    <row r="63" spans="1:37">
      <c r="A63" s="12">
        <v>61</v>
      </c>
      <c r="B63" s="12">
        <v>61</v>
      </c>
      <c r="C63" s="23">
        <f>(scatterplots_LWG_grazdays_CS!$V$3*$A63+scatterplots_LWG_grazdays_CS!$W$3)/1000</f>
        <v>0.12676000000000001</v>
      </c>
      <c r="D63" s="23">
        <f t="shared" si="38"/>
        <v>0.16676000000000002</v>
      </c>
      <c r="E63" s="23">
        <f t="shared" si="38"/>
        <v>0.20676</v>
      </c>
      <c r="F63" s="23">
        <f t="shared" si="38"/>
        <v>0.24676000000000001</v>
      </c>
      <c r="G63" s="23">
        <f>(scatterplots_LWG_grazdays_CS!$V$3*$A63+scatterplots_LWG_grazdays_CS!$W$3)/1000+G62</f>
        <v>12.929560000000004</v>
      </c>
      <c r="H63" s="23">
        <f t="shared" si="43"/>
        <v>12.929560000000004</v>
      </c>
      <c r="I63" s="23">
        <f t="shared" si="43"/>
        <v>13.609560000000004</v>
      </c>
      <c r="J63" s="23">
        <f t="shared" si="47"/>
        <v>14.609560000000004</v>
      </c>
      <c r="K63" s="23">
        <f t="shared" si="36"/>
        <v>15.009560000000002</v>
      </c>
      <c r="L63" s="23">
        <f t="shared" si="7"/>
        <v>12.929560000000004</v>
      </c>
      <c r="M63" s="23">
        <f t="shared" si="8"/>
        <v>12.929560000000004</v>
      </c>
      <c r="N63" s="23">
        <f>(scatterplots_LWG_grazdays_CS!$V$4*$A63+scatterplots_LWG_grazdays_CS!$W$4)/1000</f>
        <v>7.1859999999999979E-2</v>
      </c>
      <c r="O63" s="23">
        <f t="shared" si="17"/>
        <v>0.11185999999999999</v>
      </c>
      <c r="P63" s="23">
        <f t="shared" si="17"/>
        <v>0.15185999999999999</v>
      </c>
      <c r="Q63" s="23">
        <f t="shared" si="17"/>
        <v>0.19185999999999998</v>
      </c>
      <c r="R63" s="23">
        <f>(scatterplots_LWG_grazdays_CS!$V$4*$A63+scatterplots_LWG_grazdays_CS!$W$4)/1000+R62</f>
        <v>11.227659999999998</v>
      </c>
      <c r="S63" s="23">
        <f t="shared" si="46"/>
        <v>11.227659999999998</v>
      </c>
      <c r="T63" s="23">
        <f t="shared" si="44"/>
        <v>11.227659999999998</v>
      </c>
      <c r="U63" s="23">
        <f t="shared" si="44"/>
        <v>11.227659999999998</v>
      </c>
      <c r="V63" s="23">
        <f>(scatterplots_LWG_grazdays_CS!$V$5*$A63+scatterplots_LWG_grazdays_CS!$W$5)/1000</f>
        <v>3.8919999999999962E-2</v>
      </c>
      <c r="W63" s="23">
        <f t="shared" si="11"/>
        <v>7.8919999999999962E-2</v>
      </c>
      <c r="X63" s="23">
        <f t="shared" si="40"/>
        <v>0.11891999999999997</v>
      </c>
      <c r="Y63" s="23">
        <f t="shared" si="40"/>
        <v>0.15891999999999995</v>
      </c>
      <c r="Z63" s="23">
        <f>(scatterplots_LWG_grazdays_CS!$V$5*$A63+scatterplots_LWG_grazdays_CS!$W$5)/1000+Z62</f>
        <v>10.206519999999999</v>
      </c>
      <c r="AA63" s="23">
        <f t="shared" si="18"/>
        <v>10.206519999999999</v>
      </c>
      <c r="AB63" s="23">
        <f t="shared" si="45"/>
        <v>10.206519999999999</v>
      </c>
      <c r="AC63" s="23">
        <f t="shared" si="45"/>
        <v>10.206519999999999</v>
      </c>
      <c r="AD63" s="23">
        <f>(scatterplots_LWG_grazdays_CS!$V$6*$A63+scatterplots_LWG_grazdays_CS!$W$6)/1000</f>
        <v>-1.3539999999999964E-2</v>
      </c>
      <c r="AE63" s="23">
        <f t="shared" si="14"/>
        <v>2.6460000000000039E-2</v>
      </c>
      <c r="AF63" s="23">
        <f t="shared" si="32"/>
        <v>6.6460000000000033E-2</v>
      </c>
      <c r="AG63" s="23">
        <f t="shared" si="32"/>
        <v>0.10646000000000003</v>
      </c>
      <c r="AH63" s="23">
        <f>(scatterplots_LWG_grazdays_CS!$V$6*$A63+scatterplots_LWG_grazdays_CS!$W$6)/1000+AH62</f>
        <v>8.5802600000000044</v>
      </c>
      <c r="AI63" s="23">
        <f t="shared" si="15"/>
        <v>8.5802600000000044</v>
      </c>
      <c r="AJ63" s="23">
        <f t="shared" si="33"/>
        <v>8.5802600000000044</v>
      </c>
      <c r="AK63" s="23">
        <f t="shared" si="33"/>
        <v>8.5802600000000044</v>
      </c>
    </row>
    <row r="64" spans="1:37">
      <c r="A64" s="12">
        <v>62</v>
      </c>
      <c r="B64" s="12">
        <v>62</v>
      </c>
      <c r="C64" s="23">
        <f>(scatterplots_LWG_grazdays_CS!$V$3*$A64+scatterplots_LWG_grazdays_CS!$W$3)/1000</f>
        <v>0.12392000000000002</v>
      </c>
      <c r="D64" s="23">
        <f t="shared" si="38"/>
        <v>0.16392000000000001</v>
      </c>
      <c r="E64" s="23">
        <f t="shared" si="38"/>
        <v>0.20392000000000002</v>
      </c>
      <c r="F64" s="23">
        <f t="shared" si="38"/>
        <v>0.24392000000000003</v>
      </c>
      <c r="G64" s="23">
        <f>(scatterplots_LWG_grazdays_CS!$V$3*$A64+scatterplots_LWG_grazdays_CS!$W$3)/1000+G63</f>
        <v>13.053480000000004</v>
      </c>
      <c r="H64" s="23">
        <f t="shared" si="43"/>
        <v>13.053480000000004</v>
      </c>
      <c r="I64" s="23">
        <f t="shared" si="43"/>
        <v>13.773480000000003</v>
      </c>
      <c r="J64" s="23">
        <f t="shared" si="47"/>
        <v>14.773480000000003</v>
      </c>
      <c r="K64" s="23">
        <f t="shared" si="36"/>
        <v>15.173480000000001</v>
      </c>
      <c r="L64" s="23">
        <f t="shared" si="7"/>
        <v>13.053480000000004</v>
      </c>
      <c r="M64" s="23">
        <f t="shared" si="8"/>
        <v>13.053480000000004</v>
      </c>
      <c r="N64" s="23">
        <f>(scatterplots_LWG_grazdays_CS!$V$4*$A64+scatterplots_LWG_grazdays_CS!$W$4)/1000</f>
        <v>6.8119999999999972E-2</v>
      </c>
      <c r="O64" s="23">
        <f t="shared" si="17"/>
        <v>0.10811999999999997</v>
      </c>
      <c r="P64" s="23">
        <f t="shared" si="17"/>
        <v>0.14811999999999997</v>
      </c>
      <c r="Q64" s="23">
        <f t="shared" si="17"/>
        <v>0.18811999999999995</v>
      </c>
      <c r="R64" s="23">
        <f>(scatterplots_LWG_grazdays_CS!$V$4*$A64+scatterplots_LWG_grazdays_CS!$W$4)/1000+R63</f>
        <v>11.295779999999999</v>
      </c>
      <c r="S64" s="23">
        <f t="shared" si="46"/>
        <v>11.295779999999999</v>
      </c>
      <c r="T64" s="23">
        <f t="shared" si="44"/>
        <v>11.295779999999999</v>
      </c>
      <c r="U64" s="23">
        <f t="shared" si="44"/>
        <v>11.295779999999999</v>
      </c>
      <c r="V64" s="23">
        <f>(scatterplots_LWG_grazdays_CS!$V$5*$A64+scatterplots_LWG_grazdays_CS!$W$5)/1000</f>
        <v>3.4639999999999983E-2</v>
      </c>
      <c r="W64" s="23">
        <f t="shared" si="11"/>
        <v>7.4639999999999984E-2</v>
      </c>
      <c r="X64" s="23">
        <f t="shared" si="40"/>
        <v>0.11463999999999999</v>
      </c>
      <c r="Y64" s="23">
        <f t="shared" si="40"/>
        <v>0.15463999999999997</v>
      </c>
      <c r="Z64" s="23">
        <f>(scatterplots_LWG_grazdays_CS!$V$5*$A64+scatterplots_LWG_grazdays_CS!$W$5)/1000+Z63</f>
        <v>10.241159999999999</v>
      </c>
      <c r="AA64" s="23">
        <f t="shared" si="18"/>
        <v>10.241159999999999</v>
      </c>
      <c r="AB64" s="23">
        <f t="shared" si="45"/>
        <v>10.241159999999999</v>
      </c>
      <c r="AC64" s="23">
        <f t="shared" si="45"/>
        <v>10.241159999999999</v>
      </c>
      <c r="AD64" s="23">
        <f>(scatterplots_LWG_grazdays_CS!$V$6*$A64+scatterplots_LWG_grazdays_CS!$W$6)/1000</f>
        <v>-1.8680000000000006E-2</v>
      </c>
      <c r="AE64" s="23">
        <f t="shared" si="14"/>
        <v>2.1319999999999995E-2</v>
      </c>
      <c r="AF64" s="23">
        <f t="shared" si="32"/>
        <v>6.132E-2</v>
      </c>
      <c r="AG64" s="23">
        <f t="shared" si="32"/>
        <v>0.10131999999999999</v>
      </c>
      <c r="AH64" s="23">
        <f>(scatterplots_LWG_grazdays_CS!$V$6*$A64+scatterplots_LWG_grazdays_CS!$W$6)/1000+AH63</f>
        <v>8.5615800000000046</v>
      </c>
      <c r="AI64" s="23">
        <f t="shared" si="15"/>
        <v>8.5615800000000046</v>
      </c>
      <c r="AJ64" s="23">
        <f t="shared" si="33"/>
        <v>8.5615800000000046</v>
      </c>
      <c r="AK64" s="23">
        <f t="shared" si="33"/>
        <v>8.5615800000000046</v>
      </c>
    </row>
    <row r="65" spans="1:37">
      <c r="A65" s="12">
        <v>63</v>
      </c>
      <c r="B65" s="12">
        <v>63</v>
      </c>
      <c r="C65" s="23">
        <f>(scatterplots_LWG_grazdays_CS!$V$3*$A65+scatterplots_LWG_grazdays_CS!$W$3)/1000</f>
        <v>0.12108000000000001</v>
      </c>
      <c r="D65" s="23">
        <f t="shared" si="38"/>
        <v>0.16108</v>
      </c>
      <c r="E65" s="23">
        <f t="shared" si="38"/>
        <v>0.20108000000000001</v>
      </c>
      <c r="F65" s="23">
        <f t="shared" si="38"/>
        <v>0.24108000000000002</v>
      </c>
      <c r="G65" s="23">
        <f>(scatterplots_LWG_grazdays_CS!$V$3*$A65+scatterplots_LWG_grazdays_CS!$W$3)/1000+G64</f>
        <v>13.174560000000003</v>
      </c>
      <c r="H65" s="23">
        <f t="shared" ref="H65:I80" si="48">C65+H64</f>
        <v>13.174560000000003</v>
      </c>
      <c r="I65" s="23">
        <f t="shared" si="48"/>
        <v>13.934560000000003</v>
      </c>
      <c r="J65" s="23">
        <f t="shared" si="47"/>
        <v>14.934560000000003</v>
      </c>
      <c r="K65" s="23">
        <f t="shared" si="36"/>
        <v>15.334560000000002</v>
      </c>
      <c r="L65" s="23">
        <f t="shared" si="7"/>
        <v>13.174560000000003</v>
      </c>
      <c r="M65" s="23">
        <f t="shared" si="8"/>
        <v>13.174560000000003</v>
      </c>
      <c r="N65" s="23">
        <f>(scatterplots_LWG_grazdays_CS!$V$4*$A65+scatterplots_LWG_grazdays_CS!$W$4)/1000</f>
        <v>6.4379999999999993E-2</v>
      </c>
      <c r="O65" s="23">
        <f t="shared" si="17"/>
        <v>0.10438</v>
      </c>
      <c r="P65" s="23">
        <f t="shared" si="17"/>
        <v>0.14438000000000001</v>
      </c>
      <c r="Q65" s="23">
        <f t="shared" si="17"/>
        <v>0.18437999999999999</v>
      </c>
      <c r="R65" s="23">
        <f>(scatterplots_LWG_grazdays_CS!$V$4*$A65+scatterplots_LWG_grazdays_CS!$W$4)/1000+R64</f>
        <v>11.360159999999999</v>
      </c>
      <c r="S65" s="23">
        <f t="shared" si="46"/>
        <v>11.360159999999999</v>
      </c>
      <c r="T65" s="23">
        <f t="shared" si="44"/>
        <v>11.360159999999999</v>
      </c>
      <c r="U65" s="23">
        <f t="shared" si="44"/>
        <v>11.360159999999999</v>
      </c>
      <c r="V65" s="23">
        <f>(scatterplots_LWG_grazdays_CS!$V$5*$A65+scatterplots_LWG_grazdays_CS!$W$5)/1000</f>
        <v>3.0359999999999956E-2</v>
      </c>
      <c r="W65" s="23">
        <f t="shared" si="11"/>
        <v>7.035999999999995E-2</v>
      </c>
      <c r="X65" s="23">
        <f t="shared" si="40"/>
        <v>0.11035999999999996</v>
      </c>
      <c r="Y65" s="23">
        <f t="shared" si="40"/>
        <v>0.15035999999999994</v>
      </c>
      <c r="Z65" s="23">
        <f>(scatterplots_LWG_grazdays_CS!$V$5*$A65+scatterplots_LWG_grazdays_CS!$W$5)/1000+Z64</f>
        <v>10.271519999999999</v>
      </c>
      <c r="AA65" s="23">
        <f t="shared" si="18"/>
        <v>10.271519999999999</v>
      </c>
      <c r="AB65" s="23">
        <f t="shared" si="45"/>
        <v>10.271519999999999</v>
      </c>
      <c r="AC65" s="23">
        <f t="shared" si="45"/>
        <v>10.271519999999999</v>
      </c>
      <c r="AD65" s="23">
        <f>(scatterplots_LWG_grazdays_CS!$V$6*$A65+scatterplots_LWG_grazdays_CS!$W$6)/1000</f>
        <v>-2.3819999999999994E-2</v>
      </c>
      <c r="AE65" s="23">
        <f t="shared" si="14"/>
        <v>1.6180000000000007E-2</v>
      </c>
      <c r="AF65" s="23">
        <f t="shared" si="32"/>
        <v>5.6180000000000008E-2</v>
      </c>
      <c r="AG65" s="23">
        <f t="shared" si="32"/>
        <v>9.6180000000000002E-2</v>
      </c>
      <c r="AH65" s="23">
        <f>(scatterplots_LWG_grazdays_CS!$V$6*$A65+scatterplots_LWG_grazdays_CS!$W$6)/1000+AH64</f>
        <v>8.537760000000004</v>
      </c>
      <c r="AI65" s="23">
        <f t="shared" si="15"/>
        <v>8.537760000000004</v>
      </c>
      <c r="AJ65" s="23">
        <f t="shared" si="33"/>
        <v>8.537760000000004</v>
      </c>
      <c r="AK65" s="23">
        <f t="shared" si="33"/>
        <v>8.537760000000004</v>
      </c>
    </row>
    <row r="66" spans="1:37">
      <c r="A66" s="12">
        <v>64</v>
      </c>
      <c r="B66" s="12">
        <v>64</v>
      </c>
      <c r="C66" s="23">
        <f>(scatterplots_LWG_grazdays_CS!$V$3*$A66+scatterplots_LWG_grazdays_CS!$W$3)/1000</f>
        <v>0.11824000000000001</v>
      </c>
      <c r="D66" s="23">
        <f t="shared" si="38"/>
        <v>0.15824000000000002</v>
      </c>
      <c r="E66" s="23">
        <f t="shared" si="38"/>
        <v>0.19824000000000003</v>
      </c>
      <c r="F66" s="23">
        <f t="shared" si="38"/>
        <v>0.23824000000000001</v>
      </c>
      <c r="G66" s="23">
        <f>(scatterplots_LWG_grazdays_CS!$V$3*$A66+scatterplots_LWG_grazdays_CS!$W$3)/1000+G65</f>
        <v>13.292800000000003</v>
      </c>
      <c r="H66" s="23">
        <f t="shared" si="48"/>
        <v>13.292800000000003</v>
      </c>
      <c r="I66" s="23">
        <f t="shared" si="48"/>
        <v>14.092800000000002</v>
      </c>
      <c r="J66" s="23">
        <f t="shared" si="47"/>
        <v>15.092800000000002</v>
      </c>
      <c r="K66" s="23">
        <f t="shared" si="36"/>
        <v>15.492800000000001</v>
      </c>
      <c r="L66" s="23">
        <f t="shared" si="7"/>
        <v>13.292800000000003</v>
      </c>
      <c r="M66" s="23">
        <f t="shared" si="8"/>
        <v>13.292800000000003</v>
      </c>
      <c r="N66" s="23">
        <f>(scatterplots_LWG_grazdays_CS!$V$4*$A66+scatterplots_LWG_grazdays_CS!$W$4)/1000</f>
        <v>6.0639999999999986E-2</v>
      </c>
      <c r="O66" s="23">
        <f t="shared" si="17"/>
        <v>0.10063999999999998</v>
      </c>
      <c r="P66" s="23">
        <f t="shared" si="17"/>
        <v>0.14063999999999999</v>
      </c>
      <c r="Q66" s="23">
        <f t="shared" si="17"/>
        <v>0.18063999999999997</v>
      </c>
      <c r="R66" s="23">
        <f>(scatterplots_LWG_grazdays_CS!$V$4*$A66+scatterplots_LWG_grazdays_CS!$W$4)/1000+R65</f>
        <v>11.420799999999998</v>
      </c>
      <c r="S66" s="23">
        <f t="shared" si="46"/>
        <v>11.420799999999998</v>
      </c>
      <c r="T66" s="23">
        <f t="shared" si="44"/>
        <v>11.420799999999998</v>
      </c>
      <c r="U66" s="23">
        <f t="shared" si="44"/>
        <v>11.420799999999998</v>
      </c>
      <c r="V66" s="23">
        <f>(scatterplots_LWG_grazdays_CS!$V$5*$A66+scatterplots_LWG_grazdays_CS!$W$5)/1000</f>
        <v>2.6079999999999985E-2</v>
      </c>
      <c r="W66" s="23">
        <f t="shared" si="11"/>
        <v>6.6079999999999986E-2</v>
      </c>
      <c r="X66" s="23">
        <f t="shared" si="40"/>
        <v>0.10607999999999998</v>
      </c>
      <c r="Y66" s="23">
        <f t="shared" si="40"/>
        <v>0.14607999999999999</v>
      </c>
      <c r="Z66" s="23">
        <f>(scatterplots_LWG_grazdays_CS!$V$5*$A66+scatterplots_LWG_grazdays_CS!$W$5)/1000+Z65</f>
        <v>10.297599999999999</v>
      </c>
      <c r="AA66" s="23">
        <f t="shared" si="18"/>
        <v>10.297599999999999</v>
      </c>
      <c r="AB66" s="23">
        <f t="shared" si="45"/>
        <v>10.297599999999999</v>
      </c>
      <c r="AC66" s="23">
        <f t="shared" si="45"/>
        <v>10.297599999999999</v>
      </c>
      <c r="AD66" s="23">
        <f>(scatterplots_LWG_grazdays_CS!$V$6*$A66+scatterplots_LWG_grazdays_CS!$W$6)/1000</f>
        <v>-2.8959999999999979E-2</v>
      </c>
      <c r="AE66" s="23">
        <f t="shared" si="14"/>
        <v>1.1040000000000022E-2</v>
      </c>
      <c r="AF66" s="23">
        <f t="shared" si="32"/>
        <v>5.1040000000000023E-2</v>
      </c>
      <c r="AG66" s="23">
        <f t="shared" si="32"/>
        <v>9.104000000000001E-2</v>
      </c>
      <c r="AH66" s="23">
        <f>(scatterplots_LWG_grazdays_CS!$V$6*$A66+scatterplots_LWG_grazdays_CS!$W$6)/1000+AH65</f>
        <v>8.5088000000000044</v>
      </c>
      <c r="AI66" s="23">
        <f t="shared" si="15"/>
        <v>8.5088000000000044</v>
      </c>
      <c r="AJ66" s="23">
        <f t="shared" si="33"/>
        <v>8.5088000000000044</v>
      </c>
      <c r="AK66" s="23">
        <f t="shared" si="33"/>
        <v>8.5088000000000044</v>
      </c>
    </row>
    <row r="67" spans="1:37">
      <c r="A67" s="12">
        <v>65</v>
      </c>
      <c r="B67" s="12">
        <v>65</v>
      </c>
      <c r="C67" s="23">
        <f>(scatterplots_LWG_grazdays_CS!$V$3*$A67+scatterplots_LWG_grazdays_CS!$W$3)/1000</f>
        <v>0.1154</v>
      </c>
      <c r="D67" s="23">
        <f t="shared" si="38"/>
        <v>0.15540000000000001</v>
      </c>
      <c r="E67" s="23">
        <f t="shared" si="38"/>
        <v>0.19540000000000002</v>
      </c>
      <c r="F67" s="23">
        <f t="shared" si="38"/>
        <v>0.2354</v>
      </c>
      <c r="G67" s="23">
        <f>(scatterplots_LWG_grazdays_CS!$V$3*$A67+scatterplots_LWG_grazdays_CS!$W$3)/1000+G66</f>
        <v>13.408200000000003</v>
      </c>
      <c r="H67" s="23">
        <f t="shared" si="48"/>
        <v>13.408200000000003</v>
      </c>
      <c r="I67" s="23">
        <f t="shared" si="48"/>
        <v>14.248200000000002</v>
      </c>
      <c r="J67" s="23">
        <f t="shared" si="47"/>
        <v>15.248200000000002</v>
      </c>
      <c r="K67" s="23">
        <f t="shared" si="36"/>
        <v>15.648200000000001</v>
      </c>
      <c r="L67" s="23">
        <f t="shared" si="7"/>
        <v>13.408200000000003</v>
      </c>
      <c r="M67" s="23">
        <f t="shared" si="8"/>
        <v>13.408200000000003</v>
      </c>
      <c r="N67" s="23">
        <f>(scatterplots_LWG_grazdays_CS!$V$4*$A67+scatterplots_LWG_grazdays_CS!$W$4)/1000</f>
        <v>5.6899999999999978E-2</v>
      </c>
      <c r="O67" s="23">
        <f t="shared" si="17"/>
        <v>9.6899999999999986E-2</v>
      </c>
      <c r="P67" s="23">
        <f t="shared" si="17"/>
        <v>0.13689999999999997</v>
      </c>
      <c r="Q67" s="23">
        <f t="shared" si="17"/>
        <v>0.17689999999999997</v>
      </c>
      <c r="R67" s="23">
        <f>(scatterplots_LWG_grazdays_CS!$V$4*$A67+scatterplots_LWG_grazdays_CS!$W$4)/1000+R66</f>
        <v>11.477699999999999</v>
      </c>
      <c r="S67" s="23">
        <f t="shared" si="46"/>
        <v>11.477699999999999</v>
      </c>
      <c r="T67" s="23">
        <f t="shared" si="44"/>
        <v>11.477699999999999</v>
      </c>
      <c r="U67" s="23">
        <f t="shared" si="44"/>
        <v>11.477699999999999</v>
      </c>
      <c r="V67" s="23">
        <f>(scatterplots_LWG_grazdays_CS!$V$5*$A67+scatterplots_LWG_grazdays_CS!$W$5)/1000</f>
        <v>2.180000000000001E-2</v>
      </c>
      <c r="W67" s="23">
        <f t="shared" si="11"/>
        <v>6.1800000000000008E-2</v>
      </c>
      <c r="X67" s="23">
        <f t="shared" si="40"/>
        <v>0.10180000000000002</v>
      </c>
      <c r="Y67" s="23">
        <f t="shared" si="40"/>
        <v>0.14180000000000001</v>
      </c>
      <c r="Z67" s="23">
        <f>(scatterplots_LWG_grazdays_CS!$V$5*$A67+scatterplots_LWG_grazdays_CS!$W$5)/1000+Z66</f>
        <v>10.3194</v>
      </c>
      <c r="AA67" s="23">
        <f t="shared" si="18"/>
        <v>10.3194</v>
      </c>
      <c r="AB67" s="23">
        <f t="shared" si="45"/>
        <v>10.3194</v>
      </c>
      <c r="AC67" s="23">
        <f t="shared" si="45"/>
        <v>10.3194</v>
      </c>
      <c r="AD67" s="23">
        <f>(scatterplots_LWG_grazdays_CS!$V$6*$A67+scatterplots_LWG_grazdays_CS!$W$6)/1000</f>
        <v>-3.4099999999999964E-2</v>
      </c>
      <c r="AE67" s="23">
        <f t="shared" si="14"/>
        <v>5.9000000000000372E-3</v>
      </c>
      <c r="AF67" s="23">
        <f t="shared" si="32"/>
        <v>4.5900000000000038E-2</v>
      </c>
      <c r="AG67" s="23">
        <f t="shared" si="32"/>
        <v>8.5900000000000032E-2</v>
      </c>
      <c r="AH67" s="23">
        <f>(scatterplots_LWG_grazdays_CS!$V$6*$A67+scatterplots_LWG_grazdays_CS!$W$6)/1000+AH66</f>
        <v>8.4747000000000039</v>
      </c>
      <c r="AI67" s="23">
        <f t="shared" si="15"/>
        <v>8.4747000000000039</v>
      </c>
      <c r="AJ67" s="23">
        <f t="shared" si="33"/>
        <v>8.4747000000000039</v>
      </c>
      <c r="AK67" s="23">
        <f t="shared" si="33"/>
        <v>8.4747000000000039</v>
      </c>
    </row>
    <row r="68" spans="1:37">
      <c r="A68" s="12">
        <v>66</v>
      </c>
      <c r="B68" s="12">
        <v>66</v>
      </c>
      <c r="C68" s="23">
        <f>(scatterplots_LWG_grazdays_CS!$V$3*$A68+scatterplots_LWG_grazdays_CS!$W$3)/1000</f>
        <v>0.11256000000000001</v>
      </c>
      <c r="D68" s="23">
        <f t="shared" ref="D68:F99" si="49">$C68+D$1/1000</f>
        <v>0.15256</v>
      </c>
      <c r="E68" s="23">
        <f t="shared" si="49"/>
        <v>0.19256000000000001</v>
      </c>
      <c r="F68" s="23">
        <f t="shared" si="49"/>
        <v>0.23255999999999999</v>
      </c>
      <c r="G68" s="23">
        <f>(scatterplots_LWG_grazdays_CS!$V$3*$A68+scatterplots_LWG_grazdays_CS!$W$3)/1000+G67</f>
        <v>13.520760000000003</v>
      </c>
      <c r="H68" s="23">
        <f t="shared" si="48"/>
        <v>13.520760000000003</v>
      </c>
      <c r="I68" s="23">
        <f t="shared" si="48"/>
        <v>14.400760000000002</v>
      </c>
      <c r="J68" s="23">
        <f t="shared" si="47"/>
        <v>15.400760000000002</v>
      </c>
      <c r="K68" s="23">
        <f t="shared" si="36"/>
        <v>15.80076</v>
      </c>
      <c r="L68" s="23">
        <f t="shared" ref="L68:L91" si="50">C68+L67</f>
        <v>13.520760000000003</v>
      </c>
      <c r="M68" s="23">
        <f t="shared" ref="M68:M91" si="51">C68+M67</f>
        <v>13.520760000000003</v>
      </c>
      <c r="N68" s="23">
        <f>(scatterplots_LWG_grazdays_CS!$V$4*$A68+scatterplots_LWG_grazdays_CS!$W$4)/1000</f>
        <v>5.3159999999999999E-2</v>
      </c>
      <c r="O68" s="23">
        <f t="shared" ref="O68:Q131" si="52">$N68+O$1/1000</f>
        <v>9.3159999999999993E-2</v>
      </c>
      <c r="P68" s="23">
        <f t="shared" si="52"/>
        <v>0.13316</v>
      </c>
      <c r="Q68" s="23">
        <f t="shared" si="52"/>
        <v>0.17315999999999998</v>
      </c>
      <c r="R68" s="23">
        <f>(scatterplots_LWG_grazdays_CS!$V$4*$A68+scatterplots_LWG_grazdays_CS!$W$4)/1000+R67</f>
        <v>11.530859999999999</v>
      </c>
      <c r="S68" s="23">
        <f t="shared" si="46"/>
        <v>11.530859999999999</v>
      </c>
      <c r="T68" s="23">
        <f t="shared" ref="T68:U83" si="53">$N68+T67</f>
        <v>11.530859999999999</v>
      </c>
      <c r="U68" s="23">
        <f t="shared" si="53"/>
        <v>11.530859999999999</v>
      </c>
      <c r="V68" s="23">
        <f>(scatterplots_LWG_grazdays_CS!$V$5*$A68+scatterplots_LWG_grazdays_CS!$W$5)/1000</f>
        <v>1.7519999999999984E-2</v>
      </c>
      <c r="W68" s="23">
        <f t="shared" ref="W68:W131" si="54">V68+W$1/1000</f>
        <v>5.7519999999999988E-2</v>
      </c>
      <c r="X68" s="23">
        <f t="shared" ref="X68:Y99" si="55">$V68+X$1/1000</f>
        <v>9.7519999999999982E-2</v>
      </c>
      <c r="Y68" s="23">
        <f t="shared" si="55"/>
        <v>0.13751999999999998</v>
      </c>
      <c r="Z68" s="23">
        <f>(scatterplots_LWG_grazdays_CS!$V$5*$A68+scatterplots_LWG_grazdays_CS!$W$5)/1000+Z67</f>
        <v>10.336919999999999</v>
      </c>
      <c r="AA68" s="23">
        <f t="shared" si="18"/>
        <v>10.336919999999999</v>
      </c>
      <c r="AB68" s="23">
        <f t="shared" ref="AB68:AC83" si="56">AB67+$V68</f>
        <v>10.336919999999999</v>
      </c>
      <c r="AC68" s="23">
        <f t="shared" si="56"/>
        <v>10.336919999999999</v>
      </c>
      <c r="AD68" s="23">
        <f>(scatterplots_LWG_grazdays_CS!$V$6*$A68+scatterplots_LWG_grazdays_CS!$W$6)/1000</f>
        <v>-3.9239999999999955E-2</v>
      </c>
      <c r="AE68" s="23">
        <f t="shared" ref="AE68:AE131" si="57">AD68+AE$1/1000</f>
        <v>7.6000000000004536E-4</v>
      </c>
      <c r="AF68" s="23">
        <f t="shared" si="32"/>
        <v>4.0760000000000046E-2</v>
      </c>
      <c r="AG68" s="23">
        <f t="shared" si="32"/>
        <v>8.076000000000004E-2</v>
      </c>
      <c r="AH68" s="23">
        <f>(scatterplots_LWG_grazdays_CS!$V$6*$A68+scatterplots_LWG_grazdays_CS!$W$6)/1000+AH67</f>
        <v>8.4354600000000044</v>
      </c>
      <c r="AI68" s="23">
        <f t="shared" ref="AI68:AI92" si="58">AD68+AI67</f>
        <v>8.4354600000000044</v>
      </c>
      <c r="AJ68" s="23">
        <f t="shared" si="33"/>
        <v>8.4354600000000044</v>
      </c>
      <c r="AK68" s="23">
        <f t="shared" si="33"/>
        <v>8.4354600000000044</v>
      </c>
    </row>
    <row r="69" spans="1:37">
      <c r="A69" s="12">
        <v>67</v>
      </c>
      <c r="B69" s="12">
        <v>67</v>
      </c>
      <c r="C69" s="23">
        <f>(scatterplots_LWG_grazdays_CS!$V$3*$A69+scatterplots_LWG_grazdays_CS!$W$3)/1000</f>
        <v>0.10972</v>
      </c>
      <c r="D69" s="23">
        <f t="shared" si="49"/>
        <v>0.14971999999999999</v>
      </c>
      <c r="E69" s="23">
        <f t="shared" si="49"/>
        <v>0.18972</v>
      </c>
      <c r="F69" s="23">
        <f t="shared" si="49"/>
        <v>0.22971999999999998</v>
      </c>
      <c r="G69" s="23">
        <f>(scatterplots_LWG_grazdays_CS!$V$3*$A69+scatterplots_LWG_grazdays_CS!$W$3)/1000+G68</f>
        <v>13.630480000000002</v>
      </c>
      <c r="H69" s="23">
        <f t="shared" si="48"/>
        <v>13.630480000000002</v>
      </c>
      <c r="I69" s="23">
        <f t="shared" si="48"/>
        <v>14.550480000000002</v>
      </c>
      <c r="J69" s="23">
        <f t="shared" si="47"/>
        <v>15.550480000000002</v>
      </c>
      <c r="K69" s="23">
        <f t="shared" si="36"/>
        <v>15.950480000000001</v>
      </c>
      <c r="L69" s="23">
        <f t="shared" si="50"/>
        <v>13.630480000000002</v>
      </c>
      <c r="M69" s="23">
        <f t="shared" si="51"/>
        <v>13.630480000000002</v>
      </c>
      <c r="N69" s="23">
        <f>(scatterplots_LWG_grazdays_CS!$V$4*$A69+scatterplots_LWG_grazdays_CS!$W$4)/1000</f>
        <v>4.9419999999999985E-2</v>
      </c>
      <c r="O69" s="23">
        <f t="shared" si="52"/>
        <v>8.9419999999999986E-2</v>
      </c>
      <c r="P69" s="23">
        <f t="shared" si="52"/>
        <v>0.12941999999999998</v>
      </c>
      <c r="Q69" s="23">
        <f t="shared" si="52"/>
        <v>0.16941999999999999</v>
      </c>
      <c r="R69" s="23">
        <f>(scatterplots_LWG_grazdays_CS!$V$4*$A69+scatterplots_LWG_grazdays_CS!$W$4)/1000+R68</f>
        <v>11.580279999999998</v>
      </c>
      <c r="S69" s="23">
        <f t="shared" si="46"/>
        <v>11.580279999999998</v>
      </c>
      <c r="T69" s="23">
        <f t="shared" si="53"/>
        <v>11.580279999999998</v>
      </c>
      <c r="U69" s="23">
        <f t="shared" si="53"/>
        <v>11.580279999999998</v>
      </c>
      <c r="V69" s="23">
        <f>(scatterplots_LWG_grazdays_CS!$V$5*$A69+scatterplots_LWG_grazdays_CS!$W$5)/1000</f>
        <v>1.3240000000000009E-2</v>
      </c>
      <c r="W69" s="23">
        <f t="shared" si="54"/>
        <v>5.324000000000001E-2</v>
      </c>
      <c r="X69" s="23">
        <f t="shared" si="55"/>
        <v>9.3240000000000017E-2</v>
      </c>
      <c r="Y69" s="23">
        <f t="shared" si="55"/>
        <v>0.13324</v>
      </c>
      <c r="Z69" s="23">
        <f>(scatterplots_LWG_grazdays_CS!$V$5*$A69+scatterplots_LWG_grazdays_CS!$W$5)/1000+Z68</f>
        <v>10.350159999999999</v>
      </c>
      <c r="AA69" s="23">
        <f t="shared" ref="AA69:AA92" si="59">AA68+V69</f>
        <v>10.350159999999999</v>
      </c>
      <c r="AB69" s="23">
        <f t="shared" si="56"/>
        <v>10.350159999999999</v>
      </c>
      <c r="AC69" s="23">
        <f t="shared" si="56"/>
        <v>10.350159999999999</v>
      </c>
      <c r="AD69" s="23">
        <f>(scatterplots_LWG_grazdays_CS!$V$6*$A69+scatterplots_LWG_grazdays_CS!$W$6)/1000</f>
        <v>-4.4379999999999996E-2</v>
      </c>
      <c r="AE69" s="23">
        <f t="shared" si="57"/>
        <v>-4.379999999999995E-3</v>
      </c>
      <c r="AF69" s="23">
        <f t="shared" si="32"/>
        <v>3.5620000000000006E-2</v>
      </c>
      <c r="AG69" s="23">
        <f t="shared" si="32"/>
        <v>7.5619999999999993E-2</v>
      </c>
      <c r="AH69" s="23">
        <f>(scatterplots_LWG_grazdays_CS!$V$6*$A69+scatterplots_LWG_grazdays_CS!$W$6)/1000+AH68</f>
        <v>8.3910800000000041</v>
      </c>
      <c r="AI69" s="23">
        <f t="shared" si="58"/>
        <v>8.3910800000000041</v>
      </c>
      <c r="AJ69" s="23">
        <f t="shared" si="33"/>
        <v>8.3910800000000041</v>
      </c>
      <c r="AK69" s="23">
        <f t="shared" si="33"/>
        <v>8.3910800000000041</v>
      </c>
    </row>
    <row r="70" spans="1:37">
      <c r="A70" s="12">
        <v>68</v>
      </c>
      <c r="B70" s="12">
        <v>68</v>
      </c>
      <c r="C70" s="23">
        <f>(scatterplots_LWG_grazdays_CS!$V$3*$A70+scatterplots_LWG_grazdays_CS!$W$3)/1000</f>
        <v>0.10687999999999999</v>
      </c>
      <c r="D70" s="23">
        <f t="shared" si="49"/>
        <v>0.14687999999999998</v>
      </c>
      <c r="E70" s="23">
        <f t="shared" si="49"/>
        <v>0.18687999999999999</v>
      </c>
      <c r="F70" s="23">
        <f t="shared" si="49"/>
        <v>0.22687999999999997</v>
      </c>
      <c r="G70" s="23">
        <f>(scatterplots_LWG_grazdays_CS!$V$3*$A70+scatterplots_LWG_grazdays_CS!$W$3)/1000+G69</f>
        <v>13.737360000000002</v>
      </c>
      <c r="H70" s="23">
        <f t="shared" si="48"/>
        <v>13.737360000000002</v>
      </c>
      <c r="I70" s="23">
        <f t="shared" si="48"/>
        <v>14.697360000000002</v>
      </c>
      <c r="J70" s="23">
        <f t="shared" si="47"/>
        <v>15.697360000000002</v>
      </c>
      <c r="K70" s="23">
        <f t="shared" si="36"/>
        <v>16.097360000000002</v>
      </c>
      <c r="L70" s="23">
        <f t="shared" si="50"/>
        <v>13.737360000000002</v>
      </c>
      <c r="M70" s="23">
        <f t="shared" si="51"/>
        <v>13.737360000000002</v>
      </c>
      <c r="N70" s="23">
        <f>(scatterplots_LWG_grazdays_CS!$V$4*$A70+scatterplots_LWG_grazdays_CS!$W$4)/1000</f>
        <v>4.5679999999999978E-2</v>
      </c>
      <c r="O70" s="23">
        <f t="shared" si="52"/>
        <v>8.5679999999999978E-2</v>
      </c>
      <c r="P70" s="23">
        <f t="shared" si="52"/>
        <v>0.12567999999999999</v>
      </c>
      <c r="Q70" s="23">
        <f t="shared" si="52"/>
        <v>0.16567999999999997</v>
      </c>
      <c r="R70" s="23">
        <f>(scatterplots_LWG_grazdays_CS!$V$4*$A70+scatterplots_LWG_grazdays_CS!$W$4)/1000+R69</f>
        <v>11.625959999999999</v>
      </c>
      <c r="S70" s="23">
        <f t="shared" si="46"/>
        <v>11.625959999999999</v>
      </c>
      <c r="T70" s="23">
        <f t="shared" si="53"/>
        <v>11.625959999999999</v>
      </c>
      <c r="U70" s="23">
        <f t="shared" si="53"/>
        <v>11.625959999999999</v>
      </c>
      <c r="V70" s="23">
        <f>(scatterplots_LWG_grazdays_CS!$V$5*$A70+scatterplots_LWG_grazdays_CS!$W$5)/1000</f>
        <v>8.9599999999999801E-3</v>
      </c>
      <c r="W70" s="23">
        <f t="shared" si="54"/>
        <v>4.8959999999999983E-2</v>
      </c>
      <c r="X70" s="23">
        <f t="shared" si="55"/>
        <v>8.8959999999999984E-2</v>
      </c>
      <c r="Y70" s="23">
        <f t="shared" si="55"/>
        <v>0.12895999999999996</v>
      </c>
      <c r="Z70" s="23">
        <f>(scatterplots_LWG_grazdays_CS!$V$5*$A70+scatterplots_LWG_grazdays_CS!$W$5)/1000+Z69</f>
        <v>10.359119999999999</v>
      </c>
      <c r="AA70" s="23">
        <f t="shared" si="59"/>
        <v>10.359119999999999</v>
      </c>
      <c r="AB70" s="23">
        <f t="shared" si="56"/>
        <v>10.359119999999999</v>
      </c>
      <c r="AC70" s="23">
        <f t="shared" si="56"/>
        <v>10.359119999999999</v>
      </c>
      <c r="AD70" s="23">
        <f>(scatterplots_LWG_grazdays_CS!$V$6*$A70+scatterplots_LWG_grazdays_CS!$W$6)/1000</f>
        <v>-4.9519999999999981E-2</v>
      </c>
      <c r="AE70" s="23">
        <f t="shared" si="57"/>
        <v>-9.5199999999999799E-3</v>
      </c>
      <c r="AF70" s="23">
        <f t="shared" si="32"/>
        <v>3.0480000000000021E-2</v>
      </c>
      <c r="AG70" s="23">
        <f t="shared" si="32"/>
        <v>7.0480000000000015E-2</v>
      </c>
      <c r="AH70" s="23">
        <f>(scatterplots_LWG_grazdays_CS!$V$6*$A70+scatterplots_LWG_grazdays_CS!$W$6)/1000+AH69</f>
        <v>8.3415600000000047</v>
      </c>
      <c r="AI70" s="23">
        <f t="shared" si="58"/>
        <v>8.3415600000000047</v>
      </c>
      <c r="AJ70" s="23">
        <f t="shared" si="33"/>
        <v>8.3415600000000047</v>
      </c>
      <c r="AK70" s="23">
        <f t="shared" si="33"/>
        <v>8.3415600000000047</v>
      </c>
    </row>
    <row r="71" spans="1:37">
      <c r="A71" s="12">
        <v>69</v>
      </c>
      <c r="B71" s="12">
        <v>69</v>
      </c>
      <c r="C71" s="23">
        <f>(scatterplots_LWG_grazdays_CS!$V$3*$A71+scatterplots_LWG_grazdays_CS!$W$3)/1000</f>
        <v>0.10404000000000002</v>
      </c>
      <c r="D71" s="23">
        <f t="shared" si="49"/>
        <v>0.14404000000000003</v>
      </c>
      <c r="E71" s="23">
        <f t="shared" si="49"/>
        <v>0.18404000000000004</v>
      </c>
      <c r="F71" s="23">
        <f t="shared" si="49"/>
        <v>0.22404000000000002</v>
      </c>
      <c r="G71" s="23">
        <f>(scatterplots_LWG_grazdays_CS!$V$3*$A71+scatterplots_LWG_grazdays_CS!$W$3)/1000+G70</f>
        <v>13.841400000000002</v>
      </c>
      <c r="H71" s="23">
        <f t="shared" si="48"/>
        <v>13.841400000000002</v>
      </c>
      <c r="I71" s="23">
        <f t="shared" si="48"/>
        <v>14.841400000000002</v>
      </c>
      <c r="J71" s="23">
        <f t="shared" si="47"/>
        <v>15.841400000000002</v>
      </c>
      <c r="K71" s="23">
        <f t="shared" si="36"/>
        <v>16.241400000000002</v>
      </c>
      <c r="L71" s="23">
        <f t="shared" si="50"/>
        <v>13.841400000000002</v>
      </c>
      <c r="M71" s="23">
        <f t="shared" si="51"/>
        <v>13.841400000000002</v>
      </c>
      <c r="N71" s="23">
        <f>(scatterplots_LWG_grazdays_CS!$V$4*$A71+scatterplots_LWG_grazdays_CS!$W$4)/1000</f>
        <v>4.1939999999999998E-2</v>
      </c>
      <c r="O71" s="23">
        <f t="shared" si="52"/>
        <v>8.1939999999999999E-2</v>
      </c>
      <c r="P71" s="23">
        <f t="shared" si="52"/>
        <v>0.12193999999999999</v>
      </c>
      <c r="Q71" s="23">
        <f t="shared" si="52"/>
        <v>0.16194</v>
      </c>
      <c r="R71" s="23">
        <f>(scatterplots_LWG_grazdays_CS!$V$4*$A71+scatterplots_LWG_grazdays_CS!$W$4)/1000+R70</f>
        <v>11.667899999999999</v>
      </c>
      <c r="S71" s="23">
        <f t="shared" si="46"/>
        <v>11.667899999999999</v>
      </c>
      <c r="T71" s="23">
        <f t="shared" si="53"/>
        <v>11.667899999999999</v>
      </c>
      <c r="U71" s="23">
        <f t="shared" si="53"/>
        <v>11.667899999999999</v>
      </c>
      <c r="V71" s="23">
        <f>(scatterplots_LWG_grazdays_CS!$V$5*$A71+scatterplots_LWG_grazdays_CS!$W$5)/1000</f>
        <v>4.6800000000000071E-3</v>
      </c>
      <c r="W71" s="23">
        <f t="shared" si="54"/>
        <v>4.4680000000000011E-2</v>
      </c>
      <c r="X71" s="23">
        <f t="shared" si="55"/>
        <v>8.4680000000000005E-2</v>
      </c>
      <c r="Y71" s="23">
        <f t="shared" si="55"/>
        <v>0.12468</v>
      </c>
      <c r="Z71" s="23">
        <f>(scatterplots_LWG_grazdays_CS!$V$5*$A71+scatterplots_LWG_grazdays_CS!$W$5)/1000+Z70</f>
        <v>10.363799999999999</v>
      </c>
      <c r="AA71" s="23">
        <f t="shared" si="59"/>
        <v>10.363799999999999</v>
      </c>
      <c r="AB71" s="23">
        <f t="shared" si="56"/>
        <v>10.363799999999999</v>
      </c>
      <c r="AC71" s="23">
        <f t="shared" si="56"/>
        <v>10.363799999999999</v>
      </c>
      <c r="AD71" s="23">
        <f>(scatterplots_LWG_grazdays_CS!$V$6*$A71+scatterplots_LWG_grazdays_CS!$W$6)/1000</f>
        <v>-5.4659999999999966E-2</v>
      </c>
      <c r="AE71" s="23">
        <f t="shared" si="57"/>
        <v>-1.4659999999999965E-2</v>
      </c>
      <c r="AF71" s="23">
        <f t="shared" si="32"/>
        <v>2.5340000000000036E-2</v>
      </c>
      <c r="AG71" s="23">
        <f t="shared" si="32"/>
        <v>6.5340000000000037E-2</v>
      </c>
      <c r="AH71" s="23">
        <f>(scatterplots_LWG_grazdays_CS!$V$6*$A71+scatterplots_LWG_grazdays_CS!$W$6)/1000+AH70</f>
        <v>8.2869000000000046</v>
      </c>
      <c r="AI71" s="23">
        <f t="shared" si="58"/>
        <v>8.2869000000000046</v>
      </c>
      <c r="AJ71" s="23">
        <f t="shared" si="33"/>
        <v>8.2869000000000046</v>
      </c>
      <c r="AK71" s="23">
        <f t="shared" si="33"/>
        <v>8.2869000000000046</v>
      </c>
    </row>
    <row r="72" spans="1:37">
      <c r="A72" s="12">
        <v>70</v>
      </c>
      <c r="B72" s="12">
        <v>70</v>
      </c>
      <c r="C72" s="23">
        <f>(scatterplots_LWG_grazdays_CS!$V$3*$A72+scatterplots_LWG_grazdays_CS!$W$3)/1000</f>
        <v>0.10120000000000001</v>
      </c>
      <c r="D72" s="23">
        <f t="shared" si="49"/>
        <v>0.14120000000000002</v>
      </c>
      <c r="E72" s="23">
        <f t="shared" si="49"/>
        <v>0.18120000000000003</v>
      </c>
      <c r="F72" s="23">
        <f t="shared" si="49"/>
        <v>0.22120000000000001</v>
      </c>
      <c r="G72" s="23">
        <f>(scatterplots_LWG_grazdays_CS!$V$3*$A72+scatterplots_LWG_grazdays_CS!$W$3)/1000+G71</f>
        <v>13.942600000000002</v>
      </c>
      <c r="H72" s="23">
        <f t="shared" si="48"/>
        <v>13.942600000000002</v>
      </c>
      <c r="I72" s="23">
        <f t="shared" si="48"/>
        <v>14.982600000000001</v>
      </c>
      <c r="J72" s="23">
        <f t="shared" si="47"/>
        <v>15.982600000000001</v>
      </c>
      <c r="K72" s="23">
        <f t="shared" si="36"/>
        <v>16.382600000000004</v>
      </c>
      <c r="L72" s="23">
        <f t="shared" si="50"/>
        <v>13.942600000000002</v>
      </c>
      <c r="M72" s="23">
        <f t="shared" si="51"/>
        <v>13.942600000000002</v>
      </c>
      <c r="N72" s="23">
        <f>(scatterplots_LWG_grazdays_CS!$V$4*$A72+scatterplots_LWG_grazdays_CS!$W$4)/1000</f>
        <v>3.8199999999999991E-2</v>
      </c>
      <c r="O72" s="23">
        <f t="shared" si="52"/>
        <v>7.8199999999999992E-2</v>
      </c>
      <c r="P72" s="23">
        <f t="shared" si="52"/>
        <v>0.1182</v>
      </c>
      <c r="Q72" s="23">
        <f t="shared" si="52"/>
        <v>0.15819999999999998</v>
      </c>
      <c r="R72" s="23">
        <f>(scatterplots_LWG_grazdays_CS!$V$4*$A72+scatterplots_LWG_grazdays_CS!$W$4)/1000+R71</f>
        <v>11.706099999999999</v>
      </c>
      <c r="S72" s="23">
        <f t="shared" si="46"/>
        <v>11.706099999999999</v>
      </c>
      <c r="T72" s="23">
        <f t="shared" si="53"/>
        <v>11.706099999999999</v>
      </c>
      <c r="U72" s="23">
        <f t="shared" si="53"/>
        <v>11.706099999999999</v>
      </c>
      <c r="V72" s="23">
        <f>(scatterplots_LWG_grazdays_CS!$V$5*$A72+scatterplots_LWG_grazdays_CS!$W$5)/1000</f>
        <v>3.9999999999997725E-4</v>
      </c>
      <c r="W72" s="23">
        <f t="shared" si="54"/>
        <v>4.0399999999999978E-2</v>
      </c>
      <c r="X72" s="23">
        <f t="shared" si="55"/>
        <v>8.0399999999999985E-2</v>
      </c>
      <c r="Y72" s="23">
        <f t="shared" si="55"/>
        <v>0.12039999999999998</v>
      </c>
      <c r="Z72" s="23">
        <f>(scatterplots_LWG_grazdays_CS!$V$5*$A72+scatterplots_LWG_grazdays_CS!$W$5)/1000+Z71</f>
        <v>10.3642</v>
      </c>
      <c r="AA72" s="23">
        <f t="shared" si="59"/>
        <v>10.3642</v>
      </c>
      <c r="AB72" s="23">
        <f t="shared" si="56"/>
        <v>10.3642</v>
      </c>
      <c r="AC72" s="23">
        <f t="shared" si="56"/>
        <v>10.3642</v>
      </c>
      <c r="AD72" s="23">
        <f>(scatterplots_LWG_grazdays_CS!$V$6*$A72+scatterplots_LWG_grazdays_CS!$W$6)/1000</f>
        <v>-5.9799999999999957E-2</v>
      </c>
      <c r="AE72" s="23">
        <f t="shared" si="57"/>
        <v>-1.9799999999999957E-2</v>
      </c>
      <c r="AF72" s="23">
        <f t="shared" si="32"/>
        <v>2.0200000000000044E-2</v>
      </c>
      <c r="AG72" s="23">
        <f t="shared" si="32"/>
        <v>6.0200000000000038E-2</v>
      </c>
      <c r="AH72" s="23">
        <f>(scatterplots_LWG_grazdays_CS!$V$6*$A72+scatterplots_LWG_grazdays_CS!$W$6)/1000+AH71</f>
        <v>8.2271000000000054</v>
      </c>
      <c r="AI72" s="23">
        <f t="shared" si="58"/>
        <v>8.2271000000000054</v>
      </c>
      <c r="AJ72" s="23">
        <f t="shared" si="33"/>
        <v>8.2271000000000054</v>
      </c>
      <c r="AK72" s="23">
        <f t="shared" si="33"/>
        <v>8.2271000000000054</v>
      </c>
    </row>
    <row r="73" spans="1:37">
      <c r="A73" s="12">
        <v>71</v>
      </c>
      <c r="B73" s="12">
        <v>71</v>
      </c>
      <c r="C73" s="23">
        <f>(scatterplots_LWG_grazdays_CS!$V$3*$A73+scatterplots_LWG_grazdays_CS!$W$3)/1000</f>
        <v>9.8360000000000017E-2</v>
      </c>
      <c r="D73" s="23">
        <f t="shared" si="49"/>
        <v>0.13836000000000001</v>
      </c>
      <c r="E73" s="23">
        <f t="shared" si="49"/>
        <v>0.17836000000000002</v>
      </c>
      <c r="F73" s="23">
        <f t="shared" si="49"/>
        <v>0.21836</v>
      </c>
      <c r="G73" s="23">
        <f>(scatterplots_LWG_grazdays_CS!$V$3*$A73+scatterplots_LWG_grazdays_CS!$W$3)/1000+G72</f>
        <v>14.040960000000002</v>
      </c>
      <c r="H73" s="23">
        <f t="shared" si="48"/>
        <v>14.040960000000002</v>
      </c>
      <c r="I73" s="23">
        <f t="shared" si="48"/>
        <v>15.120960000000002</v>
      </c>
      <c r="J73" s="23">
        <f t="shared" si="47"/>
        <v>16.12096</v>
      </c>
      <c r="K73" s="23">
        <f t="shared" si="36"/>
        <v>16.520960000000002</v>
      </c>
      <c r="L73" s="23">
        <f t="shared" si="50"/>
        <v>14.040960000000002</v>
      </c>
      <c r="M73" s="23">
        <f t="shared" si="51"/>
        <v>14.040960000000002</v>
      </c>
      <c r="N73" s="23">
        <f>(scatterplots_LWG_grazdays_CS!$V$4*$A73+scatterplots_LWG_grazdays_CS!$W$4)/1000</f>
        <v>3.4459999999999977E-2</v>
      </c>
      <c r="O73" s="23">
        <f t="shared" si="52"/>
        <v>7.4459999999999971E-2</v>
      </c>
      <c r="P73" s="23">
        <f t="shared" si="52"/>
        <v>0.11445999999999998</v>
      </c>
      <c r="Q73" s="23">
        <f t="shared" si="52"/>
        <v>0.15445999999999999</v>
      </c>
      <c r="R73" s="23">
        <f>(scatterplots_LWG_grazdays_CS!$V$4*$A73+scatterplots_LWG_grazdays_CS!$W$4)/1000+R72</f>
        <v>11.740559999999999</v>
      </c>
      <c r="S73" s="23">
        <f t="shared" si="46"/>
        <v>11.740559999999999</v>
      </c>
      <c r="T73" s="23">
        <f t="shared" si="53"/>
        <v>11.740559999999999</v>
      </c>
      <c r="U73" s="23">
        <f t="shared" si="53"/>
        <v>11.740559999999999</v>
      </c>
      <c r="V73" s="23">
        <f>(scatterplots_LWG_grazdays_CS!$V$5*$A73+scatterplots_LWG_grazdays_CS!$W$5)/1000</f>
        <v>-3.8799999999999954E-3</v>
      </c>
      <c r="W73" s="23">
        <f t="shared" si="54"/>
        <v>3.6120000000000006E-2</v>
      </c>
      <c r="X73" s="23">
        <f t="shared" si="55"/>
        <v>7.6120000000000007E-2</v>
      </c>
      <c r="Y73" s="23">
        <f t="shared" si="55"/>
        <v>0.11612</v>
      </c>
      <c r="Z73" s="23">
        <f>(scatterplots_LWG_grazdays_CS!$V$5*$A73+scatterplots_LWG_grazdays_CS!$W$5)/1000+Z72</f>
        <v>10.36032</v>
      </c>
      <c r="AA73" s="23">
        <f t="shared" si="59"/>
        <v>10.36032</v>
      </c>
      <c r="AB73" s="23">
        <f t="shared" si="56"/>
        <v>10.36032</v>
      </c>
      <c r="AC73" s="23">
        <f t="shared" si="56"/>
        <v>10.36032</v>
      </c>
      <c r="AD73" s="23">
        <f>(scatterplots_LWG_grazdays_CS!$V$6*$A73+scatterplots_LWG_grazdays_CS!$W$6)/1000</f>
        <v>-6.4939999999999998E-2</v>
      </c>
      <c r="AE73" s="23">
        <f t="shared" si="57"/>
        <v>-2.4939999999999997E-2</v>
      </c>
      <c r="AF73" s="23">
        <f t="shared" si="32"/>
        <v>1.5060000000000004E-2</v>
      </c>
      <c r="AG73" s="23">
        <f t="shared" si="32"/>
        <v>5.5059999999999998E-2</v>
      </c>
      <c r="AH73" s="23">
        <f>(scatterplots_LWG_grazdays_CS!$V$6*$A73+scatterplots_LWG_grazdays_CS!$W$6)/1000+AH72</f>
        <v>8.1621600000000054</v>
      </c>
      <c r="AI73" s="23">
        <f t="shared" si="58"/>
        <v>8.1621600000000054</v>
      </c>
      <c r="AJ73" s="23">
        <f t="shared" si="33"/>
        <v>8.1621600000000054</v>
      </c>
      <c r="AK73" s="23">
        <f t="shared" si="33"/>
        <v>8.1621600000000054</v>
      </c>
    </row>
    <row r="74" spans="1:37">
      <c r="A74" s="12">
        <v>72</v>
      </c>
      <c r="B74" s="12">
        <v>72</v>
      </c>
      <c r="C74" s="23">
        <f>(scatterplots_LWG_grazdays_CS!$V$3*$A74+scatterplots_LWG_grazdays_CS!$W$3)/1000</f>
        <v>9.5520000000000008E-2</v>
      </c>
      <c r="D74" s="23">
        <f t="shared" si="49"/>
        <v>0.13552</v>
      </c>
      <c r="E74" s="23">
        <f t="shared" si="49"/>
        <v>0.17552000000000001</v>
      </c>
      <c r="F74" s="23">
        <f t="shared" si="49"/>
        <v>0.21551999999999999</v>
      </c>
      <c r="G74" s="23">
        <f>(scatterplots_LWG_grazdays_CS!$V$3*$A74+scatterplots_LWG_grazdays_CS!$W$3)/1000+G73</f>
        <v>14.136480000000002</v>
      </c>
      <c r="H74" s="23">
        <f t="shared" si="48"/>
        <v>14.136480000000002</v>
      </c>
      <c r="I74" s="23">
        <f t="shared" si="48"/>
        <v>15.256480000000002</v>
      </c>
      <c r="J74" s="23">
        <f t="shared" si="47"/>
        <v>16.25648</v>
      </c>
      <c r="K74" s="23">
        <f t="shared" si="36"/>
        <v>16.656480000000002</v>
      </c>
      <c r="L74" s="23">
        <f t="shared" si="50"/>
        <v>14.136480000000002</v>
      </c>
      <c r="M74" s="23">
        <f t="shared" si="51"/>
        <v>14.136480000000002</v>
      </c>
      <c r="N74" s="23">
        <f>(scatterplots_LWG_grazdays_CS!$V$4*$A74+scatterplots_LWG_grazdays_CS!$W$4)/1000</f>
        <v>3.071999999999997E-2</v>
      </c>
      <c r="O74" s="23">
        <f t="shared" si="52"/>
        <v>7.0719999999999977E-2</v>
      </c>
      <c r="P74" s="23">
        <f t="shared" si="52"/>
        <v>0.11071999999999997</v>
      </c>
      <c r="Q74" s="23">
        <f t="shared" si="52"/>
        <v>0.15071999999999997</v>
      </c>
      <c r="R74" s="23">
        <f>(scatterplots_LWG_grazdays_CS!$V$4*$A74+scatterplots_LWG_grazdays_CS!$W$4)/1000+R73</f>
        <v>11.771279999999999</v>
      </c>
      <c r="S74" s="23">
        <f t="shared" si="46"/>
        <v>11.771279999999999</v>
      </c>
      <c r="T74" s="23">
        <f t="shared" si="53"/>
        <v>11.771279999999999</v>
      </c>
      <c r="U74" s="23">
        <f t="shared" si="53"/>
        <v>11.771279999999999</v>
      </c>
      <c r="V74" s="23">
        <f>(scatterplots_LWG_grazdays_CS!$V$5*$A74+scatterplots_LWG_grazdays_CS!$W$5)/1000</f>
        <v>-8.1600000000000249E-3</v>
      </c>
      <c r="W74" s="23">
        <f t="shared" si="54"/>
        <v>3.1839999999999979E-2</v>
      </c>
      <c r="X74" s="23">
        <f t="shared" si="55"/>
        <v>7.1839999999999973E-2</v>
      </c>
      <c r="Y74" s="23">
        <f t="shared" si="55"/>
        <v>0.11183999999999997</v>
      </c>
      <c r="Z74" s="23">
        <f>(scatterplots_LWG_grazdays_CS!$V$5*$A74+scatterplots_LWG_grazdays_CS!$W$5)/1000+Z73</f>
        <v>10.35216</v>
      </c>
      <c r="AA74" s="23">
        <f t="shared" si="59"/>
        <v>10.35216</v>
      </c>
      <c r="AB74" s="23">
        <f t="shared" si="56"/>
        <v>10.35216</v>
      </c>
      <c r="AC74" s="23">
        <f t="shared" si="56"/>
        <v>10.35216</v>
      </c>
      <c r="AD74" s="23">
        <f>(scatterplots_LWG_grazdays_CS!$V$6*$A74+scatterplots_LWG_grazdays_CS!$W$6)/1000</f>
        <v>-7.007999999999999E-2</v>
      </c>
      <c r="AE74" s="23">
        <f t="shared" si="57"/>
        <v>-3.0079999999999989E-2</v>
      </c>
      <c r="AF74" s="23">
        <f t="shared" si="32"/>
        <v>9.9200000000000121E-3</v>
      </c>
      <c r="AG74" s="23">
        <f t="shared" si="32"/>
        <v>4.9920000000000006E-2</v>
      </c>
      <c r="AH74" s="23">
        <f>(scatterplots_LWG_grazdays_CS!$V$6*$A74+scatterplots_LWG_grazdays_CS!$W$6)/1000+AH73</f>
        <v>8.0920800000000046</v>
      </c>
      <c r="AI74" s="23">
        <f t="shared" si="58"/>
        <v>8.0920800000000046</v>
      </c>
      <c r="AJ74" s="23">
        <f t="shared" si="33"/>
        <v>8.0920800000000046</v>
      </c>
      <c r="AK74" s="23">
        <f t="shared" si="33"/>
        <v>8.0920800000000046</v>
      </c>
    </row>
    <row r="75" spans="1:37">
      <c r="A75" s="12">
        <v>73</v>
      </c>
      <c r="B75" s="12">
        <v>73</v>
      </c>
      <c r="C75" s="23">
        <f>(scatterplots_LWG_grazdays_CS!$V$3*$A75+scatterplots_LWG_grazdays_CS!$W$3)/1000</f>
        <v>9.2680000000000012E-2</v>
      </c>
      <c r="D75" s="23">
        <f t="shared" si="49"/>
        <v>0.13268000000000002</v>
      </c>
      <c r="E75" s="23">
        <f t="shared" si="49"/>
        <v>0.17268</v>
      </c>
      <c r="F75" s="23">
        <f t="shared" si="49"/>
        <v>0.21268000000000001</v>
      </c>
      <c r="G75" s="23">
        <f>(scatterplots_LWG_grazdays_CS!$V$3*$A75+scatterplots_LWG_grazdays_CS!$W$3)/1000+G74</f>
        <v>14.229160000000002</v>
      </c>
      <c r="H75" s="23">
        <f t="shared" si="48"/>
        <v>14.229160000000002</v>
      </c>
      <c r="I75" s="23">
        <f t="shared" si="48"/>
        <v>15.389160000000002</v>
      </c>
      <c r="J75" s="23">
        <f t="shared" si="47"/>
        <v>16.38916</v>
      </c>
      <c r="K75" s="23">
        <f t="shared" si="36"/>
        <v>16.789160000000003</v>
      </c>
      <c r="L75" s="23">
        <f t="shared" si="50"/>
        <v>14.229160000000002</v>
      </c>
      <c r="M75" s="23">
        <f t="shared" si="51"/>
        <v>14.229160000000002</v>
      </c>
      <c r="N75" s="23">
        <f>(scatterplots_LWG_grazdays_CS!$V$4*$A75+scatterplots_LWG_grazdays_CS!$W$4)/1000</f>
        <v>2.6979999999999962E-2</v>
      </c>
      <c r="O75" s="23">
        <f t="shared" si="52"/>
        <v>6.6979999999999956E-2</v>
      </c>
      <c r="P75" s="23">
        <f t="shared" si="52"/>
        <v>0.10697999999999996</v>
      </c>
      <c r="Q75" s="23">
        <f t="shared" si="52"/>
        <v>0.14697999999999994</v>
      </c>
      <c r="R75" s="23">
        <f>(scatterplots_LWG_grazdays_CS!$V$4*$A75+scatterplots_LWG_grazdays_CS!$W$4)/1000+R74</f>
        <v>11.798259999999999</v>
      </c>
      <c r="S75" s="23">
        <f t="shared" si="46"/>
        <v>11.798259999999999</v>
      </c>
      <c r="T75" s="23">
        <f t="shared" si="53"/>
        <v>11.798259999999999</v>
      </c>
      <c r="U75" s="23">
        <f t="shared" si="53"/>
        <v>11.798259999999999</v>
      </c>
      <c r="V75" s="23">
        <f>(scatterplots_LWG_grazdays_CS!$V$5*$A75+scatterplots_LWG_grazdays_CS!$W$5)/1000</f>
        <v>-1.2439999999999998E-2</v>
      </c>
      <c r="W75" s="23">
        <f t="shared" si="54"/>
        <v>2.7560000000000001E-2</v>
      </c>
      <c r="X75" s="23">
        <f t="shared" si="55"/>
        <v>6.7560000000000009E-2</v>
      </c>
      <c r="Y75" s="23">
        <f t="shared" si="55"/>
        <v>0.10756</v>
      </c>
      <c r="Z75" s="23">
        <f>(scatterplots_LWG_grazdays_CS!$V$5*$A75+scatterplots_LWG_grazdays_CS!$W$5)/1000+Z74</f>
        <v>10.33972</v>
      </c>
      <c r="AA75" s="23">
        <f t="shared" si="59"/>
        <v>10.33972</v>
      </c>
      <c r="AB75" s="23">
        <f t="shared" si="56"/>
        <v>10.33972</v>
      </c>
      <c r="AC75" s="23">
        <f t="shared" si="56"/>
        <v>10.33972</v>
      </c>
      <c r="AD75" s="23">
        <f>(scatterplots_LWG_grazdays_CS!$V$6*$A75+scatterplots_LWG_grazdays_CS!$W$6)/1000</f>
        <v>-7.5219999999999967E-2</v>
      </c>
      <c r="AE75" s="23">
        <f t="shared" si="57"/>
        <v>-3.5219999999999967E-2</v>
      </c>
      <c r="AF75" s="23">
        <f t="shared" si="32"/>
        <v>4.7800000000000342E-3</v>
      </c>
      <c r="AG75" s="23">
        <f t="shared" si="32"/>
        <v>4.4780000000000028E-2</v>
      </c>
      <c r="AH75" s="23">
        <f>(scatterplots_LWG_grazdays_CS!$V$6*$A75+scatterplots_LWG_grazdays_CS!$W$6)/1000+AH74</f>
        <v>8.0168600000000048</v>
      </c>
      <c r="AI75" s="23">
        <f t="shared" si="58"/>
        <v>8.0168600000000048</v>
      </c>
      <c r="AJ75" s="23">
        <f t="shared" si="33"/>
        <v>8.0168600000000048</v>
      </c>
      <c r="AK75" s="23">
        <f t="shared" si="33"/>
        <v>8.0168600000000048</v>
      </c>
    </row>
    <row r="76" spans="1:37">
      <c r="A76" s="12">
        <v>74</v>
      </c>
      <c r="B76" s="12">
        <v>74</v>
      </c>
      <c r="C76" s="23">
        <f>(scatterplots_LWG_grazdays_CS!$V$3*$A76+scatterplots_LWG_grazdays_CS!$W$3)/1000</f>
        <v>8.9840000000000003E-2</v>
      </c>
      <c r="D76" s="23">
        <f t="shared" si="49"/>
        <v>0.12984000000000001</v>
      </c>
      <c r="E76" s="23">
        <f t="shared" si="49"/>
        <v>0.16983999999999999</v>
      </c>
      <c r="F76" s="23">
        <f t="shared" si="49"/>
        <v>0.20984</v>
      </c>
      <c r="G76" s="23">
        <f>(scatterplots_LWG_grazdays_CS!$V$3*$A76+scatterplots_LWG_grazdays_CS!$W$3)/1000+G75</f>
        <v>14.319000000000003</v>
      </c>
      <c r="H76" s="23">
        <f t="shared" si="48"/>
        <v>14.319000000000003</v>
      </c>
      <c r="I76" s="23">
        <f t="shared" si="48"/>
        <v>15.519000000000002</v>
      </c>
      <c r="J76" s="23">
        <f t="shared" si="47"/>
        <v>16.519000000000002</v>
      </c>
      <c r="K76" s="23">
        <f t="shared" si="36"/>
        <v>16.919000000000004</v>
      </c>
      <c r="L76" s="23">
        <f t="shared" si="50"/>
        <v>14.319000000000003</v>
      </c>
      <c r="M76" s="23">
        <f t="shared" si="51"/>
        <v>14.319000000000003</v>
      </c>
      <c r="N76" s="23">
        <f>(scatterplots_LWG_grazdays_CS!$V$4*$A76+scatterplots_LWG_grazdays_CS!$W$4)/1000</f>
        <v>2.3240000000000011E-2</v>
      </c>
      <c r="O76" s="23">
        <f t="shared" si="52"/>
        <v>6.3240000000000018E-2</v>
      </c>
      <c r="P76" s="23">
        <f t="shared" si="52"/>
        <v>0.10324000000000001</v>
      </c>
      <c r="Q76" s="23">
        <f t="shared" si="52"/>
        <v>0.14324000000000001</v>
      </c>
      <c r="R76" s="23">
        <f>(scatterplots_LWG_grazdays_CS!$V$4*$A76+scatterplots_LWG_grazdays_CS!$W$4)/1000+R75</f>
        <v>11.821499999999999</v>
      </c>
      <c r="S76" s="23">
        <f t="shared" si="46"/>
        <v>11.821499999999999</v>
      </c>
      <c r="T76" s="23">
        <f t="shared" si="53"/>
        <v>11.821499999999999</v>
      </c>
      <c r="U76" s="23">
        <f t="shared" si="53"/>
        <v>11.821499999999999</v>
      </c>
      <c r="V76" s="23">
        <f>(scatterplots_LWG_grazdays_CS!$V$5*$A76+scatterplots_LWG_grazdays_CS!$W$5)/1000</f>
        <v>-1.6720000000000027E-2</v>
      </c>
      <c r="W76" s="23">
        <f t="shared" si="54"/>
        <v>2.3279999999999974E-2</v>
      </c>
      <c r="X76" s="23">
        <f t="shared" si="55"/>
        <v>6.3279999999999975E-2</v>
      </c>
      <c r="Y76" s="23">
        <f t="shared" si="55"/>
        <v>0.10327999999999997</v>
      </c>
      <c r="Z76" s="23">
        <f>(scatterplots_LWG_grazdays_CS!$V$5*$A76+scatterplots_LWG_grazdays_CS!$W$5)/1000+Z75</f>
        <v>10.323</v>
      </c>
      <c r="AA76" s="23">
        <f t="shared" si="59"/>
        <v>10.323</v>
      </c>
      <c r="AB76" s="23">
        <f t="shared" si="56"/>
        <v>10.323</v>
      </c>
      <c r="AC76" s="23">
        <f t="shared" si="56"/>
        <v>10.323</v>
      </c>
      <c r="AD76" s="23">
        <f>(scatterplots_LWG_grazdays_CS!$V$6*$A76+scatterplots_LWG_grazdays_CS!$W$6)/1000</f>
        <v>-8.0359999999999959E-2</v>
      </c>
      <c r="AE76" s="23">
        <f t="shared" si="57"/>
        <v>-4.0359999999999958E-2</v>
      </c>
      <c r="AF76" s="23">
        <f t="shared" si="32"/>
        <v>-3.5999999999995758E-4</v>
      </c>
      <c r="AG76" s="23">
        <f t="shared" si="32"/>
        <v>3.9640000000000036E-2</v>
      </c>
      <c r="AH76" s="23">
        <f>(scatterplots_LWG_grazdays_CS!$V$6*$A76+scatterplots_LWG_grazdays_CS!$W$6)/1000+AH75</f>
        <v>7.936500000000005</v>
      </c>
      <c r="AI76" s="23">
        <f t="shared" si="58"/>
        <v>7.936500000000005</v>
      </c>
      <c r="AJ76" s="23">
        <f t="shared" si="33"/>
        <v>7.936500000000005</v>
      </c>
      <c r="AK76" s="23">
        <f t="shared" si="33"/>
        <v>7.936500000000005</v>
      </c>
    </row>
    <row r="77" spans="1:37">
      <c r="A77" s="12">
        <v>75</v>
      </c>
      <c r="B77" s="12">
        <v>75</v>
      </c>
      <c r="C77" s="23">
        <f>(scatterplots_LWG_grazdays_CS!$V$3*$A77+scatterplots_LWG_grazdays_CS!$W$3)/1000</f>
        <v>8.6999999999999994E-2</v>
      </c>
      <c r="D77" s="23">
        <f t="shared" si="49"/>
        <v>0.127</v>
      </c>
      <c r="E77" s="23">
        <f t="shared" si="49"/>
        <v>0.16699999999999998</v>
      </c>
      <c r="F77" s="23">
        <f t="shared" si="49"/>
        <v>0.20699999999999999</v>
      </c>
      <c r="G77" s="23">
        <f>(scatterplots_LWG_grazdays_CS!$V$3*$A77+scatterplots_LWG_grazdays_CS!$W$3)/1000+G76</f>
        <v>14.406000000000002</v>
      </c>
      <c r="H77" s="23">
        <f t="shared" si="48"/>
        <v>14.406000000000002</v>
      </c>
      <c r="I77" s="23">
        <f t="shared" si="48"/>
        <v>15.646000000000003</v>
      </c>
      <c r="J77" s="23">
        <f t="shared" si="47"/>
        <v>16.646000000000001</v>
      </c>
      <c r="K77" s="23">
        <f t="shared" si="36"/>
        <v>17.046000000000003</v>
      </c>
      <c r="L77" s="23">
        <f t="shared" si="50"/>
        <v>14.406000000000002</v>
      </c>
      <c r="M77" s="23">
        <f t="shared" si="51"/>
        <v>14.406000000000002</v>
      </c>
      <c r="N77" s="23">
        <f>(scatterplots_LWG_grazdays_CS!$V$4*$A77+scatterplots_LWG_grazdays_CS!$W$4)/1000</f>
        <v>1.95E-2</v>
      </c>
      <c r="O77" s="23">
        <f t="shared" si="52"/>
        <v>5.9499999999999997E-2</v>
      </c>
      <c r="P77" s="23">
        <f t="shared" si="52"/>
        <v>9.9500000000000005E-2</v>
      </c>
      <c r="Q77" s="23">
        <f t="shared" si="52"/>
        <v>0.13949999999999999</v>
      </c>
      <c r="R77" s="23">
        <f>(scatterplots_LWG_grazdays_CS!$V$4*$A77+scatterplots_LWG_grazdays_CS!$W$4)/1000+R76</f>
        <v>11.840999999999999</v>
      </c>
      <c r="S77" s="23">
        <f t="shared" si="46"/>
        <v>11.840999999999999</v>
      </c>
      <c r="T77" s="23">
        <f t="shared" si="53"/>
        <v>11.840999999999999</v>
      </c>
      <c r="U77" s="23">
        <f t="shared" si="53"/>
        <v>11.840999999999999</v>
      </c>
      <c r="V77" s="23">
        <f>(scatterplots_LWG_grazdays_CS!$V$5*$A77+scatterplots_LWG_grazdays_CS!$W$5)/1000</f>
        <v>-2.1000000000000001E-2</v>
      </c>
      <c r="W77" s="23">
        <f t="shared" si="54"/>
        <v>1.9E-2</v>
      </c>
      <c r="X77" s="23">
        <f t="shared" si="55"/>
        <v>5.8999999999999997E-2</v>
      </c>
      <c r="Y77" s="23">
        <f t="shared" si="55"/>
        <v>9.8999999999999991E-2</v>
      </c>
      <c r="Z77" s="23">
        <f>(scatterplots_LWG_grazdays_CS!$V$5*$A77+scatterplots_LWG_grazdays_CS!$W$5)/1000+Z76</f>
        <v>10.302</v>
      </c>
      <c r="AA77" s="23">
        <f t="shared" si="59"/>
        <v>10.302</v>
      </c>
      <c r="AB77" s="23">
        <f t="shared" si="56"/>
        <v>10.302</v>
      </c>
      <c r="AC77" s="23">
        <f t="shared" si="56"/>
        <v>10.302</v>
      </c>
      <c r="AD77" s="23">
        <f>(scatterplots_LWG_grazdays_CS!$V$6*$A77+scatterplots_LWG_grazdays_CS!$W$6)/1000</f>
        <v>-8.5500000000000007E-2</v>
      </c>
      <c r="AE77" s="23">
        <f t="shared" si="57"/>
        <v>-4.5500000000000006E-2</v>
      </c>
      <c r="AF77" s="23">
        <f t="shared" si="32"/>
        <v>-5.5000000000000049E-3</v>
      </c>
      <c r="AG77" s="23">
        <f t="shared" si="32"/>
        <v>3.4499999999999989E-2</v>
      </c>
      <c r="AH77" s="23">
        <f>(scatterplots_LWG_grazdays_CS!$V$6*$A77+scatterplots_LWG_grazdays_CS!$W$6)/1000+AH76</f>
        <v>7.8510000000000053</v>
      </c>
      <c r="AI77" s="23">
        <f t="shared" si="58"/>
        <v>7.8510000000000053</v>
      </c>
      <c r="AJ77" s="23">
        <f t="shared" si="33"/>
        <v>7.8510000000000053</v>
      </c>
      <c r="AK77" s="23">
        <f t="shared" si="33"/>
        <v>7.8510000000000053</v>
      </c>
    </row>
    <row r="78" spans="1:37">
      <c r="A78" s="12">
        <v>76</v>
      </c>
      <c r="B78" s="12">
        <v>76</v>
      </c>
      <c r="C78" s="23">
        <f>(scatterplots_LWG_grazdays_CS!$V$3*$A78+scatterplots_LWG_grazdays_CS!$W$3)/1000</f>
        <v>8.4160000000000026E-2</v>
      </c>
      <c r="D78" s="23">
        <f t="shared" si="49"/>
        <v>0.12416000000000002</v>
      </c>
      <c r="E78" s="23">
        <f t="shared" si="49"/>
        <v>0.16416000000000003</v>
      </c>
      <c r="F78" s="23">
        <f t="shared" si="49"/>
        <v>0.20416000000000001</v>
      </c>
      <c r="G78" s="23">
        <f>(scatterplots_LWG_grazdays_CS!$V$3*$A78+scatterplots_LWG_grazdays_CS!$W$3)/1000+G77</f>
        <v>14.490160000000003</v>
      </c>
      <c r="H78" s="23">
        <f t="shared" si="48"/>
        <v>14.490160000000003</v>
      </c>
      <c r="I78" s="23">
        <f t="shared" si="48"/>
        <v>15.770160000000002</v>
      </c>
      <c r="J78" s="23">
        <f t="shared" si="47"/>
        <v>16.770160000000001</v>
      </c>
      <c r="K78" s="23">
        <f t="shared" si="36"/>
        <v>17.170160000000003</v>
      </c>
      <c r="L78" s="23">
        <f t="shared" si="50"/>
        <v>14.490160000000003</v>
      </c>
      <c r="M78" s="23">
        <f t="shared" si="51"/>
        <v>14.490160000000003</v>
      </c>
      <c r="N78" s="23">
        <f>(scatterplots_LWG_grazdays_CS!$V$4*$A78+scatterplots_LWG_grazdays_CS!$W$4)/1000</f>
        <v>1.5759999999999989E-2</v>
      </c>
      <c r="O78" s="23">
        <f t="shared" si="52"/>
        <v>5.575999999999999E-2</v>
      </c>
      <c r="P78" s="23">
        <f t="shared" si="52"/>
        <v>9.5759999999999984E-2</v>
      </c>
      <c r="Q78" s="23">
        <f t="shared" si="52"/>
        <v>0.13575999999999999</v>
      </c>
      <c r="R78" s="23">
        <f>(scatterplots_LWG_grazdays_CS!$V$4*$A78+scatterplots_LWG_grazdays_CS!$W$4)/1000+R77</f>
        <v>11.85676</v>
      </c>
      <c r="S78" s="23">
        <f t="shared" si="46"/>
        <v>11.85676</v>
      </c>
      <c r="T78" s="23">
        <f t="shared" si="53"/>
        <v>11.85676</v>
      </c>
      <c r="U78" s="23">
        <f t="shared" si="53"/>
        <v>11.85676</v>
      </c>
      <c r="V78" s="23">
        <f>(scatterplots_LWG_grazdays_CS!$V$5*$A78+scatterplots_LWG_grazdays_CS!$W$5)/1000</f>
        <v>-2.5280000000000028E-2</v>
      </c>
      <c r="W78" s="23">
        <f t="shared" si="54"/>
        <v>1.4719999999999973E-2</v>
      </c>
      <c r="X78" s="23">
        <f t="shared" si="55"/>
        <v>5.4719999999999977E-2</v>
      </c>
      <c r="Y78" s="23">
        <f t="shared" si="55"/>
        <v>9.4719999999999971E-2</v>
      </c>
      <c r="Z78" s="23">
        <f>(scatterplots_LWG_grazdays_CS!$V$5*$A78+scatterplots_LWG_grazdays_CS!$W$5)/1000+Z77</f>
        <v>10.276719999999999</v>
      </c>
      <c r="AA78" s="23">
        <f t="shared" si="59"/>
        <v>10.276719999999999</v>
      </c>
      <c r="AB78" s="23">
        <f t="shared" si="56"/>
        <v>10.276719999999999</v>
      </c>
      <c r="AC78" s="23">
        <f t="shared" si="56"/>
        <v>10.276719999999999</v>
      </c>
      <c r="AD78" s="23">
        <f>(scatterplots_LWG_grazdays_CS!$V$6*$A78+scatterplots_LWG_grazdays_CS!$W$6)/1000</f>
        <v>-9.0639999999999984E-2</v>
      </c>
      <c r="AE78" s="23">
        <f t="shared" si="57"/>
        <v>-5.0639999999999984E-2</v>
      </c>
      <c r="AF78" s="23">
        <f t="shared" si="32"/>
        <v>-1.0639999999999983E-2</v>
      </c>
      <c r="AG78" s="23">
        <f t="shared" si="32"/>
        <v>2.9360000000000011E-2</v>
      </c>
      <c r="AH78" s="23">
        <f>(scatterplots_LWG_grazdays_CS!$V$6*$A78+scatterplots_LWG_grazdays_CS!$W$6)/1000+AH77</f>
        <v>7.7603600000000057</v>
      </c>
      <c r="AI78" s="23">
        <f t="shared" si="58"/>
        <v>7.7603600000000057</v>
      </c>
      <c r="AJ78" s="23">
        <f t="shared" si="33"/>
        <v>7.7603600000000057</v>
      </c>
      <c r="AK78" s="23">
        <f t="shared" si="33"/>
        <v>7.7603600000000057</v>
      </c>
    </row>
    <row r="79" spans="1:37">
      <c r="A79" s="12">
        <v>77</v>
      </c>
      <c r="B79" s="12">
        <v>77</v>
      </c>
      <c r="C79" s="23">
        <f>(scatterplots_LWG_grazdays_CS!$V$3*$A79+scatterplots_LWG_grazdays_CS!$W$3)/1000</f>
        <v>8.1320000000000017E-2</v>
      </c>
      <c r="D79" s="23">
        <f t="shared" si="49"/>
        <v>0.12132000000000001</v>
      </c>
      <c r="E79" s="23">
        <f t="shared" si="49"/>
        <v>0.16132000000000002</v>
      </c>
      <c r="F79" s="23">
        <f t="shared" si="49"/>
        <v>0.20132</v>
      </c>
      <c r="G79" s="23">
        <f>(scatterplots_LWG_grazdays_CS!$V$3*$A79+scatterplots_LWG_grazdays_CS!$W$3)/1000+G78</f>
        <v>14.571480000000003</v>
      </c>
      <c r="H79" s="23">
        <f t="shared" si="48"/>
        <v>14.571480000000003</v>
      </c>
      <c r="I79" s="23">
        <f t="shared" si="48"/>
        <v>15.891480000000003</v>
      </c>
      <c r="J79" s="23">
        <f t="shared" si="47"/>
        <v>16.891480000000001</v>
      </c>
      <c r="K79" s="23">
        <f t="shared" si="36"/>
        <v>17.291480000000004</v>
      </c>
      <c r="L79" s="23">
        <f t="shared" si="50"/>
        <v>14.571480000000003</v>
      </c>
      <c r="M79" s="23">
        <f t="shared" si="51"/>
        <v>14.571480000000003</v>
      </c>
      <c r="N79" s="23">
        <f>(scatterplots_LWG_grazdays_CS!$V$4*$A79+scatterplots_LWG_grazdays_CS!$W$4)/1000</f>
        <v>1.2019999999999982E-2</v>
      </c>
      <c r="O79" s="23">
        <f t="shared" si="52"/>
        <v>5.2019999999999983E-2</v>
      </c>
      <c r="P79" s="23">
        <f t="shared" si="52"/>
        <v>9.2019999999999991E-2</v>
      </c>
      <c r="Q79" s="23">
        <f t="shared" si="52"/>
        <v>0.13201999999999997</v>
      </c>
      <c r="R79" s="23">
        <f>(scatterplots_LWG_grazdays_CS!$V$4*$A79+scatterplots_LWG_grazdays_CS!$W$4)/1000+R78</f>
        <v>11.868779999999999</v>
      </c>
      <c r="S79" s="23">
        <f t="shared" si="46"/>
        <v>11.868779999999999</v>
      </c>
      <c r="T79" s="23">
        <f t="shared" si="53"/>
        <v>11.868779999999999</v>
      </c>
      <c r="U79" s="23">
        <f t="shared" si="53"/>
        <v>11.868779999999999</v>
      </c>
      <c r="V79" s="23">
        <f>(scatterplots_LWG_grazdays_CS!$V$5*$A79+scatterplots_LWG_grazdays_CS!$W$5)/1000</f>
        <v>-2.9560000000000003E-2</v>
      </c>
      <c r="W79" s="23">
        <f t="shared" si="54"/>
        <v>1.0439999999999998E-2</v>
      </c>
      <c r="X79" s="23">
        <f t="shared" si="55"/>
        <v>5.0439999999999999E-2</v>
      </c>
      <c r="Y79" s="23">
        <f t="shared" si="55"/>
        <v>9.0439999999999993E-2</v>
      </c>
      <c r="Z79" s="23">
        <f>(scatterplots_LWG_grazdays_CS!$V$5*$A79+scatterplots_LWG_grazdays_CS!$W$5)/1000+Z78</f>
        <v>10.247159999999999</v>
      </c>
      <c r="AA79" s="23">
        <f t="shared" si="59"/>
        <v>10.247159999999999</v>
      </c>
      <c r="AB79" s="23">
        <f t="shared" si="56"/>
        <v>10.247159999999999</v>
      </c>
      <c r="AC79" s="23">
        <f t="shared" si="56"/>
        <v>10.247159999999999</v>
      </c>
      <c r="AD79" s="23">
        <f>(scatterplots_LWG_grazdays_CS!$V$6*$A79+scatterplots_LWG_grazdays_CS!$W$6)/1000</f>
        <v>-9.5779999999999976E-2</v>
      </c>
      <c r="AE79" s="23">
        <f t="shared" si="57"/>
        <v>-5.5779999999999975E-2</v>
      </c>
      <c r="AF79" s="23">
        <f t="shared" si="32"/>
        <v>-1.5779999999999975E-2</v>
      </c>
      <c r="AG79" s="23">
        <f t="shared" si="32"/>
        <v>2.4220000000000019E-2</v>
      </c>
      <c r="AH79" s="23">
        <f>(scatterplots_LWG_grazdays_CS!$V$6*$A79+scatterplots_LWG_grazdays_CS!$W$6)/1000+AH78</f>
        <v>7.6645800000000062</v>
      </c>
      <c r="AI79" s="23">
        <f t="shared" si="58"/>
        <v>7.6645800000000062</v>
      </c>
      <c r="AJ79" s="23">
        <f t="shared" si="33"/>
        <v>7.6645800000000062</v>
      </c>
      <c r="AK79" s="23">
        <f t="shared" si="33"/>
        <v>7.6645800000000062</v>
      </c>
    </row>
    <row r="80" spans="1:37">
      <c r="A80" s="12">
        <v>78</v>
      </c>
      <c r="B80" s="12">
        <v>78</v>
      </c>
      <c r="C80" s="23">
        <f>(scatterplots_LWG_grazdays_CS!$V$3*$A80+scatterplots_LWG_grazdays_CS!$W$3)/1000</f>
        <v>7.8480000000000022E-2</v>
      </c>
      <c r="D80" s="23">
        <f t="shared" si="49"/>
        <v>0.11848000000000003</v>
      </c>
      <c r="E80" s="23">
        <f t="shared" si="49"/>
        <v>0.15848000000000001</v>
      </c>
      <c r="F80" s="23">
        <f t="shared" si="49"/>
        <v>0.19848000000000002</v>
      </c>
      <c r="G80" s="23">
        <f>(scatterplots_LWG_grazdays_CS!$V$3*$A80+scatterplots_LWG_grazdays_CS!$W$3)/1000+G79</f>
        <v>14.649960000000004</v>
      </c>
      <c r="H80" s="23">
        <f t="shared" si="48"/>
        <v>14.649960000000004</v>
      </c>
      <c r="I80" s="23">
        <f t="shared" si="48"/>
        <v>16.009960000000003</v>
      </c>
      <c r="J80" s="23">
        <f t="shared" si="47"/>
        <v>17.009960000000003</v>
      </c>
      <c r="K80" s="23">
        <f t="shared" si="36"/>
        <v>17.409960000000005</v>
      </c>
      <c r="L80" s="23">
        <f t="shared" si="50"/>
        <v>14.649960000000004</v>
      </c>
      <c r="M80" s="23">
        <f t="shared" si="51"/>
        <v>14.649960000000004</v>
      </c>
      <c r="N80" s="23">
        <f>(scatterplots_LWG_grazdays_CS!$V$4*$A80+scatterplots_LWG_grazdays_CS!$W$4)/1000</f>
        <v>8.2799999999999731E-3</v>
      </c>
      <c r="O80" s="23">
        <f t="shared" si="52"/>
        <v>4.8279999999999976E-2</v>
      </c>
      <c r="P80" s="23">
        <f t="shared" si="52"/>
        <v>8.827999999999997E-2</v>
      </c>
      <c r="Q80" s="23">
        <f t="shared" si="52"/>
        <v>0.12827999999999998</v>
      </c>
      <c r="R80" s="23">
        <f>(scatterplots_LWG_grazdays_CS!$V$4*$A80+scatterplots_LWG_grazdays_CS!$W$4)/1000+R79</f>
        <v>11.877059999999998</v>
      </c>
      <c r="S80" s="23">
        <f t="shared" si="46"/>
        <v>11.877059999999998</v>
      </c>
      <c r="T80" s="23">
        <f t="shared" si="53"/>
        <v>11.877059999999998</v>
      </c>
      <c r="U80" s="23">
        <f t="shared" si="53"/>
        <v>11.877059999999998</v>
      </c>
      <c r="V80" s="23">
        <f>(scatterplots_LWG_grazdays_CS!$V$5*$A80+scatterplots_LWG_grazdays_CS!$W$5)/1000</f>
        <v>-3.384000000000003E-2</v>
      </c>
      <c r="W80" s="23">
        <f t="shared" si="54"/>
        <v>6.1599999999999711E-3</v>
      </c>
      <c r="X80" s="23">
        <f t="shared" si="55"/>
        <v>4.6159999999999972E-2</v>
      </c>
      <c r="Y80" s="23">
        <f t="shared" si="55"/>
        <v>8.6159999999999959E-2</v>
      </c>
      <c r="Z80" s="23">
        <f>(scatterplots_LWG_grazdays_CS!$V$5*$A80+scatterplots_LWG_grazdays_CS!$W$5)/1000+Z79</f>
        <v>10.21332</v>
      </c>
      <c r="AA80" s="23">
        <f t="shared" si="59"/>
        <v>10.21332</v>
      </c>
      <c r="AB80" s="23">
        <f t="shared" si="56"/>
        <v>10.21332</v>
      </c>
      <c r="AC80" s="23">
        <f t="shared" si="56"/>
        <v>10.21332</v>
      </c>
      <c r="AD80" s="23">
        <f>(scatterplots_LWG_grazdays_CS!$V$6*$A80+scatterplots_LWG_grazdays_CS!$W$6)/1000</f>
        <v>-0.10091999999999995</v>
      </c>
      <c r="AE80" s="23">
        <f t="shared" si="57"/>
        <v>-6.0919999999999953E-2</v>
      </c>
      <c r="AF80" s="23">
        <f t="shared" si="32"/>
        <v>-2.0919999999999953E-2</v>
      </c>
      <c r="AG80" s="23">
        <f t="shared" si="32"/>
        <v>1.9080000000000041E-2</v>
      </c>
      <c r="AH80" s="23">
        <f>(scatterplots_LWG_grazdays_CS!$V$6*$A80+scatterplots_LWG_grazdays_CS!$W$6)/1000+AH79</f>
        <v>7.5636600000000058</v>
      </c>
      <c r="AI80" s="23">
        <f t="shared" si="58"/>
        <v>7.5636600000000058</v>
      </c>
      <c r="AJ80" s="23">
        <f t="shared" si="33"/>
        <v>7.5636600000000058</v>
      </c>
      <c r="AK80" s="23">
        <f t="shared" si="33"/>
        <v>7.5636600000000058</v>
      </c>
    </row>
    <row r="81" spans="1:37">
      <c r="A81" s="12">
        <v>79</v>
      </c>
      <c r="B81" s="12">
        <v>79</v>
      </c>
      <c r="C81" s="23">
        <f>(scatterplots_LWG_grazdays_CS!$V$3*$A81+scatterplots_LWG_grazdays_CS!$W$3)/1000</f>
        <v>7.5640000000000013E-2</v>
      </c>
      <c r="D81" s="23">
        <f t="shared" si="49"/>
        <v>0.11564000000000002</v>
      </c>
      <c r="E81" s="23">
        <f t="shared" si="49"/>
        <v>0.15564</v>
      </c>
      <c r="F81" s="23">
        <f t="shared" si="49"/>
        <v>0.19564000000000001</v>
      </c>
      <c r="G81" s="23">
        <f>(scatterplots_LWG_grazdays_CS!$V$3*$A81+scatterplots_LWG_grazdays_CS!$W$3)/1000+G80</f>
        <v>14.725600000000004</v>
      </c>
      <c r="H81" s="23">
        <f t="shared" ref="H81:I96" si="60">C81+H80</f>
        <v>14.725600000000004</v>
      </c>
      <c r="I81" s="23">
        <f t="shared" si="60"/>
        <v>16.125600000000002</v>
      </c>
      <c r="J81" s="23">
        <f t="shared" si="47"/>
        <v>17.125600000000002</v>
      </c>
      <c r="K81" s="23">
        <f t="shared" si="36"/>
        <v>17.525600000000004</v>
      </c>
      <c r="L81" s="23">
        <f t="shared" si="50"/>
        <v>14.725600000000004</v>
      </c>
      <c r="M81" s="23">
        <f t="shared" si="51"/>
        <v>14.725600000000004</v>
      </c>
      <c r="N81" s="23">
        <f>(scatterplots_LWG_grazdays_CS!$V$4*$A81+scatterplots_LWG_grazdays_CS!$W$4)/1000</f>
        <v>4.5399999999999633E-3</v>
      </c>
      <c r="O81" s="23">
        <f t="shared" si="52"/>
        <v>4.4539999999999962E-2</v>
      </c>
      <c r="P81" s="23">
        <f t="shared" si="52"/>
        <v>8.4539999999999962E-2</v>
      </c>
      <c r="Q81" s="23">
        <f t="shared" si="52"/>
        <v>0.12453999999999996</v>
      </c>
      <c r="R81" s="23">
        <f>(scatterplots_LWG_grazdays_CS!$V$4*$A81+scatterplots_LWG_grazdays_CS!$W$4)/1000+R80</f>
        <v>11.881599999999999</v>
      </c>
      <c r="S81" s="23">
        <f t="shared" si="46"/>
        <v>11.881599999999999</v>
      </c>
      <c r="T81" s="23">
        <f t="shared" si="53"/>
        <v>11.881599999999999</v>
      </c>
      <c r="U81" s="23">
        <f t="shared" si="53"/>
        <v>11.881599999999999</v>
      </c>
      <c r="V81" s="23">
        <f>(scatterplots_LWG_grazdays_CS!$V$5*$A81+scatterplots_LWG_grazdays_CS!$W$5)/1000</f>
        <v>-3.8120000000000001E-2</v>
      </c>
      <c r="W81" s="23">
        <f t="shared" si="54"/>
        <v>1.8799999999999997E-3</v>
      </c>
      <c r="X81" s="23">
        <f t="shared" si="55"/>
        <v>4.1880000000000001E-2</v>
      </c>
      <c r="Y81" s="23">
        <f t="shared" si="55"/>
        <v>8.1879999999999994E-2</v>
      </c>
      <c r="Z81" s="23">
        <f>(scatterplots_LWG_grazdays_CS!$V$5*$A81+scatterplots_LWG_grazdays_CS!$W$5)/1000+Z80</f>
        <v>10.1752</v>
      </c>
      <c r="AA81" s="23">
        <f t="shared" si="59"/>
        <v>10.1752</v>
      </c>
      <c r="AB81" s="23">
        <f t="shared" si="56"/>
        <v>10.1752</v>
      </c>
      <c r="AC81" s="23">
        <f t="shared" si="56"/>
        <v>10.1752</v>
      </c>
      <c r="AD81" s="23">
        <f>(scatterplots_LWG_grazdays_CS!$V$6*$A81+scatterplots_LWG_grazdays_CS!$W$6)/1000</f>
        <v>-0.10606</v>
      </c>
      <c r="AE81" s="23">
        <f t="shared" si="57"/>
        <v>-6.6060000000000008E-2</v>
      </c>
      <c r="AF81" s="23">
        <f t="shared" si="32"/>
        <v>-2.606E-2</v>
      </c>
      <c r="AG81" s="23">
        <f t="shared" si="32"/>
        <v>1.3939999999999994E-2</v>
      </c>
      <c r="AH81" s="23">
        <f>(scatterplots_LWG_grazdays_CS!$V$6*$A81+scatterplots_LWG_grazdays_CS!$W$6)/1000+AH80</f>
        <v>7.4576000000000056</v>
      </c>
      <c r="AI81" s="23">
        <f t="shared" si="58"/>
        <v>7.4576000000000056</v>
      </c>
      <c r="AJ81" s="23">
        <f t="shared" si="33"/>
        <v>7.4576000000000056</v>
      </c>
      <c r="AK81" s="23">
        <f t="shared" si="33"/>
        <v>7.4576000000000056</v>
      </c>
    </row>
    <row r="82" spans="1:37">
      <c r="A82" s="12">
        <v>80</v>
      </c>
      <c r="B82" s="12">
        <v>80</v>
      </c>
      <c r="C82" s="23">
        <f>(scatterplots_LWG_grazdays_CS!$V$3*$A82+scatterplots_LWG_grazdays_CS!$W$3)/1000</f>
        <v>7.2800000000000017E-2</v>
      </c>
      <c r="D82" s="23">
        <f t="shared" si="49"/>
        <v>0.11280000000000001</v>
      </c>
      <c r="E82" s="23">
        <f t="shared" si="49"/>
        <v>0.15280000000000002</v>
      </c>
      <c r="F82" s="23">
        <f t="shared" si="49"/>
        <v>0.19280000000000003</v>
      </c>
      <c r="G82" s="23">
        <f>(scatterplots_LWG_grazdays_CS!$V$3*$A82+scatterplots_LWG_grazdays_CS!$W$3)/1000+G81</f>
        <v>14.798400000000004</v>
      </c>
      <c r="H82" s="23">
        <f t="shared" si="60"/>
        <v>14.798400000000004</v>
      </c>
      <c r="I82" s="23">
        <f t="shared" si="60"/>
        <v>16.238400000000002</v>
      </c>
      <c r="J82" s="23">
        <f t="shared" si="47"/>
        <v>17.238400000000002</v>
      </c>
      <c r="K82" s="23">
        <f t="shared" si="36"/>
        <v>17.638400000000004</v>
      </c>
      <c r="L82" s="23">
        <f t="shared" si="50"/>
        <v>14.798400000000004</v>
      </c>
      <c r="M82" s="23">
        <f t="shared" si="51"/>
        <v>14.798400000000004</v>
      </c>
      <c r="N82" s="23">
        <f>(scatterplots_LWG_grazdays_CS!$V$4*$A82+scatterplots_LWG_grazdays_CS!$W$4)/1000</f>
        <v>7.999999999999545E-4</v>
      </c>
      <c r="O82" s="23">
        <f t="shared" si="52"/>
        <v>4.0799999999999954E-2</v>
      </c>
      <c r="P82" s="23">
        <f t="shared" si="52"/>
        <v>8.0799999999999955E-2</v>
      </c>
      <c r="Q82" s="23">
        <f t="shared" si="52"/>
        <v>0.12079999999999995</v>
      </c>
      <c r="R82" s="23">
        <f>(scatterplots_LWG_grazdays_CS!$V$4*$A82+scatterplots_LWG_grazdays_CS!$W$4)/1000+R81</f>
        <v>11.882399999999999</v>
      </c>
      <c r="S82" s="23">
        <f t="shared" si="46"/>
        <v>11.882399999999999</v>
      </c>
      <c r="T82" s="23">
        <f t="shared" si="53"/>
        <v>11.882399999999999</v>
      </c>
      <c r="U82" s="23">
        <f t="shared" si="53"/>
        <v>11.882399999999999</v>
      </c>
      <c r="V82" s="23">
        <f>(scatterplots_LWG_grazdays_CS!$V$5*$A82+scatterplots_LWG_grazdays_CS!$W$5)/1000</f>
        <v>-4.2400000000000035E-2</v>
      </c>
      <c r="W82" s="23">
        <f t="shared" si="54"/>
        <v>-2.4000000000000341E-3</v>
      </c>
      <c r="X82" s="23">
        <f t="shared" si="55"/>
        <v>3.7599999999999967E-2</v>
      </c>
      <c r="Y82" s="23">
        <f t="shared" si="55"/>
        <v>7.7599999999999961E-2</v>
      </c>
      <c r="Z82" s="23">
        <f>(scatterplots_LWG_grazdays_CS!$V$5*$A82+scatterplots_LWG_grazdays_CS!$W$5)/1000+Z81</f>
        <v>10.1328</v>
      </c>
      <c r="AA82" s="23">
        <f t="shared" si="59"/>
        <v>10.1328</v>
      </c>
      <c r="AB82" s="23">
        <f t="shared" si="56"/>
        <v>10.1328</v>
      </c>
      <c r="AC82" s="23">
        <f t="shared" si="56"/>
        <v>10.1328</v>
      </c>
      <c r="AD82" s="23">
        <f>(scatterplots_LWG_grazdays_CS!$V$6*$A82+scatterplots_LWG_grazdays_CS!$W$6)/1000</f>
        <v>-0.11119999999999999</v>
      </c>
      <c r="AE82" s="23">
        <f t="shared" si="57"/>
        <v>-7.1199999999999986E-2</v>
      </c>
      <c r="AF82" s="23">
        <f t="shared" si="32"/>
        <v>-3.1199999999999992E-2</v>
      </c>
      <c r="AG82" s="23">
        <f t="shared" si="32"/>
        <v>8.8000000000000023E-3</v>
      </c>
      <c r="AH82" s="23">
        <f>(scatterplots_LWG_grazdays_CS!$V$6*$A82+scatterplots_LWG_grazdays_CS!$W$6)/1000+AH81</f>
        <v>7.3464000000000054</v>
      </c>
      <c r="AI82" s="23">
        <f t="shared" si="58"/>
        <v>7.3464000000000054</v>
      </c>
      <c r="AJ82" s="23">
        <f t="shared" si="33"/>
        <v>7.3464000000000054</v>
      </c>
      <c r="AK82" s="23">
        <f t="shared" si="33"/>
        <v>7.3464000000000054</v>
      </c>
    </row>
    <row r="83" spans="1:37">
      <c r="A83" s="12">
        <v>81</v>
      </c>
      <c r="B83" s="12">
        <v>81</v>
      </c>
      <c r="C83" s="23">
        <f>(scatterplots_LWG_grazdays_CS!$V$3*$A83+scatterplots_LWG_grazdays_CS!$W$3)/1000</f>
        <v>6.9960000000000008E-2</v>
      </c>
      <c r="D83" s="23">
        <f t="shared" si="49"/>
        <v>0.10996</v>
      </c>
      <c r="E83" s="23">
        <f t="shared" si="49"/>
        <v>0.14996000000000001</v>
      </c>
      <c r="F83" s="23">
        <f t="shared" si="49"/>
        <v>0.18996000000000002</v>
      </c>
      <c r="G83" s="23">
        <f>(scatterplots_LWG_grazdays_CS!$V$3*$A83+scatterplots_LWG_grazdays_CS!$W$3)/1000+G82</f>
        <v>14.868360000000004</v>
      </c>
      <c r="H83" s="23">
        <f t="shared" si="60"/>
        <v>14.868360000000004</v>
      </c>
      <c r="I83" s="23">
        <f t="shared" si="60"/>
        <v>16.348360000000003</v>
      </c>
      <c r="J83" s="23">
        <f t="shared" si="47"/>
        <v>17.348360000000003</v>
      </c>
      <c r="K83" s="23">
        <f t="shared" si="36"/>
        <v>17.748360000000005</v>
      </c>
      <c r="L83" s="23">
        <f t="shared" si="50"/>
        <v>14.868360000000004</v>
      </c>
      <c r="M83" s="23">
        <f t="shared" si="51"/>
        <v>14.868360000000004</v>
      </c>
      <c r="N83" s="23">
        <f>(scatterplots_LWG_grazdays_CS!$V$4*$A83+scatterplots_LWG_grazdays_CS!$W$4)/1000</f>
        <v>-2.9399999999999977E-3</v>
      </c>
      <c r="O83" s="23">
        <f t="shared" si="52"/>
        <v>3.7060000000000003E-2</v>
      </c>
      <c r="P83" s="23">
        <f t="shared" si="52"/>
        <v>7.7060000000000003E-2</v>
      </c>
      <c r="Q83" s="23">
        <f t="shared" si="52"/>
        <v>0.11706</v>
      </c>
      <c r="R83" s="23">
        <f>(scatterplots_LWG_grazdays_CS!$V$4*$A83+scatterplots_LWG_grazdays_CS!$W$4)/1000+R82</f>
        <v>11.879459999999998</v>
      </c>
      <c r="S83" s="23">
        <f t="shared" si="46"/>
        <v>11.879459999999998</v>
      </c>
      <c r="T83" s="23">
        <f t="shared" si="53"/>
        <v>11.879459999999998</v>
      </c>
      <c r="U83" s="23">
        <f t="shared" si="53"/>
        <v>11.879459999999998</v>
      </c>
      <c r="V83" s="23">
        <f>(scatterplots_LWG_grazdays_CS!$V$5*$A83+scatterplots_LWG_grazdays_CS!$W$5)/1000</f>
        <v>-4.6680000000000006E-2</v>
      </c>
      <c r="W83" s="23">
        <f t="shared" si="54"/>
        <v>-6.6800000000000054E-3</v>
      </c>
      <c r="X83" s="23">
        <f t="shared" si="55"/>
        <v>3.3319999999999995E-2</v>
      </c>
      <c r="Y83" s="23">
        <f t="shared" si="55"/>
        <v>7.3319999999999996E-2</v>
      </c>
      <c r="Z83" s="23">
        <f>(scatterplots_LWG_grazdays_CS!$V$5*$A83+scatterplots_LWG_grazdays_CS!$W$5)/1000+Z82</f>
        <v>10.086119999999999</v>
      </c>
      <c r="AA83" s="23">
        <f t="shared" si="59"/>
        <v>10.086119999999999</v>
      </c>
      <c r="AB83" s="23">
        <f t="shared" si="56"/>
        <v>10.086119999999999</v>
      </c>
      <c r="AC83" s="23">
        <f t="shared" si="56"/>
        <v>10.086119999999999</v>
      </c>
      <c r="AD83" s="23">
        <f>(scatterplots_LWG_grazdays_CS!$V$6*$A83+scatterplots_LWG_grazdays_CS!$W$6)/1000</f>
        <v>-0.11633999999999997</v>
      </c>
      <c r="AE83" s="23">
        <f t="shared" si="57"/>
        <v>-7.6339999999999963E-2</v>
      </c>
      <c r="AF83" s="23">
        <f t="shared" ref="AF83:AG146" si="61">$AD83+AF$1/1000</f>
        <v>-3.633999999999997E-2</v>
      </c>
      <c r="AG83" s="23">
        <f t="shared" si="61"/>
        <v>3.6600000000000243E-3</v>
      </c>
      <c r="AH83" s="23">
        <f>(scatterplots_LWG_grazdays_CS!$V$6*$A83+scatterplots_LWG_grazdays_CS!$W$6)/1000+AH82</f>
        <v>7.2300600000000053</v>
      </c>
      <c r="AI83" s="23">
        <f t="shared" si="58"/>
        <v>7.2300600000000053</v>
      </c>
      <c r="AJ83" s="23">
        <f t="shared" ref="AJ83:AK92" si="62">$AH83</f>
        <v>7.2300600000000053</v>
      </c>
      <c r="AK83" s="23">
        <f t="shared" si="62"/>
        <v>7.2300600000000053</v>
      </c>
    </row>
    <row r="84" spans="1:37">
      <c r="A84" s="12">
        <v>82</v>
      </c>
      <c r="B84" s="12">
        <v>82</v>
      </c>
      <c r="C84" s="23">
        <f>(scatterplots_LWG_grazdays_CS!$V$3*$A84+scatterplots_LWG_grazdays_CS!$W$3)/1000</f>
        <v>6.7119999999999999E-2</v>
      </c>
      <c r="D84" s="23">
        <f t="shared" si="49"/>
        <v>0.10711999999999999</v>
      </c>
      <c r="E84" s="23">
        <f t="shared" si="49"/>
        <v>0.14712</v>
      </c>
      <c r="F84" s="23">
        <f t="shared" si="49"/>
        <v>0.18712000000000001</v>
      </c>
      <c r="G84" s="23">
        <f>(scatterplots_LWG_grazdays_CS!$V$3*$A84+scatterplots_LWG_grazdays_CS!$W$3)/1000+G83</f>
        <v>14.935480000000004</v>
      </c>
      <c r="H84" s="23">
        <f t="shared" si="60"/>
        <v>14.935480000000004</v>
      </c>
      <c r="I84" s="23">
        <f t="shared" si="60"/>
        <v>16.455480000000001</v>
      </c>
      <c r="J84" s="23">
        <f t="shared" si="47"/>
        <v>17.455480000000001</v>
      </c>
      <c r="K84" s="23">
        <f t="shared" si="36"/>
        <v>17.855480000000004</v>
      </c>
      <c r="L84" s="23">
        <f t="shared" si="50"/>
        <v>14.935480000000004</v>
      </c>
      <c r="M84" s="23">
        <f t="shared" si="51"/>
        <v>14.935480000000004</v>
      </c>
      <c r="N84" s="23">
        <f>(scatterplots_LWG_grazdays_CS!$V$4*$A84+scatterplots_LWG_grazdays_CS!$W$4)/1000</f>
        <v>-6.6800000000000071E-3</v>
      </c>
      <c r="O84" s="23">
        <f t="shared" si="52"/>
        <v>3.3319999999999995E-2</v>
      </c>
      <c r="P84" s="23">
        <f t="shared" si="52"/>
        <v>7.3319999999999996E-2</v>
      </c>
      <c r="Q84" s="23">
        <f t="shared" si="52"/>
        <v>0.11331999999999999</v>
      </c>
      <c r="R84" s="23">
        <f>(scatterplots_LWG_grazdays_CS!$V$4*$A84+scatterplots_LWG_grazdays_CS!$W$4)/1000+R83</f>
        <v>11.872779999999999</v>
      </c>
      <c r="S84" s="23">
        <f t="shared" si="46"/>
        <v>11.872779999999999</v>
      </c>
      <c r="T84" s="23">
        <f t="shared" ref="T84:U92" si="63">$N84+T83</f>
        <v>11.872779999999999</v>
      </c>
      <c r="U84" s="23">
        <f t="shared" si="63"/>
        <v>11.872779999999999</v>
      </c>
      <c r="V84" s="23">
        <f>(scatterplots_LWG_grazdays_CS!$V$5*$A84+scatterplots_LWG_grazdays_CS!$W$5)/1000</f>
        <v>-5.0960000000000033E-2</v>
      </c>
      <c r="W84" s="23">
        <f t="shared" si="54"/>
        <v>-1.0960000000000032E-2</v>
      </c>
      <c r="X84" s="23">
        <f t="shared" si="55"/>
        <v>2.9039999999999969E-2</v>
      </c>
      <c r="Y84" s="23">
        <f t="shared" si="55"/>
        <v>6.9039999999999963E-2</v>
      </c>
      <c r="Z84" s="23">
        <f>(scatterplots_LWG_grazdays_CS!$V$5*$A84+scatterplots_LWG_grazdays_CS!$W$5)/1000+Z83</f>
        <v>10.035159999999999</v>
      </c>
      <c r="AA84" s="23">
        <f t="shared" si="59"/>
        <v>10.035159999999999</v>
      </c>
      <c r="AB84" s="23">
        <f t="shared" ref="AB84:AC92" si="64">AB83+$V84</f>
        <v>10.035159999999999</v>
      </c>
      <c r="AC84" s="23">
        <f t="shared" si="64"/>
        <v>10.035159999999999</v>
      </c>
      <c r="AD84" s="23">
        <f>(scatterplots_LWG_grazdays_CS!$V$6*$A84+scatterplots_LWG_grazdays_CS!$W$6)/1000</f>
        <v>-0.12147999999999996</v>
      </c>
      <c r="AE84" s="23">
        <f t="shared" si="57"/>
        <v>-8.1479999999999969E-2</v>
      </c>
      <c r="AF84" s="23">
        <f t="shared" si="61"/>
        <v>-4.1479999999999961E-2</v>
      </c>
      <c r="AG84" s="23">
        <f t="shared" si="61"/>
        <v>-1.4799999999999675E-3</v>
      </c>
      <c r="AH84" s="23">
        <f>(scatterplots_LWG_grazdays_CS!$V$6*$A84+scatterplots_LWG_grazdays_CS!$W$6)/1000+AH83</f>
        <v>7.1085800000000052</v>
      </c>
      <c r="AI84" s="23">
        <f t="shared" si="58"/>
        <v>7.1085800000000052</v>
      </c>
      <c r="AJ84" s="23">
        <f t="shared" si="62"/>
        <v>7.1085800000000052</v>
      </c>
      <c r="AK84" s="23">
        <f t="shared" si="62"/>
        <v>7.1085800000000052</v>
      </c>
    </row>
    <row r="85" spans="1:37">
      <c r="A85" s="12">
        <v>83</v>
      </c>
      <c r="B85" s="12">
        <v>83</v>
      </c>
      <c r="C85" s="23">
        <f>(scatterplots_LWG_grazdays_CS!$V$3*$A85+scatterplots_LWG_grazdays_CS!$W$3)/1000</f>
        <v>6.4280000000000004E-2</v>
      </c>
      <c r="D85" s="23">
        <f t="shared" si="49"/>
        <v>0.10428000000000001</v>
      </c>
      <c r="E85" s="23">
        <f t="shared" si="49"/>
        <v>0.14428000000000002</v>
      </c>
      <c r="F85" s="23">
        <f t="shared" si="49"/>
        <v>0.18428</v>
      </c>
      <c r="G85" s="23">
        <f>(scatterplots_LWG_grazdays_CS!$V$3*$A85+scatterplots_LWG_grazdays_CS!$W$3)/1000+G84</f>
        <v>14.999760000000004</v>
      </c>
      <c r="H85" s="23">
        <f t="shared" si="60"/>
        <v>14.999760000000004</v>
      </c>
      <c r="I85" s="23">
        <f t="shared" si="60"/>
        <v>16.559760000000001</v>
      </c>
      <c r="J85" s="23">
        <f t="shared" si="47"/>
        <v>17.559760000000001</v>
      </c>
      <c r="K85" s="23">
        <f t="shared" si="36"/>
        <v>17.959760000000003</v>
      </c>
      <c r="L85" s="23">
        <f t="shared" si="50"/>
        <v>14.999760000000004</v>
      </c>
      <c r="M85" s="23">
        <f t="shared" si="51"/>
        <v>14.999760000000004</v>
      </c>
      <c r="N85" s="23">
        <f>(scatterplots_LWG_grazdays_CS!$V$4*$A85+scatterplots_LWG_grazdays_CS!$W$4)/1000</f>
        <v>-1.0420000000000016E-2</v>
      </c>
      <c r="O85" s="23">
        <f t="shared" si="52"/>
        <v>2.9579999999999985E-2</v>
      </c>
      <c r="P85" s="23">
        <f t="shared" si="52"/>
        <v>6.9579999999999989E-2</v>
      </c>
      <c r="Q85" s="23">
        <f t="shared" si="52"/>
        <v>0.10957999999999998</v>
      </c>
      <c r="R85" s="23">
        <f>(scatterplots_LWG_grazdays_CS!$V$4*$A85+scatterplots_LWG_grazdays_CS!$W$4)/1000+R84</f>
        <v>11.862359999999999</v>
      </c>
      <c r="S85" s="23">
        <f t="shared" si="46"/>
        <v>11.862359999999999</v>
      </c>
      <c r="T85" s="23">
        <f t="shared" si="63"/>
        <v>11.862359999999999</v>
      </c>
      <c r="U85" s="23">
        <f t="shared" si="63"/>
        <v>11.862359999999999</v>
      </c>
      <c r="V85" s="23">
        <f>(scatterplots_LWG_grazdays_CS!$V$5*$A85+scatterplots_LWG_grazdays_CS!$W$5)/1000</f>
        <v>-5.5240000000000011E-2</v>
      </c>
      <c r="W85" s="23">
        <f t="shared" si="54"/>
        <v>-1.524000000000001E-2</v>
      </c>
      <c r="X85" s="23">
        <f t="shared" si="55"/>
        <v>2.475999999999999E-2</v>
      </c>
      <c r="Y85" s="23">
        <f t="shared" si="55"/>
        <v>6.4759999999999984E-2</v>
      </c>
      <c r="Z85" s="23">
        <f>(scatterplots_LWG_grazdays_CS!$V$5*$A85+scatterplots_LWG_grazdays_CS!$W$5)/1000+Z84</f>
        <v>9.9799199999999999</v>
      </c>
      <c r="AA85" s="23">
        <f t="shared" si="59"/>
        <v>9.9799199999999999</v>
      </c>
      <c r="AB85" s="23">
        <f t="shared" si="64"/>
        <v>9.9799199999999999</v>
      </c>
      <c r="AC85" s="23">
        <f t="shared" si="64"/>
        <v>9.9799199999999999</v>
      </c>
      <c r="AD85" s="23">
        <f>(scatterplots_LWG_grazdays_CS!$V$6*$A85+scatterplots_LWG_grazdays_CS!$W$6)/1000</f>
        <v>-0.12661999999999995</v>
      </c>
      <c r="AE85" s="23">
        <f t="shared" si="57"/>
        <v>-8.6619999999999947E-2</v>
      </c>
      <c r="AF85" s="23">
        <f t="shared" si="61"/>
        <v>-4.6619999999999953E-2</v>
      </c>
      <c r="AG85" s="23">
        <f t="shared" si="61"/>
        <v>-6.6199999999999593E-3</v>
      </c>
      <c r="AH85" s="23">
        <f>(scatterplots_LWG_grazdays_CS!$V$6*$A85+scatterplots_LWG_grazdays_CS!$W$6)/1000+AH84</f>
        <v>6.9819600000000053</v>
      </c>
      <c r="AI85" s="23">
        <f t="shared" si="58"/>
        <v>6.9819600000000053</v>
      </c>
      <c r="AJ85" s="23">
        <f t="shared" si="62"/>
        <v>6.9819600000000053</v>
      </c>
      <c r="AK85" s="23">
        <f t="shared" si="62"/>
        <v>6.9819600000000053</v>
      </c>
    </row>
    <row r="86" spans="1:37">
      <c r="A86" s="12">
        <v>84</v>
      </c>
      <c r="B86" s="12">
        <v>84</v>
      </c>
      <c r="C86" s="23">
        <f>(scatterplots_LWG_grazdays_CS!$V$3*$A86+scatterplots_LWG_grazdays_CS!$W$3)/1000</f>
        <v>6.1439999999999995E-2</v>
      </c>
      <c r="D86" s="23">
        <f t="shared" si="49"/>
        <v>0.10144</v>
      </c>
      <c r="E86" s="23">
        <f t="shared" si="49"/>
        <v>0.14144000000000001</v>
      </c>
      <c r="F86" s="23">
        <f t="shared" si="49"/>
        <v>0.18143999999999999</v>
      </c>
      <c r="G86" s="23">
        <f>(scatterplots_LWG_grazdays_CS!$V$3*$A86+scatterplots_LWG_grazdays_CS!$W$3)/1000+G85</f>
        <v>15.061200000000003</v>
      </c>
      <c r="H86" s="23">
        <f t="shared" si="60"/>
        <v>15.061200000000003</v>
      </c>
      <c r="I86" s="23">
        <f t="shared" si="60"/>
        <v>16.661200000000001</v>
      </c>
      <c r="J86" s="23">
        <f t="shared" si="47"/>
        <v>17.661200000000001</v>
      </c>
      <c r="K86" s="23">
        <f t="shared" si="36"/>
        <v>18.061200000000003</v>
      </c>
      <c r="L86" s="23">
        <f t="shared" si="50"/>
        <v>15.061200000000003</v>
      </c>
      <c r="M86" s="23">
        <f t="shared" si="51"/>
        <v>15.061200000000003</v>
      </c>
      <c r="N86" s="23">
        <f>(scatterplots_LWG_grazdays_CS!$V$4*$A86+scatterplots_LWG_grazdays_CS!$W$4)/1000</f>
        <v>-1.4160000000000025E-2</v>
      </c>
      <c r="O86" s="23">
        <f t="shared" si="52"/>
        <v>2.5839999999999974E-2</v>
      </c>
      <c r="P86" s="23">
        <f t="shared" si="52"/>
        <v>6.5839999999999982E-2</v>
      </c>
      <c r="Q86" s="23">
        <f t="shared" si="52"/>
        <v>0.10583999999999998</v>
      </c>
      <c r="R86" s="23">
        <f>(scatterplots_LWG_grazdays_CS!$V$4*$A86+scatterplots_LWG_grazdays_CS!$W$4)/1000+R85</f>
        <v>11.848199999999999</v>
      </c>
      <c r="S86" s="23">
        <f>N86+S85</f>
        <v>11.848199999999999</v>
      </c>
      <c r="T86" s="23">
        <f t="shared" si="63"/>
        <v>11.848199999999999</v>
      </c>
      <c r="U86" s="23">
        <f t="shared" si="63"/>
        <v>11.848199999999999</v>
      </c>
      <c r="V86" s="23">
        <f>(scatterplots_LWG_grazdays_CS!$V$5*$A86+scatterplots_LWG_grazdays_CS!$W$5)/1000</f>
        <v>-5.9520000000000038E-2</v>
      </c>
      <c r="W86" s="23">
        <f t="shared" si="54"/>
        <v>-1.9520000000000037E-2</v>
      </c>
      <c r="X86" s="23">
        <f t="shared" si="55"/>
        <v>2.0479999999999964E-2</v>
      </c>
      <c r="Y86" s="23">
        <f t="shared" si="55"/>
        <v>6.0479999999999957E-2</v>
      </c>
      <c r="Z86" s="23">
        <f>(scatterplots_LWG_grazdays_CS!$V$5*$A86+scatterplots_LWG_grazdays_CS!$W$5)/1000+Z85</f>
        <v>9.920399999999999</v>
      </c>
      <c r="AA86" s="23">
        <f t="shared" si="59"/>
        <v>9.920399999999999</v>
      </c>
      <c r="AB86" s="23">
        <f t="shared" si="64"/>
        <v>9.920399999999999</v>
      </c>
      <c r="AC86" s="23">
        <f t="shared" si="64"/>
        <v>9.920399999999999</v>
      </c>
      <c r="AD86" s="23">
        <f>(scatterplots_LWG_grazdays_CS!$V$6*$A86+scatterplots_LWG_grazdays_CS!$W$6)/1000</f>
        <v>-0.13175999999999999</v>
      </c>
      <c r="AE86" s="23">
        <f t="shared" si="57"/>
        <v>-9.175999999999998E-2</v>
      </c>
      <c r="AF86" s="23">
        <f t="shared" si="61"/>
        <v>-5.1759999999999987E-2</v>
      </c>
      <c r="AG86" s="23">
        <f t="shared" si="61"/>
        <v>-1.1759999999999993E-2</v>
      </c>
      <c r="AH86" s="23">
        <f>(scatterplots_LWG_grazdays_CS!$V$6*$A86+scatterplots_LWG_grazdays_CS!$W$6)/1000+AH85</f>
        <v>6.8502000000000054</v>
      </c>
      <c r="AI86" s="23">
        <f t="shared" si="58"/>
        <v>6.8502000000000054</v>
      </c>
      <c r="AJ86" s="23">
        <f t="shared" si="62"/>
        <v>6.8502000000000054</v>
      </c>
      <c r="AK86" s="23">
        <f t="shared" si="62"/>
        <v>6.8502000000000054</v>
      </c>
    </row>
    <row r="87" spans="1:37">
      <c r="A87" s="12">
        <v>85</v>
      </c>
      <c r="B87" s="12">
        <v>85</v>
      </c>
      <c r="C87" s="23">
        <f>(scatterplots_LWG_grazdays_CS!$V$3*$A87+scatterplots_LWG_grazdays_CS!$W$3)/1000</f>
        <v>5.860000000000002E-2</v>
      </c>
      <c r="D87" s="23">
        <f t="shared" si="49"/>
        <v>9.8600000000000021E-2</v>
      </c>
      <c r="E87" s="23">
        <f t="shared" si="49"/>
        <v>0.13860000000000003</v>
      </c>
      <c r="F87" s="23">
        <f t="shared" si="49"/>
        <v>0.17860000000000001</v>
      </c>
      <c r="G87" s="23">
        <f>(scatterplots_LWG_grazdays_CS!$V$3*$A87+scatterplots_LWG_grazdays_CS!$W$3)/1000+G86</f>
        <v>15.119800000000003</v>
      </c>
      <c r="H87" s="23">
        <f t="shared" si="60"/>
        <v>15.119800000000003</v>
      </c>
      <c r="I87" s="23">
        <f t="shared" si="60"/>
        <v>16.759800000000002</v>
      </c>
      <c r="J87" s="23">
        <f t="shared" si="47"/>
        <v>17.759800000000002</v>
      </c>
      <c r="K87" s="23">
        <f t="shared" si="36"/>
        <v>18.159800000000004</v>
      </c>
      <c r="L87" s="23">
        <f t="shared" si="50"/>
        <v>15.119800000000003</v>
      </c>
      <c r="M87" s="23">
        <f t="shared" si="51"/>
        <v>15.119800000000003</v>
      </c>
      <c r="N87" s="23">
        <f>(scatterplots_LWG_grazdays_CS!$V$4*$A87+scatterplots_LWG_grazdays_CS!$W$4)/1000</f>
        <v>-1.7900000000000034E-2</v>
      </c>
      <c r="O87" s="23">
        <f t="shared" si="52"/>
        <v>2.2099999999999967E-2</v>
      </c>
      <c r="P87" s="23">
        <f t="shared" si="52"/>
        <v>6.2099999999999968E-2</v>
      </c>
      <c r="Q87" s="23">
        <f t="shared" si="52"/>
        <v>0.10209999999999997</v>
      </c>
      <c r="R87" s="23">
        <f>(scatterplots_LWG_grazdays_CS!$V$4*$A87+scatterplots_LWG_grazdays_CS!$W$4)/1000+R86</f>
        <v>11.830299999999998</v>
      </c>
      <c r="S87" s="23">
        <f t="shared" si="46"/>
        <v>11.830299999999998</v>
      </c>
      <c r="T87" s="23">
        <f t="shared" si="63"/>
        <v>11.830299999999998</v>
      </c>
      <c r="U87" s="23">
        <f t="shared" si="63"/>
        <v>11.830299999999998</v>
      </c>
      <c r="V87" s="23">
        <f>(scatterplots_LWG_grazdays_CS!$V$5*$A87+scatterplots_LWG_grazdays_CS!$W$5)/1000</f>
        <v>-6.3800000000000009E-2</v>
      </c>
      <c r="W87" s="23">
        <f t="shared" si="54"/>
        <v>-2.3800000000000009E-2</v>
      </c>
      <c r="X87" s="23">
        <f t="shared" si="55"/>
        <v>1.6199999999999992E-2</v>
      </c>
      <c r="Y87" s="23">
        <f t="shared" si="55"/>
        <v>5.6199999999999986E-2</v>
      </c>
      <c r="Z87" s="23">
        <f>(scatterplots_LWG_grazdays_CS!$V$5*$A87+scatterplots_LWG_grazdays_CS!$W$5)/1000+Z86</f>
        <v>9.8565999999999985</v>
      </c>
      <c r="AA87" s="23">
        <f t="shared" si="59"/>
        <v>9.8565999999999985</v>
      </c>
      <c r="AB87" s="23">
        <f t="shared" si="64"/>
        <v>9.8565999999999985</v>
      </c>
      <c r="AC87" s="23">
        <f t="shared" si="64"/>
        <v>9.8565999999999985</v>
      </c>
      <c r="AD87" s="23">
        <f>(scatterplots_LWG_grazdays_CS!$V$6*$A87+scatterplots_LWG_grazdays_CS!$W$6)/1000</f>
        <v>-0.13689999999999997</v>
      </c>
      <c r="AE87" s="23">
        <f t="shared" si="57"/>
        <v>-9.6899999999999958E-2</v>
      </c>
      <c r="AF87" s="23">
        <f t="shared" si="61"/>
        <v>-5.6899999999999964E-2</v>
      </c>
      <c r="AG87" s="23">
        <f t="shared" si="61"/>
        <v>-1.6899999999999971E-2</v>
      </c>
      <c r="AH87" s="23">
        <f>(scatterplots_LWG_grazdays_CS!$V$6*$A87+scatterplots_LWG_grazdays_CS!$W$6)/1000+AH86</f>
        <v>6.7133000000000056</v>
      </c>
      <c r="AI87" s="23">
        <f t="shared" si="58"/>
        <v>6.7133000000000056</v>
      </c>
      <c r="AJ87" s="23">
        <f t="shared" si="62"/>
        <v>6.7133000000000056</v>
      </c>
      <c r="AK87" s="23">
        <f t="shared" si="62"/>
        <v>6.7133000000000056</v>
      </c>
    </row>
    <row r="88" spans="1:37">
      <c r="A88" s="12">
        <v>86</v>
      </c>
      <c r="B88" s="12">
        <v>86</v>
      </c>
      <c r="C88" s="23">
        <f>(scatterplots_LWG_grazdays_CS!$V$3*$A88+scatterplots_LWG_grazdays_CS!$W$3)/1000</f>
        <v>5.5760000000000018E-2</v>
      </c>
      <c r="D88" s="23">
        <f t="shared" si="49"/>
        <v>9.5760000000000012E-2</v>
      </c>
      <c r="E88" s="23">
        <f t="shared" si="49"/>
        <v>0.13576000000000002</v>
      </c>
      <c r="F88" s="23">
        <f t="shared" si="49"/>
        <v>0.17576000000000003</v>
      </c>
      <c r="G88" s="23">
        <f>(scatterplots_LWG_grazdays_CS!$V$3*$A88+scatterplots_LWG_grazdays_CS!$W$3)/1000+G87</f>
        <v>15.175560000000003</v>
      </c>
      <c r="H88" s="23">
        <f t="shared" si="60"/>
        <v>15.175560000000003</v>
      </c>
      <c r="I88" s="23">
        <f t="shared" si="60"/>
        <v>16.855560000000001</v>
      </c>
      <c r="J88" s="23">
        <f t="shared" si="47"/>
        <v>17.855560000000001</v>
      </c>
      <c r="K88" s="23">
        <f t="shared" ref="K88:M103" si="65">D88+K87</f>
        <v>18.255560000000003</v>
      </c>
      <c r="L88" s="23">
        <f t="shared" si="50"/>
        <v>15.175560000000003</v>
      </c>
      <c r="M88" s="23">
        <f t="shared" si="51"/>
        <v>15.175560000000003</v>
      </c>
      <c r="N88" s="23">
        <f>(scatterplots_LWG_grazdays_CS!$V$4*$A88+scatterplots_LWG_grazdays_CS!$W$4)/1000</f>
        <v>-2.1640000000000045E-2</v>
      </c>
      <c r="O88" s="23">
        <f t="shared" si="52"/>
        <v>1.8359999999999956E-2</v>
      </c>
      <c r="P88" s="23">
        <f t="shared" si="52"/>
        <v>5.8359999999999954E-2</v>
      </c>
      <c r="Q88" s="23">
        <f t="shared" si="52"/>
        <v>9.8359999999999947E-2</v>
      </c>
      <c r="R88" s="23">
        <f>(scatterplots_LWG_grazdays_CS!$V$4*$A88+scatterplots_LWG_grazdays_CS!$W$4)/1000+R87</f>
        <v>11.808659999999998</v>
      </c>
      <c r="S88" s="23">
        <f t="shared" si="46"/>
        <v>11.808659999999998</v>
      </c>
      <c r="T88" s="23">
        <f t="shared" si="63"/>
        <v>11.808659999999998</v>
      </c>
      <c r="U88" s="23">
        <f t="shared" si="63"/>
        <v>11.808659999999998</v>
      </c>
      <c r="V88" s="23">
        <f>(scatterplots_LWG_grazdays_CS!$V$5*$A88+scatterplots_LWG_grazdays_CS!$W$5)/1000</f>
        <v>-6.8080000000000043E-2</v>
      </c>
      <c r="W88" s="23">
        <f t="shared" si="54"/>
        <v>-2.8080000000000042E-2</v>
      </c>
      <c r="X88" s="23">
        <f t="shared" si="55"/>
        <v>1.1919999999999958E-2</v>
      </c>
      <c r="Y88" s="23">
        <f t="shared" si="55"/>
        <v>5.1919999999999952E-2</v>
      </c>
      <c r="Z88" s="23">
        <f>(scatterplots_LWG_grazdays_CS!$V$5*$A88+scatterplots_LWG_grazdays_CS!$W$5)/1000+Z87</f>
        <v>9.7885199999999983</v>
      </c>
      <c r="AA88" s="23">
        <f t="shared" si="59"/>
        <v>9.7885199999999983</v>
      </c>
      <c r="AB88" s="23">
        <f t="shared" si="64"/>
        <v>9.7885199999999983</v>
      </c>
      <c r="AC88" s="23">
        <f t="shared" si="64"/>
        <v>9.7885199999999983</v>
      </c>
      <c r="AD88" s="23">
        <f>(scatterplots_LWG_grazdays_CS!$V$6*$A88+scatterplots_LWG_grazdays_CS!$W$6)/1000</f>
        <v>-0.14203999999999997</v>
      </c>
      <c r="AE88" s="23">
        <f t="shared" si="57"/>
        <v>-0.10203999999999996</v>
      </c>
      <c r="AF88" s="23">
        <f t="shared" si="61"/>
        <v>-6.203999999999997E-2</v>
      </c>
      <c r="AG88" s="23">
        <f t="shared" si="61"/>
        <v>-2.2039999999999976E-2</v>
      </c>
      <c r="AH88" s="23">
        <f>(scatterplots_LWG_grazdays_CS!$V$6*$A88+scatterplots_LWG_grazdays_CS!$W$6)/1000+AH87</f>
        <v>6.5712600000000059</v>
      </c>
      <c r="AI88" s="23">
        <f t="shared" si="58"/>
        <v>6.5712600000000059</v>
      </c>
      <c r="AJ88" s="23">
        <f t="shared" si="62"/>
        <v>6.5712600000000059</v>
      </c>
      <c r="AK88" s="23">
        <f t="shared" si="62"/>
        <v>6.5712600000000059</v>
      </c>
    </row>
    <row r="89" spans="1:37">
      <c r="A89" s="12">
        <v>87</v>
      </c>
      <c r="B89" s="12">
        <v>87</v>
      </c>
      <c r="C89" s="23">
        <f>(scatterplots_LWG_grazdays_CS!$V$3*$A89+scatterplots_LWG_grazdays_CS!$W$3)/1000</f>
        <v>5.2920000000000016E-2</v>
      </c>
      <c r="D89" s="23">
        <f t="shared" si="49"/>
        <v>9.2920000000000016E-2</v>
      </c>
      <c r="E89" s="23">
        <f t="shared" si="49"/>
        <v>0.13292000000000001</v>
      </c>
      <c r="F89" s="23">
        <f t="shared" si="49"/>
        <v>0.17292000000000002</v>
      </c>
      <c r="G89" s="23">
        <f>(scatterplots_LWG_grazdays_CS!$V$3*$A89+scatterplots_LWG_grazdays_CS!$W$3)/1000+G88</f>
        <v>15.228480000000003</v>
      </c>
      <c r="H89" s="23">
        <f t="shared" si="60"/>
        <v>15.228480000000003</v>
      </c>
      <c r="I89" s="23">
        <f t="shared" si="60"/>
        <v>16.94848</v>
      </c>
      <c r="J89" s="23">
        <f t="shared" si="47"/>
        <v>17.94848</v>
      </c>
      <c r="K89" s="23">
        <f t="shared" si="65"/>
        <v>18.348480000000002</v>
      </c>
      <c r="L89" s="23">
        <f t="shared" si="50"/>
        <v>15.228480000000003</v>
      </c>
      <c r="M89" s="23">
        <f t="shared" si="51"/>
        <v>15.228480000000003</v>
      </c>
      <c r="N89" s="23">
        <f>(scatterplots_LWG_grazdays_CS!$V$4*$A89+scatterplots_LWG_grazdays_CS!$W$4)/1000</f>
        <v>-2.5379999999999996E-2</v>
      </c>
      <c r="O89" s="23">
        <f t="shared" si="52"/>
        <v>1.4620000000000005E-2</v>
      </c>
      <c r="P89" s="23">
        <f t="shared" si="52"/>
        <v>5.4620000000000002E-2</v>
      </c>
      <c r="Q89" s="23">
        <f t="shared" si="52"/>
        <v>9.4619999999999996E-2</v>
      </c>
      <c r="R89" s="23">
        <f>(scatterplots_LWG_grazdays_CS!$V$4*$A89+scatterplots_LWG_grazdays_CS!$W$4)/1000+R88</f>
        <v>11.783279999999998</v>
      </c>
      <c r="S89" s="23">
        <f t="shared" si="46"/>
        <v>11.783279999999998</v>
      </c>
      <c r="T89" s="23">
        <f t="shared" si="63"/>
        <v>11.783279999999998</v>
      </c>
      <c r="U89" s="23">
        <f t="shared" si="63"/>
        <v>11.783279999999998</v>
      </c>
      <c r="V89" s="23">
        <f>(scatterplots_LWG_grazdays_CS!$V$5*$A89+scatterplots_LWG_grazdays_CS!$W$5)/1000</f>
        <v>-7.2360000000000008E-2</v>
      </c>
      <c r="W89" s="23">
        <f t="shared" si="54"/>
        <v>-3.2360000000000007E-2</v>
      </c>
      <c r="X89" s="23">
        <f t="shared" si="55"/>
        <v>7.639999999999994E-3</v>
      </c>
      <c r="Y89" s="23">
        <f t="shared" si="55"/>
        <v>4.7639999999999988E-2</v>
      </c>
      <c r="Z89" s="23">
        <f>(scatterplots_LWG_grazdays_CS!$V$5*$A89+scatterplots_LWG_grazdays_CS!$W$5)/1000+Z88</f>
        <v>9.7161599999999986</v>
      </c>
      <c r="AA89" s="23">
        <f t="shared" si="59"/>
        <v>9.7161599999999986</v>
      </c>
      <c r="AB89" s="23">
        <f t="shared" si="64"/>
        <v>9.7161599999999986</v>
      </c>
      <c r="AC89" s="23">
        <f t="shared" si="64"/>
        <v>9.7161599999999986</v>
      </c>
      <c r="AD89" s="23">
        <f>(scatterplots_LWG_grazdays_CS!$V$6*$A89+scatterplots_LWG_grazdays_CS!$W$6)/1000</f>
        <v>-0.14717999999999995</v>
      </c>
      <c r="AE89" s="23">
        <f t="shared" si="57"/>
        <v>-0.10717999999999994</v>
      </c>
      <c r="AF89" s="23">
        <f t="shared" si="61"/>
        <v>-6.7179999999999948E-2</v>
      </c>
      <c r="AG89" s="23">
        <f t="shared" si="61"/>
        <v>-2.7179999999999954E-2</v>
      </c>
      <c r="AH89" s="23">
        <f>(scatterplots_LWG_grazdays_CS!$V$6*$A89+scatterplots_LWG_grazdays_CS!$W$6)/1000+AH88</f>
        <v>6.4240800000000062</v>
      </c>
      <c r="AI89" s="23">
        <f t="shared" si="58"/>
        <v>6.4240800000000062</v>
      </c>
      <c r="AJ89" s="23">
        <f t="shared" si="62"/>
        <v>6.4240800000000062</v>
      </c>
      <c r="AK89" s="23">
        <f t="shared" si="62"/>
        <v>6.4240800000000062</v>
      </c>
    </row>
    <row r="90" spans="1:37">
      <c r="A90" s="12">
        <v>88</v>
      </c>
      <c r="B90" s="12">
        <v>88</v>
      </c>
      <c r="C90" s="23">
        <f>(scatterplots_LWG_grazdays_CS!$V$3*$A90+scatterplots_LWG_grazdays_CS!$W$3)/1000</f>
        <v>5.0080000000000013E-2</v>
      </c>
      <c r="D90" s="23">
        <f t="shared" si="49"/>
        <v>9.0080000000000021E-2</v>
      </c>
      <c r="E90" s="23">
        <f t="shared" si="49"/>
        <v>0.13008000000000003</v>
      </c>
      <c r="F90" s="23">
        <f t="shared" si="49"/>
        <v>0.17008000000000001</v>
      </c>
      <c r="G90" s="23">
        <f>(scatterplots_LWG_grazdays_CS!$V$3*$A90+scatterplots_LWG_grazdays_CS!$W$3)/1000+G89</f>
        <v>15.278560000000002</v>
      </c>
      <c r="H90" s="23">
        <f>C90+H89</f>
        <v>15.278560000000002</v>
      </c>
      <c r="I90" s="23">
        <f t="shared" si="60"/>
        <v>17.03856</v>
      </c>
      <c r="J90" s="23">
        <f t="shared" si="47"/>
        <v>18.03856</v>
      </c>
      <c r="K90" s="23">
        <f t="shared" si="65"/>
        <v>18.438560000000003</v>
      </c>
      <c r="L90" s="23">
        <f t="shared" si="50"/>
        <v>15.278560000000002</v>
      </c>
      <c r="M90" s="23">
        <f t="shared" si="51"/>
        <v>15.278560000000002</v>
      </c>
      <c r="N90" s="23">
        <f>(scatterplots_LWG_grazdays_CS!$V$4*$A90+scatterplots_LWG_grazdays_CS!$W$4)/1000</f>
        <v>-2.9120000000000004E-2</v>
      </c>
      <c r="O90" s="23">
        <f t="shared" si="52"/>
        <v>1.0879999999999997E-2</v>
      </c>
      <c r="P90" s="23">
        <f t="shared" si="52"/>
        <v>5.0879999999999995E-2</v>
      </c>
      <c r="Q90" s="23">
        <f t="shared" si="52"/>
        <v>9.0879999999999989E-2</v>
      </c>
      <c r="R90" s="23">
        <f>(scatterplots_LWG_grazdays_CS!$V$4*$A90+scatterplots_LWG_grazdays_CS!$W$4)/1000+R89</f>
        <v>11.754159999999997</v>
      </c>
      <c r="S90" s="23">
        <f t="shared" si="46"/>
        <v>11.754159999999997</v>
      </c>
      <c r="T90" s="23">
        <f t="shared" si="63"/>
        <v>11.754159999999997</v>
      </c>
      <c r="U90" s="23">
        <f t="shared" si="63"/>
        <v>11.754159999999997</v>
      </c>
      <c r="V90" s="23">
        <f>(scatterplots_LWG_grazdays_CS!$V$5*$A90+scatterplots_LWG_grazdays_CS!$W$5)/1000</f>
        <v>-7.6640000000000041E-2</v>
      </c>
      <c r="W90" s="23">
        <f t="shared" si="54"/>
        <v>-3.6640000000000041E-2</v>
      </c>
      <c r="X90" s="23">
        <f t="shared" si="55"/>
        <v>3.3599999999999602E-3</v>
      </c>
      <c r="Y90" s="23">
        <f t="shared" si="55"/>
        <v>4.3359999999999954E-2</v>
      </c>
      <c r="Z90" s="23">
        <f>(scatterplots_LWG_grazdays_CS!$V$5*$A90+scatterplots_LWG_grazdays_CS!$W$5)/1000+Z89</f>
        <v>9.6395199999999992</v>
      </c>
      <c r="AA90" s="23">
        <f t="shared" si="59"/>
        <v>9.6395199999999992</v>
      </c>
      <c r="AB90" s="23">
        <f t="shared" si="64"/>
        <v>9.6395199999999992</v>
      </c>
      <c r="AC90" s="23">
        <f t="shared" si="64"/>
        <v>9.6395199999999992</v>
      </c>
      <c r="AD90" s="23">
        <f>(scatterplots_LWG_grazdays_CS!$V$6*$A90+scatterplots_LWG_grazdays_CS!$W$6)/1000</f>
        <v>-0.15231999999999998</v>
      </c>
      <c r="AE90" s="23">
        <f t="shared" si="57"/>
        <v>-0.11231999999999998</v>
      </c>
      <c r="AF90" s="23">
        <f t="shared" si="61"/>
        <v>-7.2319999999999982E-2</v>
      </c>
      <c r="AG90" s="23">
        <f t="shared" si="61"/>
        <v>-3.2319999999999988E-2</v>
      </c>
      <c r="AH90" s="23">
        <f>(scatterplots_LWG_grazdays_CS!$V$6*$A90+scatterplots_LWG_grazdays_CS!$W$6)/1000+AH89</f>
        <v>6.2717600000000067</v>
      </c>
      <c r="AI90" s="23">
        <f t="shared" si="58"/>
        <v>6.2717600000000067</v>
      </c>
      <c r="AJ90" s="23">
        <f t="shared" si="62"/>
        <v>6.2717600000000067</v>
      </c>
      <c r="AK90" s="23">
        <f t="shared" si="62"/>
        <v>6.2717600000000067</v>
      </c>
    </row>
    <row r="91" spans="1:37">
      <c r="A91" s="12">
        <v>89</v>
      </c>
      <c r="B91" s="12">
        <v>89</v>
      </c>
      <c r="C91" s="23">
        <f>(scatterplots_LWG_grazdays_CS!$V$3*$A91+scatterplots_LWG_grazdays_CS!$W$3)/1000</f>
        <v>4.7240000000000011E-2</v>
      </c>
      <c r="D91" s="23">
        <f t="shared" si="49"/>
        <v>8.7240000000000012E-2</v>
      </c>
      <c r="E91" s="23">
        <f t="shared" si="49"/>
        <v>0.12724000000000002</v>
      </c>
      <c r="F91" s="23">
        <f t="shared" si="49"/>
        <v>0.16724</v>
      </c>
      <c r="G91" s="23">
        <f>(scatterplots_LWG_grazdays_CS!$V$3*$A91+scatterplots_LWG_grazdays_CS!$W$3)/1000+G90</f>
        <v>15.325800000000003</v>
      </c>
      <c r="H91" s="23">
        <f>C91+H90</f>
        <v>15.325800000000003</v>
      </c>
      <c r="I91" s="23">
        <f t="shared" si="60"/>
        <v>17.125800000000002</v>
      </c>
      <c r="J91" s="23">
        <f t="shared" si="47"/>
        <v>18.125800000000002</v>
      </c>
      <c r="K91" s="23">
        <f t="shared" si="65"/>
        <v>18.525800000000004</v>
      </c>
      <c r="L91" s="23">
        <f t="shared" si="50"/>
        <v>15.325800000000003</v>
      </c>
      <c r="M91" s="23">
        <f t="shared" si="51"/>
        <v>15.325800000000003</v>
      </c>
      <c r="N91" s="23">
        <f>(scatterplots_LWG_grazdays_CS!$V$4*$A91+scatterplots_LWG_grazdays_CS!$W$4)/1000</f>
        <v>-3.2860000000000014E-2</v>
      </c>
      <c r="O91" s="23">
        <f t="shared" si="52"/>
        <v>7.1399999999999866E-3</v>
      </c>
      <c r="P91" s="23">
        <f t="shared" si="52"/>
        <v>4.7139999999999987E-2</v>
      </c>
      <c r="Q91" s="23">
        <f t="shared" si="52"/>
        <v>8.7139999999999981E-2</v>
      </c>
      <c r="R91" s="23">
        <f>(scatterplots_LWG_grazdays_CS!$V$4*$A91+scatterplots_LWG_grazdays_CS!$W$4)/1000+R90</f>
        <v>11.721299999999998</v>
      </c>
      <c r="S91" s="23">
        <f t="shared" si="46"/>
        <v>11.721299999999998</v>
      </c>
      <c r="T91" s="23">
        <f t="shared" si="63"/>
        <v>11.721299999999998</v>
      </c>
      <c r="U91" s="23">
        <f t="shared" si="63"/>
        <v>11.721299999999998</v>
      </c>
      <c r="V91" s="23">
        <f>(scatterplots_LWG_grazdays_CS!$V$5*$A91+scatterplots_LWG_grazdays_CS!$W$5)/1000</f>
        <v>-8.092000000000002E-2</v>
      </c>
      <c r="W91" s="23">
        <f t="shared" si="54"/>
        <v>-4.0920000000000019E-2</v>
      </c>
      <c r="X91" s="23">
        <f t="shared" si="55"/>
        <v>-9.2000000000001803E-4</v>
      </c>
      <c r="Y91" s="23">
        <f t="shared" si="55"/>
        <v>3.9079999999999976E-2</v>
      </c>
      <c r="Z91" s="23">
        <f>(scatterplots_LWG_grazdays_CS!$V$5*$A91+scatterplots_LWG_grazdays_CS!$W$5)/1000+Z90</f>
        <v>9.5585999999999984</v>
      </c>
      <c r="AA91" s="23">
        <f t="shared" si="59"/>
        <v>9.5585999999999984</v>
      </c>
      <c r="AB91" s="23">
        <f t="shared" si="64"/>
        <v>9.5585999999999984</v>
      </c>
      <c r="AC91" s="23">
        <f t="shared" si="64"/>
        <v>9.5585999999999984</v>
      </c>
      <c r="AD91" s="23">
        <f>(scatterplots_LWG_grazdays_CS!$V$6*$A91+scatterplots_LWG_grazdays_CS!$W$6)/1000</f>
        <v>-0.15745999999999999</v>
      </c>
      <c r="AE91" s="23">
        <f t="shared" si="57"/>
        <v>-0.11745999999999998</v>
      </c>
      <c r="AF91" s="23">
        <f t="shared" si="61"/>
        <v>-7.7459999999999987E-2</v>
      </c>
      <c r="AG91" s="23">
        <f t="shared" si="61"/>
        <v>-3.7459999999999993E-2</v>
      </c>
      <c r="AH91" s="23">
        <f>(scatterplots_LWG_grazdays_CS!$V$6*$A91+scatterplots_LWG_grazdays_CS!$W$6)/1000+AH90</f>
        <v>6.1143000000000063</v>
      </c>
      <c r="AI91" s="23">
        <f t="shared" si="58"/>
        <v>6.1143000000000063</v>
      </c>
      <c r="AJ91" s="23">
        <f t="shared" si="62"/>
        <v>6.1143000000000063</v>
      </c>
      <c r="AK91" s="23">
        <f t="shared" si="62"/>
        <v>6.1143000000000063</v>
      </c>
    </row>
    <row r="92" spans="1:37">
      <c r="A92" s="12">
        <v>90</v>
      </c>
      <c r="B92" s="12">
        <v>1</v>
      </c>
      <c r="C92" s="23">
        <f>(scatterplots_LWG_grazdays_CS!$V$3*$A92+scatterplots_LWG_grazdays_CS!$W$3)/1000</f>
        <v>4.4400000000000009E-2</v>
      </c>
      <c r="D92" s="23">
        <f t="shared" si="49"/>
        <v>8.4400000000000003E-2</v>
      </c>
      <c r="E92" s="23">
        <f t="shared" si="49"/>
        <v>0.12440000000000001</v>
      </c>
      <c r="F92" s="23">
        <f t="shared" si="49"/>
        <v>0.16439999999999999</v>
      </c>
      <c r="G92" s="23">
        <f>(scatterplots_LWG_grazdays_CS!$V$3*$A92+scatterplots_LWG_grazdays_CS!$W$3)/1000+G91</f>
        <v>15.370200000000002</v>
      </c>
      <c r="H92" s="23">
        <f>D92+H91</f>
        <v>15.410200000000003</v>
      </c>
      <c r="I92" s="23">
        <f t="shared" si="60"/>
        <v>17.2102</v>
      </c>
      <c r="J92" s="23">
        <f t="shared" si="47"/>
        <v>18.2102</v>
      </c>
      <c r="K92" s="23">
        <f t="shared" si="65"/>
        <v>18.610200000000003</v>
      </c>
      <c r="L92" s="23">
        <f t="shared" si="65"/>
        <v>15.450200000000002</v>
      </c>
      <c r="M92" s="23">
        <f t="shared" si="65"/>
        <v>15.490200000000003</v>
      </c>
      <c r="N92" s="23">
        <f>(scatterplots_LWG_grazdays_CS!$V$4*$A92+scatterplots_LWG_grazdays_CS!$W$4)/1000</f>
        <v>-3.6600000000000021E-2</v>
      </c>
      <c r="O92" s="23">
        <f t="shared" si="52"/>
        <v>3.3999999999999794E-3</v>
      </c>
      <c r="P92" s="23">
        <f t="shared" si="52"/>
        <v>4.339999999999998E-2</v>
      </c>
      <c r="Q92" s="23">
        <f t="shared" si="52"/>
        <v>8.3399999999999974E-2</v>
      </c>
      <c r="R92" s="23">
        <f>(scatterplots_LWG_grazdays_CS!$V$4*$A92+scatterplots_LWG_grazdays_CS!$W$4)/1000+R91</f>
        <v>11.684699999999998</v>
      </c>
      <c r="S92" s="23">
        <f>N92+S91</f>
        <v>11.684699999999998</v>
      </c>
      <c r="T92" s="23">
        <f t="shared" si="63"/>
        <v>11.684699999999998</v>
      </c>
      <c r="U92" s="23">
        <f t="shared" si="63"/>
        <v>11.684699999999998</v>
      </c>
      <c r="V92" s="23">
        <f>(scatterplots_LWG_grazdays_CS!$V$5*$A92+scatterplots_LWG_grazdays_CS!$W$5)/1000</f>
        <v>-8.520000000000004E-2</v>
      </c>
      <c r="W92" s="23">
        <f t="shared" si="54"/>
        <v>-4.5200000000000039E-2</v>
      </c>
      <c r="X92" s="23">
        <f t="shared" si="55"/>
        <v>-5.2000000000000379E-3</v>
      </c>
      <c r="Y92" s="23">
        <f t="shared" si="55"/>
        <v>3.4799999999999956E-2</v>
      </c>
      <c r="Z92" s="23">
        <f>(scatterplots_LWG_grazdays_CS!$V$5*$A92+scatterplots_LWG_grazdays_CS!$W$5)/1000+Z91</f>
        <v>9.473399999999998</v>
      </c>
      <c r="AA92" s="23">
        <f t="shared" si="59"/>
        <v>9.473399999999998</v>
      </c>
      <c r="AB92" s="23">
        <f t="shared" si="64"/>
        <v>9.473399999999998</v>
      </c>
      <c r="AC92" s="23">
        <f t="shared" si="64"/>
        <v>9.473399999999998</v>
      </c>
      <c r="AD92" s="23">
        <f>(scatterplots_LWG_grazdays_CS!$V$6*$A92+scatterplots_LWG_grazdays_CS!$W$6)/1000</f>
        <v>-0.16259999999999997</v>
      </c>
      <c r="AE92" s="23">
        <f t="shared" si="57"/>
        <v>-0.12259999999999996</v>
      </c>
      <c r="AF92" s="23">
        <f t="shared" si="61"/>
        <v>-8.2599999999999965E-2</v>
      </c>
      <c r="AG92" s="23">
        <f t="shared" si="61"/>
        <v>-4.2599999999999971E-2</v>
      </c>
      <c r="AH92" s="23">
        <f>(scatterplots_LWG_grazdays_CS!$V$6*$A92+scatterplots_LWG_grazdays_CS!$W$6)/1000+AH91</f>
        <v>5.951700000000006</v>
      </c>
      <c r="AI92" s="23">
        <f t="shared" si="58"/>
        <v>5.951700000000006</v>
      </c>
      <c r="AJ92" s="23">
        <f t="shared" si="62"/>
        <v>5.951700000000006</v>
      </c>
      <c r="AK92" s="23">
        <f t="shared" si="62"/>
        <v>5.951700000000006</v>
      </c>
    </row>
    <row r="93" spans="1:37">
      <c r="A93" s="12">
        <v>91</v>
      </c>
      <c r="B93" s="12">
        <v>2</v>
      </c>
      <c r="C93" s="23">
        <f>(scatterplots_LWG_grazdays_CS!$V$3*$A93+scatterplots_LWG_grazdays_CS!$W$3)/1000</f>
        <v>4.156E-2</v>
      </c>
      <c r="D93" s="23">
        <f t="shared" si="49"/>
        <v>8.1559999999999994E-2</v>
      </c>
      <c r="E93" s="23">
        <f t="shared" si="49"/>
        <v>0.12156</v>
      </c>
      <c r="F93" s="23">
        <f t="shared" si="49"/>
        <v>0.16155999999999998</v>
      </c>
      <c r="G93" s="23">
        <f>(scatterplots_LWG_grazdays_CS!$V$3*$A93+scatterplots_LWG_grazdays_CS!$W$3)/1000+G92</f>
        <v>15.411760000000003</v>
      </c>
      <c r="H93" s="23">
        <f>D93+H92</f>
        <v>15.491760000000003</v>
      </c>
      <c r="I93" s="23">
        <f t="shared" si="60"/>
        <v>17.29176</v>
      </c>
      <c r="J93" s="23">
        <f t="shared" si="47"/>
        <v>18.29176</v>
      </c>
      <c r="K93" s="23">
        <f t="shared" si="65"/>
        <v>18.691760000000002</v>
      </c>
      <c r="L93" s="23">
        <f t="shared" si="65"/>
        <v>15.571760000000003</v>
      </c>
      <c r="M93" s="23">
        <f t="shared" si="65"/>
        <v>15.651760000000003</v>
      </c>
      <c r="N93" s="23">
        <f>(scatterplots_LWG_grazdays_CS!$V$4*$A93+scatterplots_LWG_grazdays_CS!$W$4)/1000</f>
        <v>-4.0340000000000029E-2</v>
      </c>
      <c r="O93" s="23">
        <f t="shared" si="52"/>
        <v>-3.4000000000002778E-4</v>
      </c>
      <c r="P93" s="23">
        <f t="shared" si="52"/>
        <v>3.9659999999999973E-2</v>
      </c>
      <c r="Q93" s="23">
        <f t="shared" si="52"/>
        <v>7.9659999999999967E-2</v>
      </c>
      <c r="R93" s="23">
        <f>(scatterplots_LWG_grazdays_CS!$V$4*$A93+scatterplots_LWG_grazdays_CS!$W$4)/1000+R92</f>
        <v>11.644359999999997</v>
      </c>
      <c r="S93" s="23">
        <f>O93+S92</f>
        <v>11.684359999999998</v>
      </c>
      <c r="T93" s="23">
        <f>P93+T92</f>
        <v>11.724359999999997</v>
      </c>
      <c r="U93" s="23">
        <f t="shared" ref="U93:U156" si="66">Q93+U92</f>
        <v>11.764359999999998</v>
      </c>
      <c r="V93" s="23">
        <f>(scatterplots_LWG_grazdays_CS!$V$5*$A93+scatterplots_LWG_grazdays_CS!$W$5)/1000</f>
        <v>-8.9480000000000018E-2</v>
      </c>
      <c r="W93" s="23">
        <f t="shared" si="54"/>
        <v>-4.9480000000000017E-2</v>
      </c>
      <c r="X93" s="23">
        <f t="shared" si="55"/>
        <v>-9.4800000000000162E-3</v>
      </c>
      <c r="Y93" s="23">
        <f t="shared" si="55"/>
        <v>3.0519999999999978E-2</v>
      </c>
      <c r="Z93" s="23">
        <f>(scatterplots_LWG_grazdays_CS!$V$5*$A93+scatterplots_LWG_grazdays_CS!$W$5)/1000+Z92</f>
        <v>9.383919999999998</v>
      </c>
      <c r="AA93" s="23">
        <f>AA92+W93</f>
        <v>9.4239199999999972</v>
      </c>
      <c r="AB93" s="23">
        <f>AB92+X93</f>
        <v>9.4639199999999981</v>
      </c>
      <c r="AC93" s="23">
        <f t="shared" ref="AC93:AC156" si="67">AC92+Y93</f>
        <v>9.5039199999999973</v>
      </c>
      <c r="AD93" s="23">
        <f>(scatterplots_LWG_grazdays_CS!$V$6*$A93+scatterplots_LWG_grazdays_CS!$W$6)/1000</f>
        <v>-0.16773999999999994</v>
      </c>
      <c r="AE93" s="23">
        <f t="shared" si="57"/>
        <v>-0.12773999999999994</v>
      </c>
      <c r="AF93" s="23">
        <f t="shared" si="61"/>
        <v>-8.7739999999999943E-2</v>
      </c>
      <c r="AG93" s="23">
        <f t="shared" si="61"/>
        <v>-4.7739999999999949E-2</v>
      </c>
      <c r="AH93" s="23">
        <f>(scatterplots_LWG_grazdays_CS!$V$6*$A93+scatterplots_LWG_grazdays_CS!$W$6)/1000+AH92</f>
        <v>5.7839600000000058</v>
      </c>
      <c r="AI93" s="23">
        <f t="shared" ref="AI93:AK108" si="68">AE93+AI92</f>
        <v>5.8239600000000058</v>
      </c>
      <c r="AJ93" s="23">
        <f t="shared" si="68"/>
        <v>5.8639600000000058</v>
      </c>
      <c r="AK93" s="23">
        <f t="shared" si="68"/>
        <v>5.9039600000000059</v>
      </c>
    </row>
    <row r="94" spans="1:37">
      <c r="A94" s="12">
        <v>92</v>
      </c>
      <c r="B94" s="12">
        <v>3</v>
      </c>
      <c r="C94" s="23">
        <f>(scatterplots_LWG_grazdays_CS!$V$3*$A94+scatterplots_LWG_grazdays_CS!$W$3)/1000</f>
        <v>3.8720000000000025E-2</v>
      </c>
      <c r="D94" s="23">
        <f t="shared" si="49"/>
        <v>7.8720000000000026E-2</v>
      </c>
      <c r="E94" s="23">
        <f t="shared" si="49"/>
        <v>0.11872000000000002</v>
      </c>
      <c r="F94" s="23">
        <f t="shared" si="49"/>
        <v>0.15872000000000003</v>
      </c>
      <c r="G94" s="23">
        <f>(scatterplots_LWG_grazdays_CS!$V$3*$A94+scatterplots_LWG_grazdays_CS!$W$3)/1000+G93</f>
        <v>15.450480000000002</v>
      </c>
      <c r="H94" s="23">
        <f>D94+H93</f>
        <v>15.570480000000003</v>
      </c>
      <c r="I94" s="23">
        <f t="shared" si="60"/>
        <v>17.370480000000001</v>
      </c>
      <c r="J94" s="23">
        <f t="shared" si="47"/>
        <v>18.370480000000001</v>
      </c>
      <c r="K94" s="23">
        <f t="shared" si="65"/>
        <v>18.770480000000003</v>
      </c>
      <c r="L94" s="23">
        <f t="shared" si="65"/>
        <v>15.690480000000003</v>
      </c>
      <c r="M94" s="23">
        <f t="shared" si="65"/>
        <v>15.810480000000004</v>
      </c>
      <c r="N94" s="23">
        <f>(scatterplots_LWG_grazdays_CS!$V$4*$A94+scatterplots_LWG_grazdays_CS!$W$4)/1000</f>
        <v>-4.4080000000000043E-2</v>
      </c>
      <c r="O94" s="23">
        <f t="shared" si="52"/>
        <v>-4.0800000000000419E-3</v>
      </c>
      <c r="P94" s="23">
        <f t="shared" si="52"/>
        <v>3.5919999999999959E-2</v>
      </c>
      <c r="Q94" s="23">
        <f t="shared" si="52"/>
        <v>7.591999999999996E-2</v>
      </c>
      <c r="R94" s="23">
        <f>(scatterplots_LWG_grazdays_CS!$V$4*$A94+scatterplots_LWG_grazdays_CS!$W$4)/1000+R93</f>
        <v>11.600279999999998</v>
      </c>
      <c r="S94" s="23">
        <f t="shared" ref="S94:T109" si="69">O94+S93</f>
        <v>11.680279999999998</v>
      </c>
      <c r="T94" s="23">
        <f t="shared" si="69"/>
        <v>11.760279999999998</v>
      </c>
      <c r="U94" s="23">
        <f t="shared" si="66"/>
        <v>11.840279999999998</v>
      </c>
      <c r="V94" s="23">
        <f>(scatterplots_LWG_grazdays_CS!$V$5*$A94+scatterplots_LWG_grazdays_CS!$W$5)/1000</f>
        <v>-9.3760000000000052E-2</v>
      </c>
      <c r="W94" s="23">
        <f t="shared" si="54"/>
        <v>-5.3760000000000051E-2</v>
      </c>
      <c r="X94" s="23">
        <f t="shared" si="55"/>
        <v>-1.376000000000005E-2</v>
      </c>
      <c r="Y94" s="23">
        <f t="shared" si="55"/>
        <v>2.6239999999999944E-2</v>
      </c>
      <c r="Z94" s="23">
        <f>(scatterplots_LWG_grazdays_CS!$V$5*$A94+scatterplots_LWG_grazdays_CS!$W$5)/1000+Z93</f>
        <v>9.2901599999999984</v>
      </c>
      <c r="AA94" s="23">
        <f t="shared" ref="AA94:AB109" si="70">AA93+W94</f>
        <v>9.3701599999999967</v>
      </c>
      <c r="AB94" s="23">
        <f t="shared" si="70"/>
        <v>9.4501599999999986</v>
      </c>
      <c r="AC94" s="23">
        <f t="shared" si="67"/>
        <v>9.5301599999999969</v>
      </c>
      <c r="AD94" s="23">
        <f>(scatterplots_LWG_grazdays_CS!$V$6*$A94+scatterplots_LWG_grazdays_CS!$W$6)/1000</f>
        <v>-0.17288000000000001</v>
      </c>
      <c r="AE94" s="23">
        <f t="shared" si="57"/>
        <v>-0.13288</v>
      </c>
      <c r="AF94" s="23">
        <f t="shared" si="61"/>
        <v>-9.2880000000000004E-2</v>
      </c>
      <c r="AG94" s="23">
        <f t="shared" si="61"/>
        <v>-5.288000000000001E-2</v>
      </c>
      <c r="AH94" s="23">
        <f>(scatterplots_LWG_grazdays_CS!$V$6*$A94+scatterplots_LWG_grazdays_CS!$W$6)/1000+AH93</f>
        <v>5.6110800000000056</v>
      </c>
      <c r="AI94" s="23">
        <f t="shared" si="68"/>
        <v>5.6910800000000057</v>
      </c>
      <c r="AJ94" s="23">
        <f t="shared" si="68"/>
        <v>5.7710800000000058</v>
      </c>
      <c r="AK94" s="23">
        <f t="shared" si="68"/>
        <v>5.8510800000000058</v>
      </c>
    </row>
    <row r="95" spans="1:37">
      <c r="A95" s="12">
        <v>93</v>
      </c>
      <c r="B95" s="12">
        <v>4</v>
      </c>
      <c r="C95" s="23">
        <f>(scatterplots_LWG_grazdays_CS!$V$3*$A95+scatterplots_LWG_grazdays_CS!$W$3)/1000</f>
        <v>3.5879999999999995E-2</v>
      </c>
      <c r="D95" s="23">
        <f t="shared" si="49"/>
        <v>7.5880000000000003E-2</v>
      </c>
      <c r="E95" s="23">
        <f t="shared" si="49"/>
        <v>0.11588</v>
      </c>
      <c r="F95" s="23">
        <f t="shared" si="49"/>
        <v>0.15587999999999999</v>
      </c>
      <c r="G95" s="23">
        <f>(scatterplots_LWG_grazdays_CS!$V$3*$A95+scatterplots_LWG_grazdays_CS!$W$3)/1000+G94</f>
        <v>15.486360000000003</v>
      </c>
      <c r="H95" s="23">
        <f>D95+H94</f>
        <v>15.646360000000003</v>
      </c>
      <c r="I95" s="23">
        <f t="shared" si="60"/>
        <v>17.446360000000002</v>
      </c>
      <c r="J95" s="23">
        <f t="shared" si="47"/>
        <v>18.446360000000002</v>
      </c>
      <c r="K95" s="23">
        <f t="shared" si="65"/>
        <v>18.846360000000004</v>
      </c>
      <c r="L95" s="23">
        <f t="shared" si="65"/>
        <v>15.806360000000003</v>
      </c>
      <c r="M95" s="23">
        <f t="shared" si="65"/>
        <v>15.966360000000003</v>
      </c>
      <c r="N95" s="23">
        <f>(scatterplots_LWG_grazdays_CS!$V$4*$A95+scatterplots_LWG_grazdays_CS!$W$4)/1000</f>
        <v>-4.7819999999999994E-2</v>
      </c>
      <c r="O95" s="23">
        <f t="shared" si="52"/>
        <v>-7.8199999999999936E-3</v>
      </c>
      <c r="P95" s="23">
        <f t="shared" si="52"/>
        <v>3.2180000000000007E-2</v>
      </c>
      <c r="Q95" s="23">
        <f t="shared" si="52"/>
        <v>7.2179999999999994E-2</v>
      </c>
      <c r="R95" s="23">
        <f>(scatterplots_LWG_grazdays_CS!$V$4*$A95+scatterplots_LWG_grazdays_CS!$W$4)/1000+R94</f>
        <v>11.552459999999998</v>
      </c>
      <c r="S95" s="23">
        <f t="shared" si="69"/>
        <v>11.672459999999997</v>
      </c>
      <c r="T95" s="23">
        <f t="shared" si="69"/>
        <v>11.792459999999998</v>
      </c>
      <c r="U95" s="23">
        <f t="shared" si="66"/>
        <v>11.912459999999998</v>
      </c>
      <c r="V95" s="23">
        <f>(scatterplots_LWG_grazdays_CS!$V$5*$A95+scatterplots_LWG_grazdays_CS!$W$5)/1000</f>
        <v>-9.8040000000000016E-2</v>
      </c>
      <c r="W95" s="23">
        <f t="shared" si="54"/>
        <v>-5.8040000000000015E-2</v>
      </c>
      <c r="X95" s="23">
        <f t="shared" si="55"/>
        <v>-1.8040000000000014E-2</v>
      </c>
      <c r="Y95" s="23">
        <f t="shared" si="55"/>
        <v>2.195999999999998E-2</v>
      </c>
      <c r="Z95" s="23">
        <f>(scatterplots_LWG_grazdays_CS!$V$5*$A95+scatterplots_LWG_grazdays_CS!$W$5)/1000+Z94</f>
        <v>9.1921199999999992</v>
      </c>
      <c r="AA95" s="23">
        <f t="shared" si="70"/>
        <v>9.3121199999999966</v>
      </c>
      <c r="AB95" s="23">
        <f t="shared" si="70"/>
        <v>9.4321199999999994</v>
      </c>
      <c r="AC95" s="23">
        <f t="shared" si="67"/>
        <v>9.5521199999999968</v>
      </c>
      <c r="AD95" s="23">
        <f>(scatterplots_LWG_grazdays_CS!$V$6*$A95+scatterplots_LWG_grazdays_CS!$W$6)/1000</f>
        <v>-0.17801999999999998</v>
      </c>
      <c r="AE95" s="23">
        <f t="shared" si="57"/>
        <v>-0.13801999999999998</v>
      </c>
      <c r="AF95" s="23">
        <f t="shared" si="61"/>
        <v>-9.8019999999999982E-2</v>
      </c>
      <c r="AG95" s="23">
        <f t="shared" si="61"/>
        <v>-5.8019999999999988E-2</v>
      </c>
      <c r="AH95" s="23">
        <f>(scatterplots_LWG_grazdays_CS!$V$6*$A95+scatterplots_LWG_grazdays_CS!$W$6)/1000+AH94</f>
        <v>5.4330600000000056</v>
      </c>
      <c r="AI95" s="23">
        <f t="shared" si="68"/>
        <v>5.5530600000000057</v>
      </c>
      <c r="AJ95" s="23">
        <f t="shared" si="68"/>
        <v>5.6730600000000058</v>
      </c>
      <c r="AK95" s="23">
        <f t="shared" si="68"/>
        <v>5.7930600000000059</v>
      </c>
    </row>
    <row r="96" spans="1:37">
      <c r="A96" s="12">
        <v>94</v>
      </c>
      <c r="B96" s="12">
        <v>5</v>
      </c>
      <c r="C96" s="23">
        <f>(scatterplots_LWG_grazdays_CS!$V$3*$A96+scatterplots_LWG_grazdays_CS!$W$3)/1000</f>
        <v>3.3040000000000021E-2</v>
      </c>
      <c r="D96" s="23">
        <f t="shared" si="49"/>
        <v>7.3040000000000022E-2</v>
      </c>
      <c r="E96" s="23">
        <f t="shared" si="49"/>
        <v>0.11304000000000003</v>
      </c>
      <c r="F96" s="23">
        <f t="shared" si="49"/>
        <v>0.15304000000000001</v>
      </c>
      <c r="G96" s="23">
        <f>(scatterplots_LWG_grazdays_CS!$V$3*$A96+scatterplots_LWG_grazdays_CS!$W$3)/1000+G95</f>
        <v>15.519400000000003</v>
      </c>
      <c r="H96" s="23">
        <f>D96+H95</f>
        <v>15.719400000000004</v>
      </c>
      <c r="I96" s="23">
        <f t="shared" si="60"/>
        <v>17.519400000000001</v>
      </c>
      <c r="J96" s="23">
        <f t="shared" si="47"/>
        <v>18.519400000000001</v>
      </c>
      <c r="K96" s="23">
        <f t="shared" si="65"/>
        <v>18.919400000000003</v>
      </c>
      <c r="L96" s="23">
        <f t="shared" si="65"/>
        <v>15.919400000000003</v>
      </c>
      <c r="M96" s="23">
        <f t="shared" si="65"/>
        <v>16.119400000000002</v>
      </c>
      <c r="N96" s="23">
        <f>(scatterplots_LWG_grazdays_CS!$V$4*$A96+scatterplots_LWG_grazdays_CS!$W$4)/1000</f>
        <v>-5.1560000000000002E-2</v>
      </c>
      <c r="O96" s="23">
        <f t="shared" si="52"/>
        <v>-1.1560000000000001E-2</v>
      </c>
      <c r="P96" s="23">
        <f t="shared" si="52"/>
        <v>2.844E-2</v>
      </c>
      <c r="Q96" s="23">
        <f t="shared" si="52"/>
        <v>6.8440000000000001E-2</v>
      </c>
      <c r="R96" s="23">
        <f>(scatterplots_LWG_grazdays_CS!$V$4*$A96+scatterplots_LWG_grazdays_CS!$W$4)/1000+R95</f>
        <v>11.500899999999998</v>
      </c>
      <c r="S96" s="23">
        <f t="shared" si="69"/>
        <v>11.660899999999998</v>
      </c>
      <c r="T96" s="23">
        <f t="shared" si="69"/>
        <v>11.820899999999998</v>
      </c>
      <c r="U96" s="23">
        <f t="shared" si="66"/>
        <v>11.980899999999998</v>
      </c>
      <c r="V96" s="23">
        <f>(scatterplots_LWG_grazdays_CS!$V$5*$A96+scatterplots_LWG_grazdays_CS!$W$5)/1000</f>
        <v>-0.10232000000000005</v>
      </c>
      <c r="W96" s="23">
        <f t="shared" si="54"/>
        <v>-6.2320000000000049E-2</v>
      </c>
      <c r="X96" s="23">
        <f t="shared" si="55"/>
        <v>-2.2320000000000048E-2</v>
      </c>
      <c r="Y96" s="23">
        <f t="shared" si="55"/>
        <v>1.7679999999999946E-2</v>
      </c>
      <c r="Z96" s="23">
        <f>(scatterplots_LWG_grazdays_CS!$V$5*$A96+scatterplots_LWG_grazdays_CS!$W$5)/1000+Z95</f>
        <v>9.0897999999999985</v>
      </c>
      <c r="AA96" s="23">
        <f t="shared" si="70"/>
        <v>9.2497999999999969</v>
      </c>
      <c r="AB96" s="23">
        <f t="shared" si="70"/>
        <v>9.4097999999999988</v>
      </c>
      <c r="AC96" s="23">
        <f t="shared" si="67"/>
        <v>9.5697999999999972</v>
      </c>
      <c r="AD96" s="23">
        <f>(scatterplots_LWG_grazdays_CS!$V$6*$A96+scatterplots_LWG_grazdays_CS!$W$6)/1000</f>
        <v>-0.18315999999999996</v>
      </c>
      <c r="AE96" s="23">
        <f t="shared" si="57"/>
        <v>-0.14315999999999995</v>
      </c>
      <c r="AF96" s="23">
        <f t="shared" si="61"/>
        <v>-0.10315999999999996</v>
      </c>
      <c r="AG96" s="23">
        <f t="shared" si="61"/>
        <v>-6.3159999999999966E-2</v>
      </c>
      <c r="AH96" s="23">
        <f>(scatterplots_LWG_grazdays_CS!$V$6*$A96+scatterplots_LWG_grazdays_CS!$W$6)/1000+AH95</f>
        <v>5.2499000000000056</v>
      </c>
      <c r="AI96" s="23">
        <f t="shared" si="68"/>
        <v>5.4099000000000057</v>
      </c>
      <c r="AJ96" s="23">
        <f t="shared" si="68"/>
        <v>5.5699000000000058</v>
      </c>
      <c r="AK96" s="23">
        <f t="shared" si="68"/>
        <v>5.729900000000006</v>
      </c>
    </row>
    <row r="97" spans="1:37">
      <c r="A97" s="12">
        <v>95</v>
      </c>
      <c r="B97" s="12">
        <v>6</v>
      </c>
      <c r="C97" s="23">
        <f>(scatterplots_LWG_grazdays_CS!$V$3*$A97+scatterplots_LWG_grazdays_CS!$W$3)/1000</f>
        <v>3.0199999999999987E-2</v>
      </c>
      <c r="D97" s="23">
        <f t="shared" si="49"/>
        <v>7.0199999999999985E-2</v>
      </c>
      <c r="E97" s="23">
        <f t="shared" si="49"/>
        <v>0.11019999999999999</v>
      </c>
      <c r="F97" s="23">
        <f t="shared" si="49"/>
        <v>0.15019999999999997</v>
      </c>
      <c r="G97" s="23">
        <f>(scatterplots_LWG_grazdays_CS!$V$3*$A97+scatterplots_LWG_grazdays_CS!$W$3)/1000+G96</f>
        <v>15.549600000000003</v>
      </c>
      <c r="H97" s="23">
        <f t="shared" ref="H97:H160" si="71">D97+H96</f>
        <v>15.789600000000004</v>
      </c>
      <c r="I97" s="23">
        <f t="shared" ref="I97:I160" si="72">D97+I96</f>
        <v>17.589600000000001</v>
      </c>
      <c r="J97" s="23">
        <f t="shared" si="47"/>
        <v>18.589600000000001</v>
      </c>
      <c r="K97" s="23">
        <f t="shared" si="65"/>
        <v>18.989600000000003</v>
      </c>
      <c r="L97" s="23">
        <f t="shared" si="65"/>
        <v>16.029600000000002</v>
      </c>
      <c r="M97" s="23">
        <f t="shared" si="65"/>
        <v>16.269600000000004</v>
      </c>
      <c r="N97" s="23">
        <f>(scatterplots_LWG_grazdays_CS!$V$4*$A97+scatterplots_LWG_grazdays_CS!$W$4)/1000</f>
        <v>-5.5300000000000009E-2</v>
      </c>
      <c r="O97" s="23">
        <f t="shared" si="52"/>
        <v>-1.5300000000000008E-2</v>
      </c>
      <c r="P97" s="23">
        <f t="shared" si="52"/>
        <v>2.4699999999999993E-2</v>
      </c>
      <c r="Q97" s="23">
        <f t="shared" si="52"/>
        <v>6.469999999999998E-2</v>
      </c>
      <c r="R97" s="23">
        <f>(scatterplots_LWG_grazdays_CS!$V$4*$A97+scatterplots_LWG_grazdays_CS!$W$4)/1000+R96</f>
        <v>11.445599999999997</v>
      </c>
      <c r="S97" s="23">
        <f t="shared" si="69"/>
        <v>11.645599999999998</v>
      </c>
      <c r="T97" s="23">
        <f t="shared" si="69"/>
        <v>11.845599999999997</v>
      </c>
      <c r="U97" s="23">
        <f t="shared" si="66"/>
        <v>12.045599999999999</v>
      </c>
      <c r="V97" s="23">
        <f>(scatterplots_LWG_grazdays_CS!$V$5*$A97+scatterplots_LWG_grazdays_CS!$W$5)/1000</f>
        <v>-0.10660000000000003</v>
      </c>
      <c r="W97" s="23">
        <f t="shared" si="54"/>
        <v>-6.660000000000002E-2</v>
      </c>
      <c r="X97" s="23">
        <f t="shared" si="55"/>
        <v>-2.6600000000000026E-2</v>
      </c>
      <c r="Y97" s="23">
        <f t="shared" si="55"/>
        <v>1.3399999999999967E-2</v>
      </c>
      <c r="Z97" s="23">
        <f>(scatterplots_LWG_grazdays_CS!$V$5*$A97+scatterplots_LWG_grazdays_CS!$W$5)/1000+Z96</f>
        <v>8.9831999999999983</v>
      </c>
      <c r="AA97" s="23">
        <f t="shared" si="70"/>
        <v>9.1831999999999976</v>
      </c>
      <c r="AB97" s="23">
        <f t="shared" si="70"/>
        <v>9.3831999999999987</v>
      </c>
      <c r="AC97" s="23">
        <f t="shared" si="67"/>
        <v>9.5831999999999979</v>
      </c>
      <c r="AD97" s="23">
        <f>(scatterplots_LWG_grazdays_CS!$V$6*$A97+scatterplots_LWG_grazdays_CS!$W$6)/1000</f>
        <v>-0.18829999999999997</v>
      </c>
      <c r="AE97" s="23">
        <f t="shared" si="57"/>
        <v>-0.14829999999999996</v>
      </c>
      <c r="AF97" s="23">
        <f t="shared" si="61"/>
        <v>-0.10829999999999997</v>
      </c>
      <c r="AG97" s="23">
        <f t="shared" si="61"/>
        <v>-6.8299999999999972E-2</v>
      </c>
      <c r="AH97" s="23">
        <f>(scatterplots_LWG_grazdays_CS!$V$6*$A97+scatterplots_LWG_grazdays_CS!$W$6)/1000+AH96</f>
        <v>5.0616000000000057</v>
      </c>
      <c r="AI97" s="23">
        <f t="shared" si="68"/>
        <v>5.2616000000000058</v>
      </c>
      <c r="AJ97" s="23">
        <f t="shared" si="68"/>
        <v>5.461600000000006</v>
      </c>
      <c r="AK97" s="23">
        <f t="shared" si="68"/>
        <v>5.6616000000000062</v>
      </c>
    </row>
    <row r="98" spans="1:37">
      <c r="A98" s="12">
        <v>96</v>
      </c>
      <c r="B98" s="12">
        <v>7</v>
      </c>
      <c r="C98" s="23">
        <f>(scatterplots_LWG_grazdays_CS!$V$3*$A98+scatterplots_LWG_grazdays_CS!$W$3)/1000</f>
        <v>2.7360000000000013E-2</v>
      </c>
      <c r="D98" s="23">
        <f t="shared" si="49"/>
        <v>6.7360000000000017E-2</v>
      </c>
      <c r="E98" s="23">
        <f t="shared" si="49"/>
        <v>0.10736000000000001</v>
      </c>
      <c r="F98" s="23">
        <f t="shared" si="49"/>
        <v>0.14736000000000002</v>
      </c>
      <c r="G98" s="23">
        <f>(scatterplots_LWG_grazdays_CS!$V$3*$A98+scatterplots_LWG_grazdays_CS!$W$3)/1000+G97</f>
        <v>15.576960000000003</v>
      </c>
      <c r="H98" s="23">
        <f t="shared" si="71"/>
        <v>15.856960000000004</v>
      </c>
      <c r="I98" s="23">
        <f t="shared" si="72"/>
        <v>17.656960000000002</v>
      </c>
      <c r="J98" s="23">
        <f t="shared" si="47"/>
        <v>18.656960000000002</v>
      </c>
      <c r="K98" s="23">
        <f t="shared" si="65"/>
        <v>19.056960000000004</v>
      </c>
      <c r="L98" s="23">
        <f t="shared" si="65"/>
        <v>16.136960000000002</v>
      </c>
      <c r="M98" s="23">
        <f t="shared" si="65"/>
        <v>16.416960000000003</v>
      </c>
      <c r="N98" s="23">
        <f>(scatterplots_LWG_grazdays_CS!$V$4*$A98+scatterplots_LWG_grazdays_CS!$W$4)/1000</f>
        <v>-5.9040000000000023E-2</v>
      </c>
      <c r="O98" s="23">
        <f t="shared" si="52"/>
        <v>-1.9040000000000022E-2</v>
      </c>
      <c r="P98" s="23">
        <f t="shared" si="52"/>
        <v>2.0959999999999979E-2</v>
      </c>
      <c r="Q98" s="23">
        <f t="shared" si="52"/>
        <v>6.0959999999999973E-2</v>
      </c>
      <c r="R98" s="23">
        <f>(scatterplots_LWG_grazdays_CS!$V$4*$A98+scatterplots_LWG_grazdays_CS!$W$4)/1000+R97</f>
        <v>11.386559999999998</v>
      </c>
      <c r="S98" s="23">
        <f t="shared" si="69"/>
        <v>11.626559999999998</v>
      </c>
      <c r="T98" s="23">
        <f t="shared" si="69"/>
        <v>11.866559999999998</v>
      </c>
      <c r="U98" s="23">
        <f t="shared" si="66"/>
        <v>12.106559999999998</v>
      </c>
      <c r="V98" s="23">
        <f>(scatterplots_LWG_grazdays_CS!$V$5*$A98+scatterplots_LWG_grazdays_CS!$W$5)/1000</f>
        <v>-0.11087999999999999</v>
      </c>
      <c r="W98" s="23">
        <f t="shared" si="54"/>
        <v>-7.0879999999999999E-2</v>
      </c>
      <c r="X98" s="23">
        <f t="shared" si="55"/>
        <v>-3.0879999999999991E-2</v>
      </c>
      <c r="Y98" s="23">
        <f t="shared" si="55"/>
        <v>9.1200000000000031E-3</v>
      </c>
      <c r="Z98" s="23">
        <f>(scatterplots_LWG_grazdays_CS!$V$5*$A98+scatterplots_LWG_grazdays_CS!$W$5)/1000+Z97</f>
        <v>8.8723199999999984</v>
      </c>
      <c r="AA98" s="23">
        <f t="shared" si="70"/>
        <v>9.1123199999999969</v>
      </c>
      <c r="AB98" s="23">
        <f t="shared" si="70"/>
        <v>9.3523199999999989</v>
      </c>
      <c r="AC98" s="23">
        <f t="shared" si="67"/>
        <v>9.5923199999999973</v>
      </c>
      <c r="AD98" s="23">
        <f>(scatterplots_LWG_grazdays_CS!$V$6*$A98+scatterplots_LWG_grazdays_CS!$W$6)/1000</f>
        <v>-0.19343999999999995</v>
      </c>
      <c r="AE98" s="23">
        <f t="shared" si="57"/>
        <v>-0.15343999999999994</v>
      </c>
      <c r="AF98" s="23">
        <f t="shared" si="61"/>
        <v>-0.11343999999999994</v>
      </c>
      <c r="AG98" s="23">
        <f t="shared" si="61"/>
        <v>-7.343999999999995E-2</v>
      </c>
      <c r="AH98" s="23">
        <f>(scatterplots_LWG_grazdays_CS!$V$6*$A98+scatterplots_LWG_grazdays_CS!$W$6)/1000+AH97</f>
        <v>4.8681600000000058</v>
      </c>
      <c r="AI98" s="23">
        <f t="shared" si="68"/>
        <v>5.108160000000006</v>
      </c>
      <c r="AJ98" s="23">
        <f t="shared" si="68"/>
        <v>5.3481600000000062</v>
      </c>
      <c r="AK98" s="23">
        <f t="shared" si="68"/>
        <v>5.5881600000000065</v>
      </c>
    </row>
    <row r="99" spans="1:37">
      <c r="A99" s="12">
        <v>97</v>
      </c>
      <c r="B99" s="12">
        <v>8</v>
      </c>
      <c r="C99" s="23">
        <f>(scatterplots_LWG_grazdays_CS!$V$3*$A99+scatterplots_LWG_grazdays_CS!$W$3)/1000</f>
        <v>2.4520000000000038E-2</v>
      </c>
      <c r="D99" s="23">
        <f t="shared" si="49"/>
        <v>6.4520000000000036E-2</v>
      </c>
      <c r="E99" s="23">
        <f t="shared" si="49"/>
        <v>0.10452000000000004</v>
      </c>
      <c r="F99" s="23">
        <f t="shared" si="49"/>
        <v>0.14452000000000004</v>
      </c>
      <c r="G99" s="23">
        <f>(scatterplots_LWG_grazdays_CS!$V$3*$A99+scatterplots_LWG_grazdays_CS!$W$3)/1000+G98</f>
        <v>15.601480000000004</v>
      </c>
      <c r="H99" s="23">
        <f t="shared" si="71"/>
        <v>15.921480000000004</v>
      </c>
      <c r="I99" s="23">
        <f t="shared" si="72"/>
        <v>17.721480000000003</v>
      </c>
      <c r="J99" s="23">
        <f t="shared" si="47"/>
        <v>18.721480000000003</v>
      </c>
      <c r="K99" s="23">
        <f t="shared" si="65"/>
        <v>19.121480000000005</v>
      </c>
      <c r="L99" s="23">
        <f t="shared" si="65"/>
        <v>16.241480000000003</v>
      </c>
      <c r="M99" s="23">
        <f t="shared" si="65"/>
        <v>16.561480000000003</v>
      </c>
      <c r="N99" s="23">
        <f>(scatterplots_LWG_grazdays_CS!$V$4*$A99+scatterplots_LWG_grazdays_CS!$W$4)/1000</f>
        <v>-6.278000000000003E-2</v>
      </c>
      <c r="O99" s="23">
        <f t="shared" si="52"/>
        <v>-2.2780000000000029E-2</v>
      </c>
      <c r="P99" s="23">
        <f t="shared" si="52"/>
        <v>1.7219999999999971E-2</v>
      </c>
      <c r="Q99" s="23">
        <f t="shared" si="52"/>
        <v>5.7219999999999965E-2</v>
      </c>
      <c r="R99" s="23">
        <f>(scatterplots_LWG_grazdays_CS!$V$4*$A99+scatterplots_LWG_grazdays_CS!$W$4)/1000+R98</f>
        <v>11.323779999999998</v>
      </c>
      <c r="S99" s="23">
        <f t="shared" si="69"/>
        <v>11.603779999999997</v>
      </c>
      <c r="T99" s="23">
        <f t="shared" si="69"/>
        <v>11.883779999999998</v>
      </c>
      <c r="U99" s="23">
        <f t="shared" si="66"/>
        <v>12.163779999999997</v>
      </c>
      <c r="V99" s="23">
        <f>(scatterplots_LWG_grazdays_CS!$V$5*$A99+scatterplots_LWG_grazdays_CS!$W$5)/1000</f>
        <v>-0.11516000000000003</v>
      </c>
      <c r="W99" s="23">
        <f t="shared" si="54"/>
        <v>-7.5160000000000032E-2</v>
      </c>
      <c r="X99" s="23">
        <f t="shared" si="55"/>
        <v>-3.5160000000000025E-2</v>
      </c>
      <c r="Y99" s="23">
        <f t="shared" si="55"/>
        <v>4.8399999999999693E-3</v>
      </c>
      <c r="Z99" s="23">
        <f>(scatterplots_LWG_grazdays_CS!$V$5*$A99+scatterplots_LWG_grazdays_CS!$W$5)/1000+Z98</f>
        <v>8.7571599999999989</v>
      </c>
      <c r="AA99" s="23">
        <f t="shared" si="70"/>
        <v>9.0371599999999965</v>
      </c>
      <c r="AB99" s="23">
        <f t="shared" si="70"/>
        <v>9.3171599999999994</v>
      </c>
      <c r="AC99" s="23">
        <f t="shared" si="67"/>
        <v>9.597159999999997</v>
      </c>
      <c r="AD99" s="23">
        <f>(scatterplots_LWG_grazdays_CS!$V$6*$A99+scatterplots_LWG_grazdays_CS!$W$6)/1000</f>
        <v>-0.19857999999999998</v>
      </c>
      <c r="AE99" s="23">
        <f t="shared" si="57"/>
        <v>-0.15857999999999997</v>
      </c>
      <c r="AF99" s="23">
        <f t="shared" si="61"/>
        <v>-0.11857999999999998</v>
      </c>
      <c r="AG99" s="23">
        <f t="shared" si="61"/>
        <v>-7.8579999999999983E-2</v>
      </c>
      <c r="AH99" s="23">
        <f>(scatterplots_LWG_grazdays_CS!$V$6*$A99+scatterplots_LWG_grazdays_CS!$W$6)/1000+AH98</f>
        <v>4.6695800000000061</v>
      </c>
      <c r="AI99" s="23">
        <f t="shared" si="68"/>
        <v>4.9495800000000063</v>
      </c>
      <c r="AJ99" s="23">
        <f t="shared" si="68"/>
        <v>5.2295800000000066</v>
      </c>
      <c r="AK99" s="23">
        <f t="shared" si="68"/>
        <v>5.5095800000000068</v>
      </c>
    </row>
    <row r="100" spans="1:37">
      <c r="A100" s="12">
        <v>98</v>
      </c>
      <c r="B100" s="12">
        <v>9</v>
      </c>
      <c r="C100" s="23">
        <f>(scatterplots_LWG_grazdays_CS!$V$3*$A100+scatterplots_LWG_grazdays_CS!$W$3)/1000</f>
        <v>2.1680000000000008E-2</v>
      </c>
      <c r="D100" s="23">
        <f t="shared" ref="D100:F131" si="73">$C100+D$1/1000</f>
        <v>6.1680000000000013E-2</v>
      </c>
      <c r="E100" s="23">
        <f t="shared" si="73"/>
        <v>0.10168000000000001</v>
      </c>
      <c r="F100" s="23">
        <f t="shared" si="73"/>
        <v>0.14168</v>
      </c>
      <c r="G100" s="23">
        <f>(scatterplots_LWG_grazdays_CS!$V$3*$A100+scatterplots_LWG_grazdays_CS!$W$3)/1000+G99</f>
        <v>15.623160000000004</v>
      </c>
      <c r="H100" s="23">
        <f t="shared" si="71"/>
        <v>15.983160000000005</v>
      </c>
      <c r="I100" s="23">
        <f t="shared" si="72"/>
        <v>17.783160000000002</v>
      </c>
      <c r="J100" s="23">
        <f t="shared" si="47"/>
        <v>18.783160000000002</v>
      </c>
      <c r="K100" s="23">
        <f t="shared" si="65"/>
        <v>19.183160000000004</v>
      </c>
      <c r="L100" s="23">
        <f t="shared" si="65"/>
        <v>16.343160000000005</v>
      </c>
      <c r="M100" s="23">
        <f t="shared" si="65"/>
        <v>16.703160000000004</v>
      </c>
      <c r="N100" s="23">
        <f>(scatterplots_LWG_grazdays_CS!$V$4*$A100+scatterplots_LWG_grazdays_CS!$W$4)/1000</f>
        <v>-6.6520000000000037E-2</v>
      </c>
      <c r="O100" s="23">
        <f t="shared" si="52"/>
        <v>-2.6520000000000037E-2</v>
      </c>
      <c r="P100" s="23">
        <f t="shared" si="52"/>
        <v>1.3479999999999964E-2</v>
      </c>
      <c r="Q100" s="23">
        <f t="shared" si="52"/>
        <v>5.3479999999999958E-2</v>
      </c>
      <c r="R100" s="23">
        <f>(scatterplots_LWG_grazdays_CS!$V$4*$A100+scatterplots_LWG_grazdays_CS!$W$4)/1000+R99</f>
        <v>11.257259999999997</v>
      </c>
      <c r="S100" s="23">
        <f t="shared" si="69"/>
        <v>11.577259999999997</v>
      </c>
      <c r="T100" s="23">
        <f t="shared" si="69"/>
        <v>11.897259999999998</v>
      </c>
      <c r="U100" s="23">
        <f t="shared" si="66"/>
        <v>12.217259999999998</v>
      </c>
      <c r="V100" s="23">
        <f>(scatterplots_LWG_grazdays_CS!$V$5*$A100+scatterplots_LWG_grazdays_CS!$W$5)/1000</f>
        <v>-0.11944</v>
      </c>
      <c r="W100" s="23">
        <f t="shared" si="54"/>
        <v>-7.9440000000000011E-2</v>
      </c>
      <c r="X100" s="23">
        <f t="shared" ref="X100:Y131" si="74">$V100+X$1/1000</f>
        <v>-3.9440000000000003E-2</v>
      </c>
      <c r="Y100" s="23">
        <f t="shared" si="74"/>
        <v>5.5999999999999106E-4</v>
      </c>
      <c r="Z100" s="23">
        <f>(scatterplots_LWG_grazdays_CS!$V$5*$A100+scatterplots_LWG_grazdays_CS!$W$5)/1000+Z99</f>
        <v>8.6377199999999981</v>
      </c>
      <c r="AA100" s="23">
        <f t="shared" si="70"/>
        <v>8.9577199999999966</v>
      </c>
      <c r="AB100" s="23">
        <f t="shared" si="70"/>
        <v>9.2777199999999986</v>
      </c>
      <c r="AC100" s="23">
        <f t="shared" si="67"/>
        <v>9.5977199999999971</v>
      </c>
      <c r="AD100" s="23">
        <f>(scatterplots_LWG_grazdays_CS!$V$6*$A100+scatterplots_LWG_grazdays_CS!$W$6)/1000</f>
        <v>-0.20371999999999996</v>
      </c>
      <c r="AE100" s="23">
        <f t="shared" si="57"/>
        <v>-0.16371999999999995</v>
      </c>
      <c r="AF100" s="23">
        <f t="shared" si="61"/>
        <v>-0.12371999999999996</v>
      </c>
      <c r="AG100" s="23">
        <f t="shared" si="61"/>
        <v>-8.3719999999999961E-2</v>
      </c>
      <c r="AH100" s="23">
        <f>(scatterplots_LWG_grazdays_CS!$V$6*$A100+scatterplots_LWG_grazdays_CS!$W$6)/1000+AH99</f>
        <v>4.4658600000000064</v>
      </c>
      <c r="AI100" s="23">
        <f t="shared" si="68"/>
        <v>4.7858600000000067</v>
      </c>
      <c r="AJ100" s="23">
        <f t="shared" si="68"/>
        <v>5.1058600000000069</v>
      </c>
      <c r="AK100" s="23">
        <f t="shared" si="68"/>
        <v>5.4258600000000072</v>
      </c>
    </row>
    <row r="101" spans="1:37">
      <c r="A101" s="12">
        <v>99</v>
      </c>
      <c r="B101" s="12">
        <v>10</v>
      </c>
      <c r="C101" s="23">
        <f>(scatterplots_LWG_grazdays_CS!$V$3*$A101+scatterplots_LWG_grazdays_CS!$W$3)/1000</f>
        <v>1.884000000000003E-2</v>
      </c>
      <c r="D101" s="23">
        <f t="shared" si="73"/>
        <v>5.8840000000000031E-2</v>
      </c>
      <c r="E101" s="23">
        <f t="shared" si="73"/>
        <v>9.8840000000000039E-2</v>
      </c>
      <c r="F101" s="23">
        <f t="shared" si="73"/>
        <v>0.13884000000000002</v>
      </c>
      <c r="G101" s="23">
        <f>(scatterplots_LWG_grazdays_CS!$V$3*$A101+scatterplots_LWG_grazdays_CS!$W$3)/1000+G100</f>
        <v>15.642000000000005</v>
      </c>
      <c r="H101" s="23">
        <f t="shared" si="71"/>
        <v>16.042000000000005</v>
      </c>
      <c r="I101" s="23">
        <f t="shared" si="72"/>
        <v>17.842000000000002</v>
      </c>
      <c r="J101" s="23">
        <f t="shared" si="47"/>
        <v>18.842000000000002</v>
      </c>
      <c r="K101" s="23">
        <f t="shared" si="65"/>
        <v>19.242000000000004</v>
      </c>
      <c r="L101" s="23">
        <f t="shared" si="65"/>
        <v>16.442000000000004</v>
      </c>
      <c r="M101" s="23">
        <f t="shared" si="65"/>
        <v>16.842000000000002</v>
      </c>
      <c r="N101" s="23">
        <f>(scatterplots_LWG_grazdays_CS!$V$4*$A101+scatterplots_LWG_grazdays_CS!$W$4)/1000</f>
        <v>-7.0260000000000045E-2</v>
      </c>
      <c r="O101" s="23">
        <f t="shared" si="52"/>
        <v>-3.0260000000000044E-2</v>
      </c>
      <c r="P101" s="23">
        <f t="shared" si="52"/>
        <v>9.739999999999957E-3</v>
      </c>
      <c r="Q101" s="23">
        <f t="shared" si="52"/>
        <v>4.9739999999999951E-2</v>
      </c>
      <c r="R101" s="23">
        <f>(scatterplots_LWG_grazdays_CS!$V$4*$A101+scatterplots_LWG_grazdays_CS!$W$4)/1000+R100</f>
        <v>11.186999999999998</v>
      </c>
      <c r="S101" s="23">
        <f t="shared" si="69"/>
        <v>11.546999999999997</v>
      </c>
      <c r="T101" s="23">
        <f t="shared" si="69"/>
        <v>11.906999999999998</v>
      </c>
      <c r="U101" s="23">
        <f t="shared" si="66"/>
        <v>12.266999999999998</v>
      </c>
      <c r="V101" s="23">
        <f>(scatterplots_LWG_grazdays_CS!$V$5*$A101+scatterplots_LWG_grazdays_CS!$W$5)/1000</f>
        <v>-0.12372000000000002</v>
      </c>
      <c r="W101" s="23">
        <f t="shared" si="54"/>
        <v>-8.3720000000000017E-2</v>
      </c>
      <c r="X101" s="23">
        <f t="shared" si="74"/>
        <v>-4.3720000000000023E-2</v>
      </c>
      <c r="Y101" s="23">
        <f t="shared" si="74"/>
        <v>-3.7200000000000288E-3</v>
      </c>
      <c r="Z101" s="23">
        <f>(scatterplots_LWG_grazdays_CS!$V$5*$A101+scatterplots_LWG_grazdays_CS!$W$5)/1000+Z100</f>
        <v>8.5139999999999976</v>
      </c>
      <c r="AA101" s="23">
        <f t="shared" si="70"/>
        <v>8.873999999999997</v>
      </c>
      <c r="AB101" s="23">
        <f t="shared" si="70"/>
        <v>9.2339999999999982</v>
      </c>
      <c r="AC101" s="23">
        <f t="shared" si="67"/>
        <v>9.5939999999999976</v>
      </c>
      <c r="AD101" s="23">
        <f>(scatterplots_LWG_grazdays_CS!$V$6*$A101+scatterplots_LWG_grazdays_CS!$W$6)/1000</f>
        <v>-0.20885999999999996</v>
      </c>
      <c r="AE101" s="23">
        <f t="shared" si="57"/>
        <v>-0.16885999999999995</v>
      </c>
      <c r="AF101" s="23">
        <f t="shared" si="61"/>
        <v>-0.12885999999999997</v>
      </c>
      <c r="AG101" s="23">
        <f t="shared" si="61"/>
        <v>-8.8859999999999967E-2</v>
      </c>
      <c r="AH101" s="23">
        <f>(scatterplots_LWG_grazdays_CS!$V$6*$A101+scatterplots_LWG_grazdays_CS!$W$6)/1000+AH100</f>
        <v>4.2570000000000068</v>
      </c>
      <c r="AI101" s="23">
        <f t="shared" si="68"/>
        <v>4.6170000000000071</v>
      </c>
      <c r="AJ101" s="23">
        <f t="shared" si="68"/>
        <v>4.9770000000000074</v>
      </c>
      <c r="AK101" s="23">
        <f t="shared" si="68"/>
        <v>5.3370000000000068</v>
      </c>
    </row>
    <row r="102" spans="1:37">
      <c r="A102" s="12">
        <v>100</v>
      </c>
      <c r="B102" s="12">
        <v>11</v>
      </c>
      <c r="C102" s="23">
        <f>(scatterplots_LWG_grazdays_CS!$V$3*$A102+scatterplots_LWG_grazdays_CS!$W$3)/1000</f>
        <v>1.6E-2</v>
      </c>
      <c r="D102" s="23">
        <f t="shared" si="73"/>
        <v>5.6000000000000001E-2</v>
      </c>
      <c r="E102" s="23">
        <f t="shared" si="73"/>
        <v>9.6000000000000002E-2</v>
      </c>
      <c r="F102" s="23">
        <f t="shared" si="73"/>
        <v>0.13600000000000001</v>
      </c>
      <c r="G102" s="23">
        <f>(scatterplots_LWG_grazdays_CS!$V$3*$A102+scatterplots_LWG_grazdays_CS!$W$3)/1000+G101</f>
        <v>15.658000000000005</v>
      </c>
      <c r="H102" s="23">
        <f t="shared" si="71"/>
        <v>16.098000000000006</v>
      </c>
      <c r="I102" s="23">
        <f t="shared" si="72"/>
        <v>17.898000000000003</v>
      </c>
      <c r="J102" s="23">
        <f t="shared" si="47"/>
        <v>18.898000000000003</v>
      </c>
      <c r="K102" s="23">
        <f t="shared" si="65"/>
        <v>19.298000000000005</v>
      </c>
      <c r="L102" s="23">
        <f t="shared" si="65"/>
        <v>16.538000000000004</v>
      </c>
      <c r="M102" s="23">
        <f t="shared" si="65"/>
        <v>16.978000000000002</v>
      </c>
      <c r="N102" s="23">
        <f>(scatterplots_LWG_grazdays_CS!$V$4*$A102+scatterplots_LWG_grazdays_CS!$W$4)/1000</f>
        <v>-7.3999999999999996E-2</v>
      </c>
      <c r="O102" s="23">
        <f t="shared" si="52"/>
        <v>-3.3999999999999996E-2</v>
      </c>
      <c r="P102" s="23">
        <f t="shared" si="52"/>
        <v>6.0000000000000053E-3</v>
      </c>
      <c r="Q102" s="23">
        <f t="shared" si="52"/>
        <v>4.5999999999999999E-2</v>
      </c>
      <c r="R102" s="23">
        <f>(scatterplots_LWG_grazdays_CS!$V$4*$A102+scatterplots_LWG_grazdays_CS!$W$4)/1000+R101</f>
        <v>11.112999999999998</v>
      </c>
      <c r="S102" s="23">
        <f t="shared" si="69"/>
        <v>11.512999999999996</v>
      </c>
      <c r="T102" s="23">
        <f t="shared" si="69"/>
        <v>11.912999999999998</v>
      </c>
      <c r="U102" s="23">
        <f t="shared" si="66"/>
        <v>12.312999999999997</v>
      </c>
      <c r="V102" s="23">
        <f>(scatterplots_LWG_grazdays_CS!$V$5*$A102+scatterplots_LWG_grazdays_CS!$W$5)/1000</f>
        <v>-0.128</v>
      </c>
      <c r="W102" s="23">
        <f t="shared" si="54"/>
        <v>-8.7999999999999995E-2</v>
      </c>
      <c r="X102" s="23">
        <f t="shared" si="74"/>
        <v>-4.8000000000000001E-2</v>
      </c>
      <c r="Y102" s="23">
        <f t="shared" si="74"/>
        <v>-8.0000000000000071E-3</v>
      </c>
      <c r="Z102" s="23">
        <f>(scatterplots_LWG_grazdays_CS!$V$5*$A102+scatterplots_LWG_grazdays_CS!$W$5)/1000+Z101</f>
        <v>8.3859999999999975</v>
      </c>
      <c r="AA102" s="23">
        <f t="shared" si="70"/>
        <v>8.7859999999999978</v>
      </c>
      <c r="AB102" s="23">
        <f t="shared" si="70"/>
        <v>9.1859999999999982</v>
      </c>
      <c r="AC102" s="23">
        <f t="shared" si="67"/>
        <v>9.5859999999999985</v>
      </c>
      <c r="AD102" s="23">
        <f>(scatterplots_LWG_grazdays_CS!$V$6*$A102+scatterplots_LWG_grazdays_CS!$W$6)/1000</f>
        <v>-0.214</v>
      </c>
      <c r="AE102" s="23">
        <f t="shared" si="57"/>
        <v>-0.17399999999999999</v>
      </c>
      <c r="AF102" s="23">
        <f t="shared" si="61"/>
        <v>-0.13400000000000001</v>
      </c>
      <c r="AG102" s="23">
        <f t="shared" si="61"/>
        <v>-9.4E-2</v>
      </c>
      <c r="AH102" s="23">
        <f>(scatterplots_LWG_grazdays_CS!$V$6*$A102+scatterplots_LWG_grazdays_CS!$W$6)/1000+AH101</f>
        <v>4.0430000000000064</v>
      </c>
      <c r="AI102" s="23">
        <f t="shared" si="68"/>
        <v>4.4430000000000067</v>
      </c>
      <c r="AJ102" s="23">
        <f t="shared" si="68"/>
        <v>4.8430000000000071</v>
      </c>
      <c r="AK102" s="23">
        <f t="shared" si="68"/>
        <v>5.2430000000000065</v>
      </c>
    </row>
    <row r="103" spans="1:37">
      <c r="A103" s="12">
        <v>101</v>
      </c>
      <c r="B103" s="12">
        <v>12</v>
      </c>
      <c r="C103" s="23">
        <f>(scatterplots_LWG_grazdays_CS!$V$3*$A103+scatterplots_LWG_grazdays_CS!$W$3)/1000</f>
        <v>1.3160000000000026E-2</v>
      </c>
      <c r="D103" s="23">
        <f t="shared" si="73"/>
        <v>5.3160000000000027E-2</v>
      </c>
      <c r="E103" s="23">
        <f t="shared" si="73"/>
        <v>9.3160000000000021E-2</v>
      </c>
      <c r="F103" s="23">
        <f t="shared" si="73"/>
        <v>0.13316000000000003</v>
      </c>
      <c r="G103" s="23">
        <f>(scatterplots_LWG_grazdays_CS!$V$3*$A103+scatterplots_LWG_grazdays_CS!$W$3)/1000+G102</f>
        <v>15.671160000000004</v>
      </c>
      <c r="H103" s="23">
        <f t="shared" si="71"/>
        <v>16.151160000000004</v>
      </c>
      <c r="I103" s="23">
        <f t="shared" si="72"/>
        <v>17.951160000000002</v>
      </c>
      <c r="J103" s="23">
        <f t="shared" si="47"/>
        <v>18.951160000000002</v>
      </c>
      <c r="K103" s="23">
        <f t="shared" si="65"/>
        <v>19.351160000000004</v>
      </c>
      <c r="L103" s="23">
        <f t="shared" si="65"/>
        <v>16.631160000000005</v>
      </c>
      <c r="M103" s="23">
        <f t="shared" si="65"/>
        <v>17.111160000000002</v>
      </c>
      <c r="N103" s="23">
        <f>(scatterplots_LWG_grazdays_CS!$V$4*$A103+scatterplots_LWG_grazdays_CS!$W$4)/1000</f>
        <v>-7.7740000000000004E-2</v>
      </c>
      <c r="O103" s="23">
        <f t="shared" si="52"/>
        <v>-3.7740000000000003E-2</v>
      </c>
      <c r="P103" s="23">
        <f t="shared" si="52"/>
        <v>2.2599999999999981E-3</v>
      </c>
      <c r="Q103" s="23">
        <f t="shared" si="52"/>
        <v>4.2259999999999992E-2</v>
      </c>
      <c r="R103" s="23">
        <f>(scatterplots_LWG_grazdays_CS!$V$4*$A103+scatterplots_LWG_grazdays_CS!$W$4)/1000+R102</f>
        <v>11.035259999999997</v>
      </c>
      <c r="S103" s="23">
        <f t="shared" si="69"/>
        <v>11.475259999999997</v>
      </c>
      <c r="T103" s="23">
        <f t="shared" si="69"/>
        <v>11.915259999999998</v>
      </c>
      <c r="U103" s="23">
        <f t="shared" si="66"/>
        <v>12.355259999999998</v>
      </c>
      <c r="V103" s="23">
        <f>(scatterplots_LWG_grazdays_CS!$V$5*$A103+scatterplots_LWG_grazdays_CS!$W$5)/1000</f>
        <v>-0.13228000000000004</v>
      </c>
      <c r="W103" s="23">
        <f t="shared" si="54"/>
        <v>-9.2280000000000029E-2</v>
      </c>
      <c r="X103" s="23">
        <f t="shared" si="74"/>
        <v>-5.2280000000000035E-2</v>
      </c>
      <c r="Y103" s="23">
        <f t="shared" si="74"/>
        <v>-1.2280000000000041E-2</v>
      </c>
      <c r="Z103" s="23">
        <f>(scatterplots_LWG_grazdays_CS!$V$5*$A103+scatterplots_LWG_grazdays_CS!$W$5)/1000+Z102</f>
        <v>8.2537199999999977</v>
      </c>
      <c r="AA103" s="23">
        <f t="shared" si="70"/>
        <v>8.6937199999999972</v>
      </c>
      <c r="AB103" s="23">
        <f t="shared" si="70"/>
        <v>9.1337199999999985</v>
      </c>
      <c r="AC103" s="23">
        <f t="shared" si="67"/>
        <v>9.573719999999998</v>
      </c>
      <c r="AD103" s="23">
        <f>(scatterplots_LWG_grazdays_CS!$V$6*$A103+scatterplots_LWG_grazdays_CS!$W$6)/1000</f>
        <v>-0.21913999999999997</v>
      </c>
      <c r="AE103" s="23">
        <f t="shared" si="57"/>
        <v>-0.17913999999999997</v>
      </c>
      <c r="AF103" s="23">
        <f t="shared" si="61"/>
        <v>-0.13913999999999999</v>
      </c>
      <c r="AG103" s="23">
        <f t="shared" si="61"/>
        <v>-9.9139999999999978E-2</v>
      </c>
      <c r="AH103" s="23">
        <f>(scatterplots_LWG_grazdays_CS!$V$6*$A103+scatterplots_LWG_grazdays_CS!$W$6)/1000+AH102</f>
        <v>3.8238600000000065</v>
      </c>
      <c r="AI103" s="23">
        <f t="shared" si="68"/>
        <v>4.2638600000000064</v>
      </c>
      <c r="AJ103" s="23">
        <f t="shared" si="68"/>
        <v>4.7038600000000068</v>
      </c>
      <c r="AK103" s="23">
        <f t="shared" si="68"/>
        <v>5.1438600000000063</v>
      </c>
    </row>
    <row r="104" spans="1:37">
      <c r="A104" s="12">
        <v>102</v>
      </c>
      <c r="B104" s="12">
        <v>13</v>
      </c>
      <c r="C104" s="23">
        <f>(scatterplots_LWG_grazdays_CS!$V$3*$A104+scatterplots_LWG_grazdays_CS!$W$3)/1000</f>
        <v>1.0319999999999992E-2</v>
      </c>
      <c r="D104" s="23">
        <f t="shared" si="73"/>
        <v>5.031999999999999E-2</v>
      </c>
      <c r="E104" s="23">
        <f t="shared" si="73"/>
        <v>9.0319999999999998E-2</v>
      </c>
      <c r="F104" s="23">
        <f t="shared" si="73"/>
        <v>0.13031999999999999</v>
      </c>
      <c r="G104" s="23">
        <f>(scatterplots_LWG_grazdays_CS!$V$3*$A104+scatterplots_LWG_grazdays_CS!$W$3)/1000+G103</f>
        <v>15.681480000000004</v>
      </c>
      <c r="H104" s="23">
        <f t="shared" si="71"/>
        <v>16.201480000000004</v>
      </c>
      <c r="I104" s="23">
        <f t="shared" si="72"/>
        <v>18.001480000000001</v>
      </c>
      <c r="J104" s="23">
        <f t="shared" si="47"/>
        <v>19.001480000000001</v>
      </c>
      <c r="K104" s="23">
        <f t="shared" ref="K104:M119" si="75">D104+K103</f>
        <v>19.401480000000003</v>
      </c>
      <c r="L104" s="23">
        <f t="shared" si="75"/>
        <v>16.721480000000003</v>
      </c>
      <c r="M104" s="23">
        <f t="shared" si="75"/>
        <v>17.241480000000003</v>
      </c>
      <c r="N104" s="23">
        <f>(scatterplots_LWG_grazdays_CS!$V$4*$A104+scatterplots_LWG_grazdays_CS!$W$4)/1000</f>
        <v>-8.1480000000000025E-2</v>
      </c>
      <c r="O104" s="23">
        <f t="shared" si="52"/>
        <v>-4.1480000000000024E-2</v>
      </c>
      <c r="P104" s="23">
        <f t="shared" si="52"/>
        <v>-1.480000000000023E-3</v>
      </c>
      <c r="Q104" s="23">
        <f t="shared" si="52"/>
        <v>3.8519999999999971E-2</v>
      </c>
      <c r="R104" s="23">
        <f>(scatterplots_LWG_grazdays_CS!$V$4*$A104+scatterplots_LWG_grazdays_CS!$W$4)/1000+R103</f>
        <v>10.953779999999997</v>
      </c>
      <c r="S104" s="23">
        <f t="shared" si="69"/>
        <v>11.433779999999997</v>
      </c>
      <c r="T104" s="23">
        <f t="shared" si="69"/>
        <v>11.913779999999997</v>
      </c>
      <c r="U104" s="23">
        <f t="shared" si="66"/>
        <v>12.393779999999998</v>
      </c>
      <c r="V104" s="23">
        <f>(scatterplots_LWG_grazdays_CS!$V$5*$A104+scatterplots_LWG_grazdays_CS!$W$5)/1000</f>
        <v>-0.13656000000000001</v>
      </c>
      <c r="W104" s="23">
        <f t="shared" si="54"/>
        <v>-9.6560000000000007E-2</v>
      </c>
      <c r="X104" s="23">
        <f t="shared" si="74"/>
        <v>-5.6560000000000013E-2</v>
      </c>
      <c r="Y104" s="23">
        <f t="shared" si="74"/>
        <v>-1.6560000000000019E-2</v>
      </c>
      <c r="Z104" s="23">
        <f>(scatterplots_LWG_grazdays_CS!$V$5*$A104+scatterplots_LWG_grazdays_CS!$W$5)/1000+Z103</f>
        <v>8.1171599999999984</v>
      </c>
      <c r="AA104" s="23">
        <f t="shared" si="70"/>
        <v>8.597159999999997</v>
      </c>
      <c r="AB104" s="23">
        <f t="shared" si="70"/>
        <v>9.0771599999999992</v>
      </c>
      <c r="AC104" s="23">
        <f t="shared" si="67"/>
        <v>9.5571599999999979</v>
      </c>
      <c r="AD104" s="23">
        <f>(scatterplots_LWG_grazdays_CS!$V$6*$A104+scatterplots_LWG_grazdays_CS!$W$6)/1000</f>
        <v>-0.22427999999999998</v>
      </c>
      <c r="AE104" s="23">
        <f t="shared" si="57"/>
        <v>-0.18427999999999997</v>
      </c>
      <c r="AF104" s="23">
        <f t="shared" si="61"/>
        <v>-0.14427999999999996</v>
      </c>
      <c r="AG104" s="23">
        <f t="shared" si="61"/>
        <v>-0.10427999999999998</v>
      </c>
      <c r="AH104" s="23">
        <f>(scatterplots_LWG_grazdays_CS!$V$6*$A104+scatterplots_LWG_grazdays_CS!$W$6)/1000+AH103</f>
        <v>3.5995800000000067</v>
      </c>
      <c r="AI104" s="23">
        <f t="shared" si="68"/>
        <v>4.0795800000000062</v>
      </c>
      <c r="AJ104" s="23">
        <f t="shared" si="68"/>
        <v>4.5595800000000066</v>
      </c>
      <c r="AK104" s="23">
        <f t="shared" si="68"/>
        <v>5.0395800000000062</v>
      </c>
    </row>
    <row r="105" spans="1:37">
      <c r="A105" s="12">
        <v>103</v>
      </c>
      <c r="B105" s="12">
        <v>14</v>
      </c>
      <c r="C105" s="23">
        <f>(scatterplots_LWG_grazdays_CS!$V$3*$A105+scatterplots_LWG_grazdays_CS!$W$3)/1000</f>
        <v>7.4800000000000179E-3</v>
      </c>
      <c r="D105" s="23">
        <f t="shared" si="73"/>
        <v>4.7480000000000022E-2</v>
      </c>
      <c r="E105" s="23">
        <f t="shared" si="73"/>
        <v>8.7480000000000016E-2</v>
      </c>
      <c r="F105" s="23">
        <f t="shared" si="73"/>
        <v>0.12748000000000001</v>
      </c>
      <c r="G105" s="23">
        <f>(scatterplots_LWG_grazdays_CS!$V$3*$A105+scatterplots_LWG_grazdays_CS!$W$3)/1000+G104</f>
        <v>15.688960000000003</v>
      </c>
      <c r="H105" s="23">
        <f t="shared" si="71"/>
        <v>16.248960000000004</v>
      </c>
      <c r="I105" s="23">
        <f t="shared" si="72"/>
        <v>18.048960000000001</v>
      </c>
      <c r="J105" s="23">
        <f t="shared" si="47"/>
        <v>19.048960000000001</v>
      </c>
      <c r="K105" s="23">
        <f t="shared" si="75"/>
        <v>19.448960000000003</v>
      </c>
      <c r="L105" s="23">
        <f t="shared" si="75"/>
        <v>16.808960000000003</v>
      </c>
      <c r="M105" s="23">
        <f t="shared" si="75"/>
        <v>17.368960000000001</v>
      </c>
      <c r="N105" s="23">
        <f>(scatterplots_LWG_grazdays_CS!$V$4*$A105+scatterplots_LWG_grazdays_CS!$W$4)/1000</f>
        <v>-8.5220000000000032E-2</v>
      </c>
      <c r="O105" s="23">
        <f t="shared" si="52"/>
        <v>-4.5220000000000031E-2</v>
      </c>
      <c r="P105" s="23">
        <f t="shared" si="52"/>
        <v>-5.2200000000000302E-3</v>
      </c>
      <c r="Q105" s="23">
        <f t="shared" si="52"/>
        <v>3.4779999999999964E-2</v>
      </c>
      <c r="R105" s="23">
        <f>(scatterplots_LWG_grazdays_CS!$V$4*$A105+scatterplots_LWG_grazdays_CS!$W$4)/1000+R104</f>
        <v>10.868559999999997</v>
      </c>
      <c r="S105" s="23">
        <f t="shared" si="69"/>
        <v>11.388559999999996</v>
      </c>
      <c r="T105" s="23">
        <f t="shared" si="69"/>
        <v>11.908559999999998</v>
      </c>
      <c r="U105" s="23">
        <f t="shared" si="66"/>
        <v>12.428559999999997</v>
      </c>
      <c r="V105" s="23">
        <f>(scatterplots_LWG_grazdays_CS!$V$5*$A105+scatterplots_LWG_grazdays_CS!$W$5)/1000</f>
        <v>-0.14084000000000002</v>
      </c>
      <c r="W105" s="23">
        <f t="shared" si="54"/>
        <v>-0.10084000000000001</v>
      </c>
      <c r="X105" s="23">
        <f t="shared" si="74"/>
        <v>-6.0840000000000019E-2</v>
      </c>
      <c r="Y105" s="23">
        <f t="shared" si="74"/>
        <v>-2.0840000000000025E-2</v>
      </c>
      <c r="Z105" s="23">
        <f>(scatterplots_LWG_grazdays_CS!$V$5*$A105+scatterplots_LWG_grazdays_CS!$W$5)/1000+Z104</f>
        <v>7.9763199999999985</v>
      </c>
      <c r="AA105" s="23">
        <f t="shared" si="70"/>
        <v>8.4963199999999972</v>
      </c>
      <c r="AB105" s="23">
        <f t="shared" si="70"/>
        <v>9.0163199999999986</v>
      </c>
      <c r="AC105" s="23">
        <f t="shared" si="67"/>
        <v>9.5363199999999981</v>
      </c>
      <c r="AD105" s="23">
        <f>(scatterplots_LWG_grazdays_CS!$V$6*$A105+scatterplots_LWG_grazdays_CS!$W$6)/1000</f>
        <v>-0.22941999999999996</v>
      </c>
      <c r="AE105" s="23">
        <f t="shared" si="57"/>
        <v>-0.18941999999999995</v>
      </c>
      <c r="AF105" s="23">
        <f t="shared" si="61"/>
        <v>-0.14941999999999994</v>
      </c>
      <c r="AG105" s="23">
        <f t="shared" si="61"/>
        <v>-0.10941999999999996</v>
      </c>
      <c r="AH105" s="23">
        <f>(scatterplots_LWG_grazdays_CS!$V$6*$A105+scatterplots_LWG_grazdays_CS!$W$6)/1000+AH104</f>
        <v>3.3701600000000065</v>
      </c>
      <c r="AI105" s="23">
        <f t="shared" si="68"/>
        <v>3.8901600000000061</v>
      </c>
      <c r="AJ105" s="23">
        <f t="shared" si="68"/>
        <v>4.4101600000000065</v>
      </c>
      <c r="AK105" s="23">
        <f t="shared" si="68"/>
        <v>4.9301600000000061</v>
      </c>
    </row>
    <row r="106" spans="1:37">
      <c r="A106" s="12">
        <v>104</v>
      </c>
      <c r="B106" s="12">
        <v>15</v>
      </c>
      <c r="C106" s="23">
        <f>(scatterplots_LWG_grazdays_CS!$V$3*$A106+scatterplots_LWG_grazdays_CS!$W$3)/1000</f>
        <v>4.6399999999999861E-3</v>
      </c>
      <c r="D106" s="23">
        <f t="shared" si="73"/>
        <v>4.4639999999999985E-2</v>
      </c>
      <c r="E106" s="23">
        <f t="shared" si="73"/>
        <v>8.4639999999999993E-2</v>
      </c>
      <c r="F106" s="23">
        <f t="shared" si="73"/>
        <v>0.12463999999999999</v>
      </c>
      <c r="G106" s="23">
        <f>(scatterplots_LWG_grazdays_CS!$V$3*$A106+scatterplots_LWG_grazdays_CS!$W$3)/1000+G105</f>
        <v>15.693600000000004</v>
      </c>
      <c r="H106" s="23">
        <f t="shared" si="71"/>
        <v>16.293600000000005</v>
      </c>
      <c r="I106" s="23">
        <f t="shared" si="72"/>
        <v>18.093600000000002</v>
      </c>
      <c r="J106" s="23">
        <f t="shared" si="47"/>
        <v>19.093600000000002</v>
      </c>
      <c r="K106" s="23">
        <f t="shared" si="75"/>
        <v>19.493600000000004</v>
      </c>
      <c r="L106" s="23">
        <f t="shared" si="75"/>
        <v>16.893600000000003</v>
      </c>
      <c r="M106" s="23">
        <f t="shared" si="75"/>
        <v>17.493600000000001</v>
      </c>
      <c r="N106" s="23">
        <f>(scatterplots_LWG_grazdays_CS!$V$4*$A106+scatterplots_LWG_grazdays_CS!$W$4)/1000</f>
        <v>-8.8960000000000039E-2</v>
      </c>
      <c r="O106" s="23">
        <f t="shared" si="52"/>
        <v>-4.8960000000000038E-2</v>
      </c>
      <c r="P106" s="23">
        <f t="shared" si="52"/>
        <v>-8.9600000000000374E-3</v>
      </c>
      <c r="Q106" s="23">
        <f t="shared" si="52"/>
        <v>3.1039999999999957E-2</v>
      </c>
      <c r="R106" s="23">
        <f>(scatterplots_LWG_grazdays_CS!$V$4*$A106+scatterplots_LWG_grazdays_CS!$W$4)/1000+R105</f>
        <v>10.779599999999997</v>
      </c>
      <c r="S106" s="23">
        <f t="shared" si="69"/>
        <v>11.339599999999997</v>
      </c>
      <c r="T106" s="23">
        <f t="shared" si="69"/>
        <v>11.899599999999998</v>
      </c>
      <c r="U106" s="23">
        <f t="shared" si="66"/>
        <v>12.459599999999998</v>
      </c>
      <c r="V106" s="23">
        <f>(scatterplots_LWG_grazdays_CS!$V$5*$A106+scatterplots_LWG_grazdays_CS!$W$5)/1000</f>
        <v>-0.14512</v>
      </c>
      <c r="W106" s="23">
        <f t="shared" si="54"/>
        <v>-0.10511999999999999</v>
      </c>
      <c r="X106" s="23">
        <f t="shared" si="74"/>
        <v>-6.5119999999999997E-2</v>
      </c>
      <c r="Y106" s="23">
        <f t="shared" si="74"/>
        <v>-2.5120000000000003E-2</v>
      </c>
      <c r="Z106" s="23">
        <f>(scatterplots_LWG_grazdays_CS!$V$5*$A106+scatterplots_LWG_grazdays_CS!$W$5)/1000+Z105</f>
        <v>7.8311999999999982</v>
      </c>
      <c r="AA106" s="23">
        <f t="shared" si="70"/>
        <v>8.3911999999999978</v>
      </c>
      <c r="AB106" s="23">
        <f t="shared" si="70"/>
        <v>8.9511999999999983</v>
      </c>
      <c r="AC106" s="23">
        <f t="shared" si="67"/>
        <v>9.5111999999999988</v>
      </c>
      <c r="AD106" s="23">
        <f>(scatterplots_LWG_grazdays_CS!$V$6*$A106+scatterplots_LWG_grazdays_CS!$W$6)/1000</f>
        <v>-0.23455999999999994</v>
      </c>
      <c r="AE106" s="23">
        <f t="shared" si="57"/>
        <v>-0.19455999999999993</v>
      </c>
      <c r="AF106" s="23">
        <f t="shared" si="61"/>
        <v>-0.15455999999999992</v>
      </c>
      <c r="AG106" s="23">
        <f t="shared" si="61"/>
        <v>-0.11455999999999994</v>
      </c>
      <c r="AH106" s="23">
        <f>(scatterplots_LWG_grazdays_CS!$V$6*$A106+scatterplots_LWG_grazdays_CS!$W$6)/1000+AH105</f>
        <v>3.1356000000000064</v>
      </c>
      <c r="AI106" s="23">
        <f t="shared" si="68"/>
        <v>3.695600000000006</v>
      </c>
      <c r="AJ106" s="23">
        <f t="shared" si="68"/>
        <v>4.2556000000000065</v>
      </c>
      <c r="AK106" s="23">
        <f t="shared" si="68"/>
        <v>4.8156000000000061</v>
      </c>
    </row>
    <row r="107" spans="1:37">
      <c r="A107" s="12">
        <v>105</v>
      </c>
      <c r="B107" s="12">
        <v>16</v>
      </c>
      <c r="C107" s="23">
        <f>(scatterplots_LWG_grazdays_CS!$V$3*$A107+scatterplots_LWG_grazdays_CS!$W$3)/1000</f>
        <v>1.8000000000000114E-3</v>
      </c>
      <c r="D107" s="23">
        <f t="shared" si="73"/>
        <v>4.1800000000000011E-2</v>
      </c>
      <c r="E107" s="23">
        <f t="shared" si="73"/>
        <v>8.1800000000000012E-2</v>
      </c>
      <c r="F107" s="23">
        <f t="shared" si="73"/>
        <v>0.12180000000000001</v>
      </c>
      <c r="G107" s="23">
        <f>(scatterplots_LWG_grazdays_CS!$V$3*$A107+scatterplots_LWG_grazdays_CS!$W$3)/1000+G106</f>
        <v>15.695400000000003</v>
      </c>
      <c r="H107" s="23">
        <f t="shared" si="71"/>
        <v>16.335400000000003</v>
      </c>
      <c r="I107" s="23">
        <f t="shared" si="72"/>
        <v>18.135400000000001</v>
      </c>
      <c r="J107" s="23">
        <f t="shared" si="47"/>
        <v>19.135400000000001</v>
      </c>
      <c r="K107" s="23">
        <f t="shared" si="75"/>
        <v>19.535400000000003</v>
      </c>
      <c r="L107" s="23">
        <f t="shared" si="75"/>
        <v>16.975400000000004</v>
      </c>
      <c r="M107" s="23">
        <f t="shared" si="75"/>
        <v>17.615400000000001</v>
      </c>
      <c r="N107" s="23">
        <f>(scatterplots_LWG_grazdays_CS!$V$4*$A107+scatterplots_LWG_grazdays_CS!$W$4)/1000</f>
        <v>-9.2700000000000046E-2</v>
      </c>
      <c r="O107" s="23">
        <f t="shared" si="52"/>
        <v>-5.2700000000000045E-2</v>
      </c>
      <c r="P107" s="23">
        <f t="shared" si="52"/>
        <v>-1.2700000000000045E-2</v>
      </c>
      <c r="Q107" s="23">
        <f t="shared" si="52"/>
        <v>2.7299999999999949E-2</v>
      </c>
      <c r="R107" s="23">
        <f>(scatterplots_LWG_grazdays_CS!$V$4*$A107+scatterplots_LWG_grazdays_CS!$W$4)/1000+R106</f>
        <v>10.686899999999996</v>
      </c>
      <c r="S107" s="23">
        <f t="shared" si="69"/>
        <v>11.286899999999997</v>
      </c>
      <c r="T107" s="23">
        <f t="shared" si="69"/>
        <v>11.886899999999997</v>
      </c>
      <c r="U107" s="23">
        <f t="shared" si="66"/>
        <v>12.486899999999999</v>
      </c>
      <c r="V107" s="23">
        <f>(scatterplots_LWG_grazdays_CS!$V$5*$A107+scatterplots_LWG_grazdays_CS!$W$5)/1000</f>
        <v>-0.14940000000000003</v>
      </c>
      <c r="W107" s="23">
        <f t="shared" si="54"/>
        <v>-0.10940000000000003</v>
      </c>
      <c r="X107" s="23">
        <f t="shared" si="74"/>
        <v>-6.9400000000000031E-2</v>
      </c>
      <c r="Y107" s="23">
        <f t="shared" si="74"/>
        <v>-2.9400000000000037E-2</v>
      </c>
      <c r="Z107" s="23">
        <f>(scatterplots_LWG_grazdays_CS!$V$5*$A107+scatterplots_LWG_grazdays_CS!$W$5)/1000+Z106</f>
        <v>7.6817999999999982</v>
      </c>
      <c r="AA107" s="23">
        <f t="shared" si="70"/>
        <v>8.2817999999999969</v>
      </c>
      <c r="AB107" s="23">
        <f t="shared" si="70"/>
        <v>8.8817999999999984</v>
      </c>
      <c r="AC107" s="23">
        <f t="shared" si="67"/>
        <v>9.481799999999998</v>
      </c>
      <c r="AD107" s="23">
        <f>(scatterplots_LWG_grazdays_CS!$V$6*$A107+scatterplots_LWG_grazdays_CS!$W$6)/1000</f>
        <v>-0.23969999999999994</v>
      </c>
      <c r="AE107" s="23">
        <f t="shared" si="57"/>
        <v>-0.19969999999999993</v>
      </c>
      <c r="AF107" s="23">
        <f t="shared" si="61"/>
        <v>-0.15969999999999995</v>
      </c>
      <c r="AG107" s="23">
        <f t="shared" si="61"/>
        <v>-0.11969999999999995</v>
      </c>
      <c r="AH107" s="23">
        <f>(scatterplots_LWG_grazdays_CS!$V$6*$A107+scatterplots_LWG_grazdays_CS!$W$6)/1000+AH106</f>
        <v>2.8959000000000064</v>
      </c>
      <c r="AI107" s="23">
        <f t="shared" si="68"/>
        <v>3.495900000000006</v>
      </c>
      <c r="AJ107" s="23">
        <f t="shared" si="68"/>
        <v>4.0959000000000065</v>
      </c>
      <c r="AK107" s="23">
        <f t="shared" si="68"/>
        <v>4.6959000000000062</v>
      </c>
    </row>
    <row r="108" spans="1:37">
      <c r="A108" s="12">
        <v>106</v>
      </c>
      <c r="B108" s="12">
        <v>17</v>
      </c>
      <c r="C108" s="23">
        <f>(scatterplots_LWG_grazdays_CS!$V$3*$A108+scatterplots_LWG_grazdays_CS!$W$3)/1000</f>
        <v>-1.0399999999999637E-3</v>
      </c>
      <c r="D108" s="23">
        <f t="shared" si="73"/>
        <v>3.8960000000000036E-2</v>
      </c>
      <c r="E108" s="23">
        <f t="shared" si="73"/>
        <v>7.8960000000000044E-2</v>
      </c>
      <c r="F108" s="23">
        <f t="shared" si="73"/>
        <v>0.11896000000000004</v>
      </c>
      <c r="G108" s="23">
        <f>(scatterplots_LWG_grazdays_CS!$V$3*$A108+scatterplots_LWG_grazdays_CS!$W$3)/1000+G107</f>
        <v>15.694360000000003</v>
      </c>
      <c r="H108" s="23">
        <f t="shared" si="71"/>
        <v>16.374360000000003</v>
      </c>
      <c r="I108" s="23">
        <f t="shared" si="72"/>
        <v>18.17436</v>
      </c>
      <c r="J108" s="23">
        <f t="shared" si="47"/>
        <v>19.17436</v>
      </c>
      <c r="K108" s="23">
        <f t="shared" si="75"/>
        <v>19.574360000000002</v>
      </c>
      <c r="L108" s="23">
        <f t="shared" si="75"/>
        <v>17.054360000000003</v>
      </c>
      <c r="M108" s="23">
        <f t="shared" si="75"/>
        <v>17.734360000000002</v>
      </c>
      <c r="N108" s="23">
        <f>(scatterplots_LWG_grazdays_CS!$V$4*$A108+scatterplots_LWG_grazdays_CS!$W$4)/1000</f>
        <v>-9.6439999999999998E-2</v>
      </c>
      <c r="O108" s="23">
        <f t="shared" si="52"/>
        <v>-5.6439999999999997E-2</v>
      </c>
      <c r="P108" s="23">
        <f t="shared" si="52"/>
        <v>-1.6439999999999996E-2</v>
      </c>
      <c r="Q108" s="23">
        <f t="shared" si="52"/>
        <v>2.3559999999999998E-2</v>
      </c>
      <c r="R108" s="23">
        <f>(scatterplots_LWG_grazdays_CS!$V$4*$A108+scatterplots_LWG_grazdays_CS!$W$4)/1000+R107</f>
        <v>10.590459999999997</v>
      </c>
      <c r="S108" s="23">
        <f t="shared" si="69"/>
        <v>11.230459999999997</v>
      </c>
      <c r="T108" s="23">
        <f t="shared" si="69"/>
        <v>11.870459999999998</v>
      </c>
      <c r="U108" s="23">
        <f t="shared" si="66"/>
        <v>12.510459999999998</v>
      </c>
      <c r="V108" s="23">
        <f>(scatterplots_LWG_grazdays_CS!$V$5*$A108+scatterplots_LWG_grazdays_CS!$W$5)/1000</f>
        <v>-0.15368000000000001</v>
      </c>
      <c r="W108" s="23">
        <f t="shared" si="54"/>
        <v>-0.11368</v>
      </c>
      <c r="X108" s="23">
        <f t="shared" si="74"/>
        <v>-7.3680000000000009E-2</v>
      </c>
      <c r="Y108" s="23">
        <f t="shared" si="74"/>
        <v>-3.3680000000000015E-2</v>
      </c>
      <c r="Z108" s="23">
        <f>(scatterplots_LWG_grazdays_CS!$V$5*$A108+scatterplots_LWG_grazdays_CS!$W$5)/1000+Z107</f>
        <v>7.5281199999999986</v>
      </c>
      <c r="AA108" s="23">
        <f t="shared" si="70"/>
        <v>8.1681199999999965</v>
      </c>
      <c r="AB108" s="23">
        <f t="shared" si="70"/>
        <v>8.8081199999999988</v>
      </c>
      <c r="AC108" s="23">
        <f t="shared" si="67"/>
        <v>9.4481199999999976</v>
      </c>
      <c r="AD108" s="23">
        <f>(scatterplots_LWG_grazdays_CS!$V$6*$A108+scatterplots_LWG_grazdays_CS!$W$6)/1000</f>
        <v>-0.24483999999999992</v>
      </c>
      <c r="AE108" s="23">
        <f t="shared" si="57"/>
        <v>-0.20483999999999991</v>
      </c>
      <c r="AF108" s="23">
        <f t="shared" si="61"/>
        <v>-0.16483999999999993</v>
      </c>
      <c r="AG108" s="23">
        <f t="shared" si="61"/>
        <v>-0.12483999999999992</v>
      </c>
      <c r="AH108" s="23">
        <f>(scatterplots_LWG_grazdays_CS!$V$6*$A108+scatterplots_LWG_grazdays_CS!$W$6)/1000+AH107</f>
        <v>2.6510600000000064</v>
      </c>
      <c r="AI108" s="23">
        <f t="shared" si="68"/>
        <v>3.2910600000000061</v>
      </c>
      <c r="AJ108" s="23">
        <f t="shared" si="68"/>
        <v>3.9310600000000067</v>
      </c>
      <c r="AK108" s="23">
        <f t="shared" si="68"/>
        <v>4.5710600000000063</v>
      </c>
    </row>
    <row r="109" spans="1:37">
      <c r="A109" s="12">
        <v>107</v>
      </c>
      <c r="B109" s="12">
        <v>18</v>
      </c>
      <c r="C109" s="23">
        <f>(scatterplots_LWG_grazdays_CS!$V$3*$A109+scatterplots_LWG_grazdays_CS!$W$3)/1000</f>
        <v>-3.8799999999999954E-3</v>
      </c>
      <c r="D109" s="23">
        <f t="shared" si="73"/>
        <v>3.6120000000000006E-2</v>
      </c>
      <c r="E109" s="23">
        <f t="shared" si="73"/>
        <v>7.6120000000000007E-2</v>
      </c>
      <c r="F109" s="23">
        <f t="shared" si="73"/>
        <v>0.11612</v>
      </c>
      <c r="G109" s="23">
        <f>(scatterplots_LWG_grazdays_CS!$V$3*$A109+scatterplots_LWG_grazdays_CS!$W$3)/1000+G108</f>
        <v>15.690480000000003</v>
      </c>
      <c r="H109" s="23">
        <f t="shared" si="71"/>
        <v>16.410480000000003</v>
      </c>
      <c r="I109" s="23">
        <f t="shared" si="72"/>
        <v>18.21048</v>
      </c>
      <c r="J109" s="23">
        <f t="shared" si="47"/>
        <v>19.21048</v>
      </c>
      <c r="K109" s="23">
        <f t="shared" si="75"/>
        <v>19.610480000000003</v>
      </c>
      <c r="L109" s="23">
        <f t="shared" si="75"/>
        <v>17.130480000000002</v>
      </c>
      <c r="M109" s="23">
        <f t="shared" si="75"/>
        <v>17.850480000000001</v>
      </c>
      <c r="N109" s="23">
        <f>(scatterplots_LWG_grazdays_CS!$V$4*$A109+scatterplots_LWG_grazdays_CS!$W$4)/1000</f>
        <v>-0.10018000000000001</v>
      </c>
      <c r="O109" s="23">
        <f t="shared" si="52"/>
        <v>-6.0180000000000004E-2</v>
      </c>
      <c r="P109" s="23">
        <f t="shared" si="52"/>
        <v>-2.0180000000000003E-2</v>
      </c>
      <c r="Q109" s="23">
        <f t="shared" si="52"/>
        <v>1.981999999999999E-2</v>
      </c>
      <c r="R109" s="23">
        <f>(scatterplots_LWG_grazdays_CS!$V$4*$A109+scatterplots_LWG_grazdays_CS!$W$4)/1000+R108</f>
        <v>10.490279999999997</v>
      </c>
      <c r="S109" s="23">
        <f t="shared" si="69"/>
        <v>11.170279999999996</v>
      </c>
      <c r="T109" s="23">
        <f t="shared" si="69"/>
        <v>11.850279999999998</v>
      </c>
      <c r="U109" s="23">
        <f t="shared" si="66"/>
        <v>12.530279999999998</v>
      </c>
      <c r="V109" s="23">
        <f>(scatterplots_LWG_grazdays_CS!$V$5*$A109+scatterplots_LWG_grazdays_CS!$W$5)/1000</f>
        <v>-0.15796000000000004</v>
      </c>
      <c r="W109" s="23">
        <f t="shared" si="54"/>
        <v>-0.11796000000000004</v>
      </c>
      <c r="X109" s="23">
        <f t="shared" si="74"/>
        <v>-7.7960000000000043E-2</v>
      </c>
      <c r="Y109" s="23">
        <f t="shared" si="74"/>
        <v>-3.7960000000000049E-2</v>
      </c>
      <c r="Z109" s="23">
        <f>(scatterplots_LWG_grazdays_CS!$V$5*$A109+scatterplots_LWG_grazdays_CS!$W$5)/1000+Z108</f>
        <v>7.3701599999999985</v>
      </c>
      <c r="AA109" s="23">
        <f t="shared" si="70"/>
        <v>8.0501599999999964</v>
      </c>
      <c r="AB109" s="23">
        <f t="shared" si="70"/>
        <v>8.7301599999999979</v>
      </c>
      <c r="AC109" s="23">
        <f t="shared" si="67"/>
        <v>9.4101599999999976</v>
      </c>
      <c r="AD109" s="23">
        <f>(scatterplots_LWG_grazdays_CS!$V$6*$A109+scatterplots_LWG_grazdays_CS!$W$6)/1000</f>
        <v>-0.24998000000000001</v>
      </c>
      <c r="AE109" s="23">
        <f t="shared" si="57"/>
        <v>-0.20998</v>
      </c>
      <c r="AF109" s="23">
        <f t="shared" si="61"/>
        <v>-0.16998000000000002</v>
      </c>
      <c r="AG109" s="23">
        <f t="shared" si="61"/>
        <v>-0.12998000000000001</v>
      </c>
      <c r="AH109" s="23">
        <f>(scatterplots_LWG_grazdays_CS!$V$6*$A109+scatterplots_LWG_grazdays_CS!$W$6)/1000+AH108</f>
        <v>2.4010800000000065</v>
      </c>
      <c r="AI109" s="23">
        <f t="shared" ref="AI109:AK124" si="76">AE109+AI108</f>
        <v>3.0810800000000063</v>
      </c>
      <c r="AJ109" s="23">
        <f t="shared" si="76"/>
        <v>3.7610800000000069</v>
      </c>
      <c r="AK109" s="23">
        <f t="shared" si="76"/>
        <v>4.4410800000000066</v>
      </c>
    </row>
    <row r="110" spans="1:37">
      <c r="A110" s="12">
        <v>108</v>
      </c>
      <c r="B110" s="12">
        <v>19</v>
      </c>
      <c r="C110" s="23">
        <f>(scatterplots_LWG_grazdays_CS!$V$3*$A110+scatterplots_LWG_grazdays_CS!$W$3)/1000</f>
        <v>-6.7199999999999708E-3</v>
      </c>
      <c r="D110" s="23">
        <f t="shared" si="73"/>
        <v>3.3280000000000032E-2</v>
      </c>
      <c r="E110" s="23">
        <f t="shared" si="73"/>
        <v>7.3280000000000026E-2</v>
      </c>
      <c r="F110" s="23">
        <f t="shared" si="73"/>
        <v>0.11328000000000002</v>
      </c>
      <c r="G110" s="23">
        <f>(scatterplots_LWG_grazdays_CS!$V$3*$A110+scatterplots_LWG_grazdays_CS!$W$3)/1000+G109</f>
        <v>15.683760000000003</v>
      </c>
      <c r="H110" s="23">
        <f t="shared" si="71"/>
        <v>16.443760000000005</v>
      </c>
      <c r="I110" s="23">
        <f t="shared" si="72"/>
        <v>18.243760000000002</v>
      </c>
      <c r="J110" s="23">
        <f t="shared" si="47"/>
        <v>19.243760000000002</v>
      </c>
      <c r="K110" s="23">
        <f t="shared" si="75"/>
        <v>19.643760000000004</v>
      </c>
      <c r="L110" s="23">
        <f t="shared" si="75"/>
        <v>17.203760000000003</v>
      </c>
      <c r="M110" s="23">
        <f t="shared" si="75"/>
        <v>17.963760000000001</v>
      </c>
      <c r="N110" s="23">
        <f>(scatterplots_LWG_grazdays_CS!$V$4*$A110+scatterplots_LWG_grazdays_CS!$W$4)/1000</f>
        <v>-0.10392000000000001</v>
      </c>
      <c r="O110" s="23">
        <f t="shared" si="52"/>
        <v>-6.3920000000000005E-2</v>
      </c>
      <c r="P110" s="23">
        <f t="shared" si="52"/>
        <v>-2.3920000000000011E-2</v>
      </c>
      <c r="Q110" s="23">
        <f t="shared" si="52"/>
        <v>1.6079999999999983E-2</v>
      </c>
      <c r="R110" s="23">
        <f>(scatterplots_LWG_grazdays_CS!$V$4*$A110+scatterplots_LWG_grazdays_CS!$W$4)/1000+R109</f>
        <v>10.386359999999996</v>
      </c>
      <c r="S110" s="23">
        <f t="shared" ref="S110:T125" si="77">O110+S109</f>
        <v>11.106359999999997</v>
      </c>
      <c r="T110" s="23">
        <f t="shared" si="77"/>
        <v>11.826359999999998</v>
      </c>
      <c r="U110" s="23">
        <f t="shared" si="66"/>
        <v>12.546359999999998</v>
      </c>
      <c r="V110" s="23">
        <f>(scatterplots_LWG_grazdays_CS!$V$5*$A110+scatterplots_LWG_grazdays_CS!$W$5)/1000</f>
        <v>-0.16224</v>
      </c>
      <c r="W110" s="23">
        <f t="shared" si="54"/>
        <v>-0.12223999999999999</v>
      </c>
      <c r="X110" s="23">
        <f t="shared" si="74"/>
        <v>-8.2239999999999994E-2</v>
      </c>
      <c r="Y110" s="23">
        <f t="shared" si="74"/>
        <v>-4.224E-2</v>
      </c>
      <c r="Z110" s="23">
        <f>(scatterplots_LWG_grazdays_CS!$V$5*$A110+scatterplots_LWG_grazdays_CS!$W$5)/1000+Z109</f>
        <v>7.2079199999999988</v>
      </c>
      <c r="AA110" s="23">
        <f t="shared" ref="AA110:AB125" si="78">AA109+W110</f>
        <v>7.9279199999999967</v>
      </c>
      <c r="AB110" s="23">
        <f t="shared" si="78"/>
        <v>8.6479199999999974</v>
      </c>
      <c r="AC110" s="23">
        <f t="shared" si="67"/>
        <v>9.367919999999998</v>
      </c>
      <c r="AD110" s="23">
        <f>(scatterplots_LWG_grazdays_CS!$V$6*$A110+scatterplots_LWG_grazdays_CS!$W$6)/1000</f>
        <v>-0.25512000000000001</v>
      </c>
      <c r="AE110" s="23">
        <f t="shared" si="57"/>
        <v>-0.21512000000000001</v>
      </c>
      <c r="AF110" s="23">
        <f t="shared" si="61"/>
        <v>-0.17512</v>
      </c>
      <c r="AG110" s="23">
        <f t="shared" si="61"/>
        <v>-0.13512000000000002</v>
      </c>
      <c r="AH110" s="23">
        <f>(scatterplots_LWG_grazdays_CS!$V$6*$A110+scatterplots_LWG_grazdays_CS!$W$6)/1000+AH109</f>
        <v>2.1459600000000068</v>
      </c>
      <c r="AI110" s="23">
        <f t="shared" si="76"/>
        <v>2.8659600000000061</v>
      </c>
      <c r="AJ110" s="23">
        <f t="shared" si="76"/>
        <v>3.5859600000000067</v>
      </c>
      <c r="AK110" s="23">
        <f t="shared" si="76"/>
        <v>4.3059600000000069</v>
      </c>
    </row>
    <row r="111" spans="1:37">
      <c r="A111" s="12">
        <v>109</v>
      </c>
      <c r="B111" s="12">
        <v>20</v>
      </c>
      <c r="C111" s="23">
        <f>(scatterplots_LWG_grazdays_CS!$V$3*$A111+scatterplots_LWG_grazdays_CS!$W$3)/1000</f>
        <v>-9.5600000000000025E-3</v>
      </c>
      <c r="D111" s="23">
        <f t="shared" si="73"/>
        <v>3.0439999999999998E-2</v>
      </c>
      <c r="E111" s="23">
        <f t="shared" si="73"/>
        <v>7.0440000000000003E-2</v>
      </c>
      <c r="F111" s="23">
        <f t="shared" si="73"/>
        <v>0.11044</v>
      </c>
      <c r="G111" s="23">
        <f>(scatterplots_LWG_grazdays_CS!$V$3*$A111+scatterplots_LWG_grazdays_CS!$W$3)/1000+G110</f>
        <v>15.674200000000003</v>
      </c>
      <c r="H111" s="23">
        <f t="shared" si="71"/>
        <v>16.474200000000003</v>
      </c>
      <c r="I111" s="23">
        <f t="shared" si="72"/>
        <v>18.2742</v>
      </c>
      <c r="J111" s="23">
        <f t="shared" si="47"/>
        <v>19.2742</v>
      </c>
      <c r="K111" s="23">
        <f t="shared" si="75"/>
        <v>19.674200000000003</v>
      </c>
      <c r="L111" s="23">
        <f t="shared" si="75"/>
        <v>17.274200000000004</v>
      </c>
      <c r="M111" s="23">
        <f t="shared" si="75"/>
        <v>18.074200000000001</v>
      </c>
      <c r="N111" s="23">
        <f>(scatterplots_LWG_grazdays_CS!$V$4*$A111+scatterplots_LWG_grazdays_CS!$W$4)/1000</f>
        <v>-0.10766000000000002</v>
      </c>
      <c r="O111" s="23">
        <f t="shared" si="52"/>
        <v>-6.7660000000000026E-2</v>
      </c>
      <c r="P111" s="23">
        <f t="shared" si="52"/>
        <v>-2.7660000000000018E-2</v>
      </c>
      <c r="Q111" s="23">
        <f t="shared" si="52"/>
        <v>1.2339999999999976E-2</v>
      </c>
      <c r="R111" s="23">
        <f>(scatterplots_LWG_grazdays_CS!$V$4*$A111+scatterplots_LWG_grazdays_CS!$W$4)/1000+R110</f>
        <v>10.278699999999997</v>
      </c>
      <c r="S111" s="23">
        <f t="shared" si="77"/>
        <v>11.038699999999997</v>
      </c>
      <c r="T111" s="23">
        <f t="shared" si="77"/>
        <v>11.798699999999997</v>
      </c>
      <c r="U111" s="23">
        <f t="shared" si="66"/>
        <v>12.558699999999998</v>
      </c>
      <c r="V111" s="23">
        <f>(scatterplots_LWG_grazdays_CS!$V$5*$A111+scatterplots_LWG_grazdays_CS!$W$5)/1000</f>
        <v>-0.16652000000000003</v>
      </c>
      <c r="W111" s="23">
        <f t="shared" si="54"/>
        <v>-0.12652000000000002</v>
      </c>
      <c r="X111" s="23">
        <f t="shared" si="74"/>
        <v>-8.6520000000000027E-2</v>
      </c>
      <c r="Y111" s="23">
        <f t="shared" si="74"/>
        <v>-4.6520000000000034E-2</v>
      </c>
      <c r="Z111" s="23">
        <f>(scatterplots_LWG_grazdays_CS!$V$5*$A111+scatterplots_LWG_grazdays_CS!$W$5)/1000+Z110</f>
        <v>7.0413999999999985</v>
      </c>
      <c r="AA111" s="23">
        <f t="shared" si="78"/>
        <v>7.8013999999999966</v>
      </c>
      <c r="AB111" s="23">
        <f t="shared" si="78"/>
        <v>8.5613999999999972</v>
      </c>
      <c r="AC111" s="23">
        <f t="shared" si="67"/>
        <v>9.3213999999999988</v>
      </c>
      <c r="AD111" s="23">
        <f>(scatterplots_LWG_grazdays_CS!$V$6*$A111+scatterplots_LWG_grazdays_CS!$W$6)/1000</f>
        <v>-0.26025999999999999</v>
      </c>
      <c r="AE111" s="23">
        <f t="shared" si="57"/>
        <v>-0.22025999999999998</v>
      </c>
      <c r="AF111" s="23">
        <f t="shared" si="61"/>
        <v>-0.18025999999999998</v>
      </c>
      <c r="AG111" s="23">
        <f t="shared" si="61"/>
        <v>-0.14026</v>
      </c>
      <c r="AH111" s="23">
        <f>(scatterplots_LWG_grazdays_CS!$V$6*$A111+scatterplots_LWG_grazdays_CS!$W$6)/1000+AH110</f>
        <v>1.8857000000000068</v>
      </c>
      <c r="AI111" s="23">
        <f t="shared" si="76"/>
        <v>2.6457000000000059</v>
      </c>
      <c r="AJ111" s="23">
        <f t="shared" si="76"/>
        <v>3.4057000000000066</v>
      </c>
      <c r="AK111" s="23">
        <f t="shared" si="76"/>
        <v>4.1657000000000073</v>
      </c>
    </row>
    <row r="112" spans="1:37">
      <c r="A112" s="12">
        <v>110</v>
      </c>
      <c r="B112" s="12">
        <v>21</v>
      </c>
      <c r="C112" s="23">
        <f>(scatterplots_LWG_grazdays_CS!$V$3*$A112+scatterplots_LWG_grazdays_CS!$W$3)/1000</f>
        <v>-1.2399999999999977E-2</v>
      </c>
      <c r="D112" s="23">
        <f t="shared" si="73"/>
        <v>2.7600000000000024E-2</v>
      </c>
      <c r="E112" s="23">
        <f t="shared" si="73"/>
        <v>6.7600000000000021E-2</v>
      </c>
      <c r="F112" s="23">
        <f t="shared" si="73"/>
        <v>0.10760000000000002</v>
      </c>
      <c r="G112" s="23">
        <f>(scatterplots_LWG_grazdays_CS!$V$3*$A112+scatterplots_LWG_grazdays_CS!$W$3)/1000+G111</f>
        <v>15.661800000000003</v>
      </c>
      <c r="H112" s="23">
        <f t="shared" si="71"/>
        <v>16.501800000000003</v>
      </c>
      <c r="I112" s="23">
        <f t="shared" si="72"/>
        <v>18.3018</v>
      </c>
      <c r="J112" s="23">
        <f t="shared" si="47"/>
        <v>19.3018</v>
      </c>
      <c r="K112" s="23">
        <f t="shared" si="75"/>
        <v>19.701800000000002</v>
      </c>
      <c r="L112" s="23">
        <f t="shared" si="75"/>
        <v>17.341800000000003</v>
      </c>
      <c r="M112" s="23">
        <f t="shared" si="75"/>
        <v>18.181800000000003</v>
      </c>
      <c r="N112" s="23">
        <f>(scatterplots_LWG_grazdays_CS!$V$4*$A112+scatterplots_LWG_grazdays_CS!$W$4)/1000</f>
        <v>-0.11140000000000004</v>
      </c>
      <c r="O112" s="23">
        <f t="shared" si="52"/>
        <v>-7.1400000000000047E-2</v>
      </c>
      <c r="P112" s="23">
        <f t="shared" si="52"/>
        <v>-3.1400000000000039E-2</v>
      </c>
      <c r="Q112" s="23">
        <f t="shared" si="52"/>
        <v>8.5999999999999549E-3</v>
      </c>
      <c r="R112" s="23">
        <f>(scatterplots_LWG_grazdays_CS!$V$4*$A112+scatterplots_LWG_grazdays_CS!$W$4)/1000+R111</f>
        <v>10.167299999999997</v>
      </c>
      <c r="S112" s="23">
        <f t="shared" si="77"/>
        <v>10.967299999999996</v>
      </c>
      <c r="T112" s="23">
        <f t="shared" si="77"/>
        <v>11.767299999999997</v>
      </c>
      <c r="U112" s="23">
        <f t="shared" si="66"/>
        <v>12.567299999999998</v>
      </c>
      <c r="V112" s="23">
        <f>(scatterplots_LWG_grazdays_CS!$V$5*$A112+scatterplots_LWG_grazdays_CS!$W$5)/1000</f>
        <v>-0.17080000000000001</v>
      </c>
      <c r="W112" s="23">
        <f t="shared" si="54"/>
        <v>-0.1308</v>
      </c>
      <c r="X112" s="23">
        <f t="shared" si="74"/>
        <v>-9.0800000000000006E-2</v>
      </c>
      <c r="Y112" s="23">
        <f t="shared" si="74"/>
        <v>-5.0800000000000012E-2</v>
      </c>
      <c r="Z112" s="23">
        <f>(scatterplots_LWG_grazdays_CS!$V$5*$A112+scatterplots_LWG_grazdays_CS!$W$5)/1000+Z111</f>
        <v>6.8705999999999987</v>
      </c>
      <c r="AA112" s="23">
        <f t="shared" si="78"/>
        <v>7.6705999999999968</v>
      </c>
      <c r="AB112" s="23">
        <f t="shared" si="78"/>
        <v>8.4705999999999975</v>
      </c>
      <c r="AC112" s="23">
        <f t="shared" si="67"/>
        <v>9.2705999999999982</v>
      </c>
      <c r="AD112" s="23">
        <f>(scatterplots_LWG_grazdays_CS!$V$6*$A112+scatterplots_LWG_grazdays_CS!$W$6)/1000</f>
        <v>-0.26539999999999997</v>
      </c>
      <c r="AE112" s="23">
        <f t="shared" si="57"/>
        <v>-0.22539999999999996</v>
      </c>
      <c r="AF112" s="23">
        <f t="shared" si="61"/>
        <v>-0.18539999999999995</v>
      </c>
      <c r="AG112" s="23">
        <f t="shared" si="61"/>
        <v>-0.14539999999999997</v>
      </c>
      <c r="AH112" s="23">
        <f>(scatterplots_LWG_grazdays_CS!$V$6*$A112+scatterplots_LWG_grazdays_CS!$W$6)/1000+AH111</f>
        <v>1.620300000000007</v>
      </c>
      <c r="AI112" s="23">
        <f t="shared" si="76"/>
        <v>2.4203000000000059</v>
      </c>
      <c r="AJ112" s="23">
        <f t="shared" si="76"/>
        <v>3.2203000000000066</v>
      </c>
      <c r="AK112" s="23">
        <f t="shared" si="76"/>
        <v>4.0203000000000078</v>
      </c>
    </row>
    <row r="113" spans="1:37">
      <c r="A113" s="12">
        <v>111</v>
      </c>
      <c r="B113" s="12">
        <v>22</v>
      </c>
      <c r="C113" s="23">
        <f>(scatterplots_LWG_grazdays_CS!$V$3*$A113+scatterplots_LWG_grazdays_CS!$W$3)/1000</f>
        <v>-1.5240000000000009E-2</v>
      </c>
      <c r="D113" s="23">
        <f t="shared" si="73"/>
        <v>2.475999999999999E-2</v>
      </c>
      <c r="E113" s="23">
        <f t="shared" si="73"/>
        <v>6.4759999999999998E-2</v>
      </c>
      <c r="F113" s="23">
        <f t="shared" si="73"/>
        <v>0.10475999999999999</v>
      </c>
      <c r="G113" s="23">
        <f>(scatterplots_LWG_grazdays_CS!$V$3*$A113+scatterplots_LWG_grazdays_CS!$W$3)/1000+G112</f>
        <v>15.646560000000003</v>
      </c>
      <c r="H113" s="23">
        <f t="shared" si="71"/>
        <v>16.526560000000003</v>
      </c>
      <c r="I113" s="23">
        <f t="shared" si="72"/>
        <v>18.326560000000001</v>
      </c>
      <c r="J113" s="23">
        <f t="shared" si="47"/>
        <v>19.326560000000001</v>
      </c>
      <c r="K113" s="23">
        <f t="shared" si="75"/>
        <v>19.726560000000003</v>
      </c>
      <c r="L113" s="23">
        <f t="shared" si="75"/>
        <v>17.406560000000002</v>
      </c>
      <c r="M113" s="23">
        <f t="shared" si="75"/>
        <v>18.286560000000001</v>
      </c>
      <c r="N113" s="23">
        <f>(scatterplots_LWG_grazdays_CS!$V$4*$A113+scatterplots_LWG_grazdays_CS!$W$4)/1000</f>
        <v>-0.11514000000000005</v>
      </c>
      <c r="O113" s="23">
        <f t="shared" si="52"/>
        <v>-7.514000000000004E-2</v>
      </c>
      <c r="P113" s="23">
        <f t="shared" si="52"/>
        <v>-3.5140000000000046E-2</v>
      </c>
      <c r="Q113" s="23">
        <f t="shared" si="52"/>
        <v>4.8599999999999477E-3</v>
      </c>
      <c r="R113" s="23">
        <f>(scatterplots_LWG_grazdays_CS!$V$4*$A113+scatterplots_LWG_grazdays_CS!$W$4)/1000+R112</f>
        <v>10.052159999999997</v>
      </c>
      <c r="S113" s="23">
        <f t="shared" si="77"/>
        <v>10.892159999999997</v>
      </c>
      <c r="T113" s="23">
        <f t="shared" si="77"/>
        <v>11.732159999999997</v>
      </c>
      <c r="U113" s="23">
        <f t="shared" si="66"/>
        <v>12.572159999999998</v>
      </c>
      <c r="V113" s="23">
        <f>(scatterplots_LWG_grazdays_CS!$V$5*$A113+scatterplots_LWG_grazdays_CS!$W$5)/1000</f>
        <v>-0.17508000000000004</v>
      </c>
      <c r="W113" s="23">
        <f t="shared" si="54"/>
        <v>-0.13508000000000003</v>
      </c>
      <c r="X113" s="23">
        <f t="shared" si="74"/>
        <v>-9.5080000000000039E-2</v>
      </c>
      <c r="Y113" s="23">
        <f t="shared" si="74"/>
        <v>-5.5080000000000046E-2</v>
      </c>
      <c r="Z113" s="23">
        <f>(scatterplots_LWG_grazdays_CS!$V$5*$A113+scatterplots_LWG_grazdays_CS!$W$5)/1000+Z112</f>
        <v>6.6955199999999984</v>
      </c>
      <c r="AA113" s="23">
        <f t="shared" si="78"/>
        <v>7.5355199999999964</v>
      </c>
      <c r="AB113" s="23">
        <f t="shared" si="78"/>
        <v>8.3755199999999981</v>
      </c>
      <c r="AC113" s="23">
        <f t="shared" si="67"/>
        <v>9.2155199999999979</v>
      </c>
      <c r="AD113" s="23">
        <f>(scatterplots_LWG_grazdays_CS!$V$6*$A113+scatterplots_LWG_grazdays_CS!$W$6)/1000</f>
        <v>-0.27053999999999995</v>
      </c>
      <c r="AE113" s="23">
        <f t="shared" si="57"/>
        <v>-0.23053999999999994</v>
      </c>
      <c r="AF113" s="23">
        <f t="shared" si="61"/>
        <v>-0.19053999999999993</v>
      </c>
      <c r="AG113" s="23">
        <f t="shared" si="61"/>
        <v>-0.15053999999999995</v>
      </c>
      <c r="AH113" s="23">
        <f>(scatterplots_LWG_grazdays_CS!$V$6*$A113+scatterplots_LWG_grazdays_CS!$W$6)/1000+AH112</f>
        <v>1.349760000000007</v>
      </c>
      <c r="AI113" s="23">
        <f t="shared" si="76"/>
        <v>2.1897600000000059</v>
      </c>
      <c r="AJ113" s="23">
        <f t="shared" si="76"/>
        <v>3.0297600000000067</v>
      </c>
      <c r="AK113" s="23">
        <f t="shared" si="76"/>
        <v>3.8697600000000079</v>
      </c>
    </row>
    <row r="114" spans="1:37">
      <c r="A114" s="12">
        <v>112</v>
      </c>
      <c r="B114" s="12">
        <v>23</v>
      </c>
      <c r="C114" s="23">
        <f>(scatterplots_LWG_grazdays_CS!$V$3*$A114+scatterplots_LWG_grazdays_CS!$W$3)/1000</f>
        <v>-1.8079999999999985E-2</v>
      </c>
      <c r="D114" s="23">
        <f t="shared" si="73"/>
        <v>2.1920000000000016E-2</v>
      </c>
      <c r="E114" s="23">
        <f t="shared" si="73"/>
        <v>6.1920000000000017E-2</v>
      </c>
      <c r="F114" s="23">
        <f t="shared" si="73"/>
        <v>0.10192000000000001</v>
      </c>
      <c r="G114" s="23">
        <f>(scatterplots_LWG_grazdays_CS!$V$3*$A114+scatterplots_LWG_grazdays_CS!$W$3)/1000+G113</f>
        <v>15.628480000000003</v>
      </c>
      <c r="H114" s="23">
        <f t="shared" si="71"/>
        <v>16.548480000000005</v>
      </c>
      <c r="I114" s="23">
        <f t="shared" si="72"/>
        <v>18.348480000000002</v>
      </c>
      <c r="J114" s="23">
        <f t="shared" si="47"/>
        <v>19.348480000000002</v>
      </c>
      <c r="K114" s="23">
        <f t="shared" si="75"/>
        <v>19.748480000000004</v>
      </c>
      <c r="L114" s="23">
        <f t="shared" si="75"/>
        <v>17.468480000000003</v>
      </c>
      <c r="M114" s="23">
        <f t="shared" si="75"/>
        <v>18.388480000000001</v>
      </c>
      <c r="N114" s="23">
        <f>(scatterplots_LWG_grazdays_CS!$V$4*$A114+scatterplots_LWG_grazdays_CS!$W$4)/1000</f>
        <v>-0.11888</v>
      </c>
      <c r="O114" s="23">
        <f t="shared" si="52"/>
        <v>-7.8880000000000006E-2</v>
      </c>
      <c r="P114" s="23">
        <f t="shared" si="52"/>
        <v>-3.8879999999999998E-2</v>
      </c>
      <c r="Q114" s="23">
        <f t="shared" si="52"/>
        <v>1.119999999999996E-3</v>
      </c>
      <c r="R114" s="23">
        <f>(scatterplots_LWG_grazdays_CS!$V$4*$A114+scatterplots_LWG_grazdays_CS!$W$4)/1000+R113</f>
        <v>9.9332799999999963</v>
      </c>
      <c r="S114" s="23">
        <f t="shared" si="77"/>
        <v>10.813279999999997</v>
      </c>
      <c r="T114" s="23">
        <f t="shared" si="77"/>
        <v>11.693279999999996</v>
      </c>
      <c r="U114" s="23">
        <f t="shared" si="66"/>
        <v>12.573279999999999</v>
      </c>
      <c r="V114" s="23">
        <f>(scatterplots_LWG_grazdays_CS!$V$5*$A114+scatterplots_LWG_grazdays_CS!$W$5)/1000</f>
        <v>-0.17936000000000002</v>
      </c>
      <c r="W114" s="23">
        <f t="shared" si="54"/>
        <v>-0.13936000000000001</v>
      </c>
      <c r="X114" s="23">
        <f t="shared" si="74"/>
        <v>-9.9360000000000018E-2</v>
      </c>
      <c r="Y114" s="23">
        <f t="shared" si="74"/>
        <v>-5.9360000000000024E-2</v>
      </c>
      <c r="Z114" s="23">
        <f>(scatterplots_LWG_grazdays_CS!$V$5*$A114+scatterplots_LWG_grazdays_CS!$W$5)/1000+Z113</f>
        <v>6.5161599999999984</v>
      </c>
      <c r="AA114" s="23">
        <f t="shared" si="78"/>
        <v>7.3961599999999965</v>
      </c>
      <c r="AB114" s="23">
        <f t="shared" si="78"/>
        <v>8.2761599999999973</v>
      </c>
      <c r="AC114" s="23">
        <f t="shared" si="67"/>
        <v>9.1561599999999981</v>
      </c>
      <c r="AD114" s="23">
        <f>(scatterplots_LWG_grazdays_CS!$V$6*$A114+scatterplots_LWG_grazdays_CS!$W$6)/1000</f>
        <v>-0.27567999999999993</v>
      </c>
      <c r="AE114" s="23">
        <f t="shared" si="57"/>
        <v>-0.23567999999999992</v>
      </c>
      <c r="AF114" s="23">
        <f t="shared" si="61"/>
        <v>-0.19567999999999991</v>
      </c>
      <c r="AG114" s="23">
        <f t="shared" si="61"/>
        <v>-0.15567999999999993</v>
      </c>
      <c r="AH114" s="23">
        <f>(scatterplots_LWG_grazdays_CS!$V$6*$A114+scatterplots_LWG_grazdays_CS!$W$6)/1000+AH113</f>
        <v>1.074080000000007</v>
      </c>
      <c r="AI114" s="23">
        <f t="shared" si="76"/>
        <v>1.954080000000006</v>
      </c>
      <c r="AJ114" s="23">
        <f t="shared" si="76"/>
        <v>2.8340800000000068</v>
      </c>
      <c r="AK114" s="23">
        <f t="shared" si="76"/>
        <v>3.714080000000008</v>
      </c>
    </row>
    <row r="115" spans="1:37">
      <c r="A115" s="12">
        <v>113</v>
      </c>
      <c r="B115" s="12">
        <v>24</v>
      </c>
      <c r="C115" s="23">
        <f>(scatterplots_LWG_grazdays_CS!$V$3*$A115+scatterplots_LWG_grazdays_CS!$W$3)/1000</f>
        <v>-2.0919999999999959E-2</v>
      </c>
      <c r="D115" s="23">
        <f t="shared" si="73"/>
        <v>1.9080000000000041E-2</v>
      </c>
      <c r="E115" s="23">
        <f t="shared" si="73"/>
        <v>5.9080000000000042E-2</v>
      </c>
      <c r="F115" s="23">
        <f t="shared" si="73"/>
        <v>9.9080000000000029E-2</v>
      </c>
      <c r="G115" s="23">
        <f>(scatterplots_LWG_grazdays_CS!$V$3*$A115+scatterplots_LWG_grazdays_CS!$W$3)/1000+G114</f>
        <v>15.607560000000003</v>
      </c>
      <c r="H115" s="23">
        <f t="shared" si="71"/>
        <v>16.567560000000004</v>
      </c>
      <c r="I115" s="23">
        <f t="shared" si="72"/>
        <v>18.367560000000001</v>
      </c>
      <c r="J115" s="23">
        <f t="shared" si="47"/>
        <v>19.367560000000001</v>
      </c>
      <c r="K115" s="23">
        <f t="shared" si="75"/>
        <v>19.767560000000003</v>
      </c>
      <c r="L115" s="23">
        <f t="shared" si="75"/>
        <v>17.527560000000005</v>
      </c>
      <c r="M115" s="23">
        <f t="shared" si="75"/>
        <v>18.487560000000002</v>
      </c>
      <c r="N115" s="23">
        <f>(scatterplots_LWG_grazdays_CS!$V$4*$A115+scatterplots_LWG_grazdays_CS!$W$4)/1000</f>
        <v>-0.12262000000000001</v>
      </c>
      <c r="O115" s="23">
        <f t="shared" si="52"/>
        <v>-8.2619999999999999E-2</v>
      </c>
      <c r="P115" s="23">
        <f t="shared" si="52"/>
        <v>-4.2620000000000005E-2</v>
      </c>
      <c r="Q115" s="23">
        <f t="shared" si="52"/>
        <v>-2.6200000000000112E-3</v>
      </c>
      <c r="R115" s="23">
        <f>(scatterplots_LWG_grazdays_CS!$V$4*$A115+scatterplots_LWG_grazdays_CS!$W$4)/1000+R114</f>
        <v>9.8106599999999968</v>
      </c>
      <c r="S115" s="23">
        <f t="shared" si="77"/>
        <v>10.730659999999997</v>
      </c>
      <c r="T115" s="23">
        <f t="shared" si="77"/>
        <v>11.650659999999997</v>
      </c>
      <c r="U115" s="23">
        <f t="shared" si="66"/>
        <v>12.570659999999998</v>
      </c>
      <c r="V115" s="23">
        <f>(scatterplots_LWG_grazdays_CS!$V$5*$A115+scatterplots_LWG_grazdays_CS!$W$5)/1000</f>
        <v>-0.18364000000000005</v>
      </c>
      <c r="W115" s="23">
        <f t="shared" si="54"/>
        <v>-0.14364000000000005</v>
      </c>
      <c r="X115" s="23">
        <f t="shared" si="74"/>
        <v>-0.10364000000000005</v>
      </c>
      <c r="Y115" s="23">
        <f t="shared" si="74"/>
        <v>-6.3640000000000058E-2</v>
      </c>
      <c r="Z115" s="23">
        <f>(scatterplots_LWG_grazdays_CS!$V$5*$A115+scatterplots_LWG_grazdays_CS!$W$5)/1000+Z114</f>
        <v>6.3325199999999979</v>
      </c>
      <c r="AA115" s="23">
        <f t="shared" si="78"/>
        <v>7.2525199999999961</v>
      </c>
      <c r="AB115" s="23">
        <f t="shared" si="78"/>
        <v>8.1725199999999969</v>
      </c>
      <c r="AC115" s="23">
        <f t="shared" si="67"/>
        <v>9.0925199999999986</v>
      </c>
      <c r="AD115" s="23">
        <f>(scatterplots_LWG_grazdays_CS!$V$6*$A115+scatterplots_LWG_grazdays_CS!$W$6)/1000</f>
        <v>-0.28081999999999996</v>
      </c>
      <c r="AE115" s="23">
        <f t="shared" si="57"/>
        <v>-0.24081999999999995</v>
      </c>
      <c r="AF115" s="23">
        <f t="shared" si="61"/>
        <v>-0.20081999999999994</v>
      </c>
      <c r="AG115" s="23">
        <f t="shared" si="61"/>
        <v>-0.16081999999999996</v>
      </c>
      <c r="AH115" s="23">
        <f>(scatterplots_LWG_grazdays_CS!$V$6*$A115+scatterplots_LWG_grazdays_CS!$W$6)/1000+AH114</f>
        <v>0.79326000000000707</v>
      </c>
      <c r="AI115" s="23">
        <f t="shared" si="76"/>
        <v>1.713260000000006</v>
      </c>
      <c r="AJ115" s="23">
        <f t="shared" si="76"/>
        <v>2.633260000000007</v>
      </c>
      <c r="AK115" s="23">
        <f t="shared" si="76"/>
        <v>3.5532600000000079</v>
      </c>
    </row>
    <row r="116" spans="1:37">
      <c r="A116" s="12">
        <v>114</v>
      </c>
      <c r="B116" s="12">
        <v>25</v>
      </c>
      <c r="C116" s="23">
        <f>(scatterplots_LWG_grazdays_CS!$V$3*$A116+scatterplots_LWG_grazdays_CS!$W$3)/1000</f>
        <v>-2.3759999999999989E-2</v>
      </c>
      <c r="D116" s="23">
        <f t="shared" si="73"/>
        <v>1.6240000000000011E-2</v>
      </c>
      <c r="E116" s="23">
        <f t="shared" si="73"/>
        <v>5.6240000000000012E-2</v>
      </c>
      <c r="F116" s="23">
        <f t="shared" si="73"/>
        <v>9.6240000000000006E-2</v>
      </c>
      <c r="G116" s="23">
        <f>(scatterplots_LWG_grazdays_CS!$V$3*$A116+scatterplots_LWG_grazdays_CS!$W$3)/1000+G115</f>
        <v>15.583800000000004</v>
      </c>
      <c r="H116" s="23">
        <f t="shared" si="71"/>
        <v>16.583800000000004</v>
      </c>
      <c r="I116" s="23">
        <f t="shared" si="72"/>
        <v>18.383800000000001</v>
      </c>
      <c r="J116" s="23">
        <f t="shared" si="47"/>
        <v>19.383800000000001</v>
      </c>
      <c r="K116" s="23">
        <f t="shared" si="75"/>
        <v>19.783800000000003</v>
      </c>
      <c r="L116" s="23">
        <f t="shared" si="75"/>
        <v>17.583800000000004</v>
      </c>
      <c r="M116" s="23">
        <f t="shared" si="75"/>
        <v>18.583800000000004</v>
      </c>
      <c r="N116" s="23">
        <f>(scatterplots_LWG_grazdays_CS!$V$4*$A116+scatterplots_LWG_grazdays_CS!$W$4)/1000</f>
        <v>-0.12636</v>
      </c>
      <c r="O116" s="23">
        <f t="shared" si="52"/>
        <v>-8.6359999999999992E-2</v>
      </c>
      <c r="P116" s="23">
        <f t="shared" si="52"/>
        <v>-4.6359999999999998E-2</v>
      </c>
      <c r="Q116" s="23">
        <f t="shared" si="52"/>
        <v>-6.3600000000000045E-3</v>
      </c>
      <c r="R116" s="23">
        <f>(scatterplots_LWG_grazdays_CS!$V$4*$A116+scatterplots_LWG_grazdays_CS!$W$4)/1000+R115</f>
        <v>9.6842999999999968</v>
      </c>
      <c r="S116" s="23">
        <f t="shared" si="77"/>
        <v>10.644299999999998</v>
      </c>
      <c r="T116" s="23">
        <f t="shared" si="77"/>
        <v>11.604299999999997</v>
      </c>
      <c r="U116" s="23">
        <f t="shared" si="66"/>
        <v>12.564299999999998</v>
      </c>
      <c r="V116" s="23">
        <f>(scatterplots_LWG_grazdays_CS!$V$5*$A116+scatterplots_LWG_grazdays_CS!$W$5)/1000</f>
        <v>-0.18792</v>
      </c>
      <c r="W116" s="23">
        <f t="shared" si="54"/>
        <v>-0.14792</v>
      </c>
      <c r="X116" s="23">
        <f t="shared" si="74"/>
        <v>-0.10792</v>
      </c>
      <c r="Y116" s="23">
        <f t="shared" si="74"/>
        <v>-6.7920000000000008E-2</v>
      </c>
      <c r="Z116" s="23">
        <f>(scatterplots_LWG_grazdays_CS!$V$5*$A116+scatterplots_LWG_grazdays_CS!$W$5)/1000+Z115</f>
        <v>6.1445999999999978</v>
      </c>
      <c r="AA116" s="23">
        <f t="shared" si="78"/>
        <v>7.104599999999996</v>
      </c>
      <c r="AB116" s="23">
        <f t="shared" si="78"/>
        <v>8.0645999999999969</v>
      </c>
      <c r="AC116" s="23">
        <f t="shared" si="67"/>
        <v>9.0245999999999977</v>
      </c>
      <c r="AD116" s="23">
        <f>(scatterplots_LWG_grazdays_CS!$V$6*$A116+scatterplots_LWG_grazdays_CS!$W$6)/1000</f>
        <v>-0.28595999999999994</v>
      </c>
      <c r="AE116" s="23">
        <f t="shared" si="57"/>
        <v>-0.24595999999999993</v>
      </c>
      <c r="AF116" s="23">
        <f t="shared" si="61"/>
        <v>-0.20595999999999992</v>
      </c>
      <c r="AG116" s="23">
        <f t="shared" si="61"/>
        <v>-0.16595999999999994</v>
      </c>
      <c r="AH116" s="23">
        <f>(scatterplots_LWG_grazdays_CS!$V$6*$A116+scatterplots_LWG_grazdays_CS!$W$6)/1000+AH115</f>
        <v>0.50730000000000719</v>
      </c>
      <c r="AI116" s="23">
        <f t="shared" si="76"/>
        <v>1.467300000000006</v>
      </c>
      <c r="AJ116" s="23">
        <f t="shared" si="76"/>
        <v>2.4273000000000069</v>
      </c>
      <c r="AK116" s="23">
        <f t="shared" si="76"/>
        <v>3.3873000000000077</v>
      </c>
    </row>
    <row r="117" spans="1:37">
      <c r="A117" s="12">
        <v>115</v>
      </c>
      <c r="B117" s="12">
        <v>26</v>
      </c>
      <c r="C117" s="23">
        <f>(scatterplots_LWG_grazdays_CS!$V$3*$A117+scatterplots_LWG_grazdays_CS!$W$3)/1000</f>
        <v>-2.6599999999999967E-2</v>
      </c>
      <c r="D117" s="23">
        <f t="shared" si="73"/>
        <v>1.3400000000000033E-2</v>
      </c>
      <c r="E117" s="23">
        <f t="shared" si="73"/>
        <v>5.3400000000000031E-2</v>
      </c>
      <c r="F117" s="23">
        <f t="shared" si="73"/>
        <v>9.3400000000000025E-2</v>
      </c>
      <c r="G117" s="23">
        <f>(scatterplots_LWG_grazdays_CS!$V$3*$A117+scatterplots_LWG_grazdays_CS!$W$3)/1000+G116</f>
        <v>15.557200000000003</v>
      </c>
      <c r="H117" s="23">
        <f t="shared" si="71"/>
        <v>16.597200000000004</v>
      </c>
      <c r="I117" s="23">
        <f t="shared" si="72"/>
        <v>18.397200000000002</v>
      </c>
      <c r="J117" s="23">
        <f t="shared" si="47"/>
        <v>19.397200000000002</v>
      </c>
      <c r="K117" s="23">
        <f t="shared" si="75"/>
        <v>19.797200000000004</v>
      </c>
      <c r="L117" s="23">
        <f t="shared" si="75"/>
        <v>17.637200000000004</v>
      </c>
      <c r="M117" s="23">
        <f t="shared" si="75"/>
        <v>18.677200000000003</v>
      </c>
      <c r="N117" s="23">
        <f>(scatterplots_LWG_grazdays_CS!$V$4*$A117+scatterplots_LWG_grazdays_CS!$W$4)/1000</f>
        <v>-0.13010000000000002</v>
      </c>
      <c r="O117" s="23">
        <f t="shared" si="52"/>
        <v>-9.0100000000000013E-2</v>
      </c>
      <c r="P117" s="23">
        <f t="shared" si="52"/>
        <v>-5.010000000000002E-2</v>
      </c>
      <c r="Q117" s="23">
        <f t="shared" si="52"/>
        <v>-1.0100000000000026E-2</v>
      </c>
      <c r="R117" s="23">
        <f>(scatterplots_LWG_grazdays_CS!$V$4*$A117+scatterplots_LWG_grazdays_CS!$W$4)/1000+R116</f>
        <v>9.5541999999999963</v>
      </c>
      <c r="S117" s="23">
        <f t="shared" si="77"/>
        <v>10.554199999999998</v>
      </c>
      <c r="T117" s="23">
        <f t="shared" si="77"/>
        <v>11.554199999999996</v>
      </c>
      <c r="U117" s="23">
        <f t="shared" si="66"/>
        <v>12.554199999999998</v>
      </c>
      <c r="V117" s="23">
        <f>(scatterplots_LWG_grazdays_CS!$V$5*$A117+scatterplots_LWG_grazdays_CS!$W$5)/1000</f>
        <v>-0.19220000000000004</v>
      </c>
      <c r="W117" s="23">
        <f t="shared" si="54"/>
        <v>-0.15220000000000003</v>
      </c>
      <c r="X117" s="23">
        <f t="shared" si="74"/>
        <v>-0.11220000000000004</v>
      </c>
      <c r="Y117" s="23">
        <f t="shared" si="74"/>
        <v>-7.2200000000000042E-2</v>
      </c>
      <c r="Z117" s="23">
        <f>(scatterplots_LWG_grazdays_CS!$V$5*$A117+scatterplots_LWG_grazdays_CS!$W$5)/1000+Z116</f>
        <v>5.9523999999999981</v>
      </c>
      <c r="AA117" s="23">
        <f t="shared" si="78"/>
        <v>6.9523999999999964</v>
      </c>
      <c r="AB117" s="23">
        <f t="shared" si="78"/>
        <v>7.9523999999999972</v>
      </c>
      <c r="AC117" s="23">
        <f t="shared" si="67"/>
        <v>8.9523999999999972</v>
      </c>
      <c r="AD117" s="23">
        <f>(scatterplots_LWG_grazdays_CS!$V$6*$A117+scatterplots_LWG_grazdays_CS!$W$6)/1000</f>
        <v>-0.29109999999999991</v>
      </c>
      <c r="AE117" s="23">
        <f t="shared" si="57"/>
        <v>-0.25109999999999993</v>
      </c>
      <c r="AF117" s="23">
        <f t="shared" si="61"/>
        <v>-0.2110999999999999</v>
      </c>
      <c r="AG117" s="23">
        <f t="shared" si="61"/>
        <v>-0.17109999999999992</v>
      </c>
      <c r="AH117" s="23">
        <f>(scatterplots_LWG_grazdays_CS!$V$6*$A117+scatterplots_LWG_grazdays_CS!$W$6)/1000+AH116</f>
        <v>0.21620000000000728</v>
      </c>
      <c r="AI117" s="23">
        <f t="shared" si="76"/>
        <v>1.2162000000000062</v>
      </c>
      <c r="AJ117" s="23">
        <f t="shared" si="76"/>
        <v>2.2162000000000068</v>
      </c>
      <c r="AK117" s="23">
        <f t="shared" si="76"/>
        <v>3.2162000000000077</v>
      </c>
    </row>
    <row r="118" spans="1:37">
      <c r="A118" s="12">
        <v>116</v>
      </c>
      <c r="B118" s="12">
        <v>27</v>
      </c>
      <c r="C118" s="23">
        <f>(scatterplots_LWG_grazdays_CS!$V$3*$A118+scatterplots_LWG_grazdays_CS!$W$3)/1000</f>
        <v>-2.9439999999999997E-2</v>
      </c>
      <c r="D118" s="23">
        <f t="shared" si="73"/>
        <v>1.0560000000000003E-2</v>
      </c>
      <c r="E118" s="23">
        <f t="shared" si="73"/>
        <v>5.0560000000000008E-2</v>
      </c>
      <c r="F118" s="23">
        <f t="shared" si="73"/>
        <v>9.0560000000000002E-2</v>
      </c>
      <c r="G118" s="23">
        <f>(scatterplots_LWG_grazdays_CS!$V$3*$A118+scatterplots_LWG_grazdays_CS!$W$3)/1000+G117</f>
        <v>15.527760000000004</v>
      </c>
      <c r="H118" s="23">
        <f t="shared" si="71"/>
        <v>16.607760000000006</v>
      </c>
      <c r="I118" s="23">
        <f t="shared" si="72"/>
        <v>18.407760000000003</v>
      </c>
      <c r="J118" s="23">
        <f t="shared" si="47"/>
        <v>19.407760000000003</v>
      </c>
      <c r="K118" s="23">
        <f t="shared" si="75"/>
        <v>19.807760000000005</v>
      </c>
      <c r="L118" s="23">
        <f t="shared" si="75"/>
        <v>17.687760000000004</v>
      </c>
      <c r="M118" s="23">
        <f t="shared" si="75"/>
        <v>18.767760000000003</v>
      </c>
      <c r="N118" s="23">
        <f>(scatterplots_LWG_grazdays_CS!$V$4*$A118+scatterplots_LWG_grazdays_CS!$W$4)/1000</f>
        <v>-0.13384000000000004</v>
      </c>
      <c r="O118" s="23">
        <f t="shared" si="52"/>
        <v>-9.3840000000000034E-2</v>
      </c>
      <c r="P118" s="23">
        <f t="shared" si="52"/>
        <v>-5.3840000000000041E-2</v>
      </c>
      <c r="Q118" s="23">
        <f t="shared" si="52"/>
        <v>-1.3840000000000047E-2</v>
      </c>
      <c r="R118" s="23">
        <f>(scatterplots_LWG_grazdays_CS!$V$4*$A118+scatterplots_LWG_grazdays_CS!$W$4)/1000+R117</f>
        <v>9.420359999999997</v>
      </c>
      <c r="S118" s="23">
        <f t="shared" si="77"/>
        <v>10.460359999999998</v>
      </c>
      <c r="T118" s="23">
        <f t="shared" si="77"/>
        <v>11.500359999999997</v>
      </c>
      <c r="U118" s="23">
        <f t="shared" si="66"/>
        <v>12.540359999999998</v>
      </c>
      <c r="V118" s="23">
        <f>(scatterplots_LWG_grazdays_CS!$V$5*$A118+scatterplots_LWG_grazdays_CS!$W$5)/1000</f>
        <v>-0.19648000000000002</v>
      </c>
      <c r="W118" s="23">
        <f t="shared" si="54"/>
        <v>-0.15648000000000001</v>
      </c>
      <c r="X118" s="23">
        <f t="shared" si="74"/>
        <v>-0.11648000000000001</v>
      </c>
      <c r="Y118" s="23">
        <f t="shared" si="74"/>
        <v>-7.648000000000002E-2</v>
      </c>
      <c r="Z118" s="23">
        <f>(scatterplots_LWG_grazdays_CS!$V$5*$A118+scatterplots_LWG_grazdays_CS!$W$5)/1000+Z117</f>
        <v>5.7559199999999979</v>
      </c>
      <c r="AA118" s="23">
        <f t="shared" si="78"/>
        <v>6.7959199999999962</v>
      </c>
      <c r="AB118" s="23">
        <f t="shared" si="78"/>
        <v>7.8359199999999971</v>
      </c>
      <c r="AC118" s="23">
        <f t="shared" si="67"/>
        <v>8.8759199999999971</v>
      </c>
      <c r="AD118" s="23">
        <f>(scatterplots_LWG_grazdays_CS!$V$6*$A118+scatterplots_LWG_grazdays_CS!$W$6)/1000</f>
        <v>-0.29624</v>
      </c>
      <c r="AE118" s="23">
        <f t="shared" si="57"/>
        <v>-0.25624000000000002</v>
      </c>
      <c r="AF118" s="23">
        <f t="shared" si="61"/>
        <v>-0.21623999999999999</v>
      </c>
      <c r="AG118" s="23">
        <f t="shared" si="61"/>
        <v>-0.17624000000000001</v>
      </c>
      <c r="AH118" s="23">
        <f>(scatterplots_LWG_grazdays_CS!$V$6*$A118+scatterplots_LWG_grazdays_CS!$W$6)/1000+AH117</f>
        <v>-8.0039999999992728E-2</v>
      </c>
      <c r="AI118" s="23">
        <f t="shared" si="76"/>
        <v>0.95996000000000614</v>
      </c>
      <c r="AJ118" s="23">
        <f t="shared" si="76"/>
        <v>1.9999600000000068</v>
      </c>
      <c r="AK118" s="23">
        <f t="shared" si="76"/>
        <v>3.0399600000000078</v>
      </c>
    </row>
    <row r="119" spans="1:37">
      <c r="A119" s="12">
        <v>117</v>
      </c>
      <c r="B119" s="12">
        <v>28</v>
      </c>
      <c r="C119" s="23">
        <f>(scatterplots_LWG_grazdays_CS!$V$3*$A119+scatterplots_LWG_grazdays_CS!$W$3)/1000</f>
        <v>-3.2279999999999975E-2</v>
      </c>
      <c r="D119" s="23">
        <f t="shared" si="73"/>
        <v>7.7200000000000255E-3</v>
      </c>
      <c r="E119" s="23">
        <f t="shared" si="73"/>
        <v>4.7720000000000026E-2</v>
      </c>
      <c r="F119" s="23">
        <f t="shared" si="73"/>
        <v>8.772000000000002E-2</v>
      </c>
      <c r="G119" s="23">
        <f>(scatterplots_LWG_grazdays_CS!$V$3*$A119+scatterplots_LWG_grazdays_CS!$W$3)/1000+G118</f>
        <v>15.495480000000004</v>
      </c>
      <c r="H119" s="23">
        <f t="shared" si="71"/>
        <v>16.615480000000005</v>
      </c>
      <c r="I119" s="23">
        <f t="shared" si="72"/>
        <v>18.415480000000002</v>
      </c>
      <c r="J119" s="23">
        <f t="shared" si="47"/>
        <v>19.415480000000002</v>
      </c>
      <c r="K119" s="23">
        <f t="shared" si="75"/>
        <v>19.815480000000004</v>
      </c>
      <c r="L119" s="23">
        <f t="shared" si="75"/>
        <v>17.735480000000006</v>
      </c>
      <c r="M119" s="23">
        <f t="shared" si="75"/>
        <v>18.855480000000004</v>
      </c>
      <c r="N119" s="23">
        <f>(scatterplots_LWG_grazdays_CS!$V$4*$A119+scatterplots_LWG_grazdays_CS!$W$4)/1000</f>
        <v>-0.13758000000000004</v>
      </c>
      <c r="O119" s="23">
        <f t="shared" si="52"/>
        <v>-9.7580000000000028E-2</v>
      </c>
      <c r="P119" s="23">
        <f t="shared" si="52"/>
        <v>-5.7580000000000034E-2</v>
      </c>
      <c r="Q119" s="23">
        <f t="shared" si="52"/>
        <v>-1.758000000000004E-2</v>
      </c>
      <c r="R119" s="23">
        <f>(scatterplots_LWG_grazdays_CS!$V$4*$A119+scatterplots_LWG_grazdays_CS!$W$4)/1000+R118</f>
        <v>9.2827799999999971</v>
      </c>
      <c r="S119" s="23">
        <f t="shared" si="77"/>
        <v>10.362779999999997</v>
      </c>
      <c r="T119" s="23">
        <f t="shared" si="77"/>
        <v>11.442779999999997</v>
      </c>
      <c r="U119" s="23">
        <f t="shared" si="66"/>
        <v>12.522779999999997</v>
      </c>
      <c r="V119" s="23">
        <f>(scatterplots_LWG_grazdays_CS!$V$5*$A119+scatterplots_LWG_grazdays_CS!$W$5)/1000</f>
        <v>-0.20076000000000005</v>
      </c>
      <c r="W119" s="23">
        <f t="shared" si="54"/>
        <v>-0.16076000000000004</v>
      </c>
      <c r="X119" s="23">
        <f t="shared" si="74"/>
        <v>-0.12076000000000005</v>
      </c>
      <c r="Y119" s="23">
        <f t="shared" si="74"/>
        <v>-8.0760000000000054E-2</v>
      </c>
      <c r="Z119" s="23">
        <f>(scatterplots_LWG_grazdays_CS!$V$5*$A119+scatterplots_LWG_grazdays_CS!$W$5)/1000+Z118</f>
        <v>5.5551599999999981</v>
      </c>
      <c r="AA119" s="23">
        <f t="shared" si="78"/>
        <v>6.6351599999999964</v>
      </c>
      <c r="AB119" s="23">
        <f t="shared" si="78"/>
        <v>7.7151599999999974</v>
      </c>
      <c r="AC119" s="23">
        <f t="shared" si="67"/>
        <v>8.7951599999999974</v>
      </c>
      <c r="AD119" s="23">
        <f>(scatterplots_LWG_grazdays_CS!$V$6*$A119+scatterplots_LWG_grazdays_CS!$W$6)/1000</f>
        <v>-0.30137999999999998</v>
      </c>
      <c r="AE119" s="23">
        <f t="shared" si="57"/>
        <v>-0.26138</v>
      </c>
      <c r="AF119" s="23">
        <f t="shared" si="61"/>
        <v>-0.22137999999999997</v>
      </c>
      <c r="AG119" s="23">
        <f t="shared" si="61"/>
        <v>-0.18137999999999999</v>
      </c>
      <c r="AH119" s="23">
        <f>(scatterplots_LWG_grazdays_CS!$V$6*$A119+scatterplots_LWG_grazdays_CS!$W$6)/1000+AH118</f>
        <v>-0.38141999999999271</v>
      </c>
      <c r="AI119" s="23">
        <f t="shared" si="76"/>
        <v>0.6985800000000062</v>
      </c>
      <c r="AJ119" s="23">
        <f t="shared" si="76"/>
        <v>1.7785800000000069</v>
      </c>
      <c r="AK119" s="23">
        <f t="shared" si="76"/>
        <v>2.8585800000000079</v>
      </c>
    </row>
    <row r="120" spans="1:37">
      <c r="A120" s="12">
        <v>118</v>
      </c>
      <c r="B120" s="12">
        <v>29</v>
      </c>
      <c r="C120" s="23">
        <f>(scatterplots_LWG_grazdays_CS!$V$3*$A120+scatterplots_LWG_grazdays_CS!$W$3)/1000</f>
        <v>-3.5120000000000005E-2</v>
      </c>
      <c r="D120" s="23">
        <f t="shared" si="73"/>
        <v>4.8799999999999955E-3</v>
      </c>
      <c r="E120" s="23">
        <f t="shared" si="73"/>
        <v>4.4879999999999996E-2</v>
      </c>
      <c r="F120" s="23">
        <f t="shared" si="73"/>
        <v>8.4879999999999983E-2</v>
      </c>
      <c r="G120" s="23">
        <f>(scatterplots_LWG_grazdays_CS!$V$3*$A120+scatterplots_LWG_grazdays_CS!$W$3)/1000+G119</f>
        <v>15.460360000000005</v>
      </c>
      <c r="H120" s="23">
        <f t="shared" si="71"/>
        <v>16.620360000000005</v>
      </c>
      <c r="I120" s="23">
        <f t="shared" si="72"/>
        <v>18.420360000000002</v>
      </c>
      <c r="J120" s="23">
        <f t="shared" si="47"/>
        <v>19.420360000000002</v>
      </c>
      <c r="K120" s="23">
        <f t="shared" ref="K120:M135" si="79">D120+K119</f>
        <v>19.820360000000004</v>
      </c>
      <c r="L120" s="23">
        <f t="shared" si="79"/>
        <v>17.780360000000005</v>
      </c>
      <c r="M120" s="23">
        <f t="shared" si="79"/>
        <v>18.940360000000002</v>
      </c>
      <c r="N120" s="23">
        <f>(scatterplots_LWG_grazdays_CS!$V$4*$A120+scatterplots_LWG_grazdays_CS!$W$4)/1000</f>
        <v>-0.14132000000000006</v>
      </c>
      <c r="O120" s="23">
        <f t="shared" si="52"/>
        <v>-0.10132000000000005</v>
      </c>
      <c r="P120" s="23">
        <f t="shared" si="52"/>
        <v>-6.1320000000000055E-2</v>
      </c>
      <c r="Q120" s="23">
        <f t="shared" si="52"/>
        <v>-2.1320000000000061E-2</v>
      </c>
      <c r="R120" s="23">
        <f>(scatterplots_LWG_grazdays_CS!$V$4*$A120+scatterplots_LWG_grazdays_CS!$W$4)/1000+R119</f>
        <v>9.1414599999999968</v>
      </c>
      <c r="S120" s="23">
        <f t="shared" si="77"/>
        <v>10.261459999999998</v>
      </c>
      <c r="T120" s="23">
        <f t="shared" si="77"/>
        <v>11.381459999999997</v>
      </c>
      <c r="U120" s="23">
        <f t="shared" si="66"/>
        <v>12.501459999999998</v>
      </c>
      <c r="V120" s="23">
        <f>(scatterplots_LWG_grazdays_CS!$V$5*$A120+scatterplots_LWG_grazdays_CS!$W$5)/1000</f>
        <v>-0.20504000000000003</v>
      </c>
      <c r="W120" s="23">
        <f t="shared" si="54"/>
        <v>-0.16504000000000002</v>
      </c>
      <c r="X120" s="23">
        <f t="shared" si="74"/>
        <v>-0.12504000000000004</v>
      </c>
      <c r="Y120" s="23">
        <f t="shared" si="74"/>
        <v>-8.5040000000000032E-2</v>
      </c>
      <c r="Z120" s="23">
        <f>(scatterplots_LWG_grazdays_CS!$V$5*$A120+scatterplots_LWG_grazdays_CS!$W$5)/1000+Z119</f>
        <v>5.3501199999999978</v>
      </c>
      <c r="AA120" s="23">
        <f t="shared" si="78"/>
        <v>6.4701199999999961</v>
      </c>
      <c r="AB120" s="23">
        <f t="shared" si="78"/>
        <v>7.5901199999999971</v>
      </c>
      <c r="AC120" s="23">
        <f t="shared" si="67"/>
        <v>8.7101199999999981</v>
      </c>
      <c r="AD120" s="23">
        <f>(scatterplots_LWG_grazdays_CS!$V$6*$A120+scatterplots_LWG_grazdays_CS!$W$6)/1000</f>
        <v>-0.30651999999999996</v>
      </c>
      <c r="AE120" s="23">
        <f t="shared" si="57"/>
        <v>-0.26651999999999998</v>
      </c>
      <c r="AF120" s="23">
        <f t="shared" si="61"/>
        <v>-0.22651999999999994</v>
      </c>
      <c r="AG120" s="23">
        <f t="shared" si="61"/>
        <v>-0.18651999999999996</v>
      </c>
      <c r="AH120" s="23">
        <f>(scatterplots_LWG_grazdays_CS!$V$6*$A120+scatterplots_LWG_grazdays_CS!$W$6)/1000+AH119</f>
        <v>-0.68793999999999267</v>
      </c>
      <c r="AI120" s="23">
        <f t="shared" si="76"/>
        <v>0.43206000000000622</v>
      </c>
      <c r="AJ120" s="23">
        <f t="shared" si="76"/>
        <v>1.5520600000000071</v>
      </c>
      <c r="AK120" s="23">
        <f t="shared" si="76"/>
        <v>2.6720600000000081</v>
      </c>
    </row>
    <row r="121" spans="1:37">
      <c r="A121" s="12">
        <v>119</v>
      </c>
      <c r="B121" s="12">
        <v>30</v>
      </c>
      <c r="C121" s="23">
        <f>(scatterplots_LWG_grazdays_CS!$V$3*$A121+scatterplots_LWG_grazdays_CS!$W$3)/1000</f>
        <v>-3.795999999999998E-2</v>
      </c>
      <c r="D121" s="23">
        <f t="shared" si="73"/>
        <v>2.040000000000021E-3</v>
      </c>
      <c r="E121" s="23">
        <f t="shared" si="73"/>
        <v>4.2040000000000022E-2</v>
      </c>
      <c r="F121" s="23">
        <f t="shared" si="73"/>
        <v>8.2040000000000016E-2</v>
      </c>
      <c r="G121" s="23">
        <f>(scatterplots_LWG_grazdays_CS!$V$3*$A121+scatterplots_LWG_grazdays_CS!$W$3)/1000+G120</f>
        <v>15.422400000000005</v>
      </c>
      <c r="H121" s="23">
        <f t="shared" si="71"/>
        <v>16.622400000000006</v>
      </c>
      <c r="I121" s="23">
        <f t="shared" si="72"/>
        <v>18.422400000000003</v>
      </c>
      <c r="J121" s="23">
        <f t="shared" ref="J121:J184" si="80">D121+J120</f>
        <v>19.422400000000003</v>
      </c>
      <c r="K121" s="23">
        <f t="shared" si="79"/>
        <v>19.822400000000005</v>
      </c>
      <c r="L121" s="23">
        <f t="shared" si="79"/>
        <v>17.822400000000005</v>
      </c>
      <c r="M121" s="23">
        <f t="shared" si="79"/>
        <v>19.022400000000001</v>
      </c>
      <c r="N121" s="23">
        <f>(scatterplots_LWG_grazdays_CS!$V$4*$A121+scatterplots_LWG_grazdays_CS!$W$4)/1000</f>
        <v>-0.14505999999999999</v>
      </c>
      <c r="O121" s="23">
        <f t="shared" si="52"/>
        <v>-0.10505999999999999</v>
      </c>
      <c r="P121" s="23">
        <f t="shared" si="52"/>
        <v>-6.5059999999999993E-2</v>
      </c>
      <c r="Q121" s="23">
        <f t="shared" si="52"/>
        <v>-2.5059999999999999E-2</v>
      </c>
      <c r="R121" s="23">
        <f>(scatterplots_LWG_grazdays_CS!$V$4*$A121+scatterplots_LWG_grazdays_CS!$W$4)/1000+R120</f>
        <v>8.996399999999996</v>
      </c>
      <c r="S121" s="23">
        <f t="shared" si="77"/>
        <v>10.156399999999998</v>
      </c>
      <c r="T121" s="23">
        <f t="shared" si="77"/>
        <v>11.316399999999996</v>
      </c>
      <c r="U121" s="23">
        <f t="shared" si="66"/>
        <v>12.476399999999998</v>
      </c>
      <c r="V121" s="23">
        <f>(scatterplots_LWG_grazdays_CS!$V$5*$A121+scatterplots_LWG_grazdays_CS!$W$5)/1000</f>
        <v>-0.20932000000000006</v>
      </c>
      <c r="W121" s="23">
        <f t="shared" si="54"/>
        <v>-0.16932000000000005</v>
      </c>
      <c r="X121" s="23">
        <f t="shared" si="74"/>
        <v>-0.12932000000000005</v>
      </c>
      <c r="Y121" s="23">
        <f t="shared" si="74"/>
        <v>-8.9320000000000066E-2</v>
      </c>
      <c r="Z121" s="23">
        <f>(scatterplots_LWG_grazdays_CS!$V$5*$A121+scatterplots_LWG_grazdays_CS!$W$5)/1000+Z120</f>
        <v>5.1407999999999978</v>
      </c>
      <c r="AA121" s="23">
        <f t="shared" si="78"/>
        <v>6.3007999999999962</v>
      </c>
      <c r="AB121" s="23">
        <f t="shared" si="78"/>
        <v>7.4607999999999972</v>
      </c>
      <c r="AC121" s="23">
        <f t="shared" si="67"/>
        <v>8.6207999999999974</v>
      </c>
      <c r="AD121" s="23">
        <f>(scatterplots_LWG_grazdays_CS!$V$6*$A121+scatterplots_LWG_grazdays_CS!$W$6)/1000</f>
        <v>-0.31165999999999999</v>
      </c>
      <c r="AE121" s="23">
        <f t="shared" si="57"/>
        <v>-0.27166000000000001</v>
      </c>
      <c r="AF121" s="23">
        <f t="shared" si="61"/>
        <v>-0.23165999999999998</v>
      </c>
      <c r="AG121" s="23">
        <f t="shared" si="61"/>
        <v>-0.19166</v>
      </c>
      <c r="AH121" s="23">
        <f>(scatterplots_LWG_grazdays_CS!$V$6*$A121+scatterplots_LWG_grazdays_CS!$W$6)/1000+AH120</f>
        <v>-0.99959999999999272</v>
      </c>
      <c r="AI121" s="23">
        <f t="shared" si="76"/>
        <v>0.1604000000000062</v>
      </c>
      <c r="AJ121" s="23">
        <f t="shared" si="76"/>
        <v>1.3204000000000071</v>
      </c>
      <c r="AK121" s="23">
        <f t="shared" si="76"/>
        <v>2.4804000000000079</v>
      </c>
    </row>
    <row r="122" spans="1:37">
      <c r="A122" s="12">
        <v>120</v>
      </c>
      <c r="B122" s="12">
        <v>31</v>
      </c>
      <c r="C122" s="23">
        <f>(scatterplots_LWG_grazdays_CS!$V$3*$A122+scatterplots_LWG_grazdays_CS!$W$3)/1000</f>
        <v>-4.0799999999999954E-2</v>
      </c>
      <c r="D122" s="23">
        <f t="shared" si="73"/>
        <v>-7.9999999999995353E-4</v>
      </c>
      <c r="E122" s="23">
        <f t="shared" si="73"/>
        <v>3.9200000000000047E-2</v>
      </c>
      <c r="F122" s="23">
        <f t="shared" si="73"/>
        <v>7.9200000000000048E-2</v>
      </c>
      <c r="G122" s="23">
        <f>(scatterplots_LWG_grazdays_CS!$V$3*$A122+scatterplots_LWG_grazdays_CS!$W$3)/1000+G121</f>
        <v>15.381600000000004</v>
      </c>
      <c r="H122" s="23">
        <f t="shared" si="71"/>
        <v>16.621600000000004</v>
      </c>
      <c r="I122" s="23">
        <f t="shared" si="72"/>
        <v>18.421600000000002</v>
      </c>
      <c r="J122" s="23">
        <f t="shared" si="80"/>
        <v>19.421600000000002</v>
      </c>
      <c r="K122" s="23">
        <f t="shared" si="79"/>
        <v>19.821600000000004</v>
      </c>
      <c r="L122" s="23">
        <f t="shared" si="79"/>
        <v>17.861600000000006</v>
      </c>
      <c r="M122" s="23">
        <f t="shared" si="79"/>
        <v>19.101600000000001</v>
      </c>
      <c r="N122" s="23">
        <f>(scatterplots_LWG_grazdays_CS!$V$4*$A122+scatterplots_LWG_grazdays_CS!$W$4)/1000</f>
        <v>-0.14880000000000002</v>
      </c>
      <c r="O122" s="23">
        <f t="shared" si="52"/>
        <v>-0.10880000000000001</v>
      </c>
      <c r="P122" s="23">
        <f t="shared" si="52"/>
        <v>-6.8800000000000014E-2</v>
      </c>
      <c r="Q122" s="23">
        <f t="shared" si="52"/>
        <v>-2.880000000000002E-2</v>
      </c>
      <c r="R122" s="23">
        <f>(scatterplots_LWG_grazdays_CS!$V$4*$A122+scatterplots_LWG_grazdays_CS!$W$4)/1000+R121</f>
        <v>8.8475999999999964</v>
      </c>
      <c r="S122" s="23">
        <f t="shared" si="77"/>
        <v>10.047599999999997</v>
      </c>
      <c r="T122" s="23">
        <f t="shared" si="77"/>
        <v>11.247599999999997</v>
      </c>
      <c r="U122" s="23">
        <f t="shared" si="66"/>
        <v>12.447599999999998</v>
      </c>
      <c r="V122" s="23">
        <f>(scatterplots_LWG_grazdays_CS!$V$5*$A122+scatterplots_LWG_grazdays_CS!$W$5)/1000</f>
        <v>-0.21360000000000001</v>
      </c>
      <c r="W122" s="23">
        <f t="shared" si="54"/>
        <v>-0.1736</v>
      </c>
      <c r="X122" s="23">
        <f t="shared" si="74"/>
        <v>-0.1336</v>
      </c>
      <c r="Y122" s="23">
        <f t="shared" si="74"/>
        <v>-9.3600000000000017E-2</v>
      </c>
      <c r="Z122" s="23">
        <f>(scatterplots_LWG_grazdays_CS!$V$5*$A122+scatterplots_LWG_grazdays_CS!$W$5)/1000+Z121</f>
        <v>4.9271999999999974</v>
      </c>
      <c r="AA122" s="23">
        <f t="shared" si="78"/>
        <v>6.1271999999999958</v>
      </c>
      <c r="AB122" s="23">
        <f t="shared" si="78"/>
        <v>7.3271999999999968</v>
      </c>
      <c r="AC122" s="23">
        <f t="shared" si="67"/>
        <v>8.527199999999997</v>
      </c>
      <c r="AD122" s="23">
        <f>(scatterplots_LWG_grazdays_CS!$V$6*$A122+scatterplots_LWG_grazdays_CS!$W$6)/1000</f>
        <v>-0.31679999999999997</v>
      </c>
      <c r="AE122" s="23">
        <f t="shared" si="57"/>
        <v>-0.27679999999999999</v>
      </c>
      <c r="AF122" s="23">
        <f t="shared" si="61"/>
        <v>-0.23679999999999995</v>
      </c>
      <c r="AG122" s="23">
        <f t="shared" si="61"/>
        <v>-0.19679999999999997</v>
      </c>
      <c r="AH122" s="23">
        <f>(scatterplots_LWG_grazdays_CS!$V$6*$A122+scatterplots_LWG_grazdays_CS!$W$6)/1000+AH121</f>
        <v>-1.3163999999999927</v>
      </c>
      <c r="AI122" s="23">
        <f t="shared" si="76"/>
        <v>-0.11639999999999379</v>
      </c>
      <c r="AJ122" s="23">
        <f t="shared" si="76"/>
        <v>1.0836000000000072</v>
      </c>
      <c r="AK122" s="23">
        <f t="shared" si="76"/>
        <v>2.2836000000000078</v>
      </c>
    </row>
    <row r="123" spans="1:37">
      <c r="A123" s="12">
        <v>121</v>
      </c>
      <c r="B123" s="12">
        <v>32</v>
      </c>
      <c r="C123" s="23">
        <f>(scatterplots_LWG_grazdays_CS!$V$3*$A123+scatterplots_LWG_grazdays_CS!$W$3)/1000</f>
        <v>-4.3639999999999984E-2</v>
      </c>
      <c r="D123" s="23">
        <f t="shared" si="73"/>
        <v>-3.6399999999999835E-3</v>
      </c>
      <c r="E123" s="23">
        <f t="shared" si="73"/>
        <v>3.6360000000000017E-2</v>
      </c>
      <c r="F123" s="23">
        <f t="shared" si="73"/>
        <v>7.6360000000000011E-2</v>
      </c>
      <c r="G123" s="23">
        <f>(scatterplots_LWG_grazdays_CS!$V$3*$A123+scatterplots_LWG_grazdays_CS!$W$3)/1000+G122</f>
        <v>15.337960000000004</v>
      </c>
      <c r="H123" s="23">
        <f t="shared" si="71"/>
        <v>16.617960000000004</v>
      </c>
      <c r="I123" s="23">
        <f t="shared" si="72"/>
        <v>18.417960000000001</v>
      </c>
      <c r="J123" s="23">
        <f t="shared" si="80"/>
        <v>19.417960000000001</v>
      </c>
      <c r="K123" s="23">
        <f t="shared" si="79"/>
        <v>19.817960000000003</v>
      </c>
      <c r="L123" s="23">
        <f t="shared" si="79"/>
        <v>17.897960000000005</v>
      </c>
      <c r="M123" s="23">
        <f t="shared" si="79"/>
        <v>19.177960000000002</v>
      </c>
      <c r="N123" s="23">
        <f>(scatterplots_LWG_grazdays_CS!$V$4*$A123+scatterplots_LWG_grazdays_CS!$W$4)/1000</f>
        <v>-0.15254000000000001</v>
      </c>
      <c r="O123" s="23">
        <f t="shared" si="52"/>
        <v>-0.11254</v>
      </c>
      <c r="P123" s="23">
        <f t="shared" si="52"/>
        <v>-7.2540000000000007E-2</v>
      </c>
      <c r="Q123" s="23">
        <f t="shared" si="52"/>
        <v>-3.2540000000000013E-2</v>
      </c>
      <c r="R123" s="23">
        <f>(scatterplots_LWG_grazdays_CS!$V$4*$A123+scatterplots_LWG_grazdays_CS!$W$4)/1000+R122</f>
        <v>8.6950599999999962</v>
      </c>
      <c r="S123" s="23">
        <f t="shared" si="77"/>
        <v>9.9350599999999982</v>
      </c>
      <c r="T123" s="23">
        <f t="shared" si="77"/>
        <v>11.175059999999997</v>
      </c>
      <c r="U123" s="23">
        <f t="shared" si="66"/>
        <v>12.415059999999997</v>
      </c>
      <c r="V123" s="23">
        <f>(scatterplots_LWG_grazdays_CS!$V$5*$A123+scatterplots_LWG_grazdays_CS!$W$5)/1000</f>
        <v>-0.21787999999999999</v>
      </c>
      <c r="W123" s="23">
        <f t="shared" si="54"/>
        <v>-0.17787999999999998</v>
      </c>
      <c r="X123" s="23">
        <f t="shared" si="74"/>
        <v>-0.13788</v>
      </c>
      <c r="Y123" s="23">
        <f t="shared" si="74"/>
        <v>-9.7879999999999995E-2</v>
      </c>
      <c r="Z123" s="23">
        <f>(scatterplots_LWG_grazdays_CS!$V$5*$A123+scatterplots_LWG_grazdays_CS!$W$5)/1000+Z122</f>
        <v>4.7093199999999973</v>
      </c>
      <c r="AA123" s="23">
        <f t="shared" si="78"/>
        <v>5.9493199999999957</v>
      </c>
      <c r="AB123" s="23">
        <f t="shared" si="78"/>
        <v>7.1893199999999968</v>
      </c>
      <c r="AC123" s="23">
        <f t="shared" si="67"/>
        <v>8.429319999999997</v>
      </c>
      <c r="AD123" s="23">
        <f>(scatterplots_LWG_grazdays_CS!$V$6*$A123+scatterplots_LWG_grazdays_CS!$W$6)/1000</f>
        <v>-0.32193999999999995</v>
      </c>
      <c r="AE123" s="23">
        <f t="shared" si="57"/>
        <v>-0.28193999999999997</v>
      </c>
      <c r="AF123" s="23">
        <f t="shared" si="61"/>
        <v>-0.24193999999999993</v>
      </c>
      <c r="AG123" s="23">
        <f t="shared" si="61"/>
        <v>-0.20193999999999995</v>
      </c>
      <c r="AH123" s="23">
        <f>(scatterplots_LWG_grazdays_CS!$V$6*$A123+scatterplots_LWG_grazdays_CS!$W$6)/1000+AH122</f>
        <v>-1.6383399999999926</v>
      </c>
      <c r="AI123" s="23">
        <f t="shared" si="76"/>
        <v>-0.39833999999999375</v>
      </c>
      <c r="AJ123" s="23">
        <f t="shared" si="76"/>
        <v>0.84166000000000729</v>
      </c>
      <c r="AK123" s="23">
        <f t="shared" si="76"/>
        <v>2.0816600000000078</v>
      </c>
    </row>
    <row r="124" spans="1:37">
      <c r="A124" s="12">
        <v>122</v>
      </c>
      <c r="B124" s="12">
        <v>33</v>
      </c>
      <c r="C124" s="23">
        <f>(scatterplots_LWG_grazdays_CS!$V$3*$A124+scatterplots_LWG_grazdays_CS!$W$3)/1000</f>
        <v>-4.6479999999999959E-2</v>
      </c>
      <c r="D124" s="23">
        <f t="shared" si="73"/>
        <v>-6.479999999999958E-3</v>
      </c>
      <c r="E124" s="23">
        <f t="shared" si="73"/>
        <v>3.3520000000000043E-2</v>
      </c>
      <c r="F124" s="23">
        <f t="shared" si="73"/>
        <v>7.352000000000003E-2</v>
      </c>
      <c r="G124" s="23">
        <f>(scatterplots_LWG_grazdays_CS!$V$3*$A124+scatterplots_LWG_grazdays_CS!$W$3)/1000+G123</f>
        <v>15.291480000000004</v>
      </c>
      <c r="H124" s="23">
        <f t="shared" si="71"/>
        <v>16.611480000000004</v>
      </c>
      <c r="I124" s="23">
        <f t="shared" si="72"/>
        <v>18.411480000000001</v>
      </c>
      <c r="J124" s="23">
        <f t="shared" si="80"/>
        <v>19.411480000000001</v>
      </c>
      <c r="K124" s="23">
        <f t="shared" si="79"/>
        <v>19.811480000000003</v>
      </c>
      <c r="L124" s="23">
        <f t="shared" si="79"/>
        <v>17.931480000000004</v>
      </c>
      <c r="M124" s="23">
        <f t="shared" si="79"/>
        <v>19.251480000000001</v>
      </c>
      <c r="N124" s="23">
        <f>(scatterplots_LWG_grazdays_CS!$V$4*$A124+scatterplots_LWG_grazdays_CS!$W$4)/1000</f>
        <v>-0.15628000000000003</v>
      </c>
      <c r="O124" s="23">
        <f t="shared" si="52"/>
        <v>-0.11628000000000002</v>
      </c>
      <c r="P124" s="23">
        <f t="shared" si="52"/>
        <v>-7.6280000000000028E-2</v>
      </c>
      <c r="Q124" s="23">
        <f t="shared" si="52"/>
        <v>-3.6280000000000034E-2</v>
      </c>
      <c r="R124" s="23">
        <f>(scatterplots_LWG_grazdays_CS!$V$4*$A124+scatterplots_LWG_grazdays_CS!$W$4)/1000+R123</f>
        <v>8.5387799999999956</v>
      </c>
      <c r="S124" s="23">
        <f t="shared" si="77"/>
        <v>9.8187799999999985</v>
      </c>
      <c r="T124" s="23">
        <f t="shared" si="77"/>
        <v>11.098779999999996</v>
      </c>
      <c r="U124" s="23">
        <f t="shared" si="66"/>
        <v>12.378779999999997</v>
      </c>
      <c r="V124" s="23">
        <f>(scatterplots_LWG_grazdays_CS!$V$5*$A124+scatterplots_LWG_grazdays_CS!$W$5)/1000</f>
        <v>-0.22216000000000008</v>
      </c>
      <c r="W124" s="23">
        <f t="shared" si="54"/>
        <v>-0.18216000000000007</v>
      </c>
      <c r="X124" s="23">
        <f t="shared" si="74"/>
        <v>-0.14216000000000006</v>
      </c>
      <c r="Y124" s="23">
        <f t="shared" si="74"/>
        <v>-0.10216000000000008</v>
      </c>
      <c r="Z124" s="23">
        <f>(scatterplots_LWG_grazdays_CS!$V$5*$A124+scatterplots_LWG_grazdays_CS!$W$5)/1000+Z123</f>
        <v>4.4871599999999976</v>
      </c>
      <c r="AA124" s="23">
        <f t="shared" si="78"/>
        <v>5.7671599999999961</v>
      </c>
      <c r="AB124" s="23">
        <f t="shared" si="78"/>
        <v>7.0471599999999963</v>
      </c>
      <c r="AC124" s="23">
        <f t="shared" si="67"/>
        <v>8.3271599999999975</v>
      </c>
      <c r="AD124" s="23">
        <f>(scatterplots_LWG_grazdays_CS!$V$6*$A124+scatterplots_LWG_grazdays_CS!$W$6)/1000</f>
        <v>-0.32707999999999993</v>
      </c>
      <c r="AE124" s="23">
        <f t="shared" si="57"/>
        <v>-0.28707999999999995</v>
      </c>
      <c r="AF124" s="23">
        <f t="shared" si="61"/>
        <v>-0.24707999999999991</v>
      </c>
      <c r="AG124" s="23">
        <f t="shared" si="61"/>
        <v>-0.20707999999999993</v>
      </c>
      <c r="AH124" s="23">
        <f>(scatterplots_LWG_grazdays_CS!$V$6*$A124+scatterplots_LWG_grazdays_CS!$W$6)/1000+AH123</f>
        <v>-1.9654199999999924</v>
      </c>
      <c r="AI124" s="23">
        <f t="shared" si="76"/>
        <v>-0.6854199999999937</v>
      </c>
      <c r="AJ124" s="23">
        <f t="shared" si="76"/>
        <v>0.59458000000000744</v>
      </c>
      <c r="AK124" s="23">
        <f t="shared" si="76"/>
        <v>1.8745800000000079</v>
      </c>
    </row>
    <row r="125" spans="1:37">
      <c r="A125" s="12">
        <v>123</v>
      </c>
      <c r="B125" s="12">
        <v>34</v>
      </c>
      <c r="C125" s="23">
        <f>(scatterplots_LWG_grazdays_CS!$V$3*$A125+scatterplots_LWG_grazdays_CS!$W$3)/1000</f>
        <v>-4.9319999999999996E-2</v>
      </c>
      <c r="D125" s="23">
        <f t="shared" si="73"/>
        <v>-9.319999999999995E-3</v>
      </c>
      <c r="E125" s="23">
        <f t="shared" si="73"/>
        <v>3.0680000000000006E-2</v>
      </c>
      <c r="F125" s="23">
        <f t="shared" si="73"/>
        <v>7.0679999999999993E-2</v>
      </c>
      <c r="G125" s="23">
        <f>(scatterplots_LWG_grazdays_CS!$V$3*$A125+scatterplots_LWG_grazdays_CS!$W$3)/1000+G124</f>
        <v>15.242160000000004</v>
      </c>
      <c r="H125" s="23">
        <f t="shared" si="71"/>
        <v>16.602160000000005</v>
      </c>
      <c r="I125" s="23">
        <f t="shared" si="72"/>
        <v>18.402160000000002</v>
      </c>
      <c r="J125" s="23">
        <f t="shared" si="80"/>
        <v>19.402160000000002</v>
      </c>
      <c r="K125" s="23">
        <f t="shared" si="79"/>
        <v>19.802160000000004</v>
      </c>
      <c r="L125" s="23">
        <f t="shared" si="79"/>
        <v>17.962160000000004</v>
      </c>
      <c r="M125" s="23">
        <f t="shared" si="79"/>
        <v>19.32216</v>
      </c>
      <c r="N125" s="23">
        <f>(scatterplots_LWG_grazdays_CS!$V$4*$A125+scatterplots_LWG_grazdays_CS!$W$4)/1000</f>
        <v>-0.16002000000000005</v>
      </c>
      <c r="O125" s="23">
        <f t="shared" si="52"/>
        <v>-0.12002000000000004</v>
      </c>
      <c r="P125" s="23">
        <f t="shared" si="52"/>
        <v>-8.0020000000000049E-2</v>
      </c>
      <c r="Q125" s="23">
        <f t="shared" si="52"/>
        <v>-4.0020000000000056E-2</v>
      </c>
      <c r="R125" s="23">
        <f>(scatterplots_LWG_grazdays_CS!$V$4*$A125+scatterplots_LWG_grazdays_CS!$W$4)/1000+R124</f>
        <v>8.3787599999999962</v>
      </c>
      <c r="S125" s="23">
        <f t="shared" si="77"/>
        <v>9.6987599999999983</v>
      </c>
      <c r="T125" s="23">
        <f t="shared" si="77"/>
        <v>11.018759999999997</v>
      </c>
      <c r="U125" s="23">
        <f t="shared" si="66"/>
        <v>12.338759999999997</v>
      </c>
      <c r="V125" s="23">
        <f>(scatterplots_LWG_grazdays_CS!$V$5*$A125+scatterplots_LWG_grazdays_CS!$W$5)/1000</f>
        <v>-0.22644000000000006</v>
      </c>
      <c r="W125" s="23">
        <f t="shared" si="54"/>
        <v>-0.18644000000000005</v>
      </c>
      <c r="X125" s="23">
        <f t="shared" si="74"/>
        <v>-0.14644000000000007</v>
      </c>
      <c r="Y125" s="23">
        <f t="shared" si="74"/>
        <v>-0.10644000000000006</v>
      </c>
      <c r="Z125" s="23">
        <f>(scatterplots_LWG_grazdays_CS!$V$5*$A125+scatterplots_LWG_grazdays_CS!$W$5)/1000+Z124</f>
        <v>4.2607199999999974</v>
      </c>
      <c r="AA125" s="23">
        <f t="shared" si="78"/>
        <v>5.5807199999999959</v>
      </c>
      <c r="AB125" s="23">
        <f t="shared" si="78"/>
        <v>6.9007199999999962</v>
      </c>
      <c r="AC125" s="23">
        <f t="shared" si="67"/>
        <v>8.2207199999999983</v>
      </c>
      <c r="AD125" s="23">
        <f>(scatterplots_LWG_grazdays_CS!$V$6*$A125+scatterplots_LWG_grazdays_CS!$W$6)/1000</f>
        <v>-0.3322199999999999</v>
      </c>
      <c r="AE125" s="23">
        <f t="shared" si="57"/>
        <v>-0.29221999999999992</v>
      </c>
      <c r="AF125" s="23">
        <f t="shared" si="61"/>
        <v>-0.25221999999999989</v>
      </c>
      <c r="AG125" s="23">
        <f t="shared" si="61"/>
        <v>-0.21221999999999991</v>
      </c>
      <c r="AH125" s="23">
        <f>(scatterplots_LWG_grazdays_CS!$V$6*$A125+scatterplots_LWG_grazdays_CS!$W$6)/1000+AH124</f>
        <v>-2.2976399999999924</v>
      </c>
      <c r="AI125" s="23">
        <f t="shared" ref="AI125:AK140" si="81">AE125+AI124</f>
        <v>-0.97763999999999363</v>
      </c>
      <c r="AJ125" s="23">
        <f t="shared" si="81"/>
        <v>0.34236000000000755</v>
      </c>
      <c r="AK125" s="23">
        <f t="shared" si="81"/>
        <v>1.6623600000000081</v>
      </c>
    </row>
    <row r="126" spans="1:37">
      <c r="A126" s="12">
        <v>124</v>
      </c>
      <c r="B126" s="12">
        <v>35</v>
      </c>
      <c r="C126" s="23">
        <f>(scatterplots_LWG_grazdays_CS!$V$3*$A126+scatterplots_LWG_grazdays_CS!$W$3)/1000</f>
        <v>-5.215999999999997E-2</v>
      </c>
      <c r="D126" s="23">
        <f t="shared" si="73"/>
        <v>-1.2159999999999969E-2</v>
      </c>
      <c r="E126" s="23">
        <f t="shared" si="73"/>
        <v>2.7840000000000031E-2</v>
      </c>
      <c r="F126" s="23">
        <f t="shared" si="73"/>
        <v>6.7840000000000025E-2</v>
      </c>
      <c r="G126" s="23">
        <f>(scatterplots_LWG_grazdays_CS!$V$3*$A126+scatterplots_LWG_grazdays_CS!$W$3)/1000+G125</f>
        <v>15.190000000000003</v>
      </c>
      <c r="H126" s="23">
        <f t="shared" si="71"/>
        <v>16.590000000000003</v>
      </c>
      <c r="I126" s="23">
        <f t="shared" si="72"/>
        <v>18.39</v>
      </c>
      <c r="J126" s="23">
        <f t="shared" si="80"/>
        <v>19.39</v>
      </c>
      <c r="K126" s="23">
        <f t="shared" si="79"/>
        <v>19.790000000000003</v>
      </c>
      <c r="L126" s="23">
        <f t="shared" si="79"/>
        <v>17.990000000000006</v>
      </c>
      <c r="M126" s="23">
        <f t="shared" si="79"/>
        <v>19.39</v>
      </c>
      <c r="N126" s="23">
        <f>(scatterplots_LWG_grazdays_CS!$V$4*$A126+scatterplots_LWG_grazdays_CS!$W$4)/1000</f>
        <v>-0.16376000000000004</v>
      </c>
      <c r="O126" s="23">
        <f t="shared" si="52"/>
        <v>-0.12376000000000004</v>
      </c>
      <c r="P126" s="23">
        <f t="shared" si="52"/>
        <v>-8.3760000000000043E-2</v>
      </c>
      <c r="Q126" s="23">
        <f t="shared" si="52"/>
        <v>-4.3760000000000049E-2</v>
      </c>
      <c r="R126" s="23">
        <f>(scatterplots_LWG_grazdays_CS!$V$4*$A126+scatterplots_LWG_grazdays_CS!$W$4)/1000+R125</f>
        <v>8.2149999999999963</v>
      </c>
      <c r="S126" s="23">
        <f t="shared" ref="S126:T141" si="82">O126+S125</f>
        <v>9.5749999999999975</v>
      </c>
      <c r="T126" s="23">
        <f t="shared" si="82"/>
        <v>10.934999999999997</v>
      </c>
      <c r="U126" s="23">
        <f t="shared" si="66"/>
        <v>12.294999999999996</v>
      </c>
      <c r="V126" s="23">
        <f>(scatterplots_LWG_grazdays_CS!$V$5*$A126+scatterplots_LWG_grazdays_CS!$W$5)/1000</f>
        <v>-0.23072000000000004</v>
      </c>
      <c r="W126" s="23">
        <f t="shared" si="54"/>
        <v>-0.19072000000000003</v>
      </c>
      <c r="X126" s="23">
        <f t="shared" si="74"/>
        <v>-0.15072000000000002</v>
      </c>
      <c r="Y126" s="23">
        <f t="shared" si="74"/>
        <v>-0.11072000000000004</v>
      </c>
      <c r="Z126" s="23">
        <f>(scatterplots_LWG_grazdays_CS!$V$5*$A126+scatterplots_LWG_grazdays_CS!$W$5)/1000+Z125</f>
        <v>4.0299999999999976</v>
      </c>
      <c r="AA126" s="23">
        <f t="shared" ref="AA126:AB141" si="83">AA125+W126</f>
        <v>5.3899999999999961</v>
      </c>
      <c r="AB126" s="23">
        <f t="shared" si="83"/>
        <v>6.7499999999999964</v>
      </c>
      <c r="AC126" s="23">
        <f t="shared" si="67"/>
        <v>8.1099999999999977</v>
      </c>
      <c r="AD126" s="23">
        <f>(scatterplots_LWG_grazdays_CS!$V$6*$A126+scatterplots_LWG_grazdays_CS!$W$6)/1000</f>
        <v>-0.33735999999999999</v>
      </c>
      <c r="AE126" s="23">
        <f t="shared" si="57"/>
        <v>-0.29736000000000001</v>
      </c>
      <c r="AF126" s="23">
        <f t="shared" si="61"/>
        <v>-0.25735999999999998</v>
      </c>
      <c r="AG126" s="23">
        <f t="shared" si="61"/>
        <v>-0.21736</v>
      </c>
      <c r="AH126" s="23">
        <f>(scatterplots_LWG_grazdays_CS!$V$6*$A126+scatterplots_LWG_grazdays_CS!$W$6)/1000+AH125</f>
        <v>-2.6349999999999922</v>
      </c>
      <c r="AI126" s="23">
        <f t="shared" si="81"/>
        <v>-1.2749999999999937</v>
      </c>
      <c r="AJ126" s="23">
        <f t="shared" si="81"/>
        <v>8.500000000000757E-2</v>
      </c>
      <c r="AK126" s="23">
        <f t="shared" si="81"/>
        <v>1.4450000000000081</v>
      </c>
    </row>
    <row r="127" spans="1:37">
      <c r="A127" s="12">
        <v>125</v>
      </c>
      <c r="B127" s="12">
        <v>36</v>
      </c>
      <c r="C127" s="23">
        <f>(scatterplots_LWG_grazdays_CS!$V$3*$A127+scatterplots_LWG_grazdays_CS!$W$3)/1000</f>
        <v>-5.5E-2</v>
      </c>
      <c r="D127" s="23">
        <f t="shared" si="73"/>
        <v>-1.4999999999999999E-2</v>
      </c>
      <c r="E127" s="23">
        <f t="shared" si="73"/>
        <v>2.5000000000000001E-2</v>
      </c>
      <c r="F127" s="23">
        <f t="shared" si="73"/>
        <v>6.5000000000000002E-2</v>
      </c>
      <c r="G127" s="23">
        <f>(scatterplots_LWG_grazdays_CS!$V$3*$A127+scatterplots_LWG_grazdays_CS!$W$3)/1000+G126</f>
        <v>15.135000000000003</v>
      </c>
      <c r="H127" s="23">
        <f t="shared" si="71"/>
        <v>16.575000000000003</v>
      </c>
      <c r="I127" s="23">
        <f t="shared" si="72"/>
        <v>18.375</v>
      </c>
      <c r="J127" s="23">
        <f t="shared" si="80"/>
        <v>19.375</v>
      </c>
      <c r="K127" s="23">
        <f t="shared" si="79"/>
        <v>19.775000000000002</v>
      </c>
      <c r="L127" s="23">
        <f t="shared" si="79"/>
        <v>18.015000000000004</v>
      </c>
      <c r="M127" s="23">
        <f t="shared" si="79"/>
        <v>19.455000000000002</v>
      </c>
      <c r="N127" s="23">
        <f>(scatterplots_LWG_grazdays_CS!$V$4*$A127+scatterplots_LWG_grazdays_CS!$W$4)/1000</f>
        <v>-0.16750000000000001</v>
      </c>
      <c r="O127" s="23">
        <f t="shared" si="52"/>
        <v>-0.1275</v>
      </c>
      <c r="P127" s="23">
        <f t="shared" si="52"/>
        <v>-8.7500000000000008E-2</v>
      </c>
      <c r="Q127" s="23">
        <f t="shared" si="52"/>
        <v>-4.7500000000000014E-2</v>
      </c>
      <c r="R127" s="23">
        <f>(scatterplots_LWG_grazdays_CS!$V$4*$A127+scatterplots_LWG_grazdays_CS!$W$4)/1000+R126</f>
        <v>8.0474999999999959</v>
      </c>
      <c r="S127" s="23">
        <f t="shared" si="82"/>
        <v>9.447499999999998</v>
      </c>
      <c r="T127" s="23">
        <f t="shared" si="82"/>
        <v>10.847499999999997</v>
      </c>
      <c r="U127" s="23">
        <f t="shared" si="66"/>
        <v>12.247499999999997</v>
      </c>
      <c r="V127" s="23">
        <f>(scatterplots_LWG_grazdays_CS!$V$5*$A127+scatterplots_LWG_grazdays_CS!$W$5)/1000</f>
        <v>-0.23499999999999999</v>
      </c>
      <c r="W127" s="23">
        <f t="shared" si="54"/>
        <v>-0.19499999999999998</v>
      </c>
      <c r="X127" s="23">
        <f t="shared" si="74"/>
        <v>-0.15499999999999997</v>
      </c>
      <c r="Y127" s="23">
        <f t="shared" si="74"/>
        <v>-0.11499999999999999</v>
      </c>
      <c r="Z127" s="23">
        <f>(scatterplots_LWG_grazdays_CS!$V$5*$A127+scatterplots_LWG_grazdays_CS!$W$5)/1000+Z126</f>
        <v>3.7949999999999977</v>
      </c>
      <c r="AA127" s="23">
        <f t="shared" si="83"/>
        <v>5.1949999999999958</v>
      </c>
      <c r="AB127" s="23">
        <f t="shared" si="83"/>
        <v>6.5949999999999962</v>
      </c>
      <c r="AC127" s="23">
        <f t="shared" si="67"/>
        <v>7.9949999999999974</v>
      </c>
      <c r="AD127" s="23">
        <f>(scatterplots_LWG_grazdays_CS!$V$6*$A127+scatterplots_LWG_grazdays_CS!$W$6)/1000</f>
        <v>-0.34250000000000003</v>
      </c>
      <c r="AE127" s="23">
        <f t="shared" si="57"/>
        <v>-0.30250000000000005</v>
      </c>
      <c r="AF127" s="23">
        <f t="shared" si="61"/>
        <v>-0.26250000000000001</v>
      </c>
      <c r="AG127" s="23">
        <f t="shared" si="61"/>
        <v>-0.22250000000000003</v>
      </c>
      <c r="AH127" s="23">
        <f>(scatterplots_LWG_grazdays_CS!$V$6*$A127+scatterplots_LWG_grazdays_CS!$W$6)/1000+AH126</f>
        <v>-2.977499999999992</v>
      </c>
      <c r="AI127" s="23">
        <f t="shared" si="81"/>
        <v>-1.5774999999999937</v>
      </c>
      <c r="AJ127" s="23">
        <f t="shared" si="81"/>
        <v>-0.17749999999999244</v>
      </c>
      <c r="AK127" s="23">
        <f t="shared" si="81"/>
        <v>1.2225000000000081</v>
      </c>
    </row>
    <row r="128" spans="1:37">
      <c r="A128" s="12">
        <v>126</v>
      </c>
      <c r="B128" s="12">
        <v>37</v>
      </c>
      <c r="C128" s="23">
        <f>(scatterplots_LWG_grazdays_CS!$V$3*$A128+scatterplots_LWG_grazdays_CS!$W$3)/1000</f>
        <v>-5.7839999999999975E-2</v>
      </c>
      <c r="D128" s="23">
        <f t="shared" si="73"/>
        <v>-1.7839999999999974E-2</v>
      </c>
      <c r="E128" s="23">
        <f t="shared" si="73"/>
        <v>2.2160000000000027E-2</v>
      </c>
      <c r="F128" s="23">
        <f t="shared" si="73"/>
        <v>6.2160000000000021E-2</v>
      </c>
      <c r="G128" s="23">
        <f>(scatterplots_LWG_grazdays_CS!$V$3*$A128+scatterplots_LWG_grazdays_CS!$W$3)/1000+G127</f>
        <v>15.077160000000003</v>
      </c>
      <c r="H128" s="23">
        <f t="shared" si="71"/>
        <v>16.557160000000003</v>
      </c>
      <c r="I128" s="23">
        <f t="shared" si="72"/>
        <v>18.35716</v>
      </c>
      <c r="J128" s="23">
        <f t="shared" si="80"/>
        <v>19.35716</v>
      </c>
      <c r="K128" s="23">
        <f t="shared" si="79"/>
        <v>19.757160000000002</v>
      </c>
      <c r="L128" s="23">
        <f t="shared" si="79"/>
        <v>18.037160000000004</v>
      </c>
      <c r="M128" s="23">
        <f t="shared" si="79"/>
        <v>19.517160000000001</v>
      </c>
      <c r="N128" s="23">
        <f>(scatterplots_LWG_grazdays_CS!$V$4*$A128+scatterplots_LWG_grazdays_CS!$W$4)/1000</f>
        <v>-0.17124</v>
      </c>
      <c r="O128" s="23">
        <f t="shared" si="52"/>
        <v>-0.13124</v>
      </c>
      <c r="P128" s="23">
        <f t="shared" si="52"/>
        <v>-9.1240000000000002E-2</v>
      </c>
      <c r="Q128" s="23">
        <f t="shared" si="52"/>
        <v>-5.1240000000000008E-2</v>
      </c>
      <c r="R128" s="23">
        <f>(scatterplots_LWG_grazdays_CS!$V$4*$A128+scatterplots_LWG_grazdays_CS!$W$4)/1000+R127</f>
        <v>7.8762599999999958</v>
      </c>
      <c r="S128" s="23">
        <f t="shared" si="82"/>
        <v>9.316259999999998</v>
      </c>
      <c r="T128" s="23">
        <f t="shared" si="82"/>
        <v>10.756259999999996</v>
      </c>
      <c r="U128" s="23">
        <f t="shared" si="66"/>
        <v>12.196259999999997</v>
      </c>
      <c r="V128" s="23">
        <f>(scatterplots_LWG_grazdays_CS!$V$5*$A128+scatterplots_LWG_grazdays_CS!$W$5)/1000</f>
        <v>-0.23928000000000008</v>
      </c>
      <c r="W128" s="23">
        <f t="shared" si="54"/>
        <v>-0.19928000000000007</v>
      </c>
      <c r="X128" s="23">
        <f t="shared" si="74"/>
        <v>-0.15928000000000009</v>
      </c>
      <c r="Y128" s="23">
        <f t="shared" si="74"/>
        <v>-0.11928000000000008</v>
      </c>
      <c r="Z128" s="23">
        <f>(scatterplots_LWG_grazdays_CS!$V$5*$A128+scatterplots_LWG_grazdays_CS!$W$5)/1000+Z127</f>
        <v>3.5557199999999978</v>
      </c>
      <c r="AA128" s="23">
        <f t="shared" si="83"/>
        <v>4.9957199999999959</v>
      </c>
      <c r="AB128" s="23">
        <f t="shared" si="83"/>
        <v>6.4357199999999963</v>
      </c>
      <c r="AC128" s="23">
        <f t="shared" si="67"/>
        <v>7.8757199999999976</v>
      </c>
      <c r="AD128" s="23">
        <f>(scatterplots_LWG_grazdays_CS!$V$6*$A128+scatterplots_LWG_grazdays_CS!$W$6)/1000</f>
        <v>-0.34764</v>
      </c>
      <c r="AE128" s="23">
        <f t="shared" si="57"/>
        <v>-0.30764000000000002</v>
      </c>
      <c r="AF128" s="23">
        <f t="shared" si="61"/>
        <v>-0.26763999999999999</v>
      </c>
      <c r="AG128" s="23">
        <f t="shared" si="61"/>
        <v>-0.22764000000000001</v>
      </c>
      <c r="AH128" s="23">
        <f>(scatterplots_LWG_grazdays_CS!$V$6*$A128+scatterplots_LWG_grazdays_CS!$W$6)/1000+AH127</f>
        <v>-3.3251399999999922</v>
      </c>
      <c r="AI128" s="23">
        <f t="shared" si="81"/>
        <v>-1.8851399999999936</v>
      </c>
      <c r="AJ128" s="23">
        <f t="shared" si="81"/>
        <v>-0.44513999999999243</v>
      </c>
      <c r="AK128" s="23">
        <f t="shared" si="81"/>
        <v>0.99486000000000807</v>
      </c>
    </row>
    <row r="129" spans="1:37">
      <c r="A129" s="12">
        <v>127</v>
      </c>
      <c r="B129" s="12">
        <v>38</v>
      </c>
      <c r="C129" s="23">
        <f>(scatterplots_LWG_grazdays_CS!$V$3*$A129+scatterplots_LWG_grazdays_CS!$W$3)/1000</f>
        <v>-6.0680000000000005E-2</v>
      </c>
      <c r="D129" s="23">
        <f t="shared" si="73"/>
        <v>-2.0680000000000004E-2</v>
      </c>
      <c r="E129" s="23">
        <f t="shared" si="73"/>
        <v>1.9319999999999997E-2</v>
      </c>
      <c r="F129" s="23">
        <f t="shared" si="73"/>
        <v>5.9319999999999991E-2</v>
      </c>
      <c r="G129" s="23">
        <f>(scatterplots_LWG_grazdays_CS!$V$3*$A129+scatterplots_LWG_grazdays_CS!$W$3)/1000+G128</f>
        <v>15.016480000000003</v>
      </c>
      <c r="H129" s="23">
        <f t="shared" si="71"/>
        <v>16.536480000000005</v>
      </c>
      <c r="I129" s="23">
        <f t="shared" si="72"/>
        <v>18.336480000000002</v>
      </c>
      <c r="J129" s="23">
        <f t="shared" si="80"/>
        <v>19.336480000000002</v>
      </c>
      <c r="K129" s="23">
        <f t="shared" si="79"/>
        <v>19.736480000000004</v>
      </c>
      <c r="L129" s="23">
        <f t="shared" si="79"/>
        <v>18.056480000000004</v>
      </c>
      <c r="M129" s="23">
        <f t="shared" si="79"/>
        <v>19.57648</v>
      </c>
      <c r="N129" s="23">
        <f>(scatterplots_LWG_grazdays_CS!$V$4*$A129+scatterplots_LWG_grazdays_CS!$W$4)/1000</f>
        <v>-0.17498000000000002</v>
      </c>
      <c r="O129" s="23">
        <f t="shared" si="52"/>
        <v>-0.13498000000000002</v>
      </c>
      <c r="P129" s="23">
        <f t="shared" si="52"/>
        <v>-9.4980000000000023E-2</v>
      </c>
      <c r="Q129" s="23">
        <f t="shared" si="52"/>
        <v>-5.4980000000000029E-2</v>
      </c>
      <c r="R129" s="23">
        <f>(scatterplots_LWG_grazdays_CS!$V$4*$A129+scatterplots_LWG_grazdays_CS!$W$4)/1000+R128</f>
        <v>7.7012799999999961</v>
      </c>
      <c r="S129" s="23">
        <f t="shared" si="82"/>
        <v>9.1812799999999974</v>
      </c>
      <c r="T129" s="23">
        <f t="shared" si="82"/>
        <v>10.661279999999996</v>
      </c>
      <c r="U129" s="23">
        <f t="shared" si="66"/>
        <v>12.141279999999997</v>
      </c>
      <c r="V129" s="23">
        <f>(scatterplots_LWG_grazdays_CS!$V$5*$A129+scatterplots_LWG_grazdays_CS!$W$5)/1000</f>
        <v>-0.24356000000000005</v>
      </c>
      <c r="W129" s="23">
        <f t="shared" si="54"/>
        <v>-0.20356000000000005</v>
      </c>
      <c r="X129" s="23">
        <f t="shared" si="74"/>
        <v>-0.16356000000000004</v>
      </c>
      <c r="Y129" s="23">
        <f t="shared" si="74"/>
        <v>-0.12356000000000006</v>
      </c>
      <c r="Z129" s="23">
        <f>(scatterplots_LWG_grazdays_CS!$V$5*$A129+scatterplots_LWG_grazdays_CS!$W$5)/1000+Z128</f>
        <v>3.3121599999999978</v>
      </c>
      <c r="AA129" s="23">
        <f t="shared" si="83"/>
        <v>4.7921599999999955</v>
      </c>
      <c r="AB129" s="23">
        <f t="shared" si="83"/>
        <v>6.272159999999996</v>
      </c>
      <c r="AC129" s="23">
        <f t="shared" si="67"/>
        <v>7.7521599999999973</v>
      </c>
      <c r="AD129" s="23">
        <f>(scatterplots_LWG_grazdays_CS!$V$6*$A129+scatterplots_LWG_grazdays_CS!$W$6)/1000</f>
        <v>-0.35277999999999998</v>
      </c>
      <c r="AE129" s="23">
        <f t="shared" si="57"/>
        <v>-0.31278</v>
      </c>
      <c r="AF129" s="23">
        <f t="shared" si="61"/>
        <v>-0.27277999999999997</v>
      </c>
      <c r="AG129" s="23">
        <f t="shared" si="61"/>
        <v>-0.23277999999999999</v>
      </c>
      <c r="AH129" s="23">
        <f>(scatterplots_LWG_grazdays_CS!$V$6*$A129+scatterplots_LWG_grazdays_CS!$W$6)/1000+AH128</f>
        <v>-3.6779199999999923</v>
      </c>
      <c r="AI129" s="23">
        <f t="shared" si="81"/>
        <v>-2.1979199999999937</v>
      </c>
      <c r="AJ129" s="23">
        <f t="shared" si="81"/>
        <v>-0.71791999999999234</v>
      </c>
      <c r="AK129" s="23">
        <f t="shared" si="81"/>
        <v>0.76208000000000808</v>
      </c>
    </row>
    <row r="130" spans="1:37">
      <c r="A130" s="12">
        <v>128</v>
      </c>
      <c r="B130" s="12">
        <v>39</v>
      </c>
      <c r="C130" s="23">
        <f>(scatterplots_LWG_grazdays_CS!$V$3*$A130+scatterplots_LWG_grazdays_CS!$W$3)/1000</f>
        <v>-6.3519999999999979E-2</v>
      </c>
      <c r="D130" s="23">
        <f t="shared" si="73"/>
        <v>-2.3519999999999978E-2</v>
      </c>
      <c r="E130" s="23">
        <f t="shared" si="73"/>
        <v>1.6480000000000022E-2</v>
      </c>
      <c r="F130" s="23">
        <f t="shared" si="73"/>
        <v>5.6480000000000016E-2</v>
      </c>
      <c r="G130" s="23">
        <f>(scatterplots_LWG_grazdays_CS!$V$3*$A130+scatterplots_LWG_grazdays_CS!$W$3)/1000+G129</f>
        <v>14.952960000000003</v>
      </c>
      <c r="H130" s="23">
        <f t="shared" si="71"/>
        <v>16.512960000000003</v>
      </c>
      <c r="I130" s="23">
        <f t="shared" si="72"/>
        <v>18.31296</v>
      </c>
      <c r="J130" s="23">
        <f t="shared" si="80"/>
        <v>19.31296</v>
      </c>
      <c r="K130" s="23">
        <f t="shared" si="79"/>
        <v>19.712960000000002</v>
      </c>
      <c r="L130" s="23">
        <f t="shared" si="79"/>
        <v>18.072960000000005</v>
      </c>
      <c r="M130" s="23">
        <f t="shared" si="79"/>
        <v>19.632960000000001</v>
      </c>
      <c r="N130" s="23">
        <f>(scatterplots_LWG_grazdays_CS!$V$4*$A130+scatterplots_LWG_grazdays_CS!$W$4)/1000</f>
        <v>-0.17872000000000002</v>
      </c>
      <c r="O130" s="23">
        <f t="shared" si="52"/>
        <v>-0.13872000000000001</v>
      </c>
      <c r="P130" s="23">
        <f t="shared" si="52"/>
        <v>-9.8720000000000016E-2</v>
      </c>
      <c r="Q130" s="23">
        <f t="shared" si="52"/>
        <v>-5.8720000000000022E-2</v>
      </c>
      <c r="R130" s="23">
        <f>(scatterplots_LWG_grazdays_CS!$V$4*$A130+scatterplots_LWG_grazdays_CS!$W$4)/1000+R129</f>
        <v>7.5225599999999959</v>
      </c>
      <c r="S130" s="23">
        <f t="shared" si="82"/>
        <v>9.0425599999999982</v>
      </c>
      <c r="T130" s="23">
        <f t="shared" si="82"/>
        <v>10.562559999999996</v>
      </c>
      <c r="U130" s="23">
        <f t="shared" si="66"/>
        <v>12.082559999999997</v>
      </c>
      <c r="V130" s="23">
        <f>(scatterplots_LWG_grazdays_CS!$V$5*$A130+scatterplots_LWG_grazdays_CS!$W$5)/1000</f>
        <v>-0.24784000000000003</v>
      </c>
      <c r="W130" s="23">
        <f t="shared" si="54"/>
        <v>-0.20784000000000002</v>
      </c>
      <c r="X130" s="23">
        <f t="shared" si="74"/>
        <v>-0.16784000000000004</v>
      </c>
      <c r="Y130" s="23">
        <f t="shared" si="74"/>
        <v>-0.12784000000000004</v>
      </c>
      <c r="Z130" s="23">
        <f>(scatterplots_LWG_grazdays_CS!$V$5*$A130+scatterplots_LWG_grazdays_CS!$W$5)/1000+Z129</f>
        <v>3.0643199999999977</v>
      </c>
      <c r="AA130" s="23">
        <f t="shared" si="83"/>
        <v>4.5843199999999955</v>
      </c>
      <c r="AB130" s="23">
        <f t="shared" si="83"/>
        <v>6.104319999999996</v>
      </c>
      <c r="AC130" s="23">
        <f t="shared" si="67"/>
        <v>7.6243199999999973</v>
      </c>
      <c r="AD130" s="23">
        <f>(scatterplots_LWG_grazdays_CS!$V$6*$A130+scatterplots_LWG_grazdays_CS!$W$6)/1000</f>
        <v>-0.35791999999999996</v>
      </c>
      <c r="AE130" s="23">
        <f t="shared" si="57"/>
        <v>-0.31791999999999998</v>
      </c>
      <c r="AF130" s="23">
        <f t="shared" si="61"/>
        <v>-0.27791999999999994</v>
      </c>
      <c r="AG130" s="23">
        <f t="shared" si="61"/>
        <v>-0.23791999999999996</v>
      </c>
      <c r="AH130" s="23">
        <f>(scatterplots_LWG_grazdays_CS!$V$6*$A130+scatterplots_LWG_grazdays_CS!$W$6)/1000+AH129</f>
        <v>-4.0358399999999923</v>
      </c>
      <c r="AI130" s="23">
        <f t="shared" si="81"/>
        <v>-2.5158399999999936</v>
      </c>
      <c r="AJ130" s="23">
        <f t="shared" si="81"/>
        <v>-0.99583999999999229</v>
      </c>
      <c r="AK130" s="23">
        <f t="shared" si="81"/>
        <v>0.52416000000000817</v>
      </c>
    </row>
    <row r="131" spans="1:37">
      <c r="A131" s="12">
        <v>129</v>
      </c>
      <c r="B131" s="12">
        <v>40</v>
      </c>
      <c r="C131" s="23">
        <f>(scatterplots_LWG_grazdays_CS!$V$3*$A131+scatterplots_LWG_grazdays_CS!$W$3)/1000</f>
        <v>-6.6359999999999961E-2</v>
      </c>
      <c r="D131" s="23">
        <f t="shared" si="73"/>
        <v>-2.635999999999996E-2</v>
      </c>
      <c r="E131" s="23">
        <f t="shared" si="73"/>
        <v>1.3640000000000041E-2</v>
      </c>
      <c r="F131" s="23">
        <f t="shared" si="73"/>
        <v>5.3640000000000035E-2</v>
      </c>
      <c r="G131" s="23">
        <f>(scatterplots_LWG_grazdays_CS!$V$3*$A131+scatterplots_LWG_grazdays_CS!$W$3)/1000+G130</f>
        <v>14.886600000000003</v>
      </c>
      <c r="H131" s="23">
        <f t="shared" si="71"/>
        <v>16.486600000000003</v>
      </c>
      <c r="I131" s="23">
        <f t="shared" si="72"/>
        <v>18.2866</v>
      </c>
      <c r="J131" s="23">
        <f t="shared" si="80"/>
        <v>19.2866</v>
      </c>
      <c r="K131" s="23">
        <f t="shared" si="79"/>
        <v>19.686600000000002</v>
      </c>
      <c r="L131" s="23">
        <f t="shared" si="79"/>
        <v>18.086600000000004</v>
      </c>
      <c r="M131" s="23">
        <f t="shared" si="79"/>
        <v>19.686600000000002</v>
      </c>
      <c r="N131" s="23">
        <f>(scatterplots_LWG_grazdays_CS!$V$4*$A131+scatterplots_LWG_grazdays_CS!$W$4)/1000</f>
        <v>-0.18246000000000004</v>
      </c>
      <c r="O131" s="23">
        <f t="shared" si="52"/>
        <v>-0.14246000000000003</v>
      </c>
      <c r="P131" s="23">
        <f t="shared" si="52"/>
        <v>-0.10246000000000004</v>
      </c>
      <c r="Q131" s="23">
        <f t="shared" si="52"/>
        <v>-6.2460000000000043E-2</v>
      </c>
      <c r="R131" s="23">
        <f>(scatterplots_LWG_grazdays_CS!$V$4*$A131+scatterplots_LWG_grazdays_CS!$W$4)/1000+R130</f>
        <v>7.3400999999999961</v>
      </c>
      <c r="S131" s="23">
        <f t="shared" si="82"/>
        <v>8.9000999999999983</v>
      </c>
      <c r="T131" s="23">
        <f t="shared" si="82"/>
        <v>10.460099999999995</v>
      </c>
      <c r="U131" s="23">
        <f t="shared" si="66"/>
        <v>12.020099999999998</v>
      </c>
      <c r="V131" s="23">
        <f>(scatterplots_LWG_grazdays_CS!$V$5*$A131+scatterplots_LWG_grazdays_CS!$W$5)/1000</f>
        <v>-0.25212000000000001</v>
      </c>
      <c r="W131" s="23">
        <f t="shared" si="54"/>
        <v>-0.21212</v>
      </c>
      <c r="X131" s="23">
        <f t="shared" si="74"/>
        <v>-0.17212</v>
      </c>
      <c r="Y131" s="23">
        <f t="shared" si="74"/>
        <v>-0.13212000000000002</v>
      </c>
      <c r="Z131" s="23">
        <f>(scatterplots_LWG_grazdays_CS!$V$5*$A131+scatterplots_LWG_grazdays_CS!$W$5)/1000+Z130</f>
        <v>2.8121999999999976</v>
      </c>
      <c r="AA131" s="23">
        <f t="shared" si="83"/>
        <v>4.3721999999999959</v>
      </c>
      <c r="AB131" s="23">
        <f t="shared" si="83"/>
        <v>5.9321999999999964</v>
      </c>
      <c r="AC131" s="23">
        <f t="shared" si="67"/>
        <v>7.4921999999999969</v>
      </c>
      <c r="AD131" s="23">
        <f>(scatterplots_LWG_grazdays_CS!$V$6*$A131+scatterplots_LWG_grazdays_CS!$W$6)/1000</f>
        <v>-0.36305999999999994</v>
      </c>
      <c r="AE131" s="23">
        <f t="shared" si="57"/>
        <v>-0.32305999999999996</v>
      </c>
      <c r="AF131" s="23">
        <f t="shared" si="61"/>
        <v>-0.28305999999999992</v>
      </c>
      <c r="AG131" s="23">
        <f t="shared" si="61"/>
        <v>-0.24305999999999994</v>
      </c>
      <c r="AH131" s="23">
        <f>(scatterplots_LWG_grazdays_CS!$V$6*$A131+scatterplots_LWG_grazdays_CS!$W$6)/1000+AH130</f>
        <v>-4.3988999999999923</v>
      </c>
      <c r="AI131" s="23">
        <f t="shared" si="81"/>
        <v>-2.8388999999999935</v>
      </c>
      <c r="AJ131" s="23">
        <f t="shared" si="81"/>
        <v>-1.2788999999999922</v>
      </c>
      <c r="AK131" s="23">
        <f t="shared" si="81"/>
        <v>0.28110000000000823</v>
      </c>
    </row>
    <row r="132" spans="1:37">
      <c r="A132" s="12">
        <v>130</v>
      </c>
      <c r="B132" s="12">
        <v>41</v>
      </c>
      <c r="C132" s="23">
        <f>(scatterplots_LWG_grazdays_CS!$V$3*$A132+scatterplots_LWG_grazdays_CS!$W$3)/1000</f>
        <v>-6.9199999999999984E-2</v>
      </c>
      <c r="D132" s="23">
        <f t="shared" ref="D132:F163" si="84">$C132+D$1/1000</f>
        <v>-2.9199999999999983E-2</v>
      </c>
      <c r="E132" s="23">
        <f t="shared" si="84"/>
        <v>1.0800000000000018E-2</v>
      </c>
      <c r="F132" s="23">
        <f t="shared" si="84"/>
        <v>5.0800000000000012E-2</v>
      </c>
      <c r="G132" s="23">
        <f>(scatterplots_LWG_grazdays_CS!$V$3*$A132+scatterplots_LWG_grazdays_CS!$W$3)/1000+G131</f>
        <v>14.817400000000003</v>
      </c>
      <c r="H132" s="23">
        <f t="shared" si="71"/>
        <v>16.457400000000003</v>
      </c>
      <c r="I132" s="23">
        <f t="shared" si="72"/>
        <v>18.257400000000001</v>
      </c>
      <c r="J132" s="23">
        <f t="shared" si="80"/>
        <v>19.257400000000001</v>
      </c>
      <c r="K132" s="23">
        <f t="shared" si="79"/>
        <v>19.657400000000003</v>
      </c>
      <c r="L132" s="23">
        <f t="shared" si="79"/>
        <v>18.097400000000004</v>
      </c>
      <c r="M132" s="23">
        <f t="shared" si="79"/>
        <v>19.737400000000001</v>
      </c>
      <c r="N132" s="23">
        <f>(scatterplots_LWG_grazdays_CS!$V$4*$A132+scatterplots_LWG_grazdays_CS!$W$4)/1000</f>
        <v>-0.18620000000000003</v>
      </c>
      <c r="O132" s="23">
        <f t="shared" ref="O132:Q195" si="85">$N132+O$1/1000</f>
        <v>-0.14620000000000002</v>
      </c>
      <c r="P132" s="23">
        <f t="shared" si="85"/>
        <v>-0.10620000000000003</v>
      </c>
      <c r="Q132" s="23">
        <f t="shared" si="85"/>
        <v>-6.6200000000000037E-2</v>
      </c>
      <c r="R132" s="23">
        <f>(scatterplots_LWG_grazdays_CS!$V$4*$A132+scatterplots_LWG_grazdays_CS!$W$4)/1000+R131</f>
        <v>7.1538999999999957</v>
      </c>
      <c r="S132" s="23">
        <f t="shared" si="82"/>
        <v>8.753899999999998</v>
      </c>
      <c r="T132" s="23">
        <f t="shared" si="82"/>
        <v>10.353899999999996</v>
      </c>
      <c r="U132" s="23">
        <f t="shared" si="66"/>
        <v>11.953899999999997</v>
      </c>
      <c r="V132" s="23">
        <f>(scatterplots_LWG_grazdays_CS!$V$5*$A132+scatterplots_LWG_grazdays_CS!$W$5)/1000</f>
        <v>-0.25639999999999996</v>
      </c>
      <c r="W132" s="23">
        <f t="shared" ref="W132:W195" si="86">V132+W$1/1000</f>
        <v>-0.21639999999999995</v>
      </c>
      <c r="X132" s="23">
        <f t="shared" ref="X132:Y163" si="87">$V132+X$1/1000</f>
        <v>-0.17639999999999995</v>
      </c>
      <c r="Y132" s="23">
        <f t="shared" si="87"/>
        <v>-0.13639999999999997</v>
      </c>
      <c r="Z132" s="23">
        <f>(scatterplots_LWG_grazdays_CS!$V$5*$A132+scatterplots_LWG_grazdays_CS!$W$5)/1000+Z131</f>
        <v>2.5557999999999979</v>
      </c>
      <c r="AA132" s="23">
        <f t="shared" si="83"/>
        <v>4.1557999999999957</v>
      </c>
      <c r="AB132" s="23">
        <f t="shared" si="83"/>
        <v>5.7557999999999963</v>
      </c>
      <c r="AC132" s="23">
        <f t="shared" si="67"/>
        <v>7.3557999999999968</v>
      </c>
      <c r="AD132" s="23">
        <f>(scatterplots_LWG_grazdays_CS!$V$6*$A132+scatterplots_LWG_grazdays_CS!$W$6)/1000</f>
        <v>-0.36819999999999992</v>
      </c>
      <c r="AE132" s="23">
        <f t="shared" ref="AE132:AE195" si="88">AD132+AE$1/1000</f>
        <v>-0.32819999999999994</v>
      </c>
      <c r="AF132" s="23">
        <f t="shared" si="61"/>
        <v>-0.2881999999999999</v>
      </c>
      <c r="AG132" s="23">
        <f t="shared" si="61"/>
        <v>-0.24819999999999992</v>
      </c>
      <c r="AH132" s="23">
        <f>(scatterplots_LWG_grazdays_CS!$V$6*$A132+scatterplots_LWG_grazdays_CS!$W$6)/1000+AH131</f>
        <v>-4.7670999999999921</v>
      </c>
      <c r="AI132" s="23">
        <f t="shared" si="81"/>
        <v>-3.1670999999999934</v>
      </c>
      <c r="AJ132" s="23">
        <f t="shared" si="81"/>
        <v>-1.5670999999999919</v>
      </c>
      <c r="AK132" s="23">
        <f t="shared" si="81"/>
        <v>3.2900000000008311E-2</v>
      </c>
    </row>
    <row r="133" spans="1:37">
      <c r="A133" s="12">
        <v>131</v>
      </c>
      <c r="B133" s="12">
        <v>42</v>
      </c>
      <c r="C133" s="23">
        <f>(scatterplots_LWG_grazdays_CS!$V$3*$A133+scatterplots_LWG_grazdays_CS!$W$3)/1000</f>
        <v>-7.2039999999999965E-2</v>
      </c>
      <c r="D133" s="23">
        <f t="shared" si="84"/>
        <v>-3.2039999999999964E-2</v>
      </c>
      <c r="E133" s="23">
        <f t="shared" si="84"/>
        <v>7.9600000000000365E-3</v>
      </c>
      <c r="F133" s="23">
        <f t="shared" si="84"/>
        <v>4.796000000000003E-2</v>
      </c>
      <c r="G133" s="23">
        <f>(scatterplots_LWG_grazdays_CS!$V$3*$A133+scatterplots_LWG_grazdays_CS!$W$3)/1000+G132</f>
        <v>14.745360000000003</v>
      </c>
      <c r="H133" s="23">
        <f t="shared" si="71"/>
        <v>16.425360000000005</v>
      </c>
      <c r="I133" s="23">
        <f t="shared" si="72"/>
        <v>18.225360000000002</v>
      </c>
      <c r="J133" s="23">
        <f t="shared" si="80"/>
        <v>19.225360000000002</v>
      </c>
      <c r="K133" s="23">
        <f t="shared" si="79"/>
        <v>19.625360000000004</v>
      </c>
      <c r="L133" s="23">
        <f t="shared" si="79"/>
        <v>18.105360000000005</v>
      </c>
      <c r="M133" s="23">
        <f t="shared" si="79"/>
        <v>19.785360000000001</v>
      </c>
      <c r="N133" s="23">
        <f>(scatterplots_LWG_grazdays_CS!$V$4*$A133+scatterplots_LWG_grazdays_CS!$W$4)/1000</f>
        <v>-0.18994000000000005</v>
      </c>
      <c r="O133" s="23">
        <f t="shared" si="85"/>
        <v>-0.14994000000000005</v>
      </c>
      <c r="P133" s="23">
        <f t="shared" si="85"/>
        <v>-0.10994000000000005</v>
      </c>
      <c r="Q133" s="23">
        <f t="shared" si="85"/>
        <v>-6.9940000000000058E-2</v>
      </c>
      <c r="R133" s="23">
        <f>(scatterplots_LWG_grazdays_CS!$V$4*$A133+scatterplots_LWG_grazdays_CS!$W$4)/1000+R132</f>
        <v>6.9639599999999957</v>
      </c>
      <c r="S133" s="23">
        <f t="shared" si="82"/>
        <v>8.6039599999999972</v>
      </c>
      <c r="T133" s="23">
        <f t="shared" si="82"/>
        <v>10.243959999999996</v>
      </c>
      <c r="U133" s="23">
        <f t="shared" si="66"/>
        <v>11.883959999999997</v>
      </c>
      <c r="V133" s="23">
        <f>(scatterplots_LWG_grazdays_CS!$V$5*$A133+scatterplots_LWG_grazdays_CS!$W$5)/1000</f>
        <v>-0.26068000000000008</v>
      </c>
      <c r="W133" s="23">
        <f t="shared" si="86"/>
        <v>-0.22068000000000007</v>
      </c>
      <c r="X133" s="23">
        <f t="shared" si="87"/>
        <v>-0.18068000000000006</v>
      </c>
      <c r="Y133" s="23">
        <f t="shared" si="87"/>
        <v>-0.14068000000000008</v>
      </c>
      <c r="Z133" s="23">
        <f>(scatterplots_LWG_grazdays_CS!$V$5*$A133+scatterplots_LWG_grazdays_CS!$W$5)/1000+Z132</f>
        <v>2.2951199999999976</v>
      </c>
      <c r="AA133" s="23">
        <f t="shared" si="83"/>
        <v>3.9351199999999955</v>
      </c>
      <c r="AB133" s="23">
        <f t="shared" si="83"/>
        <v>5.5751199999999965</v>
      </c>
      <c r="AC133" s="23">
        <f t="shared" si="67"/>
        <v>7.2151199999999971</v>
      </c>
      <c r="AD133" s="23">
        <f>(scatterplots_LWG_grazdays_CS!$V$6*$A133+scatterplots_LWG_grazdays_CS!$W$6)/1000</f>
        <v>-0.37333999999999989</v>
      </c>
      <c r="AE133" s="23">
        <f t="shared" si="88"/>
        <v>-0.33333999999999991</v>
      </c>
      <c r="AF133" s="23">
        <f t="shared" si="61"/>
        <v>-0.29333999999999988</v>
      </c>
      <c r="AG133" s="23">
        <f t="shared" si="61"/>
        <v>-0.2533399999999999</v>
      </c>
      <c r="AH133" s="23">
        <f>(scatterplots_LWG_grazdays_CS!$V$6*$A133+scatterplots_LWG_grazdays_CS!$W$6)/1000+AH132</f>
        <v>-5.1404399999999919</v>
      </c>
      <c r="AI133" s="23">
        <f t="shared" si="81"/>
        <v>-3.5004399999999931</v>
      </c>
      <c r="AJ133" s="23">
        <f t="shared" si="81"/>
        <v>-1.8604399999999919</v>
      </c>
      <c r="AK133" s="23">
        <f t="shared" si="81"/>
        <v>-0.22043999999999159</v>
      </c>
    </row>
    <row r="134" spans="1:37">
      <c r="A134" s="12">
        <v>132</v>
      </c>
      <c r="B134" s="12">
        <v>43</v>
      </c>
      <c r="C134" s="23">
        <f>(scatterplots_LWG_grazdays_CS!$V$3*$A134+scatterplots_LWG_grazdays_CS!$W$3)/1000</f>
        <v>-7.4880000000000002E-2</v>
      </c>
      <c r="D134" s="23">
        <f t="shared" si="84"/>
        <v>-3.4880000000000001E-2</v>
      </c>
      <c r="E134" s="23">
        <f t="shared" si="84"/>
        <v>5.1199999999999996E-3</v>
      </c>
      <c r="F134" s="23">
        <f t="shared" si="84"/>
        <v>4.5119999999999993E-2</v>
      </c>
      <c r="G134" s="23">
        <f>(scatterplots_LWG_grazdays_CS!$V$3*$A134+scatterplots_LWG_grazdays_CS!$W$3)/1000+G133</f>
        <v>14.670480000000003</v>
      </c>
      <c r="H134" s="23">
        <f t="shared" si="71"/>
        <v>16.390480000000004</v>
      </c>
      <c r="I134" s="23">
        <f t="shared" si="72"/>
        <v>18.190480000000001</v>
      </c>
      <c r="J134" s="23">
        <f t="shared" si="80"/>
        <v>19.190480000000001</v>
      </c>
      <c r="K134" s="23">
        <f t="shared" si="79"/>
        <v>19.590480000000003</v>
      </c>
      <c r="L134" s="23">
        <f t="shared" si="79"/>
        <v>18.110480000000006</v>
      </c>
      <c r="M134" s="23">
        <f t="shared" si="79"/>
        <v>19.830480000000001</v>
      </c>
      <c r="N134" s="23">
        <f>(scatterplots_LWG_grazdays_CS!$V$4*$A134+scatterplots_LWG_grazdays_CS!$W$4)/1000</f>
        <v>-0.19368000000000002</v>
      </c>
      <c r="O134" s="23">
        <f t="shared" si="85"/>
        <v>-0.15368000000000001</v>
      </c>
      <c r="P134" s="23">
        <f t="shared" si="85"/>
        <v>-0.11368000000000002</v>
      </c>
      <c r="Q134" s="23">
        <f t="shared" si="85"/>
        <v>-7.3680000000000023E-2</v>
      </c>
      <c r="R134" s="23">
        <f>(scatterplots_LWG_grazdays_CS!$V$4*$A134+scatterplots_LWG_grazdays_CS!$W$4)/1000+R133</f>
        <v>6.7702799999999961</v>
      </c>
      <c r="S134" s="23">
        <f t="shared" si="82"/>
        <v>8.4502799999999976</v>
      </c>
      <c r="T134" s="23">
        <f t="shared" si="82"/>
        <v>10.130279999999996</v>
      </c>
      <c r="U134" s="23">
        <f t="shared" si="66"/>
        <v>11.810279999999997</v>
      </c>
      <c r="V134" s="23">
        <f>(scatterplots_LWG_grazdays_CS!$V$5*$A134+scatterplots_LWG_grazdays_CS!$W$5)/1000</f>
        <v>-0.26496000000000003</v>
      </c>
      <c r="W134" s="23">
        <f t="shared" si="86"/>
        <v>-0.22496000000000002</v>
      </c>
      <c r="X134" s="23">
        <f t="shared" si="87"/>
        <v>-0.18496000000000001</v>
      </c>
      <c r="Y134" s="23">
        <f t="shared" si="87"/>
        <v>-0.14496000000000003</v>
      </c>
      <c r="Z134" s="23">
        <f>(scatterplots_LWG_grazdays_CS!$V$5*$A134+scatterplots_LWG_grazdays_CS!$W$5)/1000+Z133</f>
        <v>2.0301599999999977</v>
      </c>
      <c r="AA134" s="23">
        <f t="shared" si="83"/>
        <v>3.7101599999999957</v>
      </c>
      <c r="AB134" s="23">
        <f t="shared" si="83"/>
        <v>5.3901599999999963</v>
      </c>
      <c r="AC134" s="23">
        <f t="shared" si="67"/>
        <v>7.0701599999999969</v>
      </c>
      <c r="AD134" s="23">
        <f>(scatterplots_LWG_grazdays_CS!$V$6*$A134+scatterplots_LWG_grazdays_CS!$W$6)/1000</f>
        <v>-0.37847999999999993</v>
      </c>
      <c r="AE134" s="23">
        <f t="shared" si="88"/>
        <v>-0.33847999999999995</v>
      </c>
      <c r="AF134" s="23">
        <f t="shared" si="61"/>
        <v>-0.29847999999999991</v>
      </c>
      <c r="AG134" s="23">
        <f t="shared" si="61"/>
        <v>-0.25847999999999993</v>
      </c>
      <c r="AH134" s="23">
        <f>(scatterplots_LWG_grazdays_CS!$V$6*$A134+scatterplots_LWG_grazdays_CS!$W$6)/1000+AH133</f>
        <v>-5.5189199999999916</v>
      </c>
      <c r="AI134" s="23">
        <f t="shared" si="81"/>
        <v>-3.8389199999999932</v>
      </c>
      <c r="AJ134" s="23">
        <f t="shared" si="81"/>
        <v>-2.1589199999999917</v>
      </c>
      <c r="AK134" s="23">
        <f t="shared" si="81"/>
        <v>-0.47891999999999152</v>
      </c>
    </row>
    <row r="135" spans="1:37">
      <c r="A135" s="12">
        <v>133</v>
      </c>
      <c r="B135" s="12">
        <v>44</v>
      </c>
      <c r="C135" s="23">
        <f>(scatterplots_LWG_grazdays_CS!$V$3*$A135+scatterplots_LWG_grazdays_CS!$W$3)/1000</f>
        <v>-7.771999999999997E-2</v>
      </c>
      <c r="D135" s="23">
        <f t="shared" si="84"/>
        <v>-3.7719999999999969E-2</v>
      </c>
      <c r="E135" s="23">
        <f t="shared" si="84"/>
        <v>2.280000000000032E-3</v>
      </c>
      <c r="F135" s="23">
        <f t="shared" si="84"/>
        <v>4.2280000000000026E-2</v>
      </c>
      <c r="G135" s="23">
        <f>(scatterplots_LWG_grazdays_CS!$V$3*$A135+scatterplots_LWG_grazdays_CS!$W$3)/1000+G134</f>
        <v>14.592760000000004</v>
      </c>
      <c r="H135" s="23">
        <f t="shared" si="71"/>
        <v>16.352760000000004</v>
      </c>
      <c r="I135" s="23">
        <f t="shared" si="72"/>
        <v>18.152760000000001</v>
      </c>
      <c r="J135" s="23">
        <f t="shared" si="80"/>
        <v>19.152760000000001</v>
      </c>
      <c r="K135" s="23">
        <f t="shared" si="79"/>
        <v>19.552760000000003</v>
      </c>
      <c r="L135" s="23">
        <f t="shared" si="79"/>
        <v>18.112760000000005</v>
      </c>
      <c r="M135" s="23">
        <f t="shared" si="79"/>
        <v>19.872760000000003</v>
      </c>
      <c r="N135" s="23">
        <f>(scatterplots_LWG_grazdays_CS!$V$4*$A135+scatterplots_LWG_grazdays_CS!$W$4)/1000</f>
        <v>-0.19742000000000001</v>
      </c>
      <c r="O135" s="23">
        <f t="shared" si="85"/>
        <v>-0.15742</v>
      </c>
      <c r="P135" s="23">
        <f t="shared" si="85"/>
        <v>-0.11742000000000001</v>
      </c>
      <c r="Q135" s="23">
        <f t="shared" si="85"/>
        <v>-7.7420000000000017E-2</v>
      </c>
      <c r="R135" s="23">
        <f>(scatterplots_LWG_grazdays_CS!$V$4*$A135+scatterplots_LWG_grazdays_CS!$W$4)/1000+R134</f>
        <v>6.5728599999999959</v>
      </c>
      <c r="S135" s="23">
        <f t="shared" si="82"/>
        <v>8.2928599999999975</v>
      </c>
      <c r="T135" s="23">
        <f t="shared" si="82"/>
        <v>10.012859999999996</v>
      </c>
      <c r="U135" s="23">
        <f t="shared" si="66"/>
        <v>11.732859999999997</v>
      </c>
      <c r="V135" s="23">
        <f>(scatterplots_LWG_grazdays_CS!$V$5*$A135+scatterplots_LWG_grazdays_CS!$W$5)/1000</f>
        <v>-0.26924000000000003</v>
      </c>
      <c r="W135" s="23">
        <f t="shared" si="86"/>
        <v>-0.22924000000000003</v>
      </c>
      <c r="X135" s="23">
        <f t="shared" si="87"/>
        <v>-0.18924000000000002</v>
      </c>
      <c r="Y135" s="23">
        <f t="shared" si="87"/>
        <v>-0.14924000000000004</v>
      </c>
      <c r="Z135" s="23">
        <f>(scatterplots_LWG_grazdays_CS!$V$5*$A135+scatterplots_LWG_grazdays_CS!$W$5)/1000+Z134</f>
        <v>1.7609199999999978</v>
      </c>
      <c r="AA135" s="23">
        <f t="shared" si="83"/>
        <v>3.4809199999999958</v>
      </c>
      <c r="AB135" s="23">
        <f t="shared" si="83"/>
        <v>5.2009199999999964</v>
      </c>
      <c r="AC135" s="23">
        <f t="shared" si="67"/>
        <v>6.9209199999999971</v>
      </c>
      <c r="AD135" s="23">
        <f>(scatterplots_LWG_grazdays_CS!$V$6*$A135+scatterplots_LWG_grazdays_CS!$W$6)/1000</f>
        <v>-0.38362000000000002</v>
      </c>
      <c r="AE135" s="23">
        <f t="shared" si="88"/>
        <v>-0.34362000000000004</v>
      </c>
      <c r="AF135" s="23">
        <f t="shared" si="61"/>
        <v>-0.30362</v>
      </c>
      <c r="AG135" s="23">
        <f t="shared" si="61"/>
        <v>-0.26362000000000002</v>
      </c>
      <c r="AH135" s="23">
        <f>(scatterplots_LWG_grazdays_CS!$V$6*$A135+scatterplots_LWG_grazdays_CS!$W$6)/1000+AH134</f>
        <v>-5.9025399999999912</v>
      </c>
      <c r="AI135" s="23">
        <f t="shared" si="81"/>
        <v>-4.1825399999999933</v>
      </c>
      <c r="AJ135" s="23">
        <f t="shared" si="81"/>
        <v>-2.4625399999999917</v>
      </c>
      <c r="AK135" s="23">
        <f t="shared" si="81"/>
        <v>-0.74253999999999154</v>
      </c>
    </row>
    <row r="136" spans="1:37">
      <c r="A136" s="12">
        <v>134</v>
      </c>
      <c r="B136" s="12">
        <v>45</v>
      </c>
      <c r="C136" s="23">
        <f>(scatterplots_LWG_grazdays_CS!$V$3*$A136+scatterplots_LWG_grazdays_CS!$W$3)/1000</f>
        <v>-8.0560000000000007E-2</v>
      </c>
      <c r="D136" s="23">
        <f t="shared" si="84"/>
        <v>-4.0560000000000006E-2</v>
      </c>
      <c r="E136" s="23">
        <f t="shared" si="84"/>
        <v>-5.6000000000000494E-4</v>
      </c>
      <c r="F136" s="23">
        <f t="shared" si="84"/>
        <v>3.9439999999999989E-2</v>
      </c>
      <c r="G136" s="23">
        <f>(scatterplots_LWG_grazdays_CS!$V$3*$A136+scatterplots_LWG_grazdays_CS!$W$3)/1000+G135</f>
        <v>14.512200000000004</v>
      </c>
      <c r="H136" s="23">
        <f t="shared" si="71"/>
        <v>16.312200000000004</v>
      </c>
      <c r="I136" s="23">
        <f t="shared" si="72"/>
        <v>18.112200000000001</v>
      </c>
      <c r="J136" s="23">
        <f t="shared" si="80"/>
        <v>19.112200000000001</v>
      </c>
      <c r="K136" s="23">
        <f t="shared" ref="K136:M151" si="89">D136+K135</f>
        <v>19.512200000000004</v>
      </c>
      <c r="L136" s="23">
        <f t="shared" si="89"/>
        <v>18.112200000000005</v>
      </c>
      <c r="M136" s="23">
        <f t="shared" si="89"/>
        <v>19.912200000000002</v>
      </c>
      <c r="N136" s="23">
        <f>(scatterplots_LWG_grazdays_CS!$V$4*$A136+scatterplots_LWG_grazdays_CS!$W$4)/1000</f>
        <v>-0.20116000000000003</v>
      </c>
      <c r="O136" s="23">
        <f t="shared" si="85"/>
        <v>-0.16116000000000003</v>
      </c>
      <c r="P136" s="23">
        <f t="shared" si="85"/>
        <v>-0.12116000000000003</v>
      </c>
      <c r="Q136" s="23">
        <f t="shared" si="85"/>
        <v>-8.1160000000000038E-2</v>
      </c>
      <c r="R136" s="23">
        <f>(scatterplots_LWG_grazdays_CS!$V$4*$A136+scatterplots_LWG_grazdays_CS!$W$4)/1000+R135</f>
        <v>6.3716999999999961</v>
      </c>
      <c r="S136" s="23">
        <f t="shared" si="82"/>
        <v>8.1316999999999968</v>
      </c>
      <c r="T136" s="23">
        <f t="shared" si="82"/>
        <v>9.8916999999999966</v>
      </c>
      <c r="U136" s="23">
        <f t="shared" si="66"/>
        <v>11.651699999999996</v>
      </c>
      <c r="V136" s="23">
        <f>(scatterplots_LWG_grazdays_CS!$V$5*$A136+scatterplots_LWG_grazdays_CS!$W$5)/1000</f>
        <v>-0.27351999999999999</v>
      </c>
      <c r="W136" s="23">
        <f t="shared" si="86"/>
        <v>-0.23351999999999998</v>
      </c>
      <c r="X136" s="23">
        <f t="shared" si="87"/>
        <v>-0.19351999999999997</v>
      </c>
      <c r="Y136" s="23">
        <f t="shared" si="87"/>
        <v>-0.15351999999999999</v>
      </c>
      <c r="Z136" s="23">
        <f>(scatterplots_LWG_grazdays_CS!$V$5*$A136+scatterplots_LWG_grazdays_CS!$W$5)/1000+Z135</f>
        <v>1.4873999999999978</v>
      </c>
      <c r="AA136" s="23">
        <f t="shared" si="83"/>
        <v>3.2473999999999958</v>
      </c>
      <c r="AB136" s="23">
        <f t="shared" si="83"/>
        <v>5.0073999999999961</v>
      </c>
      <c r="AC136" s="23">
        <f t="shared" si="67"/>
        <v>6.7673999999999968</v>
      </c>
      <c r="AD136" s="23">
        <f>(scatterplots_LWG_grazdays_CS!$V$6*$A136+scatterplots_LWG_grazdays_CS!$W$6)/1000</f>
        <v>-0.38875999999999999</v>
      </c>
      <c r="AE136" s="23">
        <f t="shared" si="88"/>
        <v>-0.34876000000000001</v>
      </c>
      <c r="AF136" s="23">
        <f t="shared" si="61"/>
        <v>-0.30875999999999998</v>
      </c>
      <c r="AG136" s="23">
        <f t="shared" si="61"/>
        <v>-0.26876</v>
      </c>
      <c r="AH136" s="23">
        <f>(scatterplots_LWG_grazdays_CS!$V$6*$A136+scatterplots_LWG_grazdays_CS!$W$6)/1000+AH135</f>
        <v>-6.2912999999999908</v>
      </c>
      <c r="AI136" s="23">
        <f t="shared" si="81"/>
        <v>-4.5312999999999937</v>
      </c>
      <c r="AJ136" s="23">
        <f t="shared" si="81"/>
        <v>-2.7712999999999917</v>
      </c>
      <c r="AK136" s="23">
        <f t="shared" si="81"/>
        <v>-1.0112999999999914</v>
      </c>
    </row>
    <row r="137" spans="1:37">
      <c r="A137" s="12">
        <v>135</v>
      </c>
      <c r="B137" s="12">
        <v>46</v>
      </c>
      <c r="C137" s="23">
        <f>(scatterplots_LWG_grazdays_CS!$V$3*$A137+scatterplots_LWG_grazdays_CS!$W$3)/1000</f>
        <v>-8.3399999999999974E-2</v>
      </c>
      <c r="D137" s="23">
        <f t="shared" si="84"/>
        <v>-4.3399999999999973E-2</v>
      </c>
      <c r="E137" s="23">
        <f t="shared" si="84"/>
        <v>-3.3999999999999725E-3</v>
      </c>
      <c r="F137" s="23">
        <f t="shared" si="84"/>
        <v>3.6600000000000021E-2</v>
      </c>
      <c r="G137" s="23">
        <f>(scatterplots_LWG_grazdays_CS!$V$3*$A137+scatterplots_LWG_grazdays_CS!$W$3)/1000+G136</f>
        <v>14.428800000000004</v>
      </c>
      <c r="H137" s="23">
        <f t="shared" si="71"/>
        <v>16.268800000000006</v>
      </c>
      <c r="I137" s="23">
        <f t="shared" si="72"/>
        <v>18.068800000000003</v>
      </c>
      <c r="J137" s="23">
        <f t="shared" si="80"/>
        <v>19.068800000000003</v>
      </c>
      <c r="K137" s="23">
        <f t="shared" si="89"/>
        <v>19.468800000000005</v>
      </c>
      <c r="L137" s="23">
        <f t="shared" si="89"/>
        <v>18.108800000000006</v>
      </c>
      <c r="M137" s="23">
        <f t="shared" si="89"/>
        <v>19.948800000000002</v>
      </c>
      <c r="N137" s="23">
        <f>(scatterplots_LWG_grazdays_CS!$V$4*$A137+scatterplots_LWG_grazdays_CS!$W$4)/1000</f>
        <v>-0.20490000000000003</v>
      </c>
      <c r="O137" s="23">
        <f t="shared" si="85"/>
        <v>-0.16490000000000002</v>
      </c>
      <c r="P137" s="23">
        <f t="shared" si="85"/>
        <v>-0.12490000000000002</v>
      </c>
      <c r="Q137" s="23">
        <f t="shared" si="85"/>
        <v>-8.4900000000000031E-2</v>
      </c>
      <c r="R137" s="23">
        <f>(scatterplots_LWG_grazdays_CS!$V$4*$A137+scatterplots_LWG_grazdays_CS!$W$4)/1000+R136</f>
        <v>6.1667999999999958</v>
      </c>
      <c r="S137" s="23">
        <f t="shared" si="82"/>
        <v>7.9667999999999966</v>
      </c>
      <c r="T137" s="23">
        <f t="shared" si="82"/>
        <v>9.7667999999999964</v>
      </c>
      <c r="U137" s="23">
        <f t="shared" si="66"/>
        <v>11.566799999999997</v>
      </c>
      <c r="V137" s="23">
        <f>(scatterplots_LWG_grazdays_CS!$V$5*$A137+scatterplots_LWG_grazdays_CS!$W$5)/1000</f>
        <v>-0.27780000000000005</v>
      </c>
      <c r="W137" s="23">
        <f t="shared" si="86"/>
        <v>-0.23780000000000004</v>
      </c>
      <c r="X137" s="23">
        <f t="shared" si="87"/>
        <v>-0.19780000000000003</v>
      </c>
      <c r="Y137" s="23">
        <f t="shared" si="87"/>
        <v>-0.15780000000000005</v>
      </c>
      <c r="Z137" s="23">
        <f>(scatterplots_LWG_grazdays_CS!$V$5*$A137+scatterplots_LWG_grazdays_CS!$W$5)/1000+Z136</f>
        <v>1.2095999999999978</v>
      </c>
      <c r="AA137" s="23">
        <f t="shared" si="83"/>
        <v>3.0095999999999958</v>
      </c>
      <c r="AB137" s="23">
        <f t="shared" si="83"/>
        <v>4.8095999999999961</v>
      </c>
      <c r="AC137" s="23">
        <f t="shared" si="67"/>
        <v>6.6095999999999968</v>
      </c>
      <c r="AD137" s="23">
        <f>(scatterplots_LWG_grazdays_CS!$V$6*$A137+scatterplots_LWG_grazdays_CS!$W$6)/1000</f>
        <v>-0.39389999999999997</v>
      </c>
      <c r="AE137" s="23">
        <f t="shared" si="88"/>
        <v>-0.35389999999999999</v>
      </c>
      <c r="AF137" s="23">
        <f t="shared" si="61"/>
        <v>-0.31389999999999996</v>
      </c>
      <c r="AG137" s="23">
        <f t="shared" si="61"/>
        <v>-0.27389999999999998</v>
      </c>
      <c r="AH137" s="23">
        <f>(scatterplots_LWG_grazdays_CS!$V$6*$A137+scatterplots_LWG_grazdays_CS!$W$6)/1000+AH136</f>
        <v>-6.6851999999999911</v>
      </c>
      <c r="AI137" s="23">
        <f t="shared" si="81"/>
        <v>-4.885199999999994</v>
      </c>
      <c r="AJ137" s="23">
        <f t="shared" si="81"/>
        <v>-3.0851999999999915</v>
      </c>
      <c r="AK137" s="23">
        <f t="shared" si="81"/>
        <v>-1.2851999999999915</v>
      </c>
    </row>
    <row r="138" spans="1:37">
      <c r="A138" s="12">
        <v>136</v>
      </c>
      <c r="B138" s="12">
        <v>47</v>
      </c>
      <c r="C138" s="23">
        <f>(scatterplots_LWG_grazdays_CS!$V$3*$A138+scatterplots_LWG_grazdays_CS!$W$3)/1000</f>
        <v>-8.6240000000000011E-2</v>
      </c>
      <c r="D138" s="23">
        <f t="shared" si="84"/>
        <v>-4.624000000000001E-2</v>
      </c>
      <c r="E138" s="23">
        <f t="shared" si="84"/>
        <v>-6.2400000000000094E-3</v>
      </c>
      <c r="F138" s="23">
        <f t="shared" si="84"/>
        <v>3.3759999999999984E-2</v>
      </c>
      <c r="G138" s="23">
        <f>(scatterplots_LWG_grazdays_CS!$V$3*$A138+scatterplots_LWG_grazdays_CS!$W$3)/1000+G137</f>
        <v>14.342560000000004</v>
      </c>
      <c r="H138" s="23">
        <f t="shared" si="71"/>
        <v>16.222560000000005</v>
      </c>
      <c r="I138" s="23">
        <f t="shared" si="72"/>
        <v>18.022560000000002</v>
      </c>
      <c r="J138" s="23">
        <f t="shared" si="80"/>
        <v>19.022560000000002</v>
      </c>
      <c r="K138" s="23">
        <f t="shared" si="89"/>
        <v>19.422560000000004</v>
      </c>
      <c r="L138" s="23">
        <f t="shared" si="89"/>
        <v>18.102560000000008</v>
      </c>
      <c r="M138" s="23">
        <f t="shared" si="89"/>
        <v>19.982560000000003</v>
      </c>
      <c r="N138" s="23">
        <f>(scatterplots_LWG_grazdays_CS!$V$4*$A138+scatterplots_LWG_grazdays_CS!$W$4)/1000</f>
        <v>-0.20864000000000005</v>
      </c>
      <c r="O138" s="23">
        <f t="shared" si="85"/>
        <v>-0.16864000000000004</v>
      </c>
      <c r="P138" s="23">
        <f t="shared" si="85"/>
        <v>-0.12864000000000003</v>
      </c>
      <c r="Q138" s="23">
        <f t="shared" si="85"/>
        <v>-8.8640000000000052E-2</v>
      </c>
      <c r="R138" s="23">
        <f>(scatterplots_LWG_grazdays_CS!$V$4*$A138+scatterplots_LWG_grazdays_CS!$W$4)/1000+R137</f>
        <v>5.9581599999999959</v>
      </c>
      <c r="S138" s="23">
        <f t="shared" si="82"/>
        <v>7.7981599999999966</v>
      </c>
      <c r="T138" s="23">
        <f t="shared" si="82"/>
        <v>9.6381599999999956</v>
      </c>
      <c r="U138" s="23">
        <f t="shared" si="66"/>
        <v>11.478159999999997</v>
      </c>
      <c r="V138" s="23">
        <f>(scatterplots_LWG_grazdays_CS!$V$5*$A138+scatterplots_LWG_grazdays_CS!$W$5)/1000</f>
        <v>-0.28208000000000005</v>
      </c>
      <c r="W138" s="23">
        <f t="shared" si="86"/>
        <v>-0.24208000000000005</v>
      </c>
      <c r="X138" s="23">
        <f t="shared" si="87"/>
        <v>-0.20208000000000004</v>
      </c>
      <c r="Y138" s="23">
        <f t="shared" si="87"/>
        <v>-0.16208000000000006</v>
      </c>
      <c r="Z138" s="23">
        <f>(scatterplots_LWG_grazdays_CS!$V$5*$A138+scatterplots_LWG_grazdays_CS!$W$5)/1000+Z137</f>
        <v>0.92751999999999768</v>
      </c>
      <c r="AA138" s="23">
        <f t="shared" si="83"/>
        <v>2.7675199999999958</v>
      </c>
      <c r="AB138" s="23">
        <f t="shared" si="83"/>
        <v>4.6075199999999956</v>
      </c>
      <c r="AC138" s="23">
        <f t="shared" si="67"/>
        <v>6.4475199999999964</v>
      </c>
      <c r="AD138" s="23">
        <f>(scatterplots_LWG_grazdays_CS!$V$6*$A138+scatterplots_LWG_grazdays_CS!$W$6)/1000</f>
        <v>-0.39903999999999995</v>
      </c>
      <c r="AE138" s="23">
        <f t="shared" si="88"/>
        <v>-0.35903999999999997</v>
      </c>
      <c r="AF138" s="23">
        <f t="shared" si="61"/>
        <v>-0.31903999999999993</v>
      </c>
      <c r="AG138" s="23">
        <f t="shared" si="61"/>
        <v>-0.27903999999999995</v>
      </c>
      <c r="AH138" s="23">
        <f>(scatterplots_LWG_grazdays_CS!$V$6*$A138+scatterplots_LWG_grazdays_CS!$W$6)/1000+AH137</f>
        <v>-7.0842399999999914</v>
      </c>
      <c r="AI138" s="23">
        <f t="shared" si="81"/>
        <v>-5.2442399999999942</v>
      </c>
      <c r="AJ138" s="23">
        <f t="shared" si="81"/>
        <v>-3.4042399999999913</v>
      </c>
      <c r="AK138" s="23">
        <f t="shared" si="81"/>
        <v>-1.5642399999999914</v>
      </c>
    </row>
    <row r="139" spans="1:37">
      <c r="A139" s="12">
        <v>137</v>
      </c>
      <c r="B139" s="12">
        <v>48</v>
      </c>
      <c r="C139" s="23">
        <f>(scatterplots_LWG_grazdays_CS!$V$3*$A139+scatterplots_LWG_grazdays_CS!$W$3)/1000</f>
        <v>-8.9079999999999979E-2</v>
      </c>
      <c r="D139" s="23">
        <f t="shared" si="84"/>
        <v>-4.9079999999999978E-2</v>
      </c>
      <c r="E139" s="23">
        <f t="shared" si="84"/>
        <v>-9.079999999999977E-3</v>
      </c>
      <c r="F139" s="23">
        <f t="shared" si="84"/>
        <v>3.0920000000000017E-2</v>
      </c>
      <c r="G139" s="23">
        <f>(scatterplots_LWG_grazdays_CS!$V$3*$A139+scatterplots_LWG_grazdays_CS!$W$3)/1000+G138</f>
        <v>14.253480000000005</v>
      </c>
      <c r="H139" s="23">
        <f t="shared" si="71"/>
        <v>16.173480000000005</v>
      </c>
      <c r="I139" s="23">
        <f t="shared" si="72"/>
        <v>17.973480000000002</v>
      </c>
      <c r="J139" s="23">
        <f t="shared" si="80"/>
        <v>18.973480000000002</v>
      </c>
      <c r="K139" s="23">
        <f t="shared" si="89"/>
        <v>19.373480000000004</v>
      </c>
      <c r="L139" s="23">
        <f t="shared" si="89"/>
        <v>18.093480000000007</v>
      </c>
      <c r="M139" s="23">
        <f t="shared" si="89"/>
        <v>20.013480000000001</v>
      </c>
      <c r="N139" s="23">
        <f>(scatterplots_LWG_grazdays_CS!$V$4*$A139+scatterplots_LWG_grazdays_CS!$W$4)/1000</f>
        <v>-0.21237999999999999</v>
      </c>
      <c r="O139" s="23">
        <f t="shared" si="85"/>
        <v>-0.17237999999999998</v>
      </c>
      <c r="P139" s="23">
        <f t="shared" si="85"/>
        <v>-0.13238</v>
      </c>
      <c r="Q139" s="23">
        <f t="shared" si="85"/>
        <v>-9.237999999999999E-2</v>
      </c>
      <c r="R139" s="23">
        <f>(scatterplots_LWG_grazdays_CS!$V$4*$A139+scatterplots_LWG_grazdays_CS!$W$4)/1000+R138</f>
        <v>5.7457799999999963</v>
      </c>
      <c r="S139" s="23">
        <f t="shared" si="82"/>
        <v>7.6257799999999971</v>
      </c>
      <c r="T139" s="23">
        <f t="shared" si="82"/>
        <v>9.5057799999999961</v>
      </c>
      <c r="U139" s="23">
        <f t="shared" si="66"/>
        <v>11.385779999999997</v>
      </c>
      <c r="V139" s="23">
        <f>(scatterplots_LWG_grazdays_CS!$V$5*$A139+scatterplots_LWG_grazdays_CS!$W$5)/1000</f>
        <v>-0.28636</v>
      </c>
      <c r="W139" s="23">
        <f t="shared" si="86"/>
        <v>-0.24636</v>
      </c>
      <c r="X139" s="23">
        <f t="shared" si="87"/>
        <v>-0.20635999999999999</v>
      </c>
      <c r="Y139" s="23">
        <f t="shared" si="87"/>
        <v>-0.16636000000000001</v>
      </c>
      <c r="Z139" s="23">
        <f>(scatterplots_LWG_grazdays_CS!$V$5*$A139+scatterplots_LWG_grazdays_CS!$W$5)/1000+Z138</f>
        <v>0.64115999999999773</v>
      </c>
      <c r="AA139" s="23">
        <f t="shared" si="83"/>
        <v>2.5211599999999956</v>
      </c>
      <c r="AB139" s="23">
        <f t="shared" si="83"/>
        <v>4.4011599999999955</v>
      </c>
      <c r="AC139" s="23">
        <f t="shared" si="67"/>
        <v>6.2811599999999963</v>
      </c>
      <c r="AD139" s="23">
        <f>(scatterplots_LWG_grazdays_CS!$V$6*$A139+scatterplots_LWG_grazdays_CS!$W$6)/1000</f>
        <v>-0.40417999999999993</v>
      </c>
      <c r="AE139" s="23">
        <f t="shared" si="88"/>
        <v>-0.36417999999999995</v>
      </c>
      <c r="AF139" s="23">
        <f t="shared" si="61"/>
        <v>-0.32417999999999991</v>
      </c>
      <c r="AG139" s="23">
        <f t="shared" si="61"/>
        <v>-0.28417999999999993</v>
      </c>
      <c r="AH139" s="23">
        <f>(scatterplots_LWG_grazdays_CS!$V$6*$A139+scatterplots_LWG_grazdays_CS!$W$6)/1000+AH138</f>
        <v>-7.4884199999999916</v>
      </c>
      <c r="AI139" s="23">
        <f t="shared" si="81"/>
        <v>-5.6084199999999944</v>
      </c>
      <c r="AJ139" s="23">
        <f t="shared" si="81"/>
        <v>-3.728419999999991</v>
      </c>
      <c r="AK139" s="23">
        <f t="shared" si="81"/>
        <v>-1.8484199999999913</v>
      </c>
    </row>
    <row r="140" spans="1:37">
      <c r="A140" s="12">
        <v>138</v>
      </c>
      <c r="B140" s="12">
        <v>49</v>
      </c>
      <c r="C140" s="23">
        <f>(scatterplots_LWG_grazdays_CS!$V$3*$A140+scatterplots_LWG_grazdays_CS!$W$3)/1000</f>
        <v>-9.191999999999996E-2</v>
      </c>
      <c r="D140" s="23">
        <f t="shared" si="84"/>
        <v>-5.1919999999999959E-2</v>
      </c>
      <c r="E140" s="23">
        <f t="shared" si="84"/>
        <v>-1.1919999999999958E-2</v>
      </c>
      <c r="F140" s="23">
        <f t="shared" si="84"/>
        <v>2.8080000000000035E-2</v>
      </c>
      <c r="G140" s="23">
        <f>(scatterplots_LWG_grazdays_CS!$V$3*$A140+scatterplots_LWG_grazdays_CS!$W$3)/1000+G139</f>
        <v>14.161560000000005</v>
      </c>
      <c r="H140" s="23">
        <f t="shared" si="71"/>
        <v>16.121560000000006</v>
      </c>
      <c r="I140" s="23">
        <f t="shared" si="72"/>
        <v>17.921560000000003</v>
      </c>
      <c r="J140" s="23">
        <f t="shared" si="80"/>
        <v>18.921560000000003</v>
      </c>
      <c r="K140" s="23">
        <f t="shared" si="89"/>
        <v>19.321560000000005</v>
      </c>
      <c r="L140" s="23">
        <f t="shared" si="89"/>
        <v>18.081560000000007</v>
      </c>
      <c r="M140" s="23">
        <f t="shared" si="89"/>
        <v>20.04156</v>
      </c>
      <c r="N140" s="23">
        <f>(scatterplots_LWG_grazdays_CS!$V$4*$A140+scatterplots_LWG_grazdays_CS!$W$4)/1000</f>
        <v>-0.21612000000000001</v>
      </c>
      <c r="O140" s="23">
        <f t="shared" si="85"/>
        <v>-0.17612</v>
      </c>
      <c r="P140" s="23">
        <f t="shared" si="85"/>
        <v>-0.13612000000000002</v>
      </c>
      <c r="Q140" s="23">
        <f t="shared" si="85"/>
        <v>-9.6120000000000011E-2</v>
      </c>
      <c r="R140" s="23">
        <f>(scatterplots_LWG_grazdays_CS!$V$4*$A140+scatterplots_LWG_grazdays_CS!$W$4)/1000+R139</f>
        <v>5.5296599999999962</v>
      </c>
      <c r="S140" s="23">
        <f t="shared" si="82"/>
        <v>7.4496599999999971</v>
      </c>
      <c r="T140" s="23">
        <f t="shared" si="82"/>
        <v>9.3696599999999961</v>
      </c>
      <c r="U140" s="23">
        <f t="shared" si="66"/>
        <v>11.289659999999996</v>
      </c>
      <c r="V140" s="23">
        <f>(scatterplots_LWG_grazdays_CS!$V$5*$A140+scatterplots_LWG_grazdays_CS!$W$5)/1000</f>
        <v>-0.29064000000000001</v>
      </c>
      <c r="W140" s="23">
        <f t="shared" si="86"/>
        <v>-0.25064000000000003</v>
      </c>
      <c r="X140" s="23">
        <f t="shared" si="87"/>
        <v>-0.21063999999999999</v>
      </c>
      <c r="Y140" s="23">
        <f t="shared" si="87"/>
        <v>-0.17064000000000001</v>
      </c>
      <c r="Z140" s="23">
        <f>(scatterplots_LWG_grazdays_CS!$V$5*$A140+scatterplots_LWG_grazdays_CS!$W$5)/1000+Z139</f>
        <v>0.35051999999999772</v>
      </c>
      <c r="AA140" s="23">
        <f t="shared" si="83"/>
        <v>2.2705199999999954</v>
      </c>
      <c r="AB140" s="23">
        <f t="shared" si="83"/>
        <v>4.1905199999999958</v>
      </c>
      <c r="AC140" s="23">
        <f t="shared" si="67"/>
        <v>6.1105199999999966</v>
      </c>
      <c r="AD140" s="23">
        <f>(scatterplots_LWG_grazdays_CS!$V$6*$A140+scatterplots_LWG_grazdays_CS!$W$6)/1000</f>
        <v>-0.40931999999999996</v>
      </c>
      <c r="AE140" s="23">
        <f t="shared" si="88"/>
        <v>-0.36931999999999998</v>
      </c>
      <c r="AF140" s="23">
        <f t="shared" si="61"/>
        <v>-0.32931999999999995</v>
      </c>
      <c r="AG140" s="23">
        <f t="shared" si="61"/>
        <v>-0.28931999999999997</v>
      </c>
      <c r="AH140" s="23">
        <f>(scatterplots_LWG_grazdays_CS!$V$6*$A140+scatterplots_LWG_grazdays_CS!$W$6)/1000+AH139</f>
        <v>-7.8977399999999918</v>
      </c>
      <c r="AI140" s="23">
        <f t="shared" si="81"/>
        <v>-5.9777399999999945</v>
      </c>
      <c r="AJ140" s="23">
        <f t="shared" si="81"/>
        <v>-4.057739999999991</v>
      </c>
      <c r="AK140" s="23">
        <f t="shared" si="81"/>
        <v>-2.1377399999999911</v>
      </c>
    </row>
    <row r="141" spans="1:37">
      <c r="A141" s="12">
        <v>139</v>
      </c>
      <c r="B141" s="12">
        <v>50</v>
      </c>
      <c r="C141" s="23">
        <f>(scatterplots_LWG_grazdays_CS!$V$3*$A141+scatterplots_LWG_grazdays_CS!$W$3)/1000</f>
        <v>-9.4759999999999997E-2</v>
      </c>
      <c r="D141" s="23">
        <f t="shared" si="84"/>
        <v>-5.4759999999999996E-2</v>
      </c>
      <c r="E141" s="23">
        <f t="shared" si="84"/>
        <v>-1.4759999999999995E-2</v>
      </c>
      <c r="F141" s="23">
        <f t="shared" si="84"/>
        <v>2.5239999999999999E-2</v>
      </c>
      <c r="G141" s="23">
        <f>(scatterplots_LWG_grazdays_CS!$V$3*$A141+scatterplots_LWG_grazdays_CS!$W$3)/1000+G140</f>
        <v>14.066800000000004</v>
      </c>
      <c r="H141" s="23">
        <f t="shared" si="71"/>
        <v>16.066800000000004</v>
      </c>
      <c r="I141" s="23">
        <f t="shared" si="72"/>
        <v>17.866800000000001</v>
      </c>
      <c r="J141" s="23">
        <f t="shared" si="80"/>
        <v>18.866800000000001</v>
      </c>
      <c r="K141" s="23">
        <f t="shared" si="89"/>
        <v>19.266800000000003</v>
      </c>
      <c r="L141" s="23">
        <f t="shared" si="89"/>
        <v>18.066800000000008</v>
      </c>
      <c r="M141" s="23">
        <f t="shared" si="89"/>
        <v>20.066800000000001</v>
      </c>
      <c r="N141" s="23">
        <f>(scatterplots_LWG_grazdays_CS!$V$4*$A141+scatterplots_LWG_grazdays_CS!$W$4)/1000</f>
        <v>-0.21986</v>
      </c>
      <c r="O141" s="23">
        <f t="shared" si="85"/>
        <v>-0.17985999999999999</v>
      </c>
      <c r="P141" s="23">
        <f t="shared" si="85"/>
        <v>-0.13985999999999998</v>
      </c>
      <c r="Q141" s="23">
        <f t="shared" si="85"/>
        <v>-9.9860000000000004E-2</v>
      </c>
      <c r="R141" s="23">
        <f>(scatterplots_LWG_grazdays_CS!$V$4*$A141+scatterplots_LWG_grazdays_CS!$W$4)/1000+R140</f>
        <v>5.3097999999999965</v>
      </c>
      <c r="S141" s="23">
        <f t="shared" si="82"/>
        <v>7.2697999999999974</v>
      </c>
      <c r="T141" s="23">
        <f t="shared" si="82"/>
        <v>9.2297999999999956</v>
      </c>
      <c r="U141" s="23">
        <f t="shared" si="66"/>
        <v>11.189799999999996</v>
      </c>
      <c r="V141" s="23">
        <f>(scatterplots_LWG_grazdays_CS!$V$5*$A141+scatterplots_LWG_grazdays_CS!$W$5)/1000</f>
        <v>-0.29492000000000007</v>
      </c>
      <c r="W141" s="23">
        <f t="shared" si="86"/>
        <v>-0.25492000000000009</v>
      </c>
      <c r="X141" s="23">
        <f t="shared" si="87"/>
        <v>-0.21492000000000006</v>
      </c>
      <c r="Y141" s="23">
        <f t="shared" si="87"/>
        <v>-0.17492000000000008</v>
      </c>
      <c r="Z141" s="23">
        <f>(scatterplots_LWG_grazdays_CS!$V$5*$A141+scatterplots_LWG_grazdays_CS!$W$5)/1000+Z140</f>
        <v>5.5599999999997651E-2</v>
      </c>
      <c r="AA141" s="23">
        <f t="shared" si="83"/>
        <v>2.0155999999999952</v>
      </c>
      <c r="AB141" s="23">
        <f t="shared" si="83"/>
        <v>3.9755999999999956</v>
      </c>
      <c r="AC141" s="23">
        <f t="shared" si="67"/>
        <v>5.9355999999999964</v>
      </c>
      <c r="AD141" s="23">
        <f>(scatterplots_LWG_grazdays_CS!$V$6*$A141+scatterplots_LWG_grazdays_CS!$W$6)/1000</f>
        <v>-0.41445999999999994</v>
      </c>
      <c r="AE141" s="23">
        <f t="shared" si="88"/>
        <v>-0.37445999999999996</v>
      </c>
      <c r="AF141" s="23">
        <f t="shared" si="61"/>
        <v>-0.33445999999999992</v>
      </c>
      <c r="AG141" s="23">
        <f t="shared" si="61"/>
        <v>-0.29445999999999994</v>
      </c>
      <c r="AH141" s="23">
        <f>(scatterplots_LWG_grazdays_CS!$V$6*$A141+scatterplots_LWG_grazdays_CS!$W$6)/1000+AH140</f>
        <v>-8.3121999999999918</v>
      </c>
      <c r="AI141" s="23">
        <f t="shared" ref="AI141:AK156" si="90">AE141+AI140</f>
        <v>-6.3521999999999945</v>
      </c>
      <c r="AJ141" s="23">
        <f t="shared" si="90"/>
        <v>-4.392199999999991</v>
      </c>
      <c r="AK141" s="23">
        <f t="shared" si="90"/>
        <v>-2.432199999999991</v>
      </c>
    </row>
    <row r="142" spans="1:37">
      <c r="A142" s="12">
        <v>140</v>
      </c>
      <c r="B142" s="12">
        <v>51</v>
      </c>
      <c r="C142" s="23">
        <f>(scatterplots_LWG_grazdays_CS!$V$3*$A142+scatterplots_LWG_grazdays_CS!$W$3)/1000</f>
        <v>-9.7599999999999965E-2</v>
      </c>
      <c r="D142" s="23">
        <f t="shared" si="84"/>
        <v>-5.7599999999999964E-2</v>
      </c>
      <c r="E142" s="23">
        <f t="shared" si="84"/>
        <v>-1.7599999999999963E-2</v>
      </c>
      <c r="F142" s="23">
        <f t="shared" si="84"/>
        <v>2.2400000000000031E-2</v>
      </c>
      <c r="G142" s="23">
        <f>(scatterplots_LWG_grazdays_CS!$V$3*$A142+scatterplots_LWG_grazdays_CS!$W$3)/1000+G141</f>
        <v>13.969200000000004</v>
      </c>
      <c r="H142" s="23">
        <f t="shared" si="71"/>
        <v>16.009200000000003</v>
      </c>
      <c r="I142" s="23">
        <f t="shared" si="72"/>
        <v>17.809200000000001</v>
      </c>
      <c r="J142" s="23">
        <f t="shared" si="80"/>
        <v>18.809200000000001</v>
      </c>
      <c r="K142" s="23">
        <f t="shared" si="89"/>
        <v>19.209200000000003</v>
      </c>
      <c r="L142" s="23">
        <f t="shared" si="89"/>
        <v>18.049200000000006</v>
      </c>
      <c r="M142" s="23">
        <f t="shared" si="89"/>
        <v>20.089200000000002</v>
      </c>
      <c r="N142" s="23">
        <f>(scatterplots_LWG_grazdays_CS!$V$4*$A142+scatterplots_LWG_grazdays_CS!$W$4)/1000</f>
        <v>-0.22360000000000002</v>
      </c>
      <c r="O142" s="23">
        <f t="shared" si="85"/>
        <v>-0.18360000000000001</v>
      </c>
      <c r="P142" s="23">
        <f t="shared" si="85"/>
        <v>-0.14360000000000001</v>
      </c>
      <c r="Q142" s="23">
        <f t="shared" si="85"/>
        <v>-0.10360000000000003</v>
      </c>
      <c r="R142" s="23">
        <f>(scatterplots_LWG_grazdays_CS!$V$4*$A142+scatterplots_LWG_grazdays_CS!$W$4)/1000+R141</f>
        <v>5.0861999999999963</v>
      </c>
      <c r="S142" s="23">
        <f t="shared" ref="S142:U157" si="91">O142+S141</f>
        <v>7.0861999999999972</v>
      </c>
      <c r="T142" s="23">
        <f t="shared" si="91"/>
        <v>9.0861999999999963</v>
      </c>
      <c r="U142" s="23">
        <f t="shared" si="66"/>
        <v>11.086199999999996</v>
      </c>
      <c r="V142" s="23">
        <f>(scatterplots_LWG_grazdays_CS!$V$5*$A142+scatterplots_LWG_grazdays_CS!$W$5)/1000</f>
        <v>-0.29920000000000002</v>
      </c>
      <c r="W142" s="23">
        <f t="shared" si="86"/>
        <v>-0.25920000000000004</v>
      </c>
      <c r="X142" s="23">
        <f t="shared" si="87"/>
        <v>-0.21920000000000001</v>
      </c>
      <c r="Y142" s="23">
        <f t="shared" si="87"/>
        <v>-0.17920000000000003</v>
      </c>
      <c r="Z142" s="23">
        <f>(scatterplots_LWG_grazdays_CS!$V$5*$A142+scatterplots_LWG_grazdays_CS!$W$5)/1000+Z141</f>
        <v>-0.24360000000000237</v>
      </c>
      <c r="AA142" s="23">
        <f t="shared" ref="AA142:AC157" si="92">AA141+W142</f>
        <v>1.7563999999999951</v>
      </c>
      <c r="AB142" s="23">
        <f t="shared" si="92"/>
        <v>3.7563999999999957</v>
      </c>
      <c r="AC142" s="23">
        <f t="shared" si="67"/>
        <v>5.7563999999999966</v>
      </c>
      <c r="AD142" s="23">
        <f>(scatterplots_LWG_grazdays_CS!$V$6*$A142+scatterplots_LWG_grazdays_CS!$W$6)/1000</f>
        <v>-0.41959999999999992</v>
      </c>
      <c r="AE142" s="23">
        <f t="shared" si="88"/>
        <v>-0.37959999999999994</v>
      </c>
      <c r="AF142" s="23">
        <f t="shared" si="61"/>
        <v>-0.3395999999999999</v>
      </c>
      <c r="AG142" s="23">
        <f t="shared" si="61"/>
        <v>-0.29959999999999992</v>
      </c>
      <c r="AH142" s="23">
        <f>(scatterplots_LWG_grazdays_CS!$V$6*$A142+scatterplots_LWG_grazdays_CS!$W$6)/1000+AH141</f>
        <v>-8.7317999999999909</v>
      </c>
      <c r="AI142" s="23">
        <f t="shared" si="90"/>
        <v>-6.7317999999999945</v>
      </c>
      <c r="AJ142" s="23">
        <f t="shared" si="90"/>
        <v>-4.7317999999999909</v>
      </c>
      <c r="AK142" s="23">
        <f t="shared" si="90"/>
        <v>-2.7317999999999909</v>
      </c>
    </row>
    <row r="143" spans="1:37">
      <c r="A143" s="12">
        <v>141</v>
      </c>
      <c r="B143" s="12">
        <v>52</v>
      </c>
      <c r="C143" s="23">
        <f>(scatterplots_LWG_grazdays_CS!$V$3*$A143+scatterplots_LWG_grazdays_CS!$W$3)/1000</f>
        <v>-0.10044</v>
      </c>
      <c r="D143" s="23">
        <f t="shared" si="84"/>
        <v>-6.0440000000000001E-2</v>
      </c>
      <c r="E143" s="23">
        <f t="shared" si="84"/>
        <v>-2.044E-2</v>
      </c>
      <c r="F143" s="23">
        <f t="shared" si="84"/>
        <v>1.9559999999999994E-2</v>
      </c>
      <c r="G143" s="23">
        <f>(scatterplots_LWG_grazdays_CS!$V$3*$A143+scatterplots_LWG_grazdays_CS!$W$3)/1000+G142</f>
        <v>13.868760000000004</v>
      </c>
      <c r="H143" s="23">
        <f t="shared" si="71"/>
        <v>15.948760000000004</v>
      </c>
      <c r="I143" s="23">
        <f t="shared" si="72"/>
        <v>17.748760000000001</v>
      </c>
      <c r="J143" s="23">
        <f t="shared" si="80"/>
        <v>18.748760000000001</v>
      </c>
      <c r="K143" s="23">
        <f t="shared" si="89"/>
        <v>19.148760000000003</v>
      </c>
      <c r="L143" s="23">
        <f t="shared" si="89"/>
        <v>18.028760000000005</v>
      </c>
      <c r="M143" s="23">
        <f t="shared" si="89"/>
        <v>20.10876</v>
      </c>
      <c r="N143" s="23">
        <f>(scatterplots_LWG_grazdays_CS!$V$4*$A143+scatterplots_LWG_grazdays_CS!$W$4)/1000</f>
        <v>-0.22734000000000004</v>
      </c>
      <c r="O143" s="23">
        <f t="shared" si="85"/>
        <v>-0.18734000000000003</v>
      </c>
      <c r="P143" s="23">
        <f t="shared" si="85"/>
        <v>-0.14734000000000003</v>
      </c>
      <c r="Q143" s="23">
        <f t="shared" si="85"/>
        <v>-0.10734000000000005</v>
      </c>
      <c r="R143" s="23">
        <f>(scatterplots_LWG_grazdays_CS!$V$4*$A143+scatterplots_LWG_grazdays_CS!$W$4)/1000+R142</f>
        <v>4.8588599999999964</v>
      </c>
      <c r="S143" s="23">
        <f t="shared" si="91"/>
        <v>6.8988599999999973</v>
      </c>
      <c r="T143" s="23">
        <f t="shared" si="91"/>
        <v>8.9388599999999965</v>
      </c>
      <c r="U143" s="23">
        <f t="shared" si="66"/>
        <v>10.978859999999996</v>
      </c>
      <c r="V143" s="23">
        <f>(scatterplots_LWG_grazdays_CS!$V$5*$A143+scatterplots_LWG_grazdays_CS!$W$5)/1000</f>
        <v>-0.30348000000000003</v>
      </c>
      <c r="W143" s="23">
        <f t="shared" si="86"/>
        <v>-0.26348000000000005</v>
      </c>
      <c r="X143" s="23">
        <f t="shared" si="87"/>
        <v>-0.22348000000000001</v>
      </c>
      <c r="Y143" s="23">
        <f t="shared" si="87"/>
        <v>-0.18348000000000003</v>
      </c>
      <c r="Z143" s="23">
        <f>(scatterplots_LWG_grazdays_CS!$V$5*$A143+scatterplots_LWG_grazdays_CS!$W$5)/1000+Z142</f>
        <v>-0.54708000000000245</v>
      </c>
      <c r="AA143" s="23">
        <f t="shared" si="92"/>
        <v>1.4929199999999949</v>
      </c>
      <c r="AB143" s="23">
        <f t="shared" si="92"/>
        <v>3.5329199999999958</v>
      </c>
      <c r="AC143" s="23">
        <f t="shared" si="67"/>
        <v>5.5729199999999963</v>
      </c>
      <c r="AD143" s="23">
        <f>(scatterplots_LWG_grazdays_CS!$V$6*$A143+scatterplots_LWG_grazdays_CS!$W$6)/1000</f>
        <v>-0.42474000000000001</v>
      </c>
      <c r="AE143" s="23">
        <f t="shared" si="88"/>
        <v>-0.38474000000000003</v>
      </c>
      <c r="AF143" s="23">
        <f t="shared" si="61"/>
        <v>-0.34473999999999999</v>
      </c>
      <c r="AG143" s="23">
        <f t="shared" si="61"/>
        <v>-0.30474000000000001</v>
      </c>
      <c r="AH143" s="23">
        <f>(scatterplots_LWG_grazdays_CS!$V$6*$A143+scatterplots_LWG_grazdays_CS!$W$6)/1000+AH142</f>
        <v>-9.1565399999999908</v>
      </c>
      <c r="AI143" s="23">
        <f t="shared" si="90"/>
        <v>-7.1165399999999943</v>
      </c>
      <c r="AJ143" s="23">
        <f t="shared" si="90"/>
        <v>-5.0765399999999907</v>
      </c>
      <c r="AK143" s="23">
        <f t="shared" si="90"/>
        <v>-3.0365399999999907</v>
      </c>
    </row>
    <row r="144" spans="1:37">
      <c r="A144" s="12">
        <v>142</v>
      </c>
      <c r="B144" s="12">
        <v>53</v>
      </c>
      <c r="C144" s="23">
        <f>(scatterplots_LWG_grazdays_CS!$V$3*$A144+scatterplots_LWG_grazdays_CS!$W$3)/1000</f>
        <v>-0.10327999999999997</v>
      </c>
      <c r="D144" s="23">
        <f t="shared" si="84"/>
        <v>-6.3279999999999975E-2</v>
      </c>
      <c r="E144" s="23">
        <f t="shared" si="84"/>
        <v>-2.3279999999999967E-2</v>
      </c>
      <c r="F144" s="23">
        <f t="shared" si="84"/>
        <v>1.6720000000000027E-2</v>
      </c>
      <c r="G144" s="23">
        <f>(scatterplots_LWG_grazdays_CS!$V$3*$A144+scatterplots_LWG_grazdays_CS!$W$3)/1000+G143</f>
        <v>13.765480000000004</v>
      </c>
      <c r="H144" s="23">
        <f t="shared" si="71"/>
        <v>15.885480000000003</v>
      </c>
      <c r="I144" s="23">
        <f t="shared" si="72"/>
        <v>17.685480000000002</v>
      </c>
      <c r="J144" s="23">
        <f t="shared" si="80"/>
        <v>18.685480000000002</v>
      </c>
      <c r="K144" s="23">
        <f t="shared" si="89"/>
        <v>19.085480000000004</v>
      </c>
      <c r="L144" s="23">
        <f t="shared" si="89"/>
        <v>18.005480000000006</v>
      </c>
      <c r="M144" s="23">
        <f t="shared" si="89"/>
        <v>20.12548</v>
      </c>
      <c r="N144" s="23">
        <f>(scatterplots_LWG_grazdays_CS!$V$4*$A144+scatterplots_LWG_grazdays_CS!$W$4)/1000</f>
        <v>-0.23108000000000004</v>
      </c>
      <c r="O144" s="23">
        <f t="shared" si="85"/>
        <v>-0.19108000000000003</v>
      </c>
      <c r="P144" s="23">
        <f t="shared" si="85"/>
        <v>-0.15108000000000005</v>
      </c>
      <c r="Q144" s="23">
        <f t="shared" si="85"/>
        <v>-0.11108000000000004</v>
      </c>
      <c r="R144" s="23">
        <f>(scatterplots_LWG_grazdays_CS!$V$4*$A144+scatterplots_LWG_grazdays_CS!$W$4)/1000+R143</f>
        <v>4.627779999999996</v>
      </c>
      <c r="S144" s="23">
        <f t="shared" si="91"/>
        <v>6.707779999999997</v>
      </c>
      <c r="T144" s="23">
        <f t="shared" si="91"/>
        <v>8.7877799999999961</v>
      </c>
      <c r="U144" s="23">
        <f t="shared" si="66"/>
        <v>10.867779999999996</v>
      </c>
      <c r="V144" s="23">
        <f>(scatterplots_LWG_grazdays_CS!$V$5*$A144+scatterplots_LWG_grazdays_CS!$W$5)/1000</f>
        <v>-0.30775999999999998</v>
      </c>
      <c r="W144" s="23">
        <f t="shared" si="86"/>
        <v>-0.26776</v>
      </c>
      <c r="X144" s="23">
        <f t="shared" si="87"/>
        <v>-0.22775999999999996</v>
      </c>
      <c r="Y144" s="23">
        <f t="shared" si="87"/>
        <v>-0.18775999999999998</v>
      </c>
      <c r="Z144" s="23">
        <f>(scatterplots_LWG_grazdays_CS!$V$5*$A144+scatterplots_LWG_grazdays_CS!$W$5)/1000+Z143</f>
        <v>-0.85484000000000249</v>
      </c>
      <c r="AA144" s="23">
        <f t="shared" si="92"/>
        <v>1.2251599999999949</v>
      </c>
      <c r="AB144" s="23">
        <f t="shared" si="92"/>
        <v>3.3051599999999959</v>
      </c>
      <c r="AC144" s="23">
        <f t="shared" si="67"/>
        <v>5.3851599999999964</v>
      </c>
      <c r="AD144" s="23">
        <f>(scatterplots_LWG_grazdays_CS!$V$6*$A144+scatterplots_LWG_grazdays_CS!$W$6)/1000</f>
        <v>-0.42987999999999998</v>
      </c>
      <c r="AE144" s="23">
        <f t="shared" si="88"/>
        <v>-0.38988</v>
      </c>
      <c r="AF144" s="23">
        <f t="shared" si="61"/>
        <v>-0.34987999999999997</v>
      </c>
      <c r="AG144" s="23">
        <f t="shared" si="61"/>
        <v>-0.30987999999999999</v>
      </c>
      <c r="AH144" s="23">
        <f>(scatterplots_LWG_grazdays_CS!$V$6*$A144+scatterplots_LWG_grazdays_CS!$W$6)/1000+AH143</f>
        <v>-9.5864199999999915</v>
      </c>
      <c r="AI144" s="23">
        <f t="shared" si="90"/>
        <v>-7.5064199999999941</v>
      </c>
      <c r="AJ144" s="23">
        <f t="shared" si="90"/>
        <v>-5.4264199999999905</v>
      </c>
      <c r="AK144" s="23">
        <f t="shared" si="90"/>
        <v>-3.3464199999999908</v>
      </c>
    </row>
    <row r="145" spans="1:37">
      <c r="A145" s="12">
        <v>143</v>
      </c>
      <c r="B145" s="12">
        <v>54</v>
      </c>
      <c r="C145" s="23">
        <f>(scatterplots_LWG_grazdays_CS!$V$3*$A145+scatterplots_LWG_grazdays_CS!$W$3)/1000</f>
        <v>-0.10612000000000001</v>
      </c>
      <c r="D145" s="23">
        <f t="shared" si="84"/>
        <v>-6.6120000000000012E-2</v>
      </c>
      <c r="E145" s="23">
        <f t="shared" si="84"/>
        <v>-2.6120000000000004E-2</v>
      </c>
      <c r="F145" s="23">
        <f t="shared" si="84"/>
        <v>1.387999999999999E-2</v>
      </c>
      <c r="G145" s="23">
        <f>(scatterplots_LWG_grazdays_CS!$V$3*$A145+scatterplots_LWG_grazdays_CS!$W$3)/1000+G144</f>
        <v>13.659360000000003</v>
      </c>
      <c r="H145" s="23">
        <f t="shared" si="71"/>
        <v>15.819360000000003</v>
      </c>
      <c r="I145" s="23">
        <f t="shared" si="72"/>
        <v>17.61936</v>
      </c>
      <c r="J145" s="23">
        <f t="shared" si="80"/>
        <v>18.61936</v>
      </c>
      <c r="K145" s="23">
        <f t="shared" si="89"/>
        <v>19.019360000000002</v>
      </c>
      <c r="L145" s="23">
        <f t="shared" si="89"/>
        <v>17.979360000000007</v>
      </c>
      <c r="M145" s="23">
        <f t="shared" si="89"/>
        <v>20.13936</v>
      </c>
      <c r="N145" s="23">
        <f>(scatterplots_LWG_grazdays_CS!$V$4*$A145+scatterplots_LWG_grazdays_CS!$W$4)/1000</f>
        <v>-0.23482000000000006</v>
      </c>
      <c r="O145" s="23">
        <f t="shared" si="85"/>
        <v>-0.19482000000000005</v>
      </c>
      <c r="P145" s="23">
        <f t="shared" si="85"/>
        <v>-0.15482000000000007</v>
      </c>
      <c r="Q145" s="23">
        <f t="shared" si="85"/>
        <v>-0.11482000000000006</v>
      </c>
      <c r="R145" s="23">
        <f>(scatterplots_LWG_grazdays_CS!$V$4*$A145+scatterplots_LWG_grazdays_CS!$W$4)/1000+R144</f>
        <v>4.392959999999996</v>
      </c>
      <c r="S145" s="23">
        <f t="shared" si="91"/>
        <v>6.512959999999997</v>
      </c>
      <c r="T145" s="23">
        <f t="shared" si="91"/>
        <v>8.6329599999999953</v>
      </c>
      <c r="U145" s="23">
        <f t="shared" si="66"/>
        <v>10.752959999999996</v>
      </c>
      <c r="V145" s="23">
        <f>(scatterplots_LWG_grazdays_CS!$V$5*$A145+scatterplots_LWG_grazdays_CS!$W$5)/1000</f>
        <v>-0.3120400000000001</v>
      </c>
      <c r="W145" s="23">
        <f t="shared" si="86"/>
        <v>-0.27204000000000012</v>
      </c>
      <c r="X145" s="23">
        <f t="shared" si="87"/>
        <v>-0.23204000000000008</v>
      </c>
      <c r="Y145" s="23">
        <f t="shared" si="87"/>
        <v>-0.1920400000000001</v>
      </c>
      <c r="Z145" s="23">
        <f>(scatterplots_LWG_grazdays_CS!$V$5*$A145+scatterplots_LWG_grazdays_CS!$W$5)/1000+Z144</f>
        <v>-1.1668800000000026</v>
      </c>
      <c r="AA145" s="23">
        <f t="shared" si="92"/>
        <v>0.95311999999999486</v>
      </c>
      <c r="AB145" s="23">
        <f t="shared" si="92"/>
        <v>3.0731199999999959</v>
      </c>
      <c r="AC145" s="23">
        <f t="shared" si="67"/>
        <v>5.193119999999996</v>
      </c>
      <c r="AD145" s="23">
        <f>(scatterplots_LWG_grazdays_CS!$V$6*$A145+scatterplots_LWG_grazdays_CS!$W$6)/1000</f>
        <v>-0.43501999999999996</v>
      </c>
      <c r="AE145" s="23">
        <f t="shared" si="88"/>
        <v>-0.39501999999999998</v>
      </c>
      <c r="AF145" s="23">
        <f t="shared" si="61"/>
        <v>-0.35501999999999995</v>
      </c>
      <c r="AG145" s="23">
        <f t="shared" si="61"/>
        <v>-0.31501999999999997</v>
      </c>
      <c r="AH145" s="23">
        <f>(scatterplots_LWG_grazdays_CS!$V$6*$A145+scatterplots_LWG_grazdays_CS!$W$6)/1000+AH144</f>
        <v>-10.021439999999991</v>
      </c>
      <c r="AI145" s="23">
        <f t="shared" si="90"/>
        <v>-7.9014399999999938</v>
      </c>
      <c r="AJ145" s="23">
        <f t="shared" si="90"/>
        <v>-5.7814399999999901</v>
      </c>
      <c r="AK145" s="23">
        <f t="shared" si="90"/>
        <v>-3.6614399999999909</v>
      </c>
    </row>
    <row r="146" spans="1:37">
      <c r="A146" s="12">
        <v>144</v>
      </c>
      <c r="B146" s="12">
        <v>55</v>
      </c>
      <c r="C146" s="23">
        <f>(scatterplots_LWG_grazdays_CS!$V$3*$A146+scatterplots_LWG_grazdays_CS!$W$3)/1000</f>
        <v>-0.10895999999999997</v>
      </c>
      <c r="D146" s="23">
        <f t="shared" si="84"/>
        <v>-6.8959999999999966E-2</v>
      </c>
      <c r="E146" s="23">
        <f t="shared" si="84"/>
        <v>-2.8959999999999972E-2</v>
      </c>
      <c r="F146" s="23">
        <f t="shared" si="84"/>
        <v>1.1040000000000022E-2</v>
      </c>
      <c r="G146" s="23">
        <f>(scatterplots_LWG_grazdays_CS!$V$3*$A146+scatterplots_LWG_grazdays_CS!$W$3)/1000+G145</f>
        <v>13.550400000000003</v>
      </c>
      <c r="H146" s="23">
        <f t="shared" si="71"/>
        <v>15.750400000000003</v>
      </c>
      <c r="I146" s="23">
        <f t="shared" si="72"/>
        <v>17.5504</v>
      </c>
      <c r="J146" s="23">
        <f t="shared" si="80"/>
        <v>18.5504</v>
      </c>
      <c r="K146" s="23">
        <f t="shared" si="89"/>
        <v>18.950400000000002</v>
      </c>
      <c r="L146" s="23">
        <f t="shared" si="89"/>
        <v>17.950400000000005</v>
      </c>
      <c r="M146" s="23">
        <f t="shared" si="89"/>
        <v>20.150400000000001</v>
      </c>
      <c r="N146" s="23">
        <f>(scatterplots_LWG_grazdays_CS!$V$4*$A146+scatterplots_LWG_grazdays_CS!$W$4)/1000</f>
        <v>-0.23856000000000005</v>
      </c>
      <c r="O146" s="23">
        <f t="shared" si="85"/>
        <v>-0.19856000000000004</v>
      </c>
      <c r="P146" s="23">
        <f t="shared" si="85"/>
        <v>-0.15856000000000003</v>
      </c>
      <c r="Q146" s="23">
        <f t="shared" si="85"/>
        <v>-0.11856000000000005</v>
      </c>
      <c r="R146" s="23">
        <f>(scatterplots_LWG_grazdays_CS!$V$4*$A146+scatterplots_LWG_grazdays_CS!$W$4)/1000+R145</f>
        <v>4.1543999999999963</v>
      </c>
      <c r="S146" s="23">
        <f t="shared" si="91"/>
        <v>6.3143999999999973</v>
      </c>
      <c r="T146" s="23">
        <f t="shared" si="91"/>
        <v>8.4743999999999957</v>
      </c>
      <c r="U146" s="23">
        <f t="shared" si="66"/>
        <v>10.634399999999996</v>
      </c>
      <c r="V146" s="23">
        <f>(scatterplots_LWG_grazdays_CS!$V$5*$A146+scatterplots_LWG_grazdays_CS!$W$5)/1000</f>
        <v>-0.31632000000000005</v>
      </c>
      <c r="W146" s="23">
        <f t="shared" si="86"/>
        <v>-0.27632000000000007</v>
      </c>
      <c r="X146" s="23">
        <f t="shared" si="87"/>
        <v>-0.23632000000000003</v>
      </c>
      <c r="Y146" s="23">
        <f t="shared" si="87"/>
        <v>-0.19632000000000005</v>
      </c>
      <c r="Z146" s="23">
        <f>(scatterplots_LWG_grazdays_CS!$V$5*$A146+scatterplots_LWG_grazdays_CS!$W$5)/1000+Z145</f>
        <v>-1.4832000000000027</v>
      </c>
      <c r="AA146" s="23">
        <f t="shared" si="92"/>
        <v>0.67679999999999474</v>
      </c>
      <c r="AB146" s="23">
        <f t="shared" si="92"/>
        <v>2.8367999999999958</v>
      </c>
      <c r="AC146" s="23">
        <f t="shared" si="67"/>
        <v>4.9967999999999959</v>
      </c>
      <c r="AD146" s="23">
        <f>(scatterplots_LWG_grazdays_CS!$V$6*$A146+scatterplots_LWG_grazdays_CS!$W$6)/1000</f>
        <v>-0.44016</v>
      </c>
      <c r="AE146" s="23">
        <f t="shared" si="88"/>
        <v>-0.40016000000000002</v>
      </c>
      <c r="AF146" s="23">
        <f t="shared" si="61"/>
        <v>-0.36015999999999998</v>
      </c>
      <c r="AG146" s="23">
        <f t="shared" si="61"/>
        <v>-0.32016</v>
      </c>
      <c r="AH146" s="23">
        <f>(scatterplots_LWG_grazdays_CS!$V$6*$A146+scatterplots_LWG_grazdays_CS!$W$6)/1000+AH145</f>
        <v>-10.461599999999992</v>
      </c>
      <c r="AI146" s="23">
        <f t="shared" si="90"/>
        <v>-8.3015999999999934</v>
      </c>
      <c r="AJ146" s="23">
        <f t="shared" si="90"/>
        <v>-6.1415999999999897</v>
      </c>
      <c r="AK146" s="23">
        <f t="shared" si="90"/>
        <v>-3.9815999999999909</v>
      </c>
    </row>
    <row r="147" spans="1:37">
      <c r="A147" s="12">
        <v>145</v>
      </c>
      <c r="B147" s="12">
        <v>56</v>
      </c>
      <c r="C147" s="23">
        <f>(scatterplots_LWG_grazdays_CS!$V$3*$A147+scatterplots_LWG_grazdays_CS!$W$3)/1000</f>
        <v>-0.11179999999999995</v>
      </c>
      <c r="D147" s="23">
        <f t="shared" si="84"/>
        <v>-7.1799999999999947E-2</v>
      </c>
      <c r="E147" s="23">
        <f t="shared" si="84"/>
        <v>-3.1799999999999953E-2</v>
      </c>
      <c r="F147" s="23">
        <f t="shared" si="84"/>
        <v>8.2000000000000406E-3</v>
      </c>
      <c r="G147" s="23">
        <f>(scatterplots_LWG_grazdays_CS!$V$3*$A147+scatterplots_LWG_grazdays_CS!$W$3)/1000+G146</f>
        <v>13.438600000000003</v>
      </c>
      <c r="H147" s="23">
        <f t="shared" si="71"/>
        <v>15.678600000000003</v>
      </c>
      <c r="I147" s="23">
        <f t="shared" si="72"/>
        <v>17.4786</v>
      </c>
      <c r="J147" s="23">
        <f t="shared" si="80"/>
        <v>18.4786</v>
      </c>
      <c r="K147" s="23">
        <f t="shared" si="89"/>
        <v>18.878600000000002</v>
      </c>
      <c r="L147" s="23">
        <f t="shared" si="89"/>
        <v>17.918600000000005</v>
      </c>
      <c r="M147" s="23">
        <f t="shared" si="89"/>
        <v>20.1586</v>
      </c>
      <c r="N147" s="23">
        <f>(scatterplots_LWG_grazdays_CS!$V$4*$A147+scatterplots_LWG_grazdays_CS!$W$4)/1000</f>
        <v>-0.24230000000000007</v>
      </c>
      <c r="O147" s="23">
        <f t="shared" si="85"/>
        <v>-0.20230000000000006</v>
      </c>
      <c r="P147" s="23">
        <f t="shared" si="85"/>
        <v>-0.16230000000000006</v>
      </c>
      <c r="Q147" s="23">
        <f t="shared" si="85"/>
        <v>-0.12230000000000008</v>
      </c>
      <c r="R147" s="23">
        <f>(scatterplots_LWG_grazdays_CS!$V$4*$A147+scatterplots_LWG_grazdays_CS!$W$4)/1000+R146</f>
        <v>3.9120999999999961</v>
      </c>
      <c r="S147" s="23">
        <f t="shared" si="91"/>
        <v>6.1120999999999972</v>
      </c>
      <c r="T147" s="23">
        <f t="shared" si="91"/>
        <v>8.3120999999999956</v>
      </c>
      <c r="U147" s="23">
        <f t="shared" si="66"/>
        <v>10.512099999999997</v>
      </c>
      <c r="V147" s="23">
        <f>(scatterplots_LWG_grazdays_CS!$V$5*$A147+scatterplots_LWG_grazdays_CS!$W$5)/1000</f>
        <v>-0.3206</v>
      </c>
      <c r="W147" s="23">
        <f t="shared" si="86"/>
        <v>-0.28060000000000002</v>
      </c>
      <c r="X147" s="23">
        <f t="shared" si="87"/>
        <v>-0.24059999999999998</v>
      </c>
      <c r="Y147" s="23">
        <f t="shared" si="87"/>
        <v>-0.2006</v>
      </c>
      <c r="Z147" s="23">
        <f>(scatterplots_LWG_grazdays_CS!$V$5*$A147+scatterplots_LWG_grazdays_CS!$W$5)/1000+Z146</f>
        <v>-1.8038000000000027</v>
      </c>
      <c r="AA147" s="23">
        <f t="shared" si="92"/>
        <v>0.39619999999999472</v>
      </c>
      <c r="AB147" s="23">
        <f t="shared" si="92"/>
        <v>2.5961999999999956</v>
      </c>
      <c r="AC147" s="23">
        <f t="shared" si="67"/>
        <v>4.7961999999999962</v>
      </c>
      <c r="AD147" s="23">
        <f>(scatterplots_LWG_grazdays_CS!$V$6*$A147+scatterplots_LWG_grazdays_CS!$W$6)/1000</f>
        <v>-0.44529999999999997</v>
      </c>
      <c r="AE147" s="23">
        <f t="shared" si="88"/>
        <v>-0.40529999999999999</v>
      </c>
      <c r="AF147" s="23">
        <f t="shared" ref="AF147:AG202" si="93">$AD147+AF$1/1000</f>
        <v>-0.36529999999999996</v>
      </c>
      <c r="AG147" s="23">
        <f t="shared" si="93"/>
        <v>-0.32529999999999998</v>
      </c>
      <c r="AH147" s="23">
        <f>(scatterplots_LWG_grazdays_CS!$V$6*$A147+scatterplots_LWG_grazdays_CS!$W$6)/1000+AH146</f>
        <v>-10.906899999999991</v>
      </c>
      <c r="AI147" s="23">
        <f t="shared" si="90"/>
        <v>-8.7068999999999939</v>
      </c>
      <c r="AJ147" s="23">
        <f t="shared" si="90"/>
        <v>-6.5068999999999892</v>
      </c>
      <c r="AK147" s="23">
        <f t="shared" si="90"/>
        <v>-4.3068999999999908</v>
      </c>
    </row>
    <row r="148" spans="1:37">
      <c r="A148" s="12">
        <v>146</v>
      </c>
      <c r="B148" s="12">
        <v>57</v>
      </c>
      <c r="C148" s="23">
        <f>(scatterplots_LWG_grazdays_CS!$V$3*$A148+scatterplots_LWG_grazdays_CS!$W$3)/1000</f>
        <v>-0.11463999999999999</v>
      </c>
      <c r="D148" s="23">
        <f t="shared" si="84"/>
        <v>-7.4639999999999984E-2</v>
      </c>
      <c r="E148" s="23">
        <f t="shared" si="84"/>
        <v>-3.463999999999999E-2</v>
      </c>
      <c r="F148" s="23">
        <f t="shared" si="84"/>
        <v>5.3600000000000037E-3</v>
      </c>
      <c r="G148" s="23">
        <f>(scatterplots_LWG_grazdays_CS!$V$3*$A148+scatterplots_LWG_grazdays_CS!$W$3)/1000+G147</f>
        <v>13.323960000000003</v>
      </c>
      <c r="H148" s="23">
        <f t="shared" si="71"/>
        <v>15.603960000000002</v>
      </c>
      <c r="I148" s="23">
        <f t="shared" si="72"/>
        <v>17.403960000000001</v>
      </c>
      <c r="J148" s="23">
        <f t="shared" si="80"/>
        <v>18.403960000000001</v>
      </c>
      <c r="K148" s="23">
        <f t="shared" si="89"/>
        <v>18.803960000000004</v>
      </c>
      <c r="L148" s="23">
        <f t="shared" si="89"/>
        <v>17.883960000000005</v>
      </c>
      <c r="M148" s="23">
        <f t="shared" si="89"/>
        <v>20.163959999999999</v>
      </c>
      <c r="N148" s="23">
        <f>(scatterplots_LWG_grazdays_CS!$V$4*$A148+scatterplots_LWG_grazdays_CS!$W$4)/1000</f>
        <v>-0.24604000000000006</v>
      </c>
      <c r="O148" s="23">
        <f t="shared" si="85"/>
        <v>-0.20604000000000006</v>
      </c>
      <c r="P148" s="23">
        <f t="shared" si="85"/>
        <v>-0.16604000000000008</v>
      </c>
      <c r="Q148" s="23">
        <f t="shared" si="85"/>
        <v>-0.12604000000000007</v>
      </c>
      <c r="R148" s="23">
        <f>(scatterplots_LWG_grazdays_CS!$V$4*$A148+scatterplots_LWG_grazdays_CS!$W$4)/1000+R147</f>
        <v>3.6660599999999959</v>
      </c>
      <c r="S148" s="23">
        <f t="shared" si="91"/>
        <v>5.9060599999999974</v>
      </c>
      <c r="T148" s="23">
        <f t="shared" si="91"/>
        <v>8.146059999999995</v>
      </c>
      <c r="U148" s="23">
        <f t="shared" si="66"/>
        <v>10.386059999999997</v>
      </c>
      <c r="V148" s="23">
        <f>(scatterplots_LWG_grazdays_CS!$V$5*$A148+scatterplots_LWG_grazdays_CS!$W$5)/1000</f>
        <v>-0.32488</v>
      </c>
      <c r="W148" s="23">
        <f t="shared" si="86"/>
        <v>-0.28488000000000002</v>
      </c>
      <c r="X148" s="23">
        <f t="shared" si="87"/>
        <v>-0.24487999999999999</v>
      </c>
      <c r="Y148" s="23">
        <f t="shared" si="87"/>
        <v>-0.20488000000000001</v>
      </c>
      <c r="Z148" s="23">
        <f>(scatterplots_LWG_grazdays_CS!$V$5*$A148+scatterplots_LWG_grazdays_CS!$W$5)/1000+Z147</f>
        <v>-2.1286800000000028</v>
      </c>
      <c r="AA148" s="23">
        <f t="shared" si="92"/>
        <v>0.1113199999999947</v>
      </c>
      <c r="AB148" s="23">
        <f t="shared" si="92"/>
        <v>2.3513199999999959</v>
      </c>
      <c r="AC148" s="23">
        <f t="shared" si="67"/>
        <v>4.5913199999999961</v>
      </c>
      <c r="AD148" s="23">
        <f>(scatterplots_LWG_grazdays_CS!$V$6*$A148+scatterplots_LWG_grazdays_CS!$W$6)/1000</f>
        <v>-0.45043999999999995</v>
      </c>
      <c r="AE148" s="23">
        <f t="shared" si="88"/>
        <v>-0.41043999999999997</v>
      </c>
      <c r="AF148" s="23">
        <f t="shared" si="93"/>
        <v>-0.37043999999999994</v>
      </c>
      <c r="AG148" s="23">
        <f t="shared" si="93"/>
        <v>-0.33043999999999996</v>
      </c>
      <c r="AH148" s="23">
        <f>(scatterplots_LWG_grazdays_CS!$V$6*$A148+scatterplots_LWG_grazdays_CS!$W$6)/1000+AH147</f>
        <v>-11.357339999999992</v>
      </c>
      <c r="AI148" s="23">
        <f t="shared" si="90"/>
        <v>-9.1173399999999933</v>
      </c>
      <c r="AJ148" s="23">
        <f t="shared" si="90"/>
        <v>-6.8773399999999896</v>
      </c>
      <c r="AK148" s="23">
        <f t="shared" si="90"/>
        <v>-4.6373399999999911</v>
      </c>
    </row>
    <row r="149" spans="1:37">
      <c r="A149" s="12">
        <v>147</v>
      </c>
      <c r="B149" s="12">
        <v>58</v>
      </c>
      <c r="C149" s="23">
        <f>(scatterplots_LWG_grazdays_CS!$V$3*$A149+scatterplots_LWG_grazdays_CS!$W$3)/1000</f>
        <v>-0.11747999999999996</v>
      </c>
      <c r="D149" s="23">
        <f t="shared" si="84"/>
        <v>-7.7479999999999966E-2</v>
      </c>
      <c r="E149" s="23">
        <f t="shared" si="84"/>
        <v>-3.7479999999999958E-2</v>
      </c>
      <c r="F149" s="23">
        <f t="shared" si="84"/>
        <v>2.5200000000000361E-3</v>
      </c>
      <c r="G149" s="23">
        <f>(scatterplots_LWG_grazdays_CS!$V$3*$A149+scatterplots_LWG_grazdays_CS!$W$3)/1000+G148</f>
        <v>13.206480000000003</v>
      </c>
      <c r="H149" s="23">
        <f t="shared" si="71"/>
        <v>15.526480000000003</v>
      </c>
      <c r="I149" s="23">
        <f t="shared" si="72"/>
        <v>17.32648</v>
      </c>
      <c r="J149" s="23">
        <f t="shared" si="80"/>
        <v>18.32648</v>
      </c>
      <c r="K149" s="23">
        <f t="shared" si="89"/>
        <v>18.726480000000002</v>
      </c>
      <c r="L149" s="23">
        <f t="shared" si="89"/>
        <v>17.846480000000007</v>
      </c>
      <c r="M149" s="23">
        <f t="shared" si="89"/>
        <v>20.16648</v>
      </c>
      <c r="N149" s="23">
        <f>(scatterplots_LWG_grazdays_CS!$V$4*$A149+scatterplots_LWG_grazdays_CS!$W$4)/1000</f>
        <v>-0.24978000000000009</v>
      </c>
      <c r="O149" s="23">
        <f t="shared" si="85"/>
        <v>-0.20978000000000008</v>
      </c>
      <c r="P149" s="23">
        <f t="shared" si="85"/>
        <v>-0.1697800000000001</v>
      </c>
      <c r="Q149" s="23">
        <f t="shared" si="85"/>
        <v>-0.12978000000000009</v>
      </c>
      <c r="R149" s="23">
        <f>(scatterplots_LWG_grazdays_CS!$V$4*$A149+scatterplots_LWG_grazdays_CS!$W$4)/1000+R148</f>
        <v>3.416279999999996</v>
      </c>
      <c r="S149" s="23">
        <f t="shared" si="91"/>
        <v>5.6962799999999971</v>
      </c>
      <c r="T149" s="23">
        <f t="shared" si="91"/>
        <v>7.9762799999999947</v>
      </c>
      <c r="U149" s="23">
        <f t="shared" si="66"/>
        <v>10.256279999999997</v>
      </c>
      <c r="V149" s="23">
        <f>(scatterplots_LWG_grazdays_CS!$V$5*$A149+scatterplots_LWG_grazdays_CS!$W$5)/1000</f>
        <v>-0.32916000000000006</v>
      </c>
      <c r="W149" s="23">
        <f t="shared" si="86"/>
        <v>-0.28916000000000008</v>
      </c>
      <c r="X149" s="23">
        <f t="shared" si="87"/>
        <v>-0.24916000000000005</v>
      </c>
      <c r="Y149" s="23">
        <f t="shared" si="87"/>
        <v>-0.20916000000000007</v>
      </c>
      <c r="Z149" s="23">
        <f>(scatterplots_LWG_grazdays_CS!$V$5*$A149+scatterplots_LWG_grazdays_CS!$W$5)/1000+Z148</f>
        <v>-2.4578400000000027</v>
      </c>
      <c r="AA149" s="23">
        <f t="shared" si="92"/>
        <v>-0.17784000000000538</v>
      </c>
      <c r="AB149" s="23">
        <f t="shared" si="92"/>
        <v>2.102159999999996</v>
      </c>
      <c r="AC149" s="23">
        <f t="shared" si="67"/>
        <v>4.3821599999999963</v>
      </c>
      <c r="AD149" s="23">
        <f>(scatterplots_LWG_grazdays_CS!$V$6*$A149+scatterplots_LWG_grazdays_CS!$W$6)/1000</f>
        <v>-0.45557999999999993</v>
      </c>
      <c r="AE149" s="23">
        <f t="shared" si="88"/>
        <v>-0.41557999999999995</v>
      </c>
      <c r="AF149" s="23">
        <f t="shared" si="93"/>
        <v>-0.37557999999999991</v>
      </c>
      <c r="AG149" s="23">
        <f t="shared" si="93"/>
        <v>-0.33557999999999993</v>
      </c>
      <c r="AH149" s="23">
        <f>(scatterplots_LWG_grazdays_CS!$V$6*$A149+scatterplots_LWG_grazdays_CS!$W$6)/1000+AH148</f>
        <v>-11.812919999999991</v>
      </c>
      <c r="AI149" s="23">
        <f t="shared" si="90"/>
        <v>-9.5329199999999936</v>
      </c>
      <c r="AJ149" s="23">
        <f t="shared" si="90"/>
        <v>-7.2529199999999898</v>
      </c>
      <c r="AK149" s="23">
        <f t="shared" si="90"/>
        <v>-4.9729199999999913</v>
      </c>
    </row>
    <row r="150" spans="1:37">
      <c r="A150" s="12">
        <v>148</v>
      </c>
      <c r="B150" s="12">
        <v>59</v>
      </c>
      <c r="C150" s="23">
        <f>(scatterplots_LWG_grazdays_CS!$V$3*$A150+scatterplots_LWG_grazdays_CS!$W$3)/1000</f>
        <v>-0.12032</v>
      </c>
      <c r="D150" s="23">
        <f t="shared" si="84"/>
        <v>-8.0320000000000003E-2</v>
      </c>
      <c r="E150" s="23">
        <f t="shared" si="84"/>
        <v>-4.0319999999999995E-2</v>
      </c>
      <c r="F150" s="23">
        <f t="shared" si="84"/>
        <v>-3.2000000000000084E-4</v>
      </c>
      <c r="G150" s="23">
        <f>(scatterplots_LWG_grazdays_CS!$V$3*$A150+scatterplots_LWG_grazdays_CS!$W$3)/1000+G149</f>
        <v>13.086160000000003</v>
      </c>
      <c r="H150" s="23">
        <f t="shared" si="71"/>
        <v>15.446160000000003</v>
      </c>
      <c r="I150" s="23">
        <f t="shared" si="72"/>
        <v>17.24616</v>
      </c>
      <c r="J150" s="23">
        <f t="shared" si="80"/>
        <v>18.24616</v>
      </c>
      <c r="K150" s="23">
        <f t="shared" si="89"/>
        <v>18.646160000000002</v>
      </c>
      <c r="L150" s="23">
        <f t="shared" si="89"/>
        <v>17.806160000000006</v>
      </c>
      <c r="M150" s="23">
        <f t="shared" si="89"/>
        <v>20.166160000000001</v>
      </c>
      <c r="N150" s="23">
        <f>(scatterplots_LWG_grazdays_CS!$V$4*$A150+scatterplots_LWG_grazdays_CS!$W$4)/1000</f>
        <v>-0.25351999999999997</v>
      </c>
      <c r="O150" s="23">
        <f t="shared" si="85"/>
        <v>-0.21351999999999996</v>
      </c>
      <c r="P150" s="23">
        <f t="shared" si="85"/>
        <v>-0.17351999999999995</v>
      </c>
      <c r="Q150" s="23">
        <f t="shared" si="85"/>
        <v>-0.13351999999999997</v>
      </c>
      <c r="R150" s="23">
        <f>(scatterplots_LWG_grazdays_CS!$V$4*$A150+scatterplots_LWG_grazdays_CS!$W$4)/1000+R149</f>
        <v>3.162759999999996</v>
      </c>
      <c r="S150" s="23">
        <f t="shared" si="91"/>
        <v>5.4827599999999972</v>
      </c>
      <c r="T150" s="23">
        <f t="shared" si="91"/>
        <v>7.8027599999999948</v>
      </c>
      <c r="U150" s="23">
        <f t="shared" si="66"/>
        <v>10.122759999999996</v>
      </c>
      <c r="V150" s="23">
        <f>(scatterplots_LWG_grazdays_CS!$V$5*$A150+scatterplots_LWG_grazdays_CS!$W$5)/1000</f>
        <v>-0.33344000000000007</v>
      </c>
      <c r="W150" s="23">
        <f t="shared" si="86"/>
        <v>-0.29344000000000009</v>
      </c>
      <c r="X150" s="23">
        <f t="shared" si="87"/>
        <v>-0.25344000000000005</v>
      </c>
      <c r="Y150" s="23">
        <f t="shared" si="87"/>
        <v>-0.21344000000000007</v>
      </c>
      <c r="Z150" s="23">
        <f>(scatterplots_LWG_grazdays_CS!$V$5*$A150+scatterplots_LWG_grazdays_CS!$W$5)/1000+Z149</f>
        <v>-2.7912800000000026</v>
      </c>
      <c r="AA150" s="23">
        <f t="shared" si="92"/>
        <v>-0.47128000000000547</v>
      </c>
      <c r="AB150" s="23">
        <f t="shared" si="92"/>
        <v>1.8487199999999959</v>
      </c>
      <c r="AC150" s="23">
        <f t="shared" si="67"/>
        <v>4.168719999999996</v>
      </c>
      <c r="AD150" s="23">
        <f>(scatterplots_LWG_grazdays_CS!$V$6*$A150+scatterplots_LWG_grazdays_CS!$W$6)/1000</f>
        <v>-0.46071999999999991</v>
      </c>
      <c r="AE150" s="23">
        <f t="shared" si="88"/>
        <v>-0.42071999999999993</v>
      </c>
      <c r="AF150" s="23">
        <f t="shared" si="93"/>
        <v>-0.38071999999999989</v>
      </c>
      <c r="AG150" s="23">
        <f t="shared" si="93"/>
        <v>-0.34071999999999991</v>
      </c>
      <c r="AH150" s="23">
        <f>(scatterplots_LWG_grazdays_CS!$V$6*$A150+scatterplots_LWG_grazdays_CS!$W$6)/1000+AH149</f>
        <v>-12.273639999999991</v>
      </c>
      <c r="AI150" s="23">
        <f t="shared" si="90"/>
        <v>-9.9536399999999929</v>
      </c>
      <c r="AJ150" s="23">
        <f t="shared" si="90"/>
        <v>-7.63363999999999</v>
      </c>
      <c r="AK150" s="23">
        <f t="shared" si="90"/>
        <v>-5.3136399999999915</v>
      </c>
    </row>
    <row r="151" spans="1:37">
      <c r="A151" s="12">
        <v>149</v>
      </c>
      <c r="B151" s="12">
        <v>60</v>
      </c>
      <c r="C151" s="23">
        <f>(scatterplots_LWG_grazdays_CS!$V$3*$A151+scatterplots_LWG_grazdays_CS!$W$3)/1000</f>
        <v>-0.12315999999999996</v>
      </c>
      <c r="D151" s="23">
        <f t="shared" si="84"/>
        <v>-8.3159999999999956E-2</v>
      </c>
      <c r="E151" s="23">
        <f t="shared" si="84"/>
        <v>-4.3159999999999962E-2</v>
      </c>
      <c r="F151" s="23">
        <f t="shared" si="84"/>
        <v>-3.1599999999999684E-3</v>
      </c>
      <c r="G151" s="23">
        <f>(scatterplots_LWG_grazdays_CS!$V$3*$A151+scatterplots_LWG_grazdays_CS!$W$3)/1000+G150</f>
        <v>12.963000000000003</v>
      </c>
      <c r="H151" s="23">
        <f t="shared" si="71"/>
        <v>15.363000000000003</v>
      </c>
      <c r="I151" s="23">
        <f t="shared" si="72"/>
        <v>17.163</v>
      </c>
      <c r="J151" s="23">
        <f t="shared" si="80"/>
        <v>18.163</v>
      </c>
      <c r="K151" s="23">
        <f t="shared" si="89"/>
        <v>18.563000000000002</v>
      </c>
      <c r="L151" s="23">
        <f t="shared" si="89"/>
        <v>17.763000000000005</v>
      </c>
      <c r="M151" s="23">
        <f t="shared" si="89"/>
        <v>20.163</v>
      </c>
      <c r="N151" s="23">
        <f>(scatterplots_LWG_grazdays_CS!$V$4*$A151+scatterplots_LWG_grazdays_CS!$W$4)/1000</f>
        <v>-0.25725999999999999</v>
      </c>
      <c r="O151" s="23">
        <f t="shared" si="85"/>
        <v>-0.21725999999999998</v>
      </c>
      <c r="P151" s="23">
        <f t="shared" si="85"/>
        <v>-0.17725999999999997</v>
      </c>
      <c r="Q151" s="23">
        <f t="shared" si="85"/>
        <v>-0.13725999999999999</v>
      </c>
      <c r="R151" s="23">
        <f>(scatterplots_LWG_grazdays_CS!$V$4*$A151+scatterplots_LWG_grazdays_CS!$W$4)/1000+R150</f>
        <v>2.905499999999996</v>
      </c>
      <c r="S151" s="23">
        <f t="shared" si="91"/>
        <v>5.2654999999999976</v>
      </c>
      <c r="T151" s="23">
        <f t="shared" si="91"/>
        <v>7.6254999999999953</v>
      </c>
      <c r="U151" s="23">
        <f t="shared" si="66"/>
        <v>9.9854999999999965</v>
      </c>
      <c r="V151" s="23">
        <f>(scatterplots_LWG_grazdays_CS!$V$5*$A151+scatterplots_LWG_grazdays_CS!$W$5)/1000</f>
        <v>-0.33772000000000002</v>
      </c>
      <c r="W151" s="23">
        <f t="shared" si="86"/>
        <v>-0.29772000000000004</v>
      </c>
      <c r="X151" s="23">
        <f t="shared" si="87"/>
        <v>-0.25772</v>
      </c>
      <c r="Y151" s="23">
        <f t="shared" si="87"/>
        <v>-0.21772000000000002</v>
      </c>
      <c r="Z151" s="23">
        <f>(scatterplots_LWG_grazdays_CS!$V$5*$A151+scatterplots_LWG_grazdays_CS!$W$5)/1000+Z150</f>
        <v>-3.1290000000000027</v>
      </c>
      <c r="AA151" s="23">
        <f t="shared" si="92"/>
        <v>-0.76900000000000546</v>
      </c>
      <c r="AB151" s="23">
        <f t="shared" si="92"/>
        <v>1.590999999999996</v>
      </c>
      <c r="AC151" s="23">
        <f t="shared" si="67"/>
        <v>3.9509999999999961</v>
      </c>
      <c r="AD151" s="23">
        <f>(scatterplots_LWG_grazdays_CS!$V$6*$A151+scatterplots_LWG_grazdays_CS!$W$6)/1000</f>
        <v>-0.46585999999999989</v>
      </c>
      <c r="AE151" s="23">
        <f t="shared" si="88"/>
        <v>-0.42585999999999991</v>
      </c>
      <c r="AF151" s="23">
        <f t="shared" si="93"/>
        <v>-0.38585999999999987</v>
      </c>
      <c r="AG151" s="23">
        <f t="shared" si="93"/>
        <v>-0.34585999999999989</v>
      </c>
      <c r="AH151" s="23">
        <f>(scatterplots_LWG_grazdays_CS!$V$6*$A151+scatterplots_LWG_grazdays_CS!$W$6)/1000+AH150</f>
        <v>-12.739499999999991</v>
      </c>
      <c r="AI151" s="23">
        <f t="shared" si="90"/>
        <v>-10.379499999999993</v>
      </c>
      <c r="AJ151" s="23">
        <f t="shared" si="90"/>
        <v>-8.0194999999999901</v>
      </c>
      <c r="AK151" s="23">
        <f t="shared" si="90"/>
        <v>-5.6594999999999915</v>
      </c>
    </row>
    <row r="152" spans="1:37">
      <c r="A152" s="12">
        <v>150</v>
      </c>
      <c r="B152" s="12">
        <v>61</v>
      </c>
      <c r="C152" s="23">
        <f>(scatterplots_LWG_grazdays_CS!$V$3*$A152+scatterplots_LWG_grazdays_CS!$W$3)/1000</f>
        <v>-0.126</v>
      </c>
      <c r="D152" s="23">
        <f t="shared" si="84"/>
        <v>-8.5999999999999993E-2</v>
      </c>
      <c r="E152" s="23">
        <f t="shared" si="84"/>
        <v>-4.5999999999999999E-2</v>
      </c>
      <c r="F152" s="23">
        <f t="shared" si="84"/>
        <v>-6.0000000000000053E-3</v>
      </c>
      <c r="G152" s="23">
        <f>(scatterplots_LWG_grazdays_CS!$V$3*$A152+scatterplots_LWG_grazdays_CS!$W$3)/1000+G151</f>
        <v>12.837000000000003</v>
      </c>
      <c r="H152" s="23">
        <f t="shared" si="71"/>
        <v>15.277000000000003</v>
      </c>
      <c r="I152" s="23">
        <f t="shared" si="72"/>
        <v>17.077000000000002</v>
      </c>
      <c r="J152" s="23">
        <f t="shared" si="80"/>
        <v>18.077000000000002</v>
      </c>
      <c r="K152" s="23">
        <f t="shared" ref="K152:M167" si="94">D152+K151</f>
        <v>18.477000000000004</v>
      </c>
      <c r="L152" s="23">
        <f t="shared" si="94"/>
        <v>17.717000000000006</v>
      </c>
      <c r="M152" s="23">
        <f t="shared" si="94"/>
        <v>20.157</v>
      </c>
      <c r="N152" s="23">
        <f>(scatterplots_LWG_grazdays_CS!$V$4*$A152+scatterplots_LWG_grazdays_CS!$W$4)/1000</f>
        <v>-0.26100000000000001</v>
      </c>
      <c r="O152" s="23">
        <f t="shared" si="85"/>
        <v>-0.221</v>
      </c>
      <c r="P152" s="23">
        <f t="shared" si="85"/>
        <v>-0.18099999999999999</v>
      </c>
      <c r="Q152" s="23">
        <f t="shared" si="85"/>
        <v>-0.14100000000000001</v>
      </c>
      <c r="R152" s="23">
        <f>(scatterplots_LWG_grazdays_CS!$V$4*$A152+scatterplots_LWG_grazdays_CS!$W$4)/1000+R151</f>
        <v>2.6444999999999959</v>
      </c>
      <c r="S152" s="23">
        <f t="shared" si="91"/>
        <v>5.0444999999999975</v>
      </c>
      <c r="T152" s="23">
        <f t="shared" si="91"/>
        <v>7.4444999999999952</v>
      </c>
      <c r="U152" s="23">
        <f t="shared" si="66"/>
        <v>9.8444999999999965</v>
      </c>
      <c r="V152" s="23">
        <f>(scatterplots_LWG_grazdays_CS!$V$5*$A152+scatterplots_LWG_grazdays_CS!$W$5)/1000</f>
        <v>-0.34200000000000003</v>
      </c>
      <c r="W152" s="23">
        <f t="shared" si="86"/>
        <v>-0.30200000000000005</v>
      </c>
      <c r="X152" s="23">
        <f t="shared" si="87"/>
        <v>-0.26200000000000001</v>
      </c>
      <c r="Y152" s="23">
        <f t="shared" si="87"/>
        <v>-0.22200000000000003</v>
      </c>
      <c r="Z152" s="23">
        <f>(scatterplots_LWG_grazdays_CS!$V$5*$A152+scatterplots_LWG_grazdays_CS!$W$5)/1000+Z151</f>
        <v>-3.4710000000000027</v>
      </c>
      <c r="AA152" s="23">
        <f t="shared" si="92"/>
        <v>-1.0710000000000055</v>
      </c>
      <c r="AB152" s="23">
        <f t="shared" si="92"/>
        <v>1.328999999999996</v>
      </c>
      <c r="AC152" s="23">
        <f t="shared" si="67"/>
        <v>3.7289999999999961</v>
      </c>
      <c r="AD152" s="23">
        <f>(scatterplots_LWG_grazdays_CS!$V$6*$A152+scatterplots_LWG_grazdays_CS!$W$6)/1000</f>
        <v>-0.47099999999999997</v>
      </c>
      <c r="AE152" s="23">
        <f t="shared" si="88"/>
        <v>-0.43099999999999999</v>
      </c>
      <c r="AF152" s="23">
        <f t="shared" si="93"/>
        <v>-0.39099999999999996</v>
      </c>
      <c r="AG152" s="23">
        <f t="shared" si="93"/>
        <v>-0.35099999999999998</v>
      </c>
      <c r="AH152" s="23">
        <f>(scatterplots_LWG_grazdays_CS!$V$6*$A152+scatterplots_LWG_grazdays_CS!$W$6)/1000+AH151</f>
        <v>-13.210499999999991</v>
      </c>
      <c r="AI152" s="23">
        <f t="shared" si="90"/>
        <v>-10.810499999999992</v>
      </c>
      <c r="AJ152" s="23">
        <f t="shared" si="90"/>
        <v>-8.4104999999999901</v>
      </c>
      <c r="AK152" s="23">
        <f t="shared" si="90"/>
        <v>-6.0104999999999915</v>
      </c>
    </row>
    <row r="153" spans="1:37">
      <c r="A153" s="12">
        <v>151</v>
      </c>
      <c r="B153" s="12">
        <v>62</v>
      </c>
      <c r="C153" s="23">
        <f>(scatterplots_LWG_grazdays_CS!$V$3*$A153+scatterplots_LWG_grazdays_CS!$W$3)/1000</f>
        <v>-0.12883999999999998</v>
      </c>
      <c r="D153" s="23">
        <f t="shared" si="84"/>
        <v>-8.8839999999999975E-2</v>
      </c>
      <c r="E153" s="23">
        <f t="shared" si="84"/>
        <v>-4.8839999999999981E-2</v>
      </c>
      <c r="F153" s="23">
        <f t="shared" si="84"/>
        <v>-8.8399999999999868E-3</v>
      </c>
      <c r="G153" s="23">
        <f>(scatterplots_LWG_grazdays_CS!$V$3*$A153+scatterplots_LWG_grazdays_CS!$W$3)/1000+G152</f>
        <v>12.708160000000003</v>
      </c>
      <c r="H153" s="23">
        <f t="shared" si="71"/>
        <v>15.188160000000003</v>
      </c>
      <c r="I153" s="23">
        <f t="shared" si="72"/>
        <v>16.988160000000001</v>
      </c>
      <c r="J153" s="23">
        <f t="shared" si="80"/>
        <v>17.988160000000001</v>
      </c>
      <c r="K153" s="23">
        <f t="shared" si="94"/>
        <v>18.388160000000003</v>
      </c>
      <c r="L153" s="23">
        <f t="shared" si="94"/>
        <v>17.668160000000007</v>
      </c>
      <c r="M153" s="23">
        <f t="shared" si="94"/>
        <v>20.148160000000001</v>
      </c>
      <c r="N153" s="23">
        <f>(scatterplots_LWG_grazdays_CS!$V$4*$A153+scatterplots_LWG_grazdays_CS!$W$4)/1000</f>
        <v>-0.26474000000000003</v>
      </c>
      <c r="O153" s="23">
        <f t="shared" si="85"/>
        <v>-0.22474000000000002</v>
      </c>
      <c r="P153" s="23">
        <f t="shared" si="85"/>
        <v>-0.18474000000000002</v>
      </c>
      <c r="Q153" s="23">
        <f t="shared" si="85"/>
        <v>-0.14474000000000004</v>
      </c>
      <c r="R153" s="23">
        <f>(scatterplots_LWG_grazdays_CS!$V$4*$A153+scatterplots_LWG_grazdays_CS!$W$4)/1000+R152</f>
        <v>2.3797599999999957</v>
      </c>
      <c r="S153" s="23">
        <f t="shared" si="91"/>
        <v>4.8197599999999978</v>
      </c>
      <c r="T153" s="23">
        <f t="shared" si="91"/>
        <v>7.2597599999999956</v>
      </c>
      <c r="U153" s="23">
        <f t="shared" si="66"/>
        <v>9.6997599999999959</v>
      </c>
      <c r="V153" s="23">
        <f>(scatterplots_LWG_grazdays_CS!$V$5*$A153+scatterplots_LWG_grazdays_CS!$W$5)/1000</f>
        <v>-0.34628000000000009</v>
      </c>
      <c r="W153" s="23">
        <f t="shared" si="86"/>
        <v>-0.30628000000000011</v>
      </c>
      <c r="X153" s="23">
        <f t="shared" si="87"/>
        <v>-0.26628000000000007</v>
      </c>
      <c r="Y153" s="23">
        <f t="shared" si="87"/>
        <v>-0.22628000000000009</v>
      </c>
      <c r="Z153" s="23">
        <f>(scatterplots_LWG_grazdays_CS!$V$5*$A153+scatterplots_LWG_grazdays_CS!$W$5)/1000+Z152</f>
        <v>-3.8172800000000029</v>
      </c>
      <c r="AA153" s="23">
        <f t="shared" si="92"/>
        <v>-1.3772800000000056</v>
      </c>
      <c r="AB153" s="23">
        <f t="shared" si="92"/>
        <v>1.0627199999999959</v>
      </c>
      <c r="AC153" s="23">
        <f t="shared" si="67"/>
        <v>3.5027199999999961</v>
      </c>
      <c r="AD153" s="23">
        <f>(scatterplots_LWG_grazdays_CS!$V$6*$A153+scatterplots_LWG_grazdays_CS!$W$6)/1000</f>
        <v>-0.47614000000000001</v>
      </c>
      <c r="AE153" s="23">
        <f t="shared" si="88"/>
        <v>-0.43614000000000003</v>
      </c>
      <c r="AF153" s="23">
        <f t="shared" si="93"/>
        <v>-0.39613999999999999</v>
      </c>
      <c r="AG153" s="23">
        <f t="shared" si="93"/>
        <v>-0.35614000000000001</v>
      </c>
      <c r="AH153" s="23">
        <f>(scatterplots_LWG_grazdays_CS!$V$6*$A153+scatterplots_LWG_grazdays_CS!$W$6)/1000+AH152</f>
        <v>-13.68663999999999</v>
      </c>
      <c r="AI153" s="23">
        <f t="shared" si="90"/>
        <v>-11.246639999999992</v>
      </c>
      <c r="AJ153" s="23">
        <f t="shared" si="90"/>
        <v>-8.8066399999999909</v>
      </c>
      <c r="AK153" s="23">
        <f t="shared" si="90"/>
        <v>-6.3666399999999914</v>
      </c>
    </row>
    <row r="154" spans="1:37">
      <c r="A154" s="12">
        <v>152</v>
      </c>
      <c r="B154" s="12">
        <v>63</v>
      </c>
      <c r="C154" s="23">
        <f>(scatterplots_LWG_grazdays_CS!$V$3*$A154+scatterplots_LWG_grazdays_CS!$W$3)/1000</f>
        <v>-0.13167999999999996</v>
      </c>
      <c r="D154" s="23">
        <f t="shared" si="84"/>
        <v>-9.1679999999999956E-2</v>
      </c>
      <c r="E154" s="23">
        <f t="shared" si="84"/>
        <v>-5.1679999999999962E-2</v>
      </c>
      <c r="F154" s="23">
        <f t="shared" si="84"/>
        <v>-1.1679999999999968E-2</v>
      </c>
      <c r="G154" s="23">
        <f>(scatterplots_LWG_grazdays_CS!$V$3*$A154+scatterplots_LWG_grazdays_CS!$W$3)/1000+G153</f>
        <v>12.576480000000004</v>
      </c>
      <c r="H154" s="23">
        <f t="shared" si="71"/>
        <v>15.096480000000003</v>
      </c>
      <c r="I154" s="23">
        <f t="shared" si="72"/>
        <v>16.89648</v>
      </c>
      <c r="J154" s="23">
        <f t="shared" si="80"/>
        <v>17.89648</v>
      </c>
      <c r="K154" s="23">
        <f t="shared" si="94"/>
        <v>18.296480000000003</v>
      </c>
      <c r="L154" s="23">
        <f t="shared" si="94"/>
        <v>17.616480000000006</v>
      </c>
      <c r="M154" s="23">
        <f t="shared" si="94"/>
        <v>20.136480000000002</v>
      </c>
      <c r="N154" s="23">
        <f>(scatterplots_LWG_grazdays_CS!$V$4*$A154+scatterplots_LWG_grazdays_CS!$W$4)/1000</f>
        <v>-0.26848</v>
      </c>
      <c r="O154" s="23">
        <f t="shared" si="85"/>
        <v>-0.22847999999999999</v>
      </c>
      <c r="P154" s="23">
        <f t="shared" si="85"/>
        <v>-0.18847999999999998</v>
      </c>
      <c r="Q154" s="23">
        <f t="shared" si="85"/>
        <v>-0.14848</v>
      </c>
      <c r="R154" s="23">
        <f>(scatterplots_LWG_grazdays_CS!$V$4*$A154+scatterplots_LWG_grazdays_CS!$W$4)/1000+R153</f>
        <v>2.1112799999999958</v>
      </c>
      <c r="S154" s="23">
        <f t="shared" si="91"/>
        <v>4.5912799999999976</v>
      </c>
      <c r="T154" s="23">
        <f t="shared" si="91"/>
        <v>7.0712799999999953</v>
      </c>
      <c r="U154" s="23">
        <f t="shared" si="66"/>
        <v>9.5512799999999967</v>
      </c>
      <c r="V154" s="23">
        <f>(scatterplots_LWG_grazdays_CS!$V$5*$A154+scatterplots_LWG_grazdays_CS!$W$5)/1000</f>
        <v>-0.35056000000000004</v>
      </c>
      <c r="W154" s="23">
        <f t="shared" si="86"/>
        <v>-0.31056000000000006</v>
      </c>
      <c r="X154" s="23">
        <f t="shared" si="87"/>
        <v>-0.27056000000000002</v>
      </c>
      <c r="Y154" s="23">
        <f t="shared" si="87"/>
        <v>-0.23056000000000004</v>
      </c>
      <c r="Z154" s="23">
        <f>(scatterplots_LWG_grazdays_CS!$V$5*$A154+scatterplots_LWG_grazdays_CS!$W$5)/1000+Z153</f>
        <v>-4.1678400000000027</v>
      </c>
      <c r="AA154" s="23">
        <f t="shared" si="92"/>
        <v>-1.6878400000000058</v>
      </c>
      <c r="AB154" s="23">
        <f t="shared" si="92"/>
        <v>0.79215999999999587</v>
      </c>
      <c r="AC154" s="23">
        <f t="shared" si="67"/>
        <v>3.272159999999996</v>
      </c>
      <c r="AD154" s="23">
        <f>(scatterplots_LWG_grazdays_CS!$V$6*$A154+scatterplots_LWG_grazdays_CS!$W$6)/1000</f>
        <v>-0.48127999999999999</v>
      </c>
      <c r="AE154" s="23">
        <f t="shared" si="88"/>
        <v>-0.44128000000000001</v>
      </c>
      <c r="AF154" s="23">
        <f t="shared" si="93"/>
        <v>-0.40127999999999997</v>
      </c>
      <c r="AG154" s="23">
        <f t="shared" si="93"/>
        <v>-0.36127999999999999</v>
      </c>
      <c r="AH154" s="23">
        <f>(scatterplots_LWG_grazdays_CS!$V$6*$A154+scatterplots_LWG_grazdays_CS!$W$6)/1000+AH153</f>
        <v>-14.16791999999999</v>
      </c>
      <c r="AI154" s="23">
        <f t="shared" si="90"/>
        <v>-11.687919999999993</v>
      </c>
      <c r="AJ154" s="23">
        <f t="shared" si="90"/>
        <v>-9.2079199999999908</v>
      </c>
      <c r="AK154" s="23">
        <f t="shared" si="90"/>
        <v>-6.7279199999999912</v>
      </c>
    </row>
    <row r="155" spans="1:37">
      <c r="A155" s="12">
        <v>153</v>
      </c>
      <c r="B155" s="12">
        <v>64</v>
      </c>
      <c r="C155" s="23">
        <f>(scatterplots_LWG_grazdays_CS!$V$3*$A155+scatterplots_LWG_grazdays_CS!$W$3)/1000</f>
        <v>-0.13451999999999997</v>
      </c>
      <c r="D155" s="23">
        <f t="shared" si="84"/>
        <v>-9.4519999999999965E-2</v>
      </c>
      <c r="E155" s="23">
        <f t="shared" si="84"/>
        <v>-5.4519999999999971E-2</v>
      </c>
      <c r="F155" s="23">
        <f t="shared" si="84"/>
        <v>-1.4519999999999977E-2</v>
      </c>
      <c r="G155" s="23">
        <f>(scatterplots_LWG_grazdays_CS!$V$3*$A155+scatterplots_LWG_grazdays_CS!$W$3)/1000+G154</f>
        <v>12.441960000000003</v>
      </c>
      <c r="H155" s="23">
        <f t="shared" si="71"/>
        <v>15.001960000000004</v>
      </c>
      <c r="I155" s="23">
        <f t="shared" si="72"/>
        <v>16.801960000000001</v>
      </c>
      <c r="J155" s="23">
        <f t="shared" si="80"/>
        <v>17.801960000000001</v>
      </c>
      <c r="K155" s="23">
        <f t="shared" si="94"/>
        <v>18.201960000000003</v>
      </c>
      <c r="L155" s="23">
        <f t="shared" si="94"/>
        <v>17.561960000000006</v>
      </c>
      <c r="M155" s="23">
        <f t="shared" si="94"/>
        <v>20.121960000000001</v>
      </c>
      <c r="N155" s="23">
        <f>(scatterplots_LWG_grazdays_CS!$V$4*$A155+scatterplots_LWG_grazdays_CS!$W$4)/1000</f>
        <v>-0.27222000000000002</v>
      </c>
      <c r="O155" s="23">
        <f t="shared" si="85"/>
        <v>-0.23222000000000001</v>
      </c>
      <c r="P155" s="23">
        <f t="shared" si="85"/>
        <v>-0.19222</v>
      </c>
      <c r="Q155" s="23">
        <f t="shared" si="85"/>
        <v>-0.15222000000000002</v>
      </c>
      <c r="R155" s="23">
        <f>(scatterplots_LWG_grazdays_CS!$V$4*$A155+scatterplots_LWG_grazdays_CS!$W$4)/1000+R154</f>
        <v>1.8390599999999959</v>
      </c>
      <c r="S155" s="23">
        <f t="shared" si="91"/>
        <v>4.3590599999999977</v>
      </c>
      <c r="T155" s="23">
        <f t="shared" si="91"/>
        <v>6.8790599999999955</v>
      </c>
      <c r="U155" s="23">
        <f t="shared" si="66"/>
        <v>9.3990599999999969</v>
      </c>
      <c r="V155" s="23">
        <f>(scatterplots_LWG_grazdays_CS!$V$5*$A155+scatterplots_LWG_grazdays_CS!$W$5)/1000</f>
        <v>-0.35484000000000004</v>
      </c>
      <c r="W155" s="23">
        <f t="shared" si="86"/>
        <v>-0.31484000000000006</v>
      </c>
      <c r="X155" s="23">
        <f t="shared" si="87"/>
        <v>-0.27484000000000003</v>
      </c>
      <c r="Y155" s="23">
        <f t="shared" si="87"/>
        <v>-0.23484000000000005</v>
      </c>
      <c r="Z155" s="23">
        <f>(scatterplots_LWG_grazdays_CS!$V$5*$A155+scatterplots_LWG_grazdays_CS!$W$5)/1000+Z154</f>
        <v>-4.5226800000000029</v>
      </c>
      <c r="AA155" s="23">
        <f t="shared" si="92"/>
        <v>-2.002680000000006</v>
      </c>
      <c r="AB155" s="23">
        <f t="shared" si="92"/>
        <v>0.51731999999999578</v>
      </c>
      <c r="AC155" s="23">
        <f t="shared" si="67"/>
        <v>3.0373199999999958</v>
      </c>
      <c r="AD155" s="23">
        <f>(scatterplots_LWG_grazdays_CS!$V$6*$A155+scatterplots_LWG_grazdays_CS!$W$6)/1000</f>
        <v>-0.48641999999999996</v>
      </c>
      <c r="AE155" s="23">
        <f t="shared" si="88"/>
        <v>-0.44641999999999998</v>
      </c>
      <c r="AF155" s="23">
        <f t="shared" si="93"/>
        <v>-0.40641999999999995</v>
      </c>
      <c r="AG155" s="23">
        <f t="shared" si="93"/>
        <v>-0.36641999999999997</v>
      </c>
      <c r="AH155" s="23">
        <f>(scatterplots_LWG_grazdays_CS!$V$6*$A155+scatterplots_LWG_grazdays_CS!$W$6)/1000+AH154</f>
        <v>-14.654339999999991</v>
      </c>
      <c r="AI155" s="23">
        <f t="shared" si="90"/>
        <v>-12.134339999999993</v>
      </c>
      <c r="AJ155" s="23">
        <f t="shared" si="90"/>
        <v>-9.6143399999999914</v>
      </c>
      <c r="AK155" s="23">
        <f t="shared" si="90"/>
        <v>-7.094339999999991</v>
      </c>
    </row>
    <row r="156" spans="1:37">
      <c r="A156" s="12">
        <v>154</v>
      </c>
      <c r="B156" s="12">
        <v>65</v>
      </c>
      <c r="C156" s="23">
        <f>(scatterplots_LWG_grazdays_CS!$V$3*$A156+scatterplots_LWG_grazdays_CS!$W$3)/1000</f>
        <v>-0.13735999999999995</v>
      </c>
      <c r="D156" s="23">
        <f t="shared" si="84"/>
        <v>-9.7359999999999947E-2</v>
      </c>
      <c r="E156" s="23">
        <f t="shared" si="84"/>
        <v>-5.7359999999999953E-2</v>
      </c>
      <c r="F156" s="23">
        <f t="shared" si="84"/>
        <v>-1.7359999999999959E-2</v>
      </c>
      <c r="G156" s="23">
        <f>(scatterplots_LWG_grazdays_CS!$V$3*$A156+scatterplots_LWG_grazdays_CS!$W$3)/1000+G155</f>
        <v>12.304600000000004</v>
      </c>
      <c r="H156" s="23">
        <f t="shared" si="71"/>
        <v>14.904600000000004</v>
      </c>
      <c r="I156" s="23">
        <f t="shared" si="72"/>
        <v>16.704600000000003</v>
      </c>
      <c r="J156" s="23">
        <f t="shared" si="80"/>
        <v>17.704600000000003</v>
      </c>
      <c r="K156" s="23">
        <f t="shared" si="94"/>
        <v>18.104600000000005</v>
      </c>
      <c r="L156" s="23">
        <f t="shared" si="94"/>
        <v>17.504600000000007</v>
      </c>
      <c r="M156" s="23">
        <f t="shared" si="94"/>
        <v>20.104600000000001</v>
      </c>
      <c r="N156" s="23">
        <f>(scatterplots_LWG_grazdays_CS!$V$4*$A156+scatterplots_LWG_grazdays_CS!$W$4)/1000</f>
        <v>-0.27596000000000004</v>
      </c>
      <c r="O156" s="23">
        <f t="shared" si="85"/>
        <v>-0.23596000000000003</v>
      </c>
      <c r="P156" s="23">
        <f t="shared" si="85"/>
        <v>-0.19596000000000002</v>
      </c>
      <c r="Q156" s="23">
        <f t="shared" si="85"/>
        <v>-0.15596000000000004</v>
      </c>
      <c r="R156" s="23">
        <f>(scatterplots_LWG_grazdays_CS!$V$4*$A156+scatterplots_LWG_grazdays_CS!$W$4)/1000+R155</f>
        <v>1.5630999999999959</v>
      </c>
      <c r="S156" s="23">
        <f t="shared" si="91"/>
        <v>4.1230999999999973</v>
      </c>
      <c r="T156" s="23">
        <f t="shared" si="91"/>
        <v>6.6830999999999952</v>
      </c>
      <c r="U156" s="23">
        <f t="shared" si="66"/>
        <v>9.2430999999999965</v>
      </c>
      <c r="V156" s="23">
        <f>(scatterplots_LWG_grazdays_CS!$V$5*$A156+scatterplots_LWG_grazdays_CS!$W$5)/1000</f>
        <v>-0.35911999999999999</v>
      </c>
      <c r="W156" s="23">
        <f t="shared" si="86"/>
        <v>-0.31912000000000001</v>
      </c>
      <c r="X156" s="23">
        <f t="shared" si="87"/>
        <v>-0.27911999999999998</v>
      </c>
      <c r="Y156" s="23">
        <f t="shared" si="87"/>
        <v>-0.23912</v>
      </c>
      <c r="Z156" s="23">
        <f>(scatterplots_LWG_grazdays_CS!$V$5*$A156+scatterplots_LWG_grazdays_CS!$W$5)/1000+Z155</f>
        <v>-4.8818000000000028</v>
      </c>
      <c r="AA156" s="23">
        <f t="shared" si="92"/>
        <v>-2.3218000000000059</v>
      </c>
      <c r="AB156" s="23">
        <f t="shared" si="92"/>
        <v>0.2381999999999958</v>
      </c>
      <c r="AC156" s="23">
        <f t="shared" si="67"/>
        <v>2.798199999999996</v>
      </c>
      <c r="AD156" s="23">
        <f>(scatterplots_LWG_grazdays_CS!$V$6*$A156+scatterplots_LWG_grazdays_CS!$W$6)/1000</f>
        <v>-0.49155999999999994</v>
      </c>
      <c r="AE156" s="23">
        <f t="shared" si="88"/>
        <v>-0.45155999999999996</v>
      </c>
      <c r="AF156" s="23">
        <f t="shared" si="93"/>
        <v>-0.41155999999999993</v>
      </c>
      <c r="AG156" s="23">
        <f t="shared" si="93"/>
        <v>-0.37155999999999995</v>
      </c>
      <c r="AH156" s="23">
        <f>(scatterplots_LWG_grazdays_CS!$V$6*$A156+scatterplots_LWG_grazdays_CS!$W$6)/1000+AH155</f>
        <v>-15.14589999999999</v>
      </c>
      <c r="AI156" s="23">
        <f t="shared" si="90"/>
        <v>-12.585899999999993</v>
      </c>
      <c r="AJ156" s="23">
        <f t="shared" si="90"/>
        <v>-10.025899999999991</v>
      </c>
      <c r="AK156" s="23">
        <f t="shared" si="90"/>
        <v>-7.4658999999999907</v>
      </c>
    </row>
    <row r="157" spans="1:37">
      <c r="A157" s="12">
        <v>155</v>
      </c>
      <c r="B157" s="12">
        <v>66</v>
      </c>
      <c r="C157" s="23">
        <f>(scatterplots_LWG_grazdays_CS!$V$3*$A157+scatterplots_LWG_grazdays_CS!$W$3)/1000</f>
        <v>-0.14019999999999999</v>
      </c>
      <c r="D157" s="23">
        <f t="shared" si="84"/>
        <v>-0.10019999999999998</v>
      </c>
      <c r="E157" s="23">
        <f t="shared" si="84"/>
        <v>-6.019999999999999E-2</v>
      </c>
      <c r="F157" s="23">
        <f t="shared" si="84"/>
        <v>-2.0199999999999996E-2</v>
      </c>
      <c r="G157" s="23">
        <f>(scatterplots_LWG_grazdays_CS!$V$3*$A157+scatterplots_LWG_grazdays_CS!$W$3)/1000+G156</f>
        <v>12.164400000000004</v>
      </c>
      <c r="H157" s="23">
        <f t="shared" si="71"/>
        <v>14.804400000000005</v>
      </c>
      <c r="I157" s="23">
        <f t="shared" si="72"/>
        <v>16.604400000000002</v>
      </c>
      <c r="J157" s="23">
        <f t="shared" si="80"/>
        <v>17.604400000000002</v>
      </c>
      <c r="K157" s="23">
        <f t="shared" si="94"/>
        <v>18.004400000000004</v>
      </c>
      <c r="L157" s="23">
        <f t="shared" si="94"/>
        <v>17.444400000000009</v>
      </c>
      <c r="M157" s="23">
        <f t="shared" si="94"/>
        <v>20.084400000000002</v>
      </c>
      <c r="N157" s="23">
        <f>(scatterplots_LWG_grazdays_CS!$V$4*$A157+scatterplots_LWG_grazdays_CS!$W$4)/1000</f>
        <v>-0.27970000000000006</v>
      </c>
      <c r="O157" s="23">
        <f t="shared" si="85"/>
        <v>-0.23970000000000005</v>
      </c>
      <c r="P157" s="23">
        <f t="shared" si="85"/>
        <v>-0.19970000000000004</v>
      </c>
      <c r="Q157" s="23">
        <f t="shared" si="85"/>
        <v>-0.15970000000000006</v>
      </c>
      <c r="R157" s="23">
        <f>(scatterplots_LWG_grazdays_CS!$V$4*$A157+scatterplots_LWG_grazdays_CS!$W$4)/1000+R156</f>
        <v>1.2833999999999959</v>
      </c>
      <c r="S157" s="23">
        <f t="shared" si="91"/>
        <v>3.8833999999999973</v>
      </c>
      <c r="T157" s="23">
        <f t="shared" si="91"/>
        <v>6.4833999999999952</v>
      </c>
      <c r="U157" s="23">
        <f t="shared" si="91"/>
        <v>9.0833999999999957</v>
      </c>
      <c r="V157" s="23">
        <f>(scatterplots_LWG_grazdays_CS!$V$5*$A157+scatterplots_LWG_grazdays_CS!$W$5)/1000</f>
        <v>-0.36340000000000011</v>
      </c>
      <c r="W157" s="23">
        <f t="shared" si="86"/>
        <v>-0.32340000000000013</v>
      </c>
      <c r="X157" s="23">
        <f t="shared" si="87"/>
        <v>-0.2834000000000001</v>
      </c>
      <c r="Y157" s="23">
        <f t="shared" si="87"/>
        <v>-0.24340000000000012</v>
      </c>
      <c r="Z157" s="23">
        <f>(scatterplots_LWG_grazdays_CS!$V$5*$A157+scatterplots_LWG_grazdays_CS!$W$5)/1000+Z156</f>
        <v>-5.2452000000000032</v>
      </c>
      <c r="AA157" s="23">
        <f t="shared" si="92"/>
        <v>-2.6452000000000062</v>
      </c>
      <c r="AB157" s="23">
        <f t="shared" si="92"/>
        <v>-4.5200000000004292E-2</v>
      </c>
      <c r="AC157" s="23">
        <f t="shared" si="92"/>
        <v>2.5547999999999957</v>
      </c>
      <c r="AD157" s="23">
        <f>(scatterplots_LWG_grazdays_CS!$V$6*$A157+scatterplots_LWG_grazdays_CS!$W$6)/1000</f>
        <v>-0.49669999999999992</v>
      </c>
      <c r="AE157" s="23">
        <f t="shared" si="88"/>
        <v>-0.45669999999999994</v>
      </c>
      <c r="AF157" s="23">
        <f t="shared" si="93"/>
        <v>-0.4166999999999999</v>
      </c>
      <c r="AG157" s="23">
        <f t="shared" si="93"/>
        <v>-0.37669999999999992</v>
      </c>
      <c r="AH157" s="23">
        <f>(scatterplots_LWG_grazdays_CS!$V$6*$A157+scatterplots_LWG_grazdays_CS!$W$6)/1000+AH156</f>
        <v>-15.642599999999991</v>
      </c>
      <c r="AI157" s="23">
        <f t="shared" ref="AI157:AK172" si="95">AE157+AI156</f>
        <v>-13.042599999999993</v>
      </c>
      <c r="AJ157" s="23">
        <f t="shared" si="95"/>
        <v>-10.442599999999992</v>
      </c>
      <c r="AK157" s="23">
        <f t="shared" si="95"/>
        <v>-7.8425999999999902</v>
      </c>
    </row>
    <row r="158" spans="1:37">
      <c r="A158" s="12">
        <v>156</v>
      </c>
      <c r="B158" s="12">
        <v>67</v>
      </c>
      <c r="C158" s="23">
        <f>(scatterplots_LWG_grazdays_CS!$V$3*$A158+scatterplots_LWG_grazdays_CS!$W$3)/1000</f>
        <v>-0.14303999999999997</v>
      </c>
      <c r="D158" s="23">
        <f t="shared" si="84"/>
        <v>-0.10303999999999996</v>
      </c>
      <c r="E158" s="23">
        <f t="shared" si="84"/>
        <v>-6.3039999999999971E-2</v>
      </c>
      <c r="F158" s="23">
        <f t="shared" si="84"/>
        <v>-2.3039999999999977E-2</v>
      </c>
      <c r="G158" s="23">
        <f>(scatterplots_LWG_grazdays_CS!$V$3*$A158+scatterplots_LWG_grazdays_CS!$W$3)/1000+G157</f>
        <v>12.021360000000005</v>
      </c>
      <c r="H158" s="23">
        <f t="shared" si="71"/>
        <v>14.701360000000005</v>
      </c>
      <c r="I158" s="23">
        <f t="shared" si="72"/>
        <v>16.501360000000002</v>
      </c>
      <c r="J158" s="23">
        <f t="shared" si="80"/>
        <v>17.501360000000002</v>
      </c>
      <c r="K158" s="23">
        <f t="shared" si="94"/>
        <v>17.901360000000004</v>
      </c>
      <c r="L158" s="23">
        <f t="shared" si="94"/>
        <v>17.381360000000008</v>
      </c>
      <c r="M158" s="23">
        <f t="shared" si="94"/>
        <v>20.061360000000001</v>
      </c>
      <c r="N158" s="23">
        <f>(scatterplots_LWG_grazdays_CS!$V$4*$A158+scatterplots_LWG_grazdays_CS!$W$4)/1000</f>
        <v>-0.28344000000000008</v>
      </c>
      <c r="O158" s="23">
        <f t="shared" si="85"/>
        <v>-0.24344000000000007</v>
      </c>
      <c r="P158" s="23">
        <f t="shared" si="85"/>
        <v>-0.20344000000000007</v>
      </c>
      <c r="Q158" s="23">
        <f t="shared" si="85"/>
        <v>-0.16344000000000009</v>
      </c>
      <c r="R158" s="23">
        <f>(scatterplots_LWG_grazdays_CS!$V$4*$A158+scatterplots_LWG_grazdays_CS!$W$4)/1000+R157</f>
        <v>0.99995999999999574</v>
      </c>
      <c r="S158" s="23">
        <f t="shared" ref="S158:U173" si="96">O158+S157</f>
        <v>3.6399599999999972</v>
      </c>
      <c r="T158" s="23">
        <f t="shared" si="96"/>
        <v>6.2799599999999955</v>
      </c>
      <c r="U158" s="23">
        <f t="shared" si="96"/>
        <v>8.9199599999999961</v>
      </c>
      <c r="V158" s="23">
        <f>(scatterplots_LWG_grazdays_CS!$V$5*$A158+scatterplots_LWG_grazdays_CS!$W$5)/1000</f>
        <v>-0.36768000000000006</v>
      </c>
      <c r="W158" s="23">
        <f t="shared" si="86"/>
        <v>-0.32768000000000008</v>
      </c>
      <c r="X158" s="23">
        <f t="shared" si="87"/>
        <v>-0.28768000000000005</v>
      </c>
      <c r="Y158" s="23">
        <f t="shared" si="87"/>
        <v>-0.24768000000000007</v>
      </c>
      <c r="Z158" s="23">
        <f>(scatterplots_LWG_grazdays_CS!$V$5*$A158+scatterplots_LWG_grazdays_CS!$W$5)/1000+Z157</f>
        <v>-5.6128800000000032</v>
      </c>
      <c r="AA158" s="23">
        <f t="shared" ref="AA158:AC173" si="97">AA157+W158</f>
        <v>-2.9728800000000062</v>
      </c>
      <c r="AB158" s="23">
        <f t="shared" si="97"/>
        <v>-0.33288000000000434</v>
      </c>
      <c r="AC158" s="23">
        <f t="shared" si="97"/>
        <v>2.3071199999999958</v>
      </c>
      <c r="AD158" s="23">
        <f>(scatterplots_LWG_grazdays_CS!$V$6*$A158+scatterplots_LWG_grazdays_CS!$W$6)/1000</f>
        <v>-0.50183999999999995</v>
      </c>
      <c r="AE158" s="23">
        <f t="shared" si="88"/>
        <v>-0.46183999999999997</v>
      </c>
      <c r="AF158" s="23">
        <f t="shared" si="93"/>
        <v>-0.42183999999999994</v>
      </c>
      <c r="AG158" s="23">
        <f t="shared" si="93"/>
        <v>-0.38183999999999996</v>
      </c>
      <c r="AH158" s="23">
        <f>(scatterplots_LWG_grazdays_CS!$V$6*$A158+scatterplots_LWG_grazdays_CS!$W$6)/1000+AH157</f>
        <v>-16.144439999999992</v>
      </c>
      <c r="AI158" s="23">
        <f t="shared" si="95"/>
        <v>-13.504439999999994</v>
      </c>
      <c r="AJ158" s="23">
        <f t="shared" si="95"/>
        <v>-10.864439999999991</v>
      </c>
      <c r="AK158" s="23">
        <f t="shared" si="95"/>
        <v>-8.2244399999999906</v>
      </c>
    </row>
    <row r="159" spans="1:37">
      <c r="A159" s="12">
        <v>157</v>
      </c>
      <c r="B159" s="12">
        <v>68</v>
      </c>
      <c r="C159" s="23">
        <f>(scatterplots_LWG_grazdays_CS!$V$3*$A159+scatterplots_LWG_grazdays_CS!$W$3)/1000</f>
        <v>-0.14587999999999998</v>
      </c>
      <c r="D159" s="23">
        <f t="shared" si="84"/>
        <v>-0.10587999999999997</v>
      </c>
      <c r="E159" s="23">
        <f t="shared" si="84"/>
        <v>-6.587999999999998E-2</v>
      </c>
      <c r="F159" s="23">
        <f t="shared" si="84"/>
        <v>-2.5879999999999986E-2</v>
      </c>
      <c r="G159" s="23">
        <f>(scatterplots_LWG_grazdays_CS!$V$3*$A159+scatterplots_LWG_grazdays_CS!$W$3)/1000+G158</f>
        <v>11.875480000000005</v>
      </c>
      <c r="H159" s="23">
        <f t="shared" si="71"/>
        <v>14.595480000000006</v>
      </c>
      <c r="I159" s="23">
        <f t="shared" si="72"/>
        <v>16.395480000000003</v>
      </c>
      <c r="J159" s="23">
        <f t="shared" si="80"/>
        <v>17.395480000000003</v>
      </c>
      <c r="K159" s="23">
        <f t="shared" si="94"/>
        <v>17.795480000000005</v>
      </c>
      <c r="L159" s="23">
        <f t="shared" si="94"/>
        <v>17.315480000000008</v>
      </c>
      <c r="M159" s="23">
        <f t="shared" si="94"/>
        <v>20.03548</v>
      </c>
      <c r="N159" s="23">
        <f>(scatterplots_LWG_grazdays_CS!$V$4*$A159+scatterplots_LWG_grazdays_CS!$W$4)/1000</f>
        <v>-0.28718000000000005</v>
      </c>
      <c r="O159" s="23">
        <f t="shared" si="85"/>
        <v>-0.24718000000000004</v>
      </c>
      <c r="P159" s="23">
        <f t="shared" si="85"/>
        <v>-0.20718000000000003</v>
      </c>
      <c r="Q159" s="23">
        <f t="shared" si="85"/>
        <v>-0.16718000000000005</v>
      </c>
      <c r="R159" s="23">
        <f>(scatterplots_LWG_grazdays_CS!$V$4*$A159+scatterplots_LWG_grazdays_CS!$W$4)/1000+R158</f>
        <v>0.71277999999999575</v>
      </c>
      <c r="S159" s="23">
        <f t="shared" si="96"/>
        <v>3.392779999999997</v>
      </c>
      <c r="T159" s="23">
        <f t="shared" si="96"/>
        <v>6.0727799999999954</v>
      </c>
      <c r="U159" s="23">
        <f t="shared" si="96"/>
        <v>8.752779999999996</v>
      </c>
      <c r="V159" s="23">
        <f>(scatterplots_LWG_grazdays_CS!$V$5*$A159+scatterplots_LWG_grazdays_CS!$W$5)/1000</f>
        <v>-0.37196000000000001</v>
      </c>
      <c r="W159" s="23">
        <f t="shared" si="86"/>
        <v>-0.33196000000000003</v>
      </c>
      <c r="X159" s="23">
        <f t="shared" si="87"/>
        <v>-0.29196</v>
      </c>
      <c r="Y159" s="23">
        <f t="shared" si="87"/>
        <v>-0.25196000000000002</v>
      </c>
      <c r="Z159" s="23">
        <f>(scatterplots_LWG_grazdays_CS!$V$5*$A159+scatterplots_LWG_grazdays_CS!$W$5)/1000+Z158</f>
        <v>-5.9848400000000028</v>
      </c>
      <c r="AA159" s="23">
        <f t="shared" si="97"/>
        <v>-3.3048400000000062</v>
      </c>
      <c r="AB159" s="23">
        <f t="shared" si="97"/>
        <v>-0.62484000000000428</v>
      </c>
      <c r="AC159" s="23">
        <f t="shared" si="97"/>
        <v>2.0551599999999959</v>
      </c>
      <c r="AD159" s="23">
        <f>(scatterplots_LWG_grazdays_CS!$V$6*$A159+scatterplots_LWG_grazdays_CS!$W$6)/1000</f>
        <v>-0.50697999999999988</v>
      </c>
      <c r="AE159" s="23">
        <f t="shared" si="88"/>
        <v>-0.4669799999999999</v>
      </c>
      <c r="AF159" s="23">
        <f t="shared" si="93"/>
        <v>-0.42697999999999986</v>
      </c>
      <c r="AG159" s="23">
        <f t="shared" si="93"/>
        <v>-0.38697999999999988</v>
      </c>
      <c r="AH159" s="23">
        <f>(scatterplots_LWG_grazdays_CS!$V$6*$A159+scatterplots_LWG_grazdays_CS!$W$6)/1000+AH158</f>
        <v>-16.651419999999991</v>
      </c>
      <c r="AI159" s="23">
        <f t="shared" si="95"/>
        <v>-13.971419999999993</v>
      </c>
      <c r="AJ159" s="23">
        <f t="shared" si="95"/>
        <v>-11.291419999999992</v>
      </c>
      <c r="AK159" s="23">
        <f t="shared" si="95"/>
        <v>-8.6114199999999901</v>
      </c>
    </row>
    <row r="160" spans="1:37">
      <c r="A160" s="12">
        <v>158</v>
      </c>
      <c r="B160" s="12">
        <v>69</v>
      </c>
      <c r="C160" s="23">
        <f>(scatterplots_LWG_grazdays_CS!$V$3*$A160+scatterplots_LWG_grazdays_CS!$W$3)/1000</f>
        <v>-0.14871999999999996</v>
      </c>
      <c r="D160" s="23">
        <f t="shared" si="84"/>
        <v>-0.10871999999999996</v>
      </c>
      <c r="E160" s="23">
        <f t="shared" si="84"/>
        <v>-6.8719999999999962E-2</v>
      </c>
      <c r="F160" s="23">
        <f t="shared" si="84"/>
        <v>-2.8719999999999968E-2</v>
      </c>
      <c r="G160" s="23">
        <f>(scatterplots_LWG_grazdays_CS!$V$3*$A160+scatterplots_LWG_grazdays_CS!$W$3)/1000+G159</f>
        <v>11.726760000000006</v>
      </c>
      <c r="H160" s="23">
        <f t="shared" si="71"/>
        <v>14.486760000000006</v>
      </c>
      <c r="I160" s="23">
        <f t="shared" si="72"/>
        <v>16.286760000000001</v>
      </c>
      <c r="J160" s="23">
        <f t="shared" si="80"/>
        <v>17.286760000000001</v>
      </c>
      <c r="K160" s="23">
        <f t="shared" si="94"/>
        <v>17.686760000000003</v>
      </c>
      <c r="L160" s="23">
        <f t="shared" si="94"/>
        <v>17.246760000000009</v>
      </c>
      <c r="M160" s="23">
        <f t="shared" si="94"/>
        <v>20.00676</v>
      </c>
      <c r="N160" s="23">
        <f>(scatterplots_LWG_grazdays_CS!$V$4*$A160+scatterplots_LWG_grazdays_CS!$W$4)/1000</f>
        <v>-0.29092000000000007</v>
      </c>
      <c r="O160" s="23">
        <f t="shared" si="85"/>
        <v>-0.25092000000000009</v>
      </c>
      <c r="P160" s="23">
        <f t="shared" si="85"/>
        <v>-0.21092000000000005</v>
      </c>
      <c r="Q160" s="23">
        <f t="shared" si="85"/>
        <v>-0.17092000000000007</v>
      </c>
      <c r="R160" s="23">
        <f>(scatterplots_LWG_grazdays_CS!$V$4*$A160+scatterplots_LWG_grazdays_CS!$W$4)/1000+R159</f>
        <v>0.42185999999999568</v>
      </c>
      <c r="S160" s="23">
        <f t="shared" si="96"/>
        <v>3.1418599999999968</v>
      </c>
      <c r="T160" s="23">
        <f t="shared" si="96"/>
        <v>5.8618599999999956</v>
      </c>
      <c r="U160" s="23">
        <f t="shared" si="96"/>
        <v>8.5818599999999954</v>
      </c>
      <c r="V160" s="23">
        <f>(scatterplots_LWG_grazdays_CS!$V$5*$A160+scatterplots_LWG_grazdays_CS!$W$5)/1000</f>
        <v>-0.37624000000000002</v>
      </c>
      <c r="W160" s="23">
        <f t="shared" si="86"/>
        <v>-0.33624000000000004</v>
      </c>
      <c r="X160" s="23">
        <f t="shared" si="87"/>
        <v>-0.29624</v>
      </c>
      <c r="Y160" s="23">
        <f t="shared" si="87"/>
        <v>-0.25624000000000002</v>
      </c>
      <c r="Z160" s="23">
        <f>(scatterplots_LWG_grazdays_CS!$V$5*$A160+scatterplots_LWG_grazdays_CS!$W$5)/1000+Z159</f>
        <v>-6.361080000000003</v>
      </c>
      <c r="AA160" s="23">
        <f t="shared" si="97"/>
        <v>-3.6410800000000063</v>
      </c>
      <c r="AB160" s="23">
        <f t="shared" si="97"/>
        <v>-0.92108000000000434</v>
      </c>
      <c r="AC160" s="23">
        <f t="shared" si="97"/>
        <v>1.7989199999999959</v>
      </c>
      <c r="AD160" s="23">
        <f>(scatterplots_LWG_grazdays_CS!$V$6*$A160+scatterplots_LWG_grazdays_CS!$W$6)/1000</f>
        <v>-0.51212000000000002</v>
      </c>
      <c r="AE160" s="23">
        <f t="shared" si="88"/>
        <v>-0.47212000000000004</v>
      </c>
      <c r="AF160" s="23">
        <f t="shared" si="93"/>
        <v>-0.43212</v>
      </c>
      <c r="AG160" s="23">
        <f t="shared" si="93"/>
        <v>-0.39212000000000002</v>
      </c>
      <c r="AH160" s="23">
        <f>(scatterplots_LWG_grazdays_CS!$V$6*$A160+scatterplots_LWG_grazdays_CS!$W$6)/1000+AH159</f>
        <v>-17.16353999999999</v>
      </c>
      <c r="AI160" s="23">
        <f t="shared" si="95"/>
        <v>-14.443539999999993</v>
      </c>
      <c r="AJ160" s="23">
        <f t="shared" si="95"/>
        <v>-11.723539999999991</v>
      </c>
      <c r="AK160" s="23">
        <f t="shared" si="95"/>
        <v>-9.0035399999999903</v>
      </c>
    </row>
    <row r="161" spans="1:37">
      <c r="A161" s="12">
        <v>159</v>
      </c>
      <c r="B161" s="12">
        <v>70</v>
      </c>
      <c r="C161" s="23">
        <f>(scatterplots_LWG_grazdays_CS!$V$3*$A161+scatterplots_LWG_grazdays_CS!$W$3)/1000</f>
        <v>-0.15156</v>
      </c>
      <c r="D161" s="23">
        <f t="shared" si="84"/>
        <v>-0.11155999999999999</v>
      </c>
      <c r="E161" s="23">
        <f t="shared" si="84"/>
        <v>-7.1559999999999999E-2</v>
      </c>
      <c r="F161" s="23">
        <f t="shared" si="84"/>
        <v>-3.1560000000000005E-2</v>
      </c>
      <c r="G161" s="23">
        <f>(scatterplots_LWG_grazdays_CS!$V$3*$A161+scatterplots_LWG_grazdays_CS!$W$3)/1000+G160</f>
        <v>11.575200000000006</v>
      </c>
      <c r="H161" s="23">
        <f t="shared" ref="H161:H202" si="98">D161+H160</f>
        <v>14.375200000000005</v>
      </c>
      <c r="I161" s="23">
        <f t="shared" ref="I161:I202" si="99">D161+I160</f>
        <v>16.1752</v>
      </c>
      <c r="J161" s="23">
        <f t="shared" si="80"/>
        <v>17.1752</v>
      </c>
      <c r="K161" s="23">
        <f t="shared" si="94"/>
        <v>17.575200000000002</v>
      </c>
      <c r="L161" s="23">
        <f t="shared" si="94"/>
        <v>17.175200000000007</v>
      </c>
      <c r="M161" s="23">
        <f t="shared" si="94"/>
        <v>19.975200000000001</v>
      </c>
      <c r="N161" s="23">
        <f>(scatterplots_LWG_grazdays_CS!$V$4*$A161+scatterplots_LWG_grazdays_CS!$W$4)/1000</f>
        <v>-0.29466000000000009</v>
      </c>
      <c r="O161" s="23">
        <f t="shared" si="85"/>
        <v>-0.25466000000000011</v>
      </c>
      <c r="P161" s="23">
        <f t="shared" si="85"/>
        <v>-0.21466000000000007</v>
      </c>
      <c r="Q161" s="23">
        <f t="shared" si="85"/>
        <v>-0.17466000000000009</v>
      </c>
      <c r="R161" s="23">
        <f>(scatterplots_LWG_grazdays_CS!$V$4*$A161+scatterplots_LWG_grazdays_CS!$W$4)/1000+R160</f>
        <v>0.12719999999999559</v>
      </c>
      <c r="S161" s="23">
        <f t="shared" si="96"/>
        <v>2.8871999999999964</v>
      </c>
      <c r="T161" s="23">
        <f t="shared" si="96"/>
        <v>5.6471999999999953</v>
      </c>
      <c r="U161" s="23">
        <f t="shared" si="96"/>
        <v>8.407199999999996</v>
      </c>
      <c r="V161" s="23">
        <f>(scatterplots_LWG_grazdays_CS!$V$5*$A161+scatterplots_LWG_grazdays_CS!$W$5)/1000</f>
        <v>-0.38052000000000008</v>
      </c>
      <c r="W161" s="23">
        <f t="shared" si="86"/>
        <v>-0.3405200000000001</v>
      </c>
      <c r="X161" s="23">
        <f t="shared" si="87"/>
        <v>-0.30052000000000006</v>
      </c>
      <c r="Y161" s="23">
        <f t="shared" si="87"/>
        <v>-0.26052000000000008</v>
      </c>
      <c r="Z161" s="23">
        <f>(scatterplots_LWG_grazdays_CS!$V$5*$A161+scatterplots_LWG_grazdays_CS!$W$5)/1000+Z160</f>
        <v>-6.7416000000000027</v>
      </c>
      <c r="AA161" s="23">
        <f t="shared" si="97"/>
        <v>-3.9816000000000065</v>
      </c>
      <c r="AB161" s="23">
        <f t="shared" si="97"/>
        <v>-1.2216000000000045</v>
      </c>
      <c r="AC161" s="23">
        <f t="shared" si="97"/>
        <v>1.5383999999999958</v>
      </c>
      <c r="AD161" s="23">
        <f>(scatterplots_LWG_grazdays_CS!$V$6*$A161+scatterplots_LWG_grazdays_CS!$W$6)/1000</f>
        <v>-0.51725999999999994</v>
      </c>
      <c r="AE161" s="23">
        <f t="shared" si="88"/>
        <v>-0.47725999999999996</v>
      </c>
      <c r="AF161" s="23">
        <f t="shared" si="93"/>
        <v>-0.43725999999999993</v>
      </c>
      <c r="AG161" s="23">
        <f t="shared" si="93"/>
        <v>-0.39725999999999995</v>
      </c>
      <c r="AH161" s="23">
        <f>(scatterplots_LWG_grazdays_CS!$V$6*$A161+scatterplots_LWG_grazdays_CS!$W$6)/1000+AH160</f>
        <v>-17.680799999999991</v>
      </c>
      <c r="AI161" s="23">
        <f t="shared" si="95"/>
        <v>-14.920799999999993</v>
      </c>
      <c r="AJ161" s="23">
        <f t="shared" si="95"/>
        <v>-12.160799999999991</v>
      </c>
      <c r="AK161" s="23">
        <f t="shared" si="95"/>
        <v>-9.4007999999999896</v>
      </c>
    </row>
    <row r="162" spans="1:37">
      <c r="A162" s="12">
        <v>160</v>
      </c>
      <c r="B162" s="12">
        <v>71</v>
      </c>
      <c r="C162" s="23">
        <f>(scatterplots_LWG_grazdays_CS!$V$3*$A162+scatterplots_LWG_grazdays_CS!$W$3)/1000</f>
        <v>-0.15439999999999998</v>
      </c>
      <c r="D162" s="23">
        <f t="shared" si="84"/>
        <v>-0.11439999999999997</v>
      </c>
      <c r="E162" s="23">
        <f t="shared" si="84"/>
        <v>-7.439999999999998E-2</v>
      </c>
      <c r="F162" s="23">
        <f t="shared" si="84"/>
        <v>-3.4399999999999986E-2</v>
      </c>
      <c r="G162" s="23">
        <f>(scatterplots_LWG_grazdays_CS!$V$3*$A162+scatterplots_LWG_grazdays_CS!$W$3)/1000+G161</f>
        <v>11.420800000000005</v>
      </c>
      <c r="H162" s="23">
        <f t="shared" si="98"/>
        <v>14.260800000000005</v>
      </c>
      <c r="I162" s="23">
        <f t="shared" si="99"/>
        <v>16.0608</v>
      </c>
      <c r="J162" s="23">
        <f t="shared" si="80"/>
        <v>17.0608</v>
      </c>
      <c r="K162" s="23">
        <f t="shared" si="94"/>
        <v>17.460800000000003</v>
      </c>
      <c r="L162" s="23">
        <f t="shared" si="94"/>
        <v>17.100800000000007</v>
      </c>
      <c r="M162" s="23">
        <f t="shared" si="94"/>
        <v>19.940799999999999</v>
      </c>
      <c r="N162" s="23">
        <f>(scatterplots_LWG_grazdays_CS!$V$4*$A162+scatterplots_LWG_grazdays_CS!$W$4)/1000</f>
        <v>-0.29840000000000011</v>
      </c>
      <c r="O162" s="23">
        <f t="shared" si="85"/>
        <v>-0.25840000000000013</v>
      </c>
      <c r="P162" s="23">
        <f t="shared" si="85"/>
        <v>-0.21840000000000009</v>
      </c>
      <c r="Q162" s="23">
        <f t="shared" si="85"/>
        <v>-0.17840000000000011</v>
      </c>
      <c r="R162" s="23">
        <f>(scatterplots_LWG_grazdays_CS!$V$4*$A162+scatterplots_LWG_grazdays_CS!$W$4)/1000+R161</f>
        <v>-0.17120000000000452</v>
      </c>
      <c r="S162" s="23">
        <f t="shared" si="96"/>
        <v>2.6287999999999965</v>
      </c>
      <c r="T162" s="23">
        <f t="shared" si="96"/>
        <v>5.4287999999999954</v>
      </c>
      <c r="U162" s="23">
        <f t="shared" si="96"/>
        <v>8.2287999999999961</v>
      </c>
      <c r="V162" s="23">
        <f>(scatterplots_LWG_grazdays_CS!$V$5*$A162+scatterplots_LWG_grazdays_CS!$W$5)/1000</f>
        <v>-0.38480000000000009</v>
      </c>
      <c r="W162" s="23">
        <f t="shared" si="86"/>
        <v>-0.34480000000000011</v>
      </c>
      <c r="X162" s="23">
        <f t="shared" si="87"/>
        <v>-0.30480000000000007</v>
      </c>
      <c r="Y162" s="23">
        <f t="shared" si="87"/>
        <v>-0.26480000000000009</v>
      </c>
      <c r="Z162" s="23">
        <f>(scatterplots_LWG_grazdays_CS!$V$5*$A162+scatterplots_LWG_grazdays_CS!$W$5)/1000+Z161</f>
        <v>-7.126400000000003</v>
      </c>
      <c r="AA162" s="23">
        <f t="shared" si="97"/>
        <v>-4.3264000000000067</v>
      </c>
      <c r="AB162" s="23">
        <f t="shared" si="97"/>
        <v>-1.5264000000000046</v>
      </c>
      <c r="AC162" s="23">
        <f t="shared" si="97"/>
        <v>1.2735999999999956</v>
      </c>
      <c r="AD162" s="23">
        <f>(scatterplots_LWG_grazdays_CS!$V$6*$A162+scatterplots_LWG_grazdays_CS!$W$6)/1000</f>
        <v>-0.52239999999999998</v>
      </c>
      <c r="AE162" s="23">
        <f t="shared" si="88"/>
        <v>-0.4824</v>
      </c>
      <c r="AF162" s="23">
        <f t="shared" si="93"/>
        <v>-0.44239999999999996</v>
      </c>
      <c r="AG162" s="23">
        <f t="shared" si="93"/>
        <v>-0.40239999999999998</v>
      </c>
      <c r="AH162" s="23">
        <f>(scatterplots_LWG_grazdays_CS!$V$6*$A162+scatterplots_LWG_grazdays_CS!$W$6)/1000+AH161</f>
        <v>-18.203199999999992</v>
      </c>
      <c r="AI162" s="23">
        <f t="shared" si="95"/>
        <v>-15.403199999999993</v>
      </c>
      <c r="AJ162" s="23">
        <f t="shared" si="95"/>
        <v>-12.60319999999999</v>
      </c>
      <c r="AK162" s="23">
        <f t="shared" si="95"/>
        <v>-9.8031999999999897</v>
      </c>
    </row>
    <row r="163" spans="1:37">
      <c r="A163" s="12">
        <v>161</v>
      </c>
      <c r="B163" s="12">
        <v>72</v>
      </c>
      <c r="C163" s="23">
        <f>(scatterplots_LWG_grazdays_CS!$V$3*$A163+scatterplots_LWG_grazdays_CS!$W$3)/1000</f>
        <v>-0.15723999999999996</v>
      </c>
      <c r="D163" s="23">
        <f t="shared" si="84"/>
        <v>-0.11723999999999996</v>
      </c>
      <c r="E163" s="23">
        <f t="shared" si="84"/>
        <v>-7.7239999999999961E-2</v>
      </c>
      <c r="F163" s="23">
        <f t="shared" si="84"/>
        <v>-3.7239999999999968E-2</v>
      </c>
      <c r="G163" s="23">
        <f>(scatterplots_LWG_grazdays_CS!$V$3*$A163+scatterplots_LWG_grazdays_CS!$W$3)/1000+G162</f>
        <v>11.263560000000005</v>
      </c>
      <c r="H163" s="23">
        <f t="shared" si="98"/>
        <v>14.143560000000004</v>
      </c>
      <c r="I163" s="23">
        <f t="shared" si="99"/>
        <v>15.94356</v>
      </c>
      <c r="J163" s="23">
        <f t="shared" si="80"/>
        <v>16.943560000000002</v>
      </c>
      <c r="K163" s="23">
        <f t="shared" si="94"/>
        <v>17.343560000000004</v>
      </c>
      <c r="L163" s="23">
        <f t="shared" si="94"/>
        <v>17.023560000000007</v>
      </c>
      <c r="M163" s="23">
        <f t="shared" si="94"/>
        <v>19.903559999999999</v>
      </c>
      <c r="N163" s="23">
        <f>(scatterplots_LWG_grazdays_CS!$V$4*$A163+scatterplots_LWG_grazdays_CS!$W$4)/1000</f>
        <v>-0.30213999999999996</v>
      </c>
      <c r="O163" s="23">
        <f t="shared" si="85"/>
        <v>-0.26213999999999998</v>
      </c>
      <c r="P163" s="23">
        <f t="shared" si="85"/>
        <v>-0.22213999999999995</v>
      </c>
      <c r="Q163" s="23">
        <f t="shared" si="85"/>
        <v>-0.18213999999999997</v>
      </c>
      <c r="R163" s="23">
        <f>(scatterplots_LWG_grazdays_CS!$V$4*$A163+scatterplots_LWG_grazdays_CS!$W$4)/1000+R162</f>
        <v>-0.47334000000000448</v>
      </c>
      <c r="S163" s="23">
        <f t="shared" si="96"/>
        <v>2.3666599999999964</v>
      </c>
      <c r="T163" s="23">
        <f t="shared" si="96"/>
        <v>5.2066599999999958</v>
      </c>
      <c r="U163" s="23">
        <f t="shared" si="96"/>
        <v>8.0466599999999957</v>
      </c>
      <c r="V163" s="23">
        <f>(scatterplots_LWG_grazdays_CS!$V$5*$A163+scatterplots_LWG_grazdays_CS!$W$5)/1000</f>
        <v>-0.38908000000000004</v>
      </c>
      <c r="W163" s="23">
        <f t="shared" si="86"/>
        <v>-0.34908000000000006</v>
      </c>
      <c r="X163" s="23">
        <f t="shared" si="87"/>
        <v>-0.30908000000000002</v>
      </c>
      <c r="Y163" s="23">
        <f t="shared" si="87"/>
        <v>-0.26908000000000004</v>
      </c>
      <c r="Z163" s="23">
        <f>(scatterplots_LWG_grazdays_CS!$V$5*$A163+scatterplots_LWG_grazdays_CS!$W$5)/1000+Z162</f>
        <v>-7.5154800000000028</v>
      </c>
      <c r="AA163" s="23">
        <f t="shared" si="97"/>
        <v>-4.6754800000000065</v>
      </c>
      <c r="AB163" s="23">
        <f t="shared" si="97"/>
        <v>-1.8354800000000047</v>
      </c>
      <c r="AC163" s="23">
        <f t="shared" si="97"/>
        <v>1.0045199999999956</v>
      </c>
      <c r="AD163" s="23">
        <f>(scatterplots_LWG_grazdays_CS!$V$6*$A163+scatterplots_LWG_grazdays_CS!$W$6)/1000</f>
        <v>-0.52754000000000001</v>
      </c>
      <c r="AE163" s="23">
        <f t="shared" si="88"/>
        <v>-0.48754000000000003</v>
      </c>
      <c r="AF163" s="23">
        <f t="shared" si="93"/>
        <v>-0.44753999999999999</v>
      </c>
      <c r="AG163" s="23">
        <f t="shared" si="93"/>
        <v>-0.40754000000000001</v>
      </c>
      <c r="AH163" s="23">
        <f>(scatterplots_LWG_grazdays_CS!$V$6*$A163+scatterplots_LWG_grazdays_CS!$W$6)/1000+AH162</f>
        <v>-18.73073999999999</v>
      </c>
      <c r="AI163" s="23">
        <f t="shared" si="95"/>
        <v>-15.890739999999992</v>
      </c>
      <c r="AJ163" s="23">
        <f t="shared" si="95"/>
        <v>-13.05073999999999</v>
      </c>
      <c r="AK163" s="23">
        <f t="shared" si="95"/>
        <v>-10.210739999999991</v>
      </c>
    </row>
    <row r="164" spans="1:37">
      <c r="A164" s="12">
        <v>162</v>
      </c>
      <c r="B164" s="12">
        <v>73</v>
      </c>
      <c r="C164" s="23">
        <f>(scatterplots_LWG_grazdays_CS!$V$3*$A164+scatterplots_LWG_grazdays_CS!$W$3)/1000</f>
        <v>-0.16007999999999997</v>
      </c>
      <c r="D164" s="23">
        <f t="shared" ref="D164:F202" si="100">$C164+D$1/1000</f>
        <v>-0.12007999999999996</v>
      </c>
      <c r="E164" s="23">
        <f t="shared" si="100"/>
        <v>-8.0079999999999971E-2</v>
      </c>
      <c r="F164" s="23">
        <f t="shared" si="100"/>
        <v>-4.0079999999999977E-2</v>
      </c>
      <c r="G164" s="23">
        <f>(scatterplots_LWG_grazdays_CS!$V$3*$A164+scatterplots_LWG_grazdays_CS!$W$3)/1000+G163</f>
        <v>11.103480000000005</v>
      </c>
      <c r="H164" s="23">
        <f t="shared" si="98"/>
        <v>14.023480000000005</v>
      </c>
      <c r="I164" s="23">
        <f t="shared" si="99"/>
        <v>15.82348</v>
      </c>
      <c r="J164" s="23">
        <f t="shared" si="80"/>
        <v>16.82348</v>
      </c>
      <c r="K164" s="23">
        <f t="shared" si="94"/>
        <v>17.223480000000002</v>
      </c>
      <c r="L164" s="23">
        <f t="shared" si="94"/>
        <v>16.943480000000008</v>
      </c>
      <c r="M164" s="23">
        <f t="shared" si="94"/>
        <v>19.863479999999999</v>
      </c>
      <c r="N164" s="23">
        <f>(scatterplots_LWG_grazdays_CS!$V$4*$A164+scatterplots_LWG_grazdays_CS!$W$4)/1000</f>
        <v>-0.30587999999999999</v>
      </c>
      <c r="O164" s="23">
        <f t="shared" si="85"/>
        <v>-0.26588000000000001</v>
      </c>
      <c r="P164" s="23">
        <f t="shared" si="85"/>
        <v>-0.22587999999999997</v>
      </c>
      <c r="Q164" s="23">
        <f t="shared" si="85"/>
        <v>-0.18587999999999999</v>
      </c>
      <c r="R164" s="23">
        <f>(scatterplots_LWG_grazdays_CS!$V$4*$A164+scatterplots_LWG_grazdays_CS!$W$4)/1000+R163</f>
        <v>-0.77922000000000446</v>
      </c>
      <c r="S164" s="23">
        <f t="shared" si="96"/>
        <v>2.1007799999999963</v>
      </c>
      <c r="T164" s="23">
        <f t="shared" si="96"/>
        <v>4.9807799999999958</v>
      </c>
      <c r="U164" s="23">
        <f t="shared" si="96"/>
        <v>7.8607799999999957</v>
      </c>
      <c r="V164" s="23">
        <f>(scatterplots_LWG_grazdays_CS!$V$5*$A164+scatterplots_LWG_grazdays_CS!$W$5)/1000</f>
        <v>-0.39335999999999999</v>
      </c>
      <c r="W164" s="23">
        <f t="shared" si="86"/>
        <v>-0.35336000000000001</v>
      </c>
      <c r="X164" s="23">
        <f t="shared" ref="X164:Y202" si="101">$V164+X$1/1000</f>
        <v>-0.31335999999999997</v>
      </c>
      <c r="Y164" s="23">
        <f t="shared" si="101"/>
        <v>-0.27335999999999999</v>
      </c>
      <c r="Z164" s="23">
        <f>(scatterplots_LWG_grazdays_CS!$V$5*$A164+scatterplots_LWG_grazdays_CS!$W$5)/1000+Z163</f>
        <v>-7.9088400000000032</v>
      </c>
      <c r="AA164" s="23">
        <f t="shared" si="97"/>
        <v>-5.0288400000000069</v>
      </c>
      <c r="AB164" s="23">
        <f t="shared" si="97"/>
        <v>-2.1488400000000047</v>
      </c>
      <c r="AC164" s="23">
        <f t="shared" si="97"/>
        <v>0.73115999999999559</v>
      </c>
      <c r="AD164" s="23">
        <f>(scatterplots_LWG_grazdays_CS!$V$6*$A164+scatterplots_LWG_grazdays_CS!$W$6)/1000</f>
        <v>-0.53267999999999993</v>
      </c>
      <c r="AE164" s="23">
        <f t="shared" si="88"/>
        <v>-0.49267999999999995</v>
      </c>
      <c r="AF164" s="23">
        <f t="shared" si="93"/>
        <v>-0.45267999999999992</v>
      </c>
      <c r="AG164" s="23">
        <f t="shared" si="93"/>
        <v>-0.41267999999999994</v>
      </c>
      <c r="AH164" s="23">
        <f>(scatterplots_LWG_grazdays_CS!$V$6*$A164+scatterplots_LWG_grazdays_CS!$W$6)/1000+AH163</f>
        <v>-19.263419999999989</v>
      </c>
      <c r="AI164" s="23">
        <f t="shared" si="95"/>
        <v>-16.38341999999999</v>
      </c>
      <c r="AJ164" s="23">
        <f t="shared" si="95"/>
        <v>-13.50341999999999</v>
      </c>
      <c r="AK164" s="23">
        <f t="shared" si="95"/>
        <v>-10.623419999999991</v>
      </c>
    </row>
    <row r="165" spans="1:37">
      <c r="A165" s="12">
        <v>163</v>
      </c>
      <c r="B165" s="12">
        <v>74</v>
      </c>
      <c r="C165" s="23">
        <f>(scatterplots_LWG_grazdays_CS!$V$3*$A165+scatterplots_LWG_grazdays_CS!$W$3)/1000</f>
        <v>-0.16291999999999995</v>
      </c>
      <c r="D165" s="23">
        <f t="shared" si="100"/>
        <v>-0.12291999999999995</v>
      </c>
      <c r="E165" s="23">
        <f t="shared" si="100"/>
        <v>-8.2919999999999952E-2</v>
      </c>
      <c r="F165" s="23">
        <f t="shared" si="100"/>
        <v>-4.2919999999999958E-2</v>
      </c>
      <c r="G165" s="23">
        <f>(scatterplots_LWG_grazdays_CS!$V$3*$A165+scatterplots_LWG_grazdays_CS!$W$3)/1000+G164</f>
        <v>10.940560000000005</v>
      </c>
      <c r="H165" s="23">
        <f t="shared" si="98"/>
        <v>13.900560000000004</v>
      </c>
      <c r="I165" s="23">
        <f t="shared" si="99"/>
        <v>15.700559999999999</v>
      </c>
      <c r="J165" s="23">
        <f t="shared" si="80"/>
        <v>16.700559999999999</v>
      </c>
      <c r="K165" s="23">
        <f t="shared" si="94"/>
        <v>17.100560000000002</v>
      </c>
      <c r="L165" s="23">
        <f t="shared" si="94"/>
        <v>16.860560000000007</v>
      </c>
      <c r="M165" s="23">
        <f t="shared" si="94"/>
        <v>19.82056</v>
      </c>
      <c r="N165" s="23">
        <f>(scatterplots_LWG_grazdays_CS!$V$4*$A165+scatterplots_LWG_grazdays_CS!$W$4)/1000</f>
        <v>-0.30962000000000001</v>
      </c>
      <c r="O165" s="23">
        <f t="shared" si="85"/>
        <v>-0.26962000000000003</v>
      </c>
      <c r="P165" s="23">
        <f t="shared" si="85"/>
        <v>-0.22961999999999999</v>
      </c>
      <c r="Q165" s="23">
        <f t="shared" si="85"/>
        <v>-0.18962000000000001</v>
      </c>
      <c r="R165" s="23">
        <f>(scatterplots_LWG_grazdays_CS!$V$4*$A165+scatterplots_LWG_grazdays_CS!$W$4)/1000+R164</f>
        <v>-1.0888400000000045</v>
      </c>
      <c r="S165" s="23">
        <f t="shared" si="96"/>
        <v>1.8311599999999963</v>
      </c>
      <c r="T165" s="23">
        <f t="shared" si="96"/>
        <v>4.7511599999999961</v>
      </c>
      <c r="U165" s="23">
        <f t="shared" si="96"/>
        <v>7.671159999999996</v>
      </c>
      <c r="V165" s="23">
        <f>(scatterplots_LWG_grazdays_CS!$V$5*$A165+scatterplots_LWG_grazdays_CS!$W$5)/1000</f>
        <v>-0.39763999999999999</v>
      </c>
      <c r="W165" s="23">
        <f t="shared" si="86"/>
        <v>-0.35764000000000001</v>
      </c>
      <c r="X165" s="23">
        <f t="shared" si="101"/>
        <v>-0.31763999999999998</v>
      </c>
      <c r="Y165" s="23">
        <f t="shared" si="101"/>
        <v>-0.27764</v>
      </c>
      <c r="Z165" s="23">
        <f>(scatterplots_LWG_grazdays_CS!$V$5*$A165+scatterplots_LWG_grazdays_CS!$W$5)/1000+Z164</f>
        <v>-8.3064800000000041</v>
      </c>
      <c r="AA165" s="23">
        <f t="shared" si="97"/>
        <v>-5.3864800000000068</v>
      </c>
      <c r="AB165" s="23">
        <f t="shared" si="97"/>
        <v>-2.4664800000000047</v>
      </c>
      <c r="AC165" s="23">
        <f t="shared" si="97"/>
        <v>0.45351999999999559</v>
      </c>
      <c r="AD165" s="23">
        <f>(scatterplots_LWG_grazdays_CS!$V$6*$A165+scatterplots_LWG_grazdays_CS!$W$6)/1000</f>
        <v>-0.53781999999999996</v>
      </c>
      <c r="AE165" s="23">
        <f t="shared" si="88"/>
        <v>-0.49781999999999998</v>
      </c>
      <c r="AF165" s="23">
        <f t="shared" si="93"/>
        <v>-0.45781999999999995</v>
      </c>
      <c r="AG165" s="23">
        <f t="shared" si="93"/>
        <v>-0.41781999999999997</v>
      </c>
      <c r="AH165" s="23">
        <f>(scatterplots_LWG_grazdays_CS!$V$6*$A165+scatterplots_LWG_grazdays_CS!$W$6)/1000+AH164</f>
        <v>-19.801239999999989</v>
      </c>
      <c r="AI165" s="23">
        <f t="shared" si="95"/>
        <v>-16.881239999999991</v>
      </c>
      <c r="AJ165" s="23">
        <f t="shared" si="95"/>
        <v>-13.961239999999989</v>
      </c>
      <c r="AK165" s="23">
        <f t="shared" si="95"/>
        <v>-11.041239999999991</v>
      </c>
    </row>
    <row r="166" spans="1:37">
      <c r="A166" s="12">
        <v>164</v>
      </c>
      <c r="B166" s="12">
        <v>75</v>
      </c>
      <c r="C166" s="23">
        <f>(scatterplots_LWG_grazdays_CS!$V$3*$A166+scatterplots_LWG_grazdays_CS!$W$3)/1000</f>
        <v>-0.16575999999999999</v>
      </c>
      <c r="D166" s="23">
        <f t="shared" si="100"/>
        <v>-0.12575999999999998</v>
      </c>
      <c r="E166" s="23">
        <f t="shared" si="100"/>
        <v>-8.5759999999999989E-2</v>
      </c>
      <c r="F166" s="23">
        <f t="shared" si="100"/>
        <v>-4.5759999999999995E-2</v>
      </c>
      <c r="G166" s="23">
        <f>(scatterplots_LWG_grazdays_CS!$V$3*$A166+scatterplots_LWG_grazdays_CS!$W$3)/1000+G165</f>
        <v>10.774800000000004</v>
      </c>
      <c r="H166" s="23">
        <f t="shared" si="98"/>
        <v>13.774800000000004</v>
      </c>
      <c r="I166" s="23">
        <f t="shared" si="99"/>
        <v>15.5748</v>
      </c>
      <c r="J166" s="23">
        <f t="shared" si="80"/>
        <v>16.5748</v>
      </c>
      <c r="K166" s="23">
        <f t="shared" si="94"/>
        <v>16.974800000000002</v>
      </c>
      <c r="L166" s="23">
        <f t="shared" si="94"/>
        <v>16.774800000000006</v>
      </c>
      <c r="M166" s="23">
        <f t="shared" si="94"/>
        <v>19.774799999999999</v>
      </c>
      <c r="N166" s="23">
        <f>(scatterplots_LWG_grazdays_CS!$V$4*$A166+scatterplots_LWG_grazdays_CS!$W$4)/1000</f>
        <v>-0.31336000000000003</v>
      </c>
      <c r="O166" s="23">
        <f t="shared" si="85"/>
        <v>-0.27336000000000005</v>
      </c>
      <c r="P166" s="23">
        <f t="shared" si="85"/>
        <v>-0.23336000000000001</v>
      </c>
      <c r="Q166" s="23">
        <f t="shared" si="85"/>
        <v>-0.19336000000000003</v>
      </c>
      <c r="R166" s="23">
        <f>(scatterplots_LWG_grazdays_CS!$V$4*$A166+scatterplots_LWG_grazdays_CS!$W$4)/1000+R165</f>
        <v>-1.4022000000000046</v>
      </c>
      <c r="S166" s="23">
        <f t="shared" si="96"/>
        <v>1.5577999999999963</v>
      </c>
      <c r="T166" s="23">
        <f t="shared" si="96"/>
        <v>4.5177999999999958</v>
      </c>
      <c r="U166" s="23">
        <f t="shared" si="96"/>
        <v>7.4777999999999958</v>
      </c>
      <c r="V166" s="23">
        <f>(scatterplots_LWG_grazdays_CS!$V$5*$A166+scatterplots_LWG_grazdays_CS!$W$5)/1000</f>
        <v>-0.40192000000000005</v>
      </c>
      <c r="W166" s="23">
        <f t="shared" si="86"/>
        <v>-0.36192000000000007</v>
      </c>
      <c r="X166" s="23">
        <f t="shared" si="101"/>
        <v>-0.32192000000000004</v>
      </c>
      <c r="Y166" s="23">
        <f t="shared" si="101"/>
        <v>-0.28192000000000006</v>
      </c>
      <c r="Z166" s="23">
        <f>(scatterplots_LWG_grazdays_CS!$V$5*$A166+scatterplots_LWG_grazdays_CS!$W$5)/1000+Z165</f>
        <v>-8.7084000000000046</v>
      </c>
      <c r="AA166" s="23">
        <f t="shared" si="97"/>
        <v>-5.7484000000000073</v>
      </c>
      <c r="AB166" s="23">
        <f t="shared" si="97"/>
        <v>-2.7884000000000047</v>
      </c>
      <c r="AC166" s="23">
        <f t="shared" si="97"/>
        <v>0.17159999999999553</v>
      </c>
      <c r="AD166" s="23">
        <f>(scatterplots_LWG_grazdays_CS!$V$6*$A166+scatterplots_LWG_grazdays_CS!$W$6)/1000</f>
        <v>-0.54295999999999989</v>
      </c>
      <c r="AE166" s="23">
        <f t="shared" si="88"/>
        <v>-0.50295999999999985</v>
      </c>
      <c r="AF166" s="23">
        <f t="shared" si="93"/>
        <v>-0.46295999999999987</v>
      </c>
      <c r="AG166" s="23">
        <f t="shared" si="93"/>
        <v>-0.42295999999999989</v>
      </c>
      <c r="AH166" s="23">
        <f>(scatterplots_LWG_grazdays_CS!$V$6*$A166+scatterplots_LWG_grazdays_CS!$W$6)/1000+AH165</f>
        <v>-20.34419999999999</v>
      </c>
      <c r="AI166" s="23">
        <f t="shared" si="95"/>
        <v>-17.384199999999993</v>
      </c>
      <c r="AJ166" s="23">
        <f t="shared" si="95"/>
        <v>-14.42419999999999</v>
      </c>
      <c r="AK166" s="23">
        <f t="shared" si="95"/>
        <v>-11.464199999999991</v>
      </c>
    </row>
    <row r="167" spans="1:37">
      <c r="A167" s="12">
        <v>165</v>
      </c>
      <c r="B167" s="12">
        <v>76</v>
      </c>
      <c r="C167" s="23">
        <f>(scatterplots_LWG_grazdays_CS!$V$3*$A167+scatterplots_LWG_grazdays_CS!$W$3)/1000</f>
        <v>-0.16859999999999997</v>
      </c>
      <c r="D167" s="23">
        <f t="shared" si="100"/>
        <v>-0.12859999999999996</v>
      </c>
      <c r="E167" s="23">
        <f t="shared" si="100"/>
        <v>-8.859999999999997E-2</v>
      </c>
      <c r="F167" s="23">
        <f t="shared" si="100"/>
        <v>-4.8599999999999977E-2</v>
      </c>
      <c r="G167" s="23">
        <f>(scatterplots_LWG_grazdays_CS!$V$3*$A167+scatterplots_LWG_grazdays_CS!$W$3)/1000+G166</f>
        <v>10.606200000000005</v>
      </c>
      <c r="H167" s="23">
        <f t="shared" si="98"/>
        <v>13.646200000000004</v>
      </c>
      <c r="I167" s="23">
        <f t="shared" si="99"/>
        <v>15.446199999999999</v>
      </c>
      <c r="J167" s="23">
        <f t="shared" si="80"/>
        <v>16.446200000000001</v>
      </c>
      <c r="K167" s="23">
        <f t="shared" si="94"/>
        <v>16.846200000000003</v>
      </c>
      <c r="L167" s="23">
        <f t="shared" si="94"/>
        <v>16.686200000000007</v>
      </c>
      <c r="M167" s="23">
        <f t="shared" si="94"/>
        <v>19.726199999999999</v>
      </c>
      <c r="N167" s="23">
        <f>(scatterplots_LWG_grazdays_CS!$V$4*$A167+scatterplots_LWG_grazdays_CS!$W$4)/1000</f>
        <v>-0.31710000000000005</v>
      </c>
      <c r="O167" s="23">
        <f t="shared" si="85"/>
        <v>-0.27710000000000007</v>
      </c>
      <c r="P167" s="23">
        <f t="shared" si="85"/>
        <v>-0.23710000000000003</v>
      </c>
      <c r="Q167" s="23">
        <f t="shared" si="85"/>
        <v>-0.19710000000000005</v>
      </c>
      <c r="R167" s="23">
        <f>(scatterplots_LWG_grazdays_CS!$V$4*$A167+scatterplots_LWG_grazdays_CS!$W$4)/1000+R166</f>
        <v>-1.7193000000000045</v>
      </c>
      <c r="S167" s="23">
        <f t="shared" si="96"/>
        <v>1.2806999999999962</v>
      </c>
      <c r="T167" s="23">
        <f t="shared" si="96"/>
        <v>4.280699999999996</v>
      </c>
      <c r="U167" s="23">
        <f t="shared" si="96"/>
        <v>7.280699999999996</v>
      </c>
      <c r="V167" s="23">
        <f>(scatterplots_LWG_grazdays_CS!$V$5*$A167+scatterplots_LWG_grazdays_CS!$W$5)/1000</f>
        <v>-0.40620000000000006</v>
      </c>
      <c r="W167" s="23">
        <f t="shared" si="86"/>
        <v>-0.36620000000000008</v>
      </c>
      <c r="X167" s="23">
        <f t="shared" si="101"/>
        <v>-0.32620000000000005</v>
      </c>
      <c r="Y167" s="23">
        <f t="shared" si="101"/>
        <v>-0.28620000000000007</v>
      </c>
      <c r="Z167" s="23">
        <f>(scatterplots_LWG_grazdays_CS!$V$5*$A167+scatterplots_LWG_grazdays_CS!$W$5)/1000+Z166</f>
        <v>-9.1146000000000047</v>
      </c>
      <c r="AA167" s="23">
        <f t="shared" si="97"/>
        <v>-6.1146000000000074</v>
      </c>
      <c r="AB167" s="23">
        <f t="shared" si="97"/>
        <v>-3.1146000000000047</v>
      </c>
      <c r="AC167" s="23">
        <f t="shared" si="97"/>
        <v>-0.11460000000000453</v>
      </c>
      <c r="AD167" s="23">
        <f>(scatterplots_LWG_grazdays_CS!$V$6*$A167+scatterplots_LWG_grazdays_CS!$W$6)/1000</f>
        <v>-0.54809999999999992</v>
      </c>
      <c r="AE167" s="23">
        <f t="shared" si="88"/>
        <v>-0.50809999999999989</v>
      </c>
      <c r="AF167" s="23">
        <f t="shared" si="93"/>
        <v>-0.46809999999999991</v>
      </c>
      <c r="AG167" s="23">
        <f t="shared" si="93"/>
        <v>-0.42809999999999993</v>
      </c>
      <c r="AH167" s="23">
        <f>(scatterplots_LWG_grazdays_CS!$V$6*$A167+scatterplots_LWG_grazdays_CS!$W$6)/1000+AH166</f>
        <v>-20.892299999999992</v>
      </c>
      <c r="AI167" s="23">
        <f t="shared" si="95"/>
        <v>-17.892299999999992</v>
      </c>
      <c r="AJ167" s="23">
        <f t="shared" si="95"/>
        <v>-14.89229999999999</v>
      </c>
      <c r="AK167" s="23">
        <f t="shared" si="95"/>
        <v>-11.892299999999992</v>
      </c>
    </row>
    <row r="168" spans="1:37">
      <c r="A168" s="12">
        <v>166</v>
      </c>
      <c r="B168" s="12">
        <v>77</v>
      </c>
      <c r="C168" s="23">
        <f>(scatterplots_LWG_grazdays_CS!$V$3*$A168+scatterplots_LWG_grazdays_CS!$W$3)/1000</f>
        <v>-0.17144000000000001</v>
      </c>
      <c r="D168" s="23">
        <f t="shared" si="100"/>
        <v>-0.13144</v>
      </c>
      <c r="E168" s="23">
        <f t="shared" si="100"/>
        <v>-9.1440000000000007E-2</v>
      </c>
      <c r="F168" s="23">
        <f t="shared" si="100"/>
        <v>-5.1440000000000013E-2</v>
      </c>
      <c r="G168" s="23">
        <f>(scatterplots_LWG_grazdays_CS!$V$3*$A168+scatterplots_LWG_grazdays_CS!$W$3)/1000+G167</f>
        <v>10.434760000000004</v>
      </c>
      <c r="H168" s="23">
        <f t="shared" si="98"/>
        <v>13.514760000000004</v>
      </c>
      <c r="I168" s="23">
        <f t="shared" si="99"/>
        <v>15.31476</v>
      </c>
      <c r="J168" s="23">
        <f t="shared" si="80"/>
        <v>16.31476</v>
      </c>
      <c r="K168" s="23">
        <f t="shared" ref="K168:M183" si="102">D168+K167</f>
        <v>16.714760000000002</v>
      </c>
      <c r="L168" s="23">
        <f t="shared" si="102"/>
        <v>16.594760000000008</v>
      </c>
      <c r="M168" s="23">
        <f t="shared" si="102"/>
        <v>19.674759999999999</v>
      </c>
      <c r="N168" s="23">
        <f>(scatterplots_LWG_grazdays_CS!$V$4*$A168+scatterplots_LWG_grazdays_CS!$W$4)/1000</f>
        <v>-0.32084000000000001</v>
      </c>
      <c r="O168" s="23">
        <f t="shared" si="85"/>
        <v>-0.28084000000000003</v>
      </c>
      <c r="P168" s="23">
        <f t="shared" si="85"/>
        <v>-0.24084</v>
      </c>
      <c r="Q168" s="23">
        <f t="shared" si="85"/>
        <v>-0.20084000000000002</v>
      </c>
      <c r="R168" s="23">
        <f>(scatterplots_LWG_grazdays_CS!$V$4*$A168+scatterplots_LWG_grazdays_CS!$W$4)/1000+R167</f>
        <v>-2.0401400000000045</v>
      </c>
      <c r="S168" s="23">
        <f t="shared" si="96"/>
        <v>0.9998599999999962</v>
      </c>
      <c r="T168" s="23">
        <f t="shared" si="96"/>
        <v>4.0398599999999956</v>
      </c>
      <c r="U168" s="23">
        <f t="shared" si="96"/>
        <v>7.0798599999999956</v>
      </c>
      <c r="V168" s="23">
        <f>(scatterplots_LWG_grazdays_CS!$V$5*$A168+scatterplots_LWG_grazdays_CS!$W$5)/1000</f>
        <v>-0.41048000000000001</v>
      </c>
      <c r="W168" s="23">
        <f t="shared" si="86"/>
        <v>-0.37048000000000003</v>
      </c>
      <c r="X168" s="23">
        <f t="shared" si="101"/>
        <v>-0.33048</v>
      </c>
      <c r="Y168" s="23">
        <f t="shared" si="101"/>
        <v>-0.29048000000000002</v>
      </c>
      <c r="Z168" s="23">
        <f>(scatterplots_LWG_grazdays_CS!$V$5*$A168+scatterplots_LWG_grazdays_CS!$W$5)/1000+Z167</f>
        <v>-9.5250800000000044</v>
      </c>
      <c r="AA168" s="23">
        <f t="shared" si="97"/>
        <v>-6.4850800000000071</v>
      </c>
      <c r="AB168" s="23">
        <f t="shared" si="97"/>
        <v>-3.4450800000000048</v>
      </c>
      <c r="AC168" s="23">
        <f t="shared" si="97"/>
        <v>-0.40508000000000455</v>
      </c>
      <c r="AD168" s="23">
        <f>(scatterplots_LWG_grazdays_CS!$V$6*$A168+scatterplots_LWG_grazdays_CS!$W$6)/1000</f>
        <v>-0.55323999999999984</v>
      </c>
      <c r="AE168" s="23">
        <f t="shared" si="88"/>
        <v>-0.51323999999999981</v>
      </c>
      <c r="AF168" s="23">
        <f t="shared" si="93"/>
        <v>-0.47323999999999983</v>
      </c>
      <c r="AG168" s="23">
        <f t="shared" si="93"/>
        <v>-0.43323999999999985</v>
      </c>
      <c r="AH168" s="23">
        <f>(scatterplots_LWG_grazdays_CS!$V$6*$A168+scatterplots_LWG_grazdays_CS!$W$6)/1000+AH167</f>
        <v>-21.44553999999999</v>
      </c>
      <c r="AI168" s="23">
        <f t="shared" si="95"/>
        <v>-18.405539999999991</v>
      </c>
      <c r="AJ168" s="23">
        <f t="shared" si="95"/>
        <v>-15.36553999999999</v>
      </c>
      <c r="AK168" s="23">
        <f t="shared" si="95"/>
        <v>-12.325539999999991</v>
      </c>
    </row>
    <row r="169" spans="1:37">
      <c r="A169" s="12">
        <v>167</v>
      </c>
      <c r="B169" s="12">
        <v>78</v>
      </c>
      <c r="C169" s="23">
        <f>(scatterplots_LWG_grazdays_CS!$V$3*$A169+scatterplots_LWG_grazdays_CS!$W$3)/1000</f>
        <v>-0.17427999999999996</v>
      </c>
      <c r="D169" s="23">
        <f t="shared" si="100"/>
        <v>-0.13427999999999995</v>
      </c>
      <c r="E169" s="23">
        <f t="shared" si="100"/>
        <v>-9.4279999999999961E-2</v>
      </c>
      <c r="F169" s="23">
        <f t="shared" si="100"/>
        <v>-5.4279999999999967E-2</v>
      </c>
      <c r="G169" s="23">
        <f>(scatterplots_LWG_grazdays_CS!$V$3*$A169+scatterplots_LWG_grazdays_CS!$W$3)/1000+G168</f>
        <v>10.260480000000005</v>
      </c>
      <c r="H169" s="23">
        <f t="shared" si="98"/>
        <v>13.380480000000004</v>
      </c>
      <c r="I169" s="23">
        <f t="shared" si="99"/>
        <v>15.180479999999999</v>
      </c>
      <c r="J169" s="23">
        <f t="shared" si="80"/>
        <v>16.180479999999999</v>
      </c>
      <c r="K169" s="23">
        <f t="shared" si="102"/>
        <v>16.580480000000001</v>
      </c>
      <c r="L169" s="23">
        <f t="shared" si="102"/>
        <v>16.500480000000007</v>
      </c>
      <c r="M169" s="23">
        <f t="shared" si="102"/>
        <v>19.620480000000001</v>
      </c>
      <c r="N169" s="23">
        <f>(scatterplots_LWG_grazdays_CS!$V$4*$A169+scatterplots_LWG_grazdays_CS!$W$4)/1000</f>
        <v>-0.32458000000000004</v>
      </c>
      <c r="O169" s="23">
        <f t="shared" si="85"/>
        <v>-0.28458000000000006</v>
      </c>
      <c r="P169" s="23">
        <f t="shared" si="85"/>
        <v>-0.24458000000000002</v>
      </c>
      <c r="Q169" s="23">
        <f t="shared" si="85"/>
        <v>-0.20458000000000004</v>
      </c>
      <c r="R169" s="23">
        <f>(scatterplots_LWG_grazdays_CS!$V$4*$A169+scatterplots_LWG_grazdays_CS!$W$4)/1000+R168</f>
        <v>-2.3647200000000046</v>
      </c>
      <c r="S169" s="23">
        <f t="shared" si="96"/>
        <v>0.71527999999999614</v>
      </c>
      <c r="T169" s="23">
        <f t="shared" si="96"/>
        <v>3.7952799999999955</v>
      </c>
      <c r="U169" s="23">
        <f t="shared" si="96"/>
        <v>6.8752799999999956</v>
      </c>
      <c r="V169" s="23">
        <f>(scatterplots_LWG_grazdays_CS!$V$5*$A169+scatterplots_LWG_grazdays_CS!$W$5)/1000</f>
        <v>-0.41476000000000002</v>
      </c>
      <c r="W169" s="23">
        <f t="shared" si="86"/>
        <v>-0.37476000000000004</v>
      </c>
      <c r="X169" s="23">
        <f t="shared" si="101"/>
        <v>-0.33476</v>
      </c>
      <c r="Y169" s="23">
        <f t="shared" si="101"/>
        <v>-0.29476000000000002</v>
      </c>
      <c r="Z169" s="23">
        <f>(scatterplots_LWG_grazdays_CS!$V$5*$A169+scatterplots_LWG_grazdays_CS!$W$5)/1000+Z168</f>
        <v>-9.9398400000000038</v>
      </c>
      <c r="AA169" s="23">
        <f t="shared" si="97"/>
        <v>-6.8598400000000073</v>
      </c>
      <c r="AB169" s="23">
        <f t="shared" si="97"/>
        <v>-3.779840000000005</v>
      </c>
      <c r="AC169" s="23">
        <f t="shared" si="97"/>
        <v>-0.69984000000000457</v>
      </c>
      <c r="AD169" s="23">
        <f>(scatterplots_LWG_grazdays_CS!$V$6*$A169+scatterplots_LWG_grazdays_CS!$W$6)/1000</f>
        <v>-0.55837999999999999</v>
      </c>
      <c r="AE169" s="23">
        <f t="shared" si="88"/>
        <v>-0.51837999999999995</v>
      </c>
      <c r="AF169" s="23">
        <f t="shared" si="93"/>
        <v>-0.47837999999999997</v>
      </c>
      <c r="AG169" s="23">
        <f t="shared" si="93"/>
        <v>-0.43837999999999999</v>
      </c>
      <c r="AH169" s="23">
        <f>(scatterplots_LWG_grazdays_CS!$V$6*$A169+scatterplots_LWG_grazdays_CS!$W$6)/1000+AH168</f>
        <v>-22.00391999999999</v>
      </c>
      <c r="AI169" s="23">
        <f t="shared" si="95"/>
        <v>-18.923919999999992</v>
      </c>
      <c r="AJ169" s="23">
        <f t="shared" si="95"/>
        <v>-15.84391999999999</v>
      </c>
      <c r="AK169" s="23">
        <f t="shared" si="95"/>
        <v>-12.763919999999992</v>
      </c>
    </row>
    <row r="170" spans="1:37">
      <c r="A170" s="12">
        <v>168</v>
      </c>
      <c r="B170" s="12">
        <v>79</v>
      </c>
      <c r="C170" s="23">
        <f>(scatterplots_LWG_grazdays_CS!$V$3*$A170+scatterplots_LWG_grazdays_CS!$W$3)/1000</f>
        <v>-0.17712</v>
      </c>
      <c r="D170" s="23">
        <f t="shared" si="100"/>
        <v>-0.13711999999999999</v>
      </c>
      <c r="E170" s="23">
        <f t="shared" si="100"/>
        <v>-9.7119999999999998E-2</v>
      </c>
      <c r="F170" s="23">
        <f t="shared" si="100"/>
        <v>-5.7120000000000004E-2</v>
      </c>
      <c r="G170" s="23">
        <f>(scatterplots_LWG_grazdays_CS!$V$3*$A170+scatterplots_LWG_grazdays_CS!$W$3)/1000+G169</f>
        <v>10.083360000000004</v>
      </c>
      <c r="H170" s="23">
        <f t="shared" si="98"/>
        <v>13.243360000000004</v>
      </c>
      <c r="I170" s="23">
        <f t="shared" si="99"/>
        <v>15.04336</v>
      </c>
      <c r="J170" s="23">
        <f t="shared" si="80"/>
        <v>16.04336</v>
      </c>
      <c r="K170" s="23">
        <f t="shared" si="102"/>
        <v>16.443360000000002</v>
      </c>
      <c r="L170" s="23">
        <f t="shared" si="102"/>
        <v>16.403360000000006</v>
      </c>
      <c r="M170" s="23">
        <f t="shared" si="102"/>
        <v>19.563359999999999</v>
      </c>
      <c r="N170" s="23">
        <f>(scatterplots_LWG_grazdays_CS!$V$4*$A170+scatterplots_LWG_grazdays_CS!$W$4)/1000</f>
        <v>-0.32832000000000006</v>
      </c>
      <c r="O170" s="23">
        <f t="shared" si="85"/>
        <v>-0.28832000000000008</v>
      </c>
      <c r="P170" s="23">
        <f t="shared" si="85"/>
        <v>-0.24832000000000004</v>
      </c>
      <c r="Q170" s="23">
        <f t="shared" si="85"/>
        <v>-0.20832000000000006</v>
      </c>
      <c r="R170" s="23">
        <f>(scatterplots_LWG_grazdays_CS!$V$4*$A170+scatterplots_LWG_grazdays_CS!$W$4)/1000+R169</f>
        <v>-2.6930400000000048</v>
      </c>
      <c r="S170" s="23">
        <f t="shared" si="96"/>
        <v>0.42695999999999606</v>
      </c>
      <c r="T170" s="23">
        <f t="shared" si="96"/>
        <v>3.5469599999999954</v>
      </c>
      <c r="U170" s="23">
        <f t="shared" si="96"/>
        <v>6.666959999999996</v>
      </c>
      <c r="V170" s="23">
        <f>(scatterplots_LWG_grazdays_CS!$V$5*$A170+scatterplots_LWG_grazdays_CS!$W$5)/1000</f>
        <v>-0.41904000000000008</v>
      </c>
      <c r="W170" s="23">
        <f t="shared" si="86"/>
        <v>-0.3790400000000001</v>
      </c>
      <c r="X170" s="23">
        <f t="shared" si="101"/>
        <v>-0.33904000000000006</v>
      </c>
      <c r="Y170" s="23">
        <f t="shared" si="101"/>
        <v>-0.29904000000000008</v>
      </c>
      <c r="Z170" s="23">
        <f>(scatterplots_LWG_grazdays_CS!$V$5*$A170+scatterplots_LWG_grazdays_CS!$W$5)/1000+Z169</f>
        <v>-10.358880000000005</v>
      </c>
      <c r="AA170" s="23">
        <f t="shared" si="97"/>
        <v>-7.2388800000000071</v>
      </c>
      <c r="AB170" s="23">
        <f t="shared" si="97"/>
        <v>-4.1188800000000052</v>
      </c>
      <c r="AC170" s="23">
        <f t="shared" si="97"/>
        <v>-0.99888000000000465</v>
      </c>
      <c r="AD170" s="23">
        <f>(scatterplots_LWG_grazdays_CS!$V$6*$A170+scatterplots_LWG_grazdays_CS!$W$6)/1000</f>
        <v>-0.56352000000000002</v>
      </c>
      <c r="AE170" s="23">
        <f t="shared" si="88"/>
        <v>-0.52351999999999999</v>
      </c>
      <c r="AF170" s="23">
        <f t="shared" si="93"/>
        <v>-0.48352000000000001</v>
      </c>
      <c r="AG170" s="23">
        <f t="shared" si="93"/>
        <v>-0.44352000000000003</v>
      </c>
      <c r="AH170" s="23">
        <f>(scatterplots_LWG_grazdays_CS!$V$6*$A170+scatterplots_LWG_grazdays_CS!$W$6)/1000+AH169</f>
        <v>-22.567439999999991</v>
      </c>
      <c r="AI170" s="23">
        <f t="shared" si="95"/>
        <v>-19.447439999999993</v>
      </c>
      <c r="AJ170" s="23">
        <f t="shared" si="95"/>
        <v>-16.327439999999989</v>
      </c>
      <c r="AK170" s="23">
        <f t="shared" si="95"/>
        <v>-13.207439999999991</v>
      </c>
    </row>
    <row r="171" spans="1:37">
      <c r="A171" s="12">
        <v>169</v>
      </c>
      <c r="B171" s="12">
        <v>80</v>
      </c>
      <c r="C171" s="23">
        <f>(scatterplots_LWG_grazdays_CS!$V$3*$A171+scatterplots_LWG_grazdays_CS!$W$3)/1000</f>
        <v>-0.17995999999999998</v>
      </c>
      <c r="D171" s="23">
        <f t="shared" si="100"/>
        <v>-0.13995999999999997</v>
      </c>
      <c r="E171" s="23">
        <f t="shared" si="100"/>
        <v>-9.9959999999999979E-2</v>
      </c>
      <c r="F171" s="23">
        <f t="shared" si="100"/>
        <v>-5.9959999999999986E-2</v>
      </c>
      <c r="G171" s="23">
        <f>(scatterplots_LWG_grazdays_CS!$V$3*$A171+scatterplots_LWG_grazdays_CS!$W$3)/1000+G170</f>
        <v>9.9034000000000049</v>
      </c>
      <c r="H171" s="23">
        <f t="shared" si="98"/>
        <v>13.103400000000004</v>
      </c>
      <c r="I171" s="23">
        <f t="shared" si="99"/>
        <v>14.9034</v>
      </c>
      <c r="J171" s="23">
        <f t="shared" si="80"/>
        <v>15.9034</v>
      </c>
      <c r="K171" s="23">
        <f t="shared" si="102"/>
        <v>16.303400000000003</v>
      </c>
      <c r="L171" s="23">
        <f t="shared" si="102"/>
        <v>16.303400000000007</v>
      </c>
      <c r="M171" s="23">
        <f t="shared" si="102"/>
        <v>19.503399999999999</v>
      </c>
      <c r="N171" s="23">
        <f>(scatterplots_LWG_grazdays_CS!$V$4*$A171+scatterplots_LWG_grazdays_CS!$W$4)/1000</f>
        <v>-0.33206000000000008</v>
      </c>
      <c r="O171" s="23">
        <f t="shared" si="85"/>
        <v>-0.2920600000000001</v>
      </c>
      <c r="P171" s="23">
        <f t="shared" si="85"/>
        <v>-0.25206000000000006</v>
      </c>
      <c r="Q171" s="23">
        <f t="shared" si="85"/>
        <v>-0.21206000000000008</v>
      </c>
      <c r="R171" s="23">
        <f>(scatterplots_LWG_grazdays_CS!$V$4*$A171+scatterplots_LWG_grazdays_CS!$W$4)/1000+R170</f>
        <v>-3.025100000000005</v>
      </c>
      <c r="S171" s="23">
        <f t="shared" si="96"/>
        <v>0.13489999999999597</v>
      </c>
      <c r="T171" s="23">
        <f t="shared" si="96"/>
        <v>3.2948999999999953</v>
      </c>
      <c r="U171" s="23">
        <f t="shared" si="96"/>
        <v>6.4548999999999959</v>
      </c>
      <c r="V171" s="23">
        <f>(scatterplots_LWG_grazdays_CS!$V$5*$A171+scatterplots_LWG_grazdays_CS!$W$5)/1000</f>
        <v>-0.42332000000000003</v>
      </c>
      <c r="W171" s="23">
        <f t="shared" si="86"/>
        <v>-0.38332000000000005</v>
      </c>
      <c r="X171" s="23">
        <f t="shared" si="101"/>
        <v>-0.34332000000000001</v>
      </c>
      <c r="Y171" s="23">
        <f t="shared" si="101"/>
        <v>-0.30332000000000003</v>
      </c>
      <c r="Z171" s="23">
        <f>(scatterplots_LWG_grazdays_CS!$V$5*$A171+scatterplots_LWG_grazdays_CS!$W$5)/1000+Z170</f>
        <v>-10.782200000000005</v>
      </c>
      <c r="AA171" s="23">
        <f t="shared" si="97"/>
        <v>-7.6222000000000074</v>
      </c>
      <c r="AB171" s="23">
        <f t="shared" si="97"/>
        <v>-4.4622000000000055</v>
      </c>
      <c r="AC171" s="23">
        <f t="shared" si="97"/>
        <v>-1.3022000000000047</v>
      </c>
      <c r="AD171" s="23">
        <f>(scatterplots_LWG_grazdays_CS!$V$6*$A171+scatterplots_LWG_grazdays_CS!$W$6)/1000</f>
        <v>-0.56865999999999994</v>
      </c>
      <c r="AE171" s="23">
        <f t="shared" si="88"/>
        <v>-0.52865999999999991</v>
      </c>
      <c r="AF171" s="23">
        <f t="shared" si="93"/>
        <v>-0.48865999999999993</v>
      </c>
      <c r="AG171" s="23">
        <f t="shared" si="93"/>
        <v>-0.44865999999999995</v>
      </c>
      <c r="AH171" s="23">
        <f>(scatterplots_LWG_grazdays_CS!$V$6*$A171+scatterplots_LWG_grazdays_CS!$W$6)/1000+AH170</f>
        <v>-23.136099999999992</v>
      </c>
      <c r="AI171" s="23">
        <f t="shared" si="95"/>
        <v>-19.976099999999992</v>
      </c>
      <c r="AJ171" s="23">
        <f t="shared" si="95"/>
        <v>-16.816099999999988</v>
      </c>
      <c r="AK171" s="23">
        <f t="shared" si="95"/>
        <v>-13.656099999999991</v>
      </c>
    </row>
    <row r="172" spans="1:37">
      <c r="A172" s="12">
        <v>170</v>
      </c>
      <c r="B172" s="12">
        <v>81</v>
      </c>
      <c r="C172" s="23">
        <f>(scatterplots_LWG_grazdays_CS!$V$3*$A172+scatterplots_LWG_grazdays_CS!$W$3)/1000</f>
        <v>-0.18279999999999996</v>
      </c>
      <c r="D172" s="23">
        <f t="shared" si="100"/>
        <v>-0.14279999999999995</v>
      </c>
      <c r="E172" s="23">
        <f t="shared" si="100"/>
        <v>-0.10279999999999996</v>
      </c>
      <c r="F172" s="23">
        <f t="shared" si="100"/>
        <v>-6.2799999999999967E-2</v>
      </c>
      <c r="G172" s="23">
        <f>(scatterplots_LWG_grazdays_CS!$V$3*$A172+scatterplots_LWG_grazdays_CS!$W$3)/1000+G171</f>
        <v>9.7206000000000046</v>
      </c>
      <c r="H172" s="23">
        <f t="shared" si="98"/>
        <v>12.960600000000005</v>
      </c>
      <c r="I172" s="23">
        <f t="shared" si="99"/>
        <v>14.7606</v>
      </c>
      <c r="J172" s="23">
        <f t="shared" si="80"/>
        <v>15.7606</v>
      </c>
      <c r="K172" s="23">
        <f t="shared" si="102"/>
        <v>16.160600000000002</v>
      </c>
      <c r="L172" s="23">
        <f t="shared" si="102"/>
        <v>16.200600000000009</v>
      </c>
      <c r="M172" s="23">
        <f t="shared" si="102"/>
        <v>19.4406</v>
      </c>
      <c r="N172" s="23">
        <f>(scatterplots_LWG_grazdays_CS!$V$4*$A172+scatterplots_LWG_grazdays_CS!$W$4)/1000</f>
        <v>-0.33580000000000004</v>
      </c>
      <c r="O172" s="23">
        <f t="shared" si="85"/>
        <v>-0.29580000000000006</v>
      </c>
      <c r="P172" s="23">
        <f t="shared" si="85"/>
        <v>-0.25580000000000003</v>
      </c>
      <c r="Q172" s="23">
        <f t="shared" si="85"/>
        <v>-0.21580000000000005</v>
      </c>
      <c r="R172" s="23">
        <f>(scatterplots_LWG_grazdays_CS!$V$4*$A172+scatterplots_LWG_grazdays_CS!$W$4)/1000+R171</f>
        <v>-3.3609000000000049</v>
      </c>
      <c r="S172" s="23">
        <f t="shared" si="96"/>
        <v>-0.1609000000000041</v>
      </c>
      <c r="T172" s="23">
        <f t="shared" si="96"/>
        <v>3.039099999999995</v>
      </c>
      <c r="U172" s="23">
        <f t="shared" si="96"/>
        <v>6.2390999999999961</v>
      </c>
      <c r="V172" s="23">
        <f>(scatterplots_LWG_grazdays_CS!$V$5*$A172+scatterplots_LWG_grazdays_CS!$W$5)/1000</f>
        <v>-0.42760000000000004</v>
      </c>
      <c r="W172" s="23">
        <f t="shared" si="86"/>
        <v>-0.38760000000000006</v>
      </c>
      <c r="X172" s="23">
        <f t="shared" si="101"/>
        <v>-0.34760000000000002</v>
      </c>
      <c r="Y172" s="23">
        <f t="shared" si="101"/>
        <v>-0.30760000000000004</v>
      </c>
      <c r="Z172" s="23">
        <f>(scatterplots_LWG_grazdays_CS!$V$5*$A172+scatterplots_LWG_grazdays_CS!$W$5)/1000+Z171</f>
        <v>-11.209800000000005</v>
      </c>
      <c r="AA172" s="23">
        <f t="shared" si="97"/>
        <v>-8.0098000000000074</v>
      </c>
      <c r="AB172" s="23">
        <f t="shared" si="97"/>
        <v>-4.8098000000000054</v>
      </c>
      <c r="AC172" s="23">
        <f t="shared" si="97"/>
        <v>-1.6098000000000048</v>
      </c>
      <c r="AD172" s="23">
        <f>(scatterplots_LWG_grazdays_CS!$V$6*$A172+scatterplots_LWG_grazdays_CS!$W$6)/1000</f>
        <v>-0.57379999999999998</v>
      </c>
      <c r="AE172" s="23">
        <f t="shared" si="88"/>
        <v>-0.53379999999999994</v>
      </c>
      <c r="AF172" s="23">
        <f t="shared" si="93"/>
        <v>-0.49379999999999996</v>
      </c>
      <c r="AG172" s="23">
        <f t="shared" si="93"/>
        <v>-0.45379999999999998</v>
      </c>
      <c r="AH172" s="23">
        <f>(scatterplots_LWG_grazdays_CS!$V$6*$A172+scatterplots_LWG_grazdays_CS!$W$6)/1000+AH171</f>
        <v>-23.70989999999999</v>
      </c>
      <c r="AI172" s="23">
        <f t="shared" si="95"/>
        <v>-20.509899999999991</v>
      </c>
      <c r="AJ172" s="23">
        <f t="shared" si="95"/>
        <v>-17.309899999999988</v>
      </c>
      <c r="AK172" s="23">
        <f t="shared" si="95"/>
        <v>-14.109899999999991</v>
      </c>
    </row>
    <row r="173" spans="1:37">
      <c r="A173" s="12">
        <v>171</v>
      </c>
      <c r="B173" s="12">
        <v>82</v>
      </c>
      <c r="C173" s="23">
        <f>(scatterplots_LWG_grazdays_CS!$V$3*$A173+scatterplots_LWG_grazdays_CS!$W$3)/1000</f>
        <v>-0.18564</v>
      </c>
      <c r="D173" s="23">
        <f t="shared" si="100"/>
        <v>-0.14563999999999999</v>
      </c>
      <c r="E173" s="23">
        <f t="shared" si="100"/>
        <v>-0.10564</v>
      </c>
      <c r="F173" s="23">
        <f t="shared" si="100"/>
        <v>-6.5640000000000004E-2</v>
      </c>
      <c r="G173" s="23">
        <f>(scatterplots_LWG_grazdays_CS!$V$3*$A173+scatterplots_LWG_grazdays_CS!$W$3)/1000+G172</f>
        <v>9.5349600000000052</v>
      </c>
      <c r="H173" s="23">
        <f t="shared" si="98"/>
        <v>12.814960000000005</v>
      </c>
      <c r="I173" s="23">
        <f t="shared" si="99"/>
        <v>14.61496</v>
      </c>
      <c r="J173" s="23">
        <f t="shared" si="80"/>
        <v>15.61496</v>
      </c>
      <c r="K173" s="23">
        <f t="shared" si="102"/>
        <v>16.014960000000002</v>
      </c>
      <c r="L173" s="23">
        <f t="shared" si="102"/>
        <v>16.094960000000007</v>
      </c>
      <c r="M173" s="23">
        <f t="shared" si="102"/>
        <v>19.374960000000002</v>
      </c>
      <c r="N173" s="23">
        <f>(scatterplots_LWG_grazdays_CS!$V$4*$A173+scatterplots_LWG_grazdays_CS!$W$4)/1000</f>
        <v>-0.33954000000000006</v>
      </c>
      <c r="O173" s="23">
        <f t="shared" si="85"/>
        <v>-0.29954000000000008</v>
      </c>
      <c r="P173" s="23">
        <f t="shared" si="85"/>
        <v>-0.25954000000000005</v>
      </c>
      <c r="Q173" s="23">
        <f t="shared" si="85"/>
        <v>-0.21954000000000007</v>
      </c>
      <c r="R173" s="23">
        <f>(scatterplots_LWG_grazdays_CS!$V$4*$A173+scatterplots_LWG_grazdays_CS!$W$4)/1000+R172</f>
        <v>-3.7004400000000048</v>
      </c>
      <c r="S173" s="23">
        <f t="shared" si="96"/>
        <v>-0.46044000000000418</v>
      </c>
      <c r="T173" s="23">
        <f t="shared" si="96"/>
        <v>2.7795599999999951</v>
      </c>
      <c r="U173" s="23">
        <f t="shared" si="96"/>
        <v>6.0195599999999958</v>
      </c>
      <c r="V173" s="23">
        <f>(scatterplots_LWG_grazdays_CS!$V$5*$A173+scatterplots_LWG_grazdays_CS!$W$5)/1000</f>
        <v>-0.43187999999999999</v>
      </c>
      <c r="W173" s="23">
        <f t="shared" si="86"/>
        <v>-0.39188000000000001</v>
      </c>
      <c r="X173" s="23">
        <f t="shared" si="101"/>
        <v>-0.35187999999999997</v>
      </c>
      <c r="Y173" s="23">
        <f t="shared" si="101"/>
        <v>-0.31187999999999999</v>
      </c>
      <c r="Z173" s="23">
        <f>(scatterplots_LWG_grazdays_CS!$V$5*$A173+scatterplots_LWG_grazdays_CS!$W$5)/1000+Z172</f>
        <v>-11.641680000000004</v>
      </c>
      <c r="AA173" s="23">
        <f t="shared" si="97"/>
        <v>-8.4016800000000078</v>
      </c>
      <c r="AB173" s="23">
        <f t="shared" si="97"/>
        <v>-5.1616800000000058</v>
      </c>
      <c r="AC173" s="23">
        <f t="shared" si="97"/>
        <v>-1.9216800000000047</v>
      </c>
      <c r="AD173" s="23">
        <f>(scatterplots_LWG_grazdays_CS!$V$6*$A173+scatterplots_LWG_grazdays_CS!$W$6)/1000</f>
        <v>-0.5789399999999999</v>
      </c>
      <c r="AE173" s="23">
        <f t="shared" si="88"/>
        <v>-0.53893999999999986</v>
      </c>
      <c r="AF173" s="23">
        <f t="shared" si="93"/>
        <v>-0.49893999999999988</v>
      </c>
      <c r="AG173" s="23">
        <f t="shared" si="93"/>
        <v>-0.4589399999999999</v>
      </c>
      <c r="AH173" s="23">
        <f>(scatterplots_LWG_grazdays_CS!$V$6*$A173+scatterplots_LWG_grazdays_CS!$W$6)/1000+AH172</f>
        <v>-24.28883999999999</v>
      </c>
      <c r="AI173" s="23">
        <f t="shared" ref="AI173:AK188" si="103">AE173+AI172</f>
        <v>-21.048839999999991</v>
      </c>
      <c r="AJ173" s="23">
        <f t="shared" si="103"/>
        <v>-17.808839999999989</v>
      </c>
      <c r="AK173" s="23">
        <f t="shared" si="103"/>
        <v>-14.568839999999991</v>
      </c>
    </row>
    <row r="174" spans="1:37">
      <c r="A174" s="12">
        <v>172</v>
      </c>
      <c r="B174" s="12">
        <v>83</v>
      </c>
      <c r="C174" s="23">
        <f>(scatterplots_LWG_grazdays_CS!$V$3*$A174+scatterplots_LWG_grazdays_CS!$W$3)/1000</f>
        <v>-0.18847999999999995</v>
      </c>
      <c r="D174" s="23">
        <f t="shared" si="100"/>
        <v>-0.14847999999999995</v>
      </c>
      <c r="E174" s="23">
        <f t="shared" si="100"/>
        <v>-0.10847999999999995</v>
      </c>
      <c r="F174" s="23">
        <f t="shared" si="100"/>
        <v>-6.8479999999999958E-2</v>
      </c>
      <c r="G174" s="23">
        <f>(scatterplots_LWG_grazdays_CS!$V$3*$A174+scatterplots_LWG_grazdays_CS!$W$3)/1000+G173</f>
        <v>9.346480000000005</v>
      </c>
      <c r="H174" s="23">
        <f t="shared" si="98"/>
        <v>12.666480000000005</v>
      </c>
      <c r="I174" s="23">
        <f t="shared" si="99"/>
        <v>14.466480000000001</v>
      </c>
      <c r="J174" s="23">
        <f t="shared" si="80"/>
        <v>15.466480000000001</v>
      </c>
      <c r="K174" s="23">
        <f t="shared" si="102"/>
        <v>15.866480000000003</v>
      </c>
      <c r="L174" s="23">
        <f t="shared" si="102"/>
        <v>15.986480000000007</v>
      </c>
      <c r="M174" s="23">
        <f t="shared" si="102"/>
        <v>19.306480000000001</v>
      </c>
      <c r="N174" s="23">
        <f>(scatterplots_LWG_grazdays_CS!$V$4*$A174+scatterplots_LWG_grazdays_CS!$W$4)/1000</f>
        <v>-0.34328000000000009</v>
      </c>
      <c r="O174" s="23">
        <f t="shared" si="85"/>
        <v>-0.30328000000000011</v>
      </c>
      <c r="P174" s="23">
        <f t="shared" si="85"/>
        <v>-0.26328000000000007</v>
      </c>
      <c r="Q174" s="23">
        <f t="shared" si="85"/>
        <v>-0.22328000000000009</v>
      </c>
      <c r="R174" s="23">
        <f>(scatterplots_LWG_grazdays_CS!$V$4*$A174+scatterplots_LWG_grazdays_CS!$W$4)/1000+R173</f>
        <v>-4.0437200000000049</v>
      </c>
      <c r="S174" s="23">
        <f t="shared" ref="S174:U189" si="104">O174+S173</f>
        <v>-0.76372000000000428</v>
      </c>
      <c r="T174" s="23">
        <f t="shared" si="104"/>
        <v>2.5162799999999952</v>
      </c>
      <c r="U174" s="23">
        <f t="shared" si="104"/>
        <v>5.7962799999999959</v>
      </c>
      <c r="V174" s="23">
        <f>(scatterplots_LWG_grazdays_CS!$V$5*$A174+scatterplots_LWG_grazdays_CS!$W$5)/1000</f>
        <v>-0.4361600000000001</v>
      </c>
      <c r="W174" s="23">
        <f t="shared" si="86"/>
        <v>-0.39616000000000012</v>
      </c>
      <c r="X174" s="23">
        <f t="shared" si="101"/>
        <v>-0.35616000000000009</v>
      </c>
      <c r="Y174" s="23">
        <f t="shared" si="101"/>
        <v>-0.31616000000000011</v>
      </c>
      <c r="Z174" s="23">
        <f>(scatterplots_LWG_grazdays_CS!$V$5*$A174+scatterplots_LWG_grazdays_CS!$W$5)/1000+Z173</f>
        <v>-12.077840000000005</v>
      </c>
      <c r="AA174" s="23">
        <f t="shared" ref="AA174:AC189" si="105">AA173+W174</f>
        <v>-8.7978400000000079</v>
      </c>
      <c r="AB174" s="23">
        <f t="shared" si="105"/>
        <v>-5.5178400000000059</v>
      </c>
      <c r="AC174" s="23">
        <f t="shared" si="105"/>
        <v>-2.2378400000000047</v>
      </c>
      <c r="AD174" s="23">
        <f>(scatterplots_LWG_grazdays_CS!$V$6*$A174+scatterplots_LWG_grazdays_CS!$W$6)/1000</f>
        <v>-0.58407999999999993</v>
      </c>
      <c r="AE174" s="23">
        <f t="shared" si="88"/>
        <v>-0.5440799999999999</v>
      </c>
      <c r="AF174" s="23">
        <f t="shared" si="93"/>
        <v>-0.50407999999999997</v>
      </c>
      <c r="AG174" s="23">
        <f t="shared" si="93"/>
        <v>-0.46407999999999994</v>
      </c>
      <c r="AH174" s="23">
        <f>(scatterplots_LWG_grazdays_CS!$V$6*$A174+scatterplots_LWG_grazdays_CS!$W$6)/1000+AH173</f>
        <v>-24.87291999999999</v>
      </c>
      <c r="AI174" s="23">
        <f t="shared" si="103"/>
        <v>-21.592919999999992</v>
      </c>
      <c r="AJ174" s="23">
        <f t="shared" si="103"/>
        <v>-18.312919999999988</v>
      </c>
      <c r="AK174" s="23">
        <f t="shared" si="103"/>
        <v>-15.03291999999999</v>
      </c>
    </row>
    <row r="175" spans="1:37">
      <c r="A175" s="12">
        <v>173</v>
      </c>
      <c r="B175" s="12">
        <v>84</v>
      </c>
      <c r="C175" s="23">
        <f>(scatterplots_LWG_grazdays_CS!$V$3*$A175+scatterplots_LWG_grazdays_CS!$W$3)/1000</f>
        <v>-0.19131999999999999</v>
      </c>
      <c r="D175" s="23">
        <f t="shared" si="100"/>
        <v>-0.15131999999999998</v>
      </c>
      <c r="E175" s="23">
        <f t="shared" si="100"/>
        <v>-0.11131999999999999</v>
      </c>
      <c r="F175" s="23">
        <f t="shared" si="100"/>
        <v>-7.1319999999999995E-2</v>
      </c>
      <c r="G175" s="23">
        <f>(scatterplots_LWG_grazdays_CS!$V$3*$A175+scatterplots_LWG_grazdays_CS!$W$3)/1000+G174</f>
        <v>9.1551600000000057</v>
      </c>
      <c r="H175" s="23">
        <f t="shared" si="98"/>
        <v>12.515160000000005</v>
      </c>
      <c r="I175" s="23">
        <f t="shared" si="99"/>
        <v>14.315160000000001</v>
      </c>
      <c r="J175" s="23">
        <f t="shared" si="80"/>
        <v>15.315160000000001</v>
      </c>
      <c r="K175" s="23">
        <f t="shared" si="102"/>
        <v>15.715160000000003</v>
      </c>
      <c r="L175" s="23">
        <f t="shared" si="102"/>
        <v>15.875160000000008</v>
      </c>
      <c r="M175" s="23">
        <f t="shared" si="102"/>
        <v>19.23516</v>
      </c>
      <c r="N175" s="23">
        <f>(scatterplots_LWG_grazdays_CS!$V$4*$A175+scatterplots_LWG_grazdays_CS!$W$4)/1000</f>
        <v>-0.34702</v>
      </c>
      <c r="O175" s="23">
        <f t="shared" si="85"/>
        <v>-0.30702000000000002</v>
      </c>
      <c r="P175" s="23">
        <f t="shared" si="85"/>
        <v>-0.26701999999999998</v>
      </c>
      <c r="Q175" s="23">
        <f t="shared" si="85"/>
        <v>-0.22702</v>
      </c>
      <c r="R175" s="23">
        <f>(scatterplots_LWG_grazdays_CS!$V$4*$A175+scatterplots_LWG_grazdays_CS!$W$4)/1000+R174</f>
        <v>-4.3907400000000045</v>
      </c>
      <c r="S175" s="23">
        <f t="shared" si="104"/>
        <v>-1.0707400000000042</v>
      </c>
      <c r="T175" s="23">
        <f t="shared" si="104"/>
        <v>2.2492599999999952</v>
      </c>
      <c r="U175" s="23">
        <f t="shared" si="104"/>
        <v>5.5692599999999963</v>
      </c>
      <c r="V175" s="23">
        <f>(scatterplots_LWG_grazdays_CS!$V$5*$A175+scatterplots_LWG_grazdays_CS!$W$5)/1000</f>
        <v>-0.44044000000000005</v>
      </c>
      <c r="W175" s="23">
        <f t="shared" si="86"/>
        <v>-0.40044000000000007</v>
      </c>
      <c r="X175" s="23">
        <f t="shared" si="101"/>
        <v>-0.36044000000000004</v>
      </c>
      <c r="Y175" s="23">
        <f t="shared" si="101"/>
        <v>-0.32044000000000006</v>
      </c>
      <c r="Z175" s="23">
        <f>(scatterplots_LWG_grazdays_CS!$V$5*$A175+scatterplots_LWG_grazdays_CS!$W$5)/1000+Z174</f>
        <v>-12.518280000000006</v>
      </c>
      <c r="AA175" s="23">
        <f t="shared" si="105"/>
        <v>-9.1982800000000076</v>
      </c>
      <c r="AB175" s="23">
        <f t="shared" si="105"/>
        <v>-5.8782800000000055</v>
      </c>
      <c r="AC175" s="23">
        <f t="shared" si="105"/>
        <v>-2.5582800000000048</v>
      </c>
      <c r="AD175" s="23">
        <f>(scatterplots_LWG_grazdays_CS!$V$6*$A175+scatterplots_LWG_grazdays_CS!$W$6)/1000</f>
        <v>-0.58921999999999997</v>
      </c>
      <c r="AE175" s="23">
        <f t="shared" si="88"/>
        <v>-0.54921999999999993</v>
      </c>
      <c r="AF175" s="23">
        <f t="shared" si="93"/>
        <v>-0.50922000000000001</v>
      </c>
      <c r="AG175" s="23">
        <f t="shared" si="93"/>
        <v>-0.46921999999999997</v>
      </c>
      <c r="AH175" s="23">
        <f>(scatterplots_LWG_grazdays_CS!$V$6*$A175+scatterplots_LWG_grazdays_CS!$W$6)/1000+AH174</f>
        <v>-25.462139999999991</v>
      </c>
      <c r="AI175" s="23">
        <f t="shared" si="103"/>
        <v>-22.142139999999991</v>
      </c>
      <c r="AJ175" s="23">
        <f t="shared" si="103"/>
        <v>-18.822139999999987</v>
      </c>
      <c r="AK175" s="23">
        <f t="shared" si="103"/>
        <v>-15.50213999999999</v>
      </c>
    </row>
    <row r="176" spans="1:37">
      <c r="A176" s="12">
        <v>174</v>
      </c>
      <c r="B176" s="12">
        <v>85</v>
      </c>
      <c r="C176" s="23">
        <f>(scatterplots_LWG_grazdays_CS!$V$3*$A176+scatterplots_LWG_grazdays_CS!$W$3)/1000</f>
        <v>-0.19415999999999997</v>
      </c>
      <c r="D176" s="23">
        <f t="shared" si="100"/>
        <v>-0.15415999999999996</v>
      </c>
      <c r="E176" s="23">
        <f t="shared" si="100"/>
        <v>-0.11415999999999997</v>
      </c>
      <c r="F176" s="23">
        <f t="shared" si="100"/>
        <v>-7.4159999999999976E-2</v>
      </c>
      <c r="G176" s="23">
        <f>(scatterplots_LWG_grazdays_CS!$V$3*$A176+scatterplots_LWG_grazdays_CS!$W$3)/1000+G175</f>
        <v>8.9610000000000056</v>
      </c>
      <c r="H176" s="23">
        <f t="shared" si="98"/>
        <v>12.361000000000006</v>
      </c>
      <c r="I176" s="23">
        <f t="shared" si="99"/>
        <v>14.161000000000001</v>
      </c>
      <c r="J176" s="23">
        <f t="shared" si="80"/>
        <v>15.161000000000001</v>
      </c>
      <c r="K176" s="23">
        <f t="shared" si="102"/>
        <v>15.561000000000003</v>
      </c>
      <c r="L176" s="23">
        <f t="shared" si="102"/>
        <v>15.761000000000008</v>
      </c>
      <c r="M176" s="23">
        <f t="shared" si="102"/>
        <v>19.161000000000001</v>
      </c>
      <c r="N176" s="23">
        <f>(scatterplots_LWG_grazdays_CS!$V$4*$A176+scatterplots_LWG_grazdays_CS!$W$4)/1000</f>
        <v>-0.35076000000000002</v>
      </c>
      <c r="O176" s="23">
        <f t="shared" si="85"/>
        <v>-0.31076000000000004</v>
      </c>
      <c r="P176" s="23">
        <f t="shared" si="85"/>
        <v>-0.27076</v>
      </c>
      <c r="Q176" s="23">
        <f t="shared" si="85"/>
        <v>-0.23076000000000002</v>
      </c>
      <c r="R176" s="23">
        <f>(scatterplots_LWG_grazdays_CS!$V$4*$A176+scatterplots_LWG_grazdays_CS!$W$4)/1000+R175</f>
        <v>-4.7415000000000047</v>
      </c>
      <c r="S176" s="23">
        <f t="shared" si="104"/>
        <v>-1.3815000000000044</v>
      </c>
      <c r="T176" s="23">
        <f t="shared" si="104"/>
        <v>1.978499999999995</v>
      </c>
      <c r="U176" s="23">
        <f t="shared" si="104"/>
        <v>5.3384999999999962</v>
      </c>
      <c r="V176" s="23">
        <f>(scatterplots_LWG_grazdays_CS!$V$5*$A176+scatterplots_LWG_grazdays_CS!$W$5)/1000</f>
        <v>-0.44472</v>
      </c>
      <c r="W176" s="23">
        <f t="shared" si="86"/>
        <v>-0.40472000000000002</v>
      </c>
      <c r="X176" s="23">
        <f t="shared" si="101"/>
        <v>-0.36471999999999999</v>
      </c>
      <c r="Y176" s="23">
        <f t="shared" si="101"/>
        <v>-0.32472000000000001</v>
      </c>
      <c r="Z176" s="23">
        <f>(scatterplots_LWG_grazdays_CS!$V$5*$A176+scatterplots_LWG_grazdays_CS!$W$5)/1000+Z175</f>
        <v>-12.963000000000006</v>
      </c>
      <c r="AA176" s="23">
        <f t="shared" si="105"/>
        <v>-9.6030000000000069</v>
      </c>
      <c r="AB176" s="23">
        <f t="shared" si="105"/>
        <v>-6.2430000000000057</v>
      </c>
      <c r="AC176" s="23">
        <f t="shared" si="105"/>
        <v>-2.8830000000000049</v>
      </c>
      <c r="AD176" s="23">
        <f>(scatterplots_LWG_grazdays_CS!$V$6*$A176+scatterplots_LWG_grazdays_CS!$W$6)/1000</f>
        <v>-0.59435999999999989</v>
      </c>
      <c r="AE176" s="23">
        <f t="shared" si="88"/>
        <v>-0.55435999999999985</v>
      </c>
      <c r="AF176" s="23">
        <f t="shared" si="93"/>
        <v>-0.51435999999999993</v>
      </c>
      <c r="AG176" s="23">
        <f t="shared" si="93"/>
        <v>-0.47435999999999989</v>
      </c>
      <c r="AH176" s="23">
        <f>(scatterplots_LWG_grazdays_CS!$V$6*$A176+scatterplots_LWG_grazdays_CS!$W$6)/1000+AH175</f>
        <v>-26.056499999999989</v>
      </c>
      <c r="AI176" s="23">
        <f t="shared" si="103"/>
        <v>-22.69649999999999</v>
      </c>
      <c r="AJ176" s="23">
        <f t="shared" si="103"/>
        <v>-19.336499999999987</v>
      </c>
      <c r="AK176" s="23">
        <f t="shared" si="103"/>
        <v>-15.976499999999991</v>
      </c>
    </row>
    <row r="177" spans="1:37">
      <c r="A177" s="12">
        <v>175</v>
      </c>
      <c r="B177" s="12">
        <v>86</v>
      </c>
      <c r="C177" s="23">
        <f>(scatterplots_LWG_grazdays_CS!$V$3*$A177+scatterplots_LWG_grazdays_CS!$W$3)/1000</f>
        <v>-0.19700000000000001</v>
      </c>
      <c r="D177" s="23">
        <f t="shared" si="100"/>
        <v>-0.157</v>
      </c>
      <c r="E177" s="23">
        <f t="shared" si="100"/>
        <v>-0.11700000000000001</v>
      </c>
      <c r="F177" s="23">
        <f t="shared" si="100"/>
        <v>-7.7000000000000013E-2</v>
      </c>
      <c r="G177" s="23">
        <f>(scatterplots_LWG_grazdays_CS!$V$3*$A177+scatterplots_LWG_grazdays_CS!$W$3)/1000+G176</f>
        <v>8.7640000000000065</v>
      </c>
      <c r="H177" s="23">
        <f t="shared" si="98"/>
        <v>12.204000000000006</v>
      </c>
      <c r="I177" s="23">
        <f t="shared" si="99"/>
        <v>14.004000000000001</v>
      </c>
      <c r="J177" s="23">
        <f t="shared" si="80"/>
        <v>15.004000000000001</v>
      </c>
      <c r="K177" s="23">
        <f t="shared" si="102"/>
        <v>15.404000000000003</v>
      </c>
      <c r="L177" s="23">
        <f t="shared" si="102"/>
        <v>15.644000000000007</v>
      </c>
      <c r="M177" s="23">
        <f t="shared" si="102"/>
        <v>19.084</v>
      </c>
      <c r="N177" s="23">
        <f>(scatterplots_LWG_grazdays_CS!$V$4*$A177+scatterplots_LWG_grazdays_CS!$W$4)/1000</f>
        <v>-0.35449999999999998</v>
      </c>
      <c r="O177" s="23">
        <f t="shared" si="85"/>
        <v>-0.3145</v>
      </c>
      <c r="P177" s="23">
        <f t="shared" si="85"/>
        <v>-0.27449999999999997</v>
      </c>
      <c r="Q177" s="23">
        <f t="shared" si="85"/>
        <v>-0.23449999999999999</v>
      </c>
      <c r="R177" s="23">
        <f>(scatterplots_LWG_grazdays_CS!$V$4*$A177+scatterplots_LWG_grazdays_CS!$W$4)/1000+R176</f>
        <v>-5.0960000000000045</v>
      </c>
      <c r="S177" s="23">
        <f t="shared" si="104"/>
        <v>-1.6960000000000044</v>
      </c>
      <c r="T177" s="23">
        <f t="shared" si="104"/>
        <v>1.7039999999999951</v>
      </c>
      <c r="U177" s="23">
        <f t="shared" si="104"/>
        <v>5.1039999999999965</v>
      </c>
      <c r="V177" s="23">
        <f>(scatterplots_LWG_grazdays_CS!$V$5*$A177+scatterplots_LWG_grazdays_CS!$W$5)/1000</f>
        <v>-0.44900000000000001</v>
      </c>
      <c r="W177" s="23">
        <f t="shared" si="86"/>
        <v>-0.40900000000000003</v>
      </c>
      <c r="X177" s="23">
        <f t="shared" si="101"/>
        <v>-0.36899999999999999</v>
      </c>
      <c r="Y177" s="23">
        <f t="shared" si="101"/>
        <v>-0.32900000000000001</v>
      </c>
      <c r="Z177" s="23">
        <f>(scatterplots_LWG_grazdays_CS!$V$5*$A177+scatterplots_LWG_grazdays_CS!$W$5)/1000+Z176</f>
        <v>-13.412000000000006</v>
      </c>
      <c r="AA177" s="23">
        <f t="shared" si="105"/>
        <v>-10.012000000000008</v>
      </c>
      <c r="AB177" s="23">
        <f t="shared" si="105"/>
        <v>-6.6120000000000054</v>
      </c>
      <c r="AC177" s="23">
        <f t="shared" si="105"/>
        <v>-3.2120000000000051</v>
      </c>
      <c r="AD177" s="23">
        <f>(scatterplots_LWG_grazdays_CS!$V$6*$A177+scatterplots_LWG_grazdays_CS!$W$6)/1000</f>
        <v>-0.59950000000000003</v>
      </c>
      <c r="AE177" s="23">
        <f t="shared" si="88"/>
        <v>-0.5595</v>
      </c>
      <c r="AF177" s="23">
        <f t="shared" si="93"/>
        <v>-0.51950000000000007</v>
      </c>
      <c r="AG177" s="23">
        <f t="shared" si="93"/>
        <v>-0.47950000000000004</v>
      </c>
      <c r="AH177" s="23">
        <f>(scatterplots_LWG_grazdays_CS!$V$6*$A177+scatterplots_LWG_grazdays_CS!$W$6)/1000+AH176</f>
        <v>-26.655999999999988</v>
      </c>
      <c r="AI177" s="23">
        <f t="shared" si="103"/>
        <v>-23.25599999999999</v>
      </c>
      <c r="AJ177" s="23">
        <f t="shared" si="103"/>
        <v>-19.855999999999987</v>
      </c>
      <c r="AK177" s="23">
        <f t="shared" si="103"/>
        <v>-16.455999999999992</v>
      </c>
    </row>
    <row r="178" spans="1:37">
      <c r="A178" s="12">
        <v>176</v>
      </c>
      <c r="B178" s="12">
        <v>87</v>
      </c>
      <c r="C178" s="23">
        <f>(scatterplots_LWG_grazdays_CS!$V$3*$A178+scatterplots_LWG_grazdays_CS!$W$3)/1000</f>
        <v>-0.19983999999999996</v>
      </c>
      <c r="D178" s="23">
        <f t="shared" si="100"/>
        <v>-0.15983999999999995</v>
      </c>
      <c r="E178" s="23">
        <f t="shared" si="100"/>
        <v>-0.11983999999999996</v>
      </c>
      <c r="F178" s="23">
        <f t="shared" si="100"/>
        <v>-7.9839999999999967E-2</v>
      </c>
      <c r="G178" s="23">
        <f>(scatterplots_LWG_grazdays_CS!$V$3*$A178+scatterplots_LWG_grazdays_CS!$W$3)/1000+G177</f>
        <v>8.5641600000000064</v>
      </c>
      <c r="H178" s="23">
        <f t="shared" si="98"/>
        <v>12.044160000000007</v>
      </c>
      <c r="I178" s="23">
        <f t="shared" si="99"/>
        <v>13.844160000000002</v>
      </c>
      <c r="J178" s="23">
        <f t="shared" si="80"/>
        <v>14.844160000000002</v>
      </c>
      <c r="K178" s="23">
        <f t="shared" si="102"/>
        <v>15.244160000000004</v>
      </c>
      <c r="L178" s="23">
        <f t="shared" si="102"/>
        <v>15.524160000000007</v>
      </c>
      <c r="M178" s="23">
        <f t="shared" si="102"/>
        <v>19.004159999999999</v>
      </c>
      <c r="N178" s="23">
        <f>(scatterplots_LWG_grazdays_CS!$V$4*$A178+scatterplots_LWG_grazdays_CS!$W$4)/1000</f>
        <v>-0.35824</v>
      </c>
      <c r="O178" s="23">
        <f t="shared" si="85"/>
        <v>-0.31824000000000002</v>
      </c>
      <c r="P178" s="23">
        <f t="shared" si="85"/>
        <v>-0.27823999999999999</v>
      </c>
      <c r="Q178" s="23">
        <f t="shared" si="85"/>
        <v>-0.23824000000000001</v>
      </c>
      <c r="R178" s="23">
        <f>(scatterplots_LWG_grazdays_CS!$V$4*$A178+scatterplots_LWG_grazdays_CS!$W$4)/1000+R177</f>
        <v>-5.4542400000000049</v>
      </c>
      <c r="S178" s="23">
        <f t="shared" si="104"/>
        <v>-2.0142400000000045</v>
      </c>
      <c r="T178" s="23">
        <f t="shared" si="104"/>
        <v>1.425759999999995</v>
      </c>
      <c r="U178" s="23">
        <f t="shared" si="104"/>
        <v>4.8657599999999963</v>
      </c>
      <c r="V178" s="23">
        <f>(scatterplots_LWG_grazdays_CS!$V$5*$A178+scatterplots_LWG_grazdays_CS!$W$5)/1000</f>
        <v>-0.45328000000000007</v>
      </c>
      <c r="W178" s="23">
        <f t="shared" si="86"/>
        <v>-0.41328000000000009</v>
      </c>
      <c r="X178" s="23">
        <f t="shared" si="101"/>
        <v>-0.37328000000000006</v>
      </c>
      <c r="Y178" s="23">
        <f t="shared" si="101"/>
        <v>-0.33328000000000008</v>
      </c>
      <c r="Z178" s="23">
        <f>(scatterplots_LWG_grazdays_CS!$V$5*$A178+scatterplots_LWG_grazdays_CS!$W$5)/1000+Z177</f>
        <v>-13.865280000000006</v>
      </c>
      <c r="AA178" s="23">
        <f t="shared" si="105"/>
        <v>-10.425280000000008</v>
      </c>
      <c r="AB178" s="23">
        <f t="shared" si="105"/>
        <v>-6.9852800000000057</v>
      </c>
      <c r="AC178" s="23">
        <f t="shared" si="105"/>
        <v>-3.5452800000000053</v>
      </c>
      <c r="AD178" s="23">
        <f>(scatterplots_LWG_grazdays_CS!$V$6*$A178+scatterplots_LWG_grazdays_CS!$W$6)/1000</f>
        <v>-0.60463999999999996</v>
      </c>
      <c r="AE178" s="23">
        <f t="shared" si="88"/>
        <v>-0.56463999999999992</v>
      </c>
      <c r="AF178" s="23">
        <f t="shared" si="93"/>
        <v>-0.52464</v>
      </c>
      <c r="AG178" s="23">
        <f t="shared" si="93"/>
        <v>-0.48463999999999996</v>
      </c>
      <c r="AH178" s="23">
        <f>(scatterplots_LWG_grazdays_CS!$V$6*$A178+scatterplots_LWG_grazdays_CS!$W$6)/1000+AH177</f>
        <v>-27.260639999999988</v>
      </c>
      <c r="AI178" s="23">
        <f t="shared" si="103"/>
        <v>-23.82063999999999</v>
      </c>
      <c r="AJ178" s="23">
        <f t="shared" si="103"/>
        <v>-20.380639999999989</v>
      </c>
      <c r="AK178" s="23">
        <f t="shared" si="103"/>
        <v>-16.940639999999991</v>
      </c>
    </row>
    <row r="179" spans="1:37">
      <c r="A179" s="12">
        <v>177</v>
      </c>
      <c r="B179" s="12">
        <v>88</v>
      </c>
      <c r="C179" s="23">
        <f>(scatterplots_LWG_grazdays_CS!$V$3*$A179+scatterplots_LWG_grazdays_CS!$W$3)/1000</f>
        <v>-0.20267999999999994</v>
      </c>
      <c r="D179" s="23">
        <f t="shared" si="100"/>
        <v>-0.16267999999999994</v>
      </c>
      <c r="E179" s="23">
        <f t="shared" si="100"/>
        <v>-0.12267999999999994</v>
      </c>
      <c r="F179" s="23">
        <f t="shared" si="100"/>
        <v>-8.2679999999999948E-2</v>
      </c>
      <c r="G179" s="23">
        <f>(scatterplots_LWG_grazdays_CS!$V$3*$A179+scatterplots_LWG_grazdays_CS!$W$3)/1000+G178</f>
        <v>8.3614800000000074</v>
      </c>
      <c r="H179" s="23">
        <f>D179+H178</f>
        <v>11.881480000000007</v>
      </c>
      <c r="I179" s="23">
        <f t="shared" si="99"/>
        <v>13.681480000000002</v>
      </c>
      <c r="J179" s="23">
        <f t="shared" si="80"/>
        <v>14.681480000000002</v>
      </c>
      <c r="K179" s="23">
        <f t="shared" si="102"/>
        <v>15.081480000000004</v>
      </c>
      <c r="L179" s="23">
        <f t="shared" si="102"/>
        <v>15.401480000000006</v>
      </c>
      <c r="M179" s="23">
        <f t="shared" si="102"/>
        <v>18.921479999999999</v>
      </c>
      <c r="N179" s="23">
        <f>(scatterplots_LWG_grazdays_CS!$V$4*$A179+scatterplots_LWG_grazdays_CS!$W$4)/1000</f>
        <v>-0.36198000000000002</v>
      </c>
      <c r="O179" s="23">
        <f t="shared" si="85"/>
        <v>-0.32198000000000004</v>
      </c>
      <c r="P179" s="23">
        <f t="shared" si="85"/>
        <v>-0.28198000000000001</v>
      </c>
      <c r="Q179" s="23">
        <f t="shared" si="85"/>
        <v>-0.24198000000000003</v>
      </c>
      <c r="R179" s="23">
        <f>(scatterplots_LWG_grazdays_CS!$V$4*$A179+scatterplots_LWG_grazdays_CS!$W$4)/1000+R178</f>
        <v>-5.8162200000000048</v>
      </c>
      <c r="S179" s="23">
        <f t="shared" si="104"/>
        <v>-2.3362200000000044</v>
      </c>
      <c r="T179" s="23">
        <f t="shared" si="104"/>
        <v>1.1437799999999951</v>
      </c>
      <c r="U179" s="23">
        <f t="shared" si="104"/>
        <v>4.6237799999999964</v>
      </c>
      <c r="V179" s="23">
        <f>(scatterplots_LWG_grazdays_CS!$V$5*$A179+scatterplots_LWG_grazdays_CS!$W$5)/1000</f>
        <v>-0.45756000000000008</v>
      </c>
      <c r="W179" s="23">
        <f t="shared" si="86"/>
        <v>-0.4175600000000001</v>
      </c>
      <c r="X179" s="23">
        <f t="shared" si="101"/>
        <v>-0.37756000000000006</v>
      </c>
      <c r="Y179" s="23">
        <f t="shared" si="101"/>
        <v>-0.33756000000000008</v>
      </c>
      <c r="Z179" s="23">
        <f>(scatterplots_LWG_grazdays_CS!$V$5*$A179+scatterplots_LWG_grazdays_CS!$W$5)/1000+Z178</f>
        <v>-14.322840000000006</v>
      </c>
      <c r="AA179" s="23">
        <f t="shared" si="105"/>
        <v>-10.842840000000008</v>
      </c>
      <c r="AB179" s="23">
        <f t="shared" si="105"/>
        <v>-7.3628400000000056</v>
      </c>
      <c r="AC179" s="23">
        <f t="shared" si="105"/>
        <v>-3.8828400000000052</v>
      </c>
      <c r="AD179" s="23">
        <f>(scatterplots_LWG_grazdays_CS!$V$6*$A179+scatterplots_LWG_grazdays_CS!$W$6)/1000</f>
        <v>-0.60977999999999999</v>
      </c>
      <c r="AE179" s="23">
        <f t="shared" si="88"/>
        <v>-0.56977999999999995</v>
      </c>
      <c r="AF179" s="23">
        <f t="shared" si="93"/>
        <v>-0.52978000000000003</v>
      </c>
      <c r="AG179" s="23">
        <f t="shared" si="93"/>
        <v>-0.48977999999999999</v>
      </c>
      <c r="AH179" s="23">
        <f>(scatterplots_LWG_grazdays_CS!$V$6*$A179+scatterplots_LWG_grazdays_CS!$W$6)/1000+AH178</f>
        <v>-27.870419999999989</v>
      </c>
      <c r="AI179" s="23">
        <f t="shared" si="103"/>
        <v>-24.390419999999992</v>
      </c>
      <c r="AJ179" s="23">
        <f t="shared" si="103"/>
        <v>-20.910419999999988</v>
      </c>
      <c r="AK179" s="23">
        <f t="shared" si="103"/>
        <v>-17.430419999999991</v>
      </c>
    </row>
    <row r="180" spans="1:37">
      <c r="A180" s="12">
        <v>178</v>
      </c>
      <c r="B180" s="12">
        <v>89</v>
      </c>
      <c r="C180" s="23">
        <f>(scatterplots_LWG_grazdays_CS!$V$3*$A180+scatterplots_LWG_grazdays_CS!$W$3)/1000</f>
        <v>-0.20551999999999998</v>
      </c>
      <c r="D180" s="23">
        <f t="shared" si="100"/>
        <v>-0.16551999999999997</v>
      </c>
      <c r="E180" s="23">
        <f t="shared" si="100"/>
        <v>-0.12551999999999996</v>
      </c>
      <c r="F180" s="23">
        <f t="shared" si="100"/>
        <v>-8.5519999999999985E-2</v>
      </c>
      <c r="G180" s="23">
        <f>(scatterplots_LWG_grazdays_CS!$V$3*$A180+scatterplots_LWG_grazdays_CS!$W$3)/1000+G179</f>
        <v>8.1559600000000074</v>
      </c>
      <c r="H180" s="23">
        <f t="shared" si="98"/>
        <v>11.715960000000006</v>
      </c>
      <c r="I180" s="23">
        <f t="shared" si="99"/>
        <v>13.515960000000002</v>
      </c>
      <c r="J180" s="23">
        <f t="shared" si="80"/>
        <v>14.515960000000002</v>
      </c>
      <c r="K180" s="23">
        <f t="shared" si="102"/>
        <v>14.915960000000004</v>
      </c>
      <c r="L180" s="23">
        <f t="shared" si="102"/>
        <v>15.275960000000007</v>
      </c>
      <c r="M180" s="23">
        <f t="shared" si="102"/>
        <v>18.83596</v>
      </c>
      <c r="N180" s="23">
        <f>(scatterplots_LWG_grazdays_CS!$V$4*$A180+scatterplots_LWG_grazdays_CS!$W$4)/1000</f>
        <v>-0.36572000000000005</v>
      </c>
      <c r="O180" s="23">
        <f t="shared" si="85"/>
        <v>-0.32572000000000007</v>
      </c>
      <c r="P180" s="23">
        <f t="shared" si="85"/>
        <v>-0.28572000000000003</v>
      </c>
      <c r="Q180" s="23">
        <f t="shared" si="85"/>
        <v>-0.24572000000000005</v>
      </c>
      <c r="R180" s="23">
        <f>(scatterplots_LWG_grazdays_CS!$V$4*$A180+scatterplots_LWG_grazdays_CS!$W$4)/1000+R179</f>
        <v>-6.1819400000000044</v>
      </c>
      <c r="S180" s="23">
        <f t="shared" si="104"/>
        <v>-2.6619400000000044</v>
      </c>
      <c r="T180" s="23">
        <f t="shared" si="104"/>
        <v>0.85805999999999516</v>
      </c>
      <c r="U180" s="23">
        <f t="shared" si="104"/>
        <v>4.3780599999999961</v>
      </c>
      <c r="V180" s="23">
        <f>(scatterplots_LWG_grazdays_CS!$V$5*$A180+scatterplots_LWG_grazdays_CS!$W$5)/1000</f>
        <v>-0.46184000000000003</v>
      </c>
      <c r="W180" s="23">
        <f t="shared" si="86"/>
        <v>-0.42184000000000005</v>
      </c>
      <c r="X180" s="23">
        <f t="shared" si="101"/>
        <v>-0.38184000000000001</v>
      </c>
      <c r="Y180" s="23">
        <f t="shared" si="101"/>
        <v>-0.34184000000000003</v>
      </c>
      <c r="Z180" s="23">
        <f>(scatterplots_LWG_grazdays_CS!$V$5*$A180+scatterplots_LWG_grazdays_CS!$W$5)/1000+Z179</f>
        <v>-14.784680000000007</v>
      </c>
      <c r="AA180" s="23">
        <f t="shared" si="105"/>
        <v>-11.264680000000007</v>
      </c>
      <c r="AB180" s="23">
        <f t="shared" si="105"/>
        <v>-7.744680000000006</v>
      </c>
      <c r="AC180" s="23">
        <f t="shared" si="105"/>
        <v>-4.2246800000000055</v>
      </c>
      <c r="AD180" s="23">
        <f>(scatterplots_LWG_grazdays_CS!$V$6*$A180+scatterplots_LWG_grazdays_CS!$W$6)/1000</f>
        <v>-0.61491999999999991</v>
      </c>
      <c r="AE180" s="23">
        <f t="shared" si="88"/>
        <v>-0.57491999999999988</v>
      </c>
      <c r="AF180" s="23">
        <f t="shared" si="93"/>
        <v>-0.53491999999999995</v>
      </c>
      <c r="AG180" s="23">
        <f t="shared" si="93"/>
        <v>-0.49491999999999992</v>
      </c>
      <c r="AH180" s="23">
        <f>(scatterplots_LWG_grazdays_CS!$V$6*$A180+scatterplots_LWG_grazdays_CS!$W$6)/1000+AH179</f>
        <v>-28.48533999999999</v>
      </c>
      <c r="AI180" s="23">
        <f t="shared" si="103"/>
        <v>-24.965339999999991</v>
      </c>
      <c r="AJ180" s="23">
        <f t="shared" si="103"/>
        <v>-21.445339999999987</v>
      </c>
      <c r="AK180" s="23">
        <f t="shared" si="103"/>
        <v>-17.925339999999991</v>
      </c>
    </row>
    <row r="181" spans="1:37">
      <c r="A181" s="12">
        <v>179</v>
      </c>
      <c r="B181" s="12">
        <v>90</v>
      </c>
      <c r="C181" s="23">
        <f>(scatterplots_LWG_grazdays_CS!$V$3*$A181+scatterplots_LWG_grazdays_CS!$W$3)/1000</f>
        <v>-0.20835999999999996</v>
      </c>
      <c r="D181" s="23">
        <f t="shared" si="100"/>
        <v>-0.16835999999999995</v>
      </c>
      <c r="E181" s="23">
        <f t="shared" si="100"/>
        <v>-0.12835999999999997</v>
      </c>
      <c r="F181" s="23">
        <f t="shared" si="100"/>
        <v>-8.8359999999999966E-2</v>
      </c>
      <c r="G181" s="23">
        <f>(scatterplots_LWG_grazdays_CS!$V$3*$A181+scatterplots_LWG_grazdays_CS!$W$3)/1000+G180</f>
        <v>7.9476000000000075</v>
      </c>
      <c r="H181" s="23">
        <f t="shared" si="98"/>
        <v>11.547600000000006</v>
      </c>
      <c r="I181" s="23">
        <f t="shared" si="99"/>
        <v>13.347600000000002</v>
      </c>
      <c r="J181" s="23">
        <f t="shared" si="80"/>
        <v>14.347600000000002</v>
      </c>
      <c r="K181" s="23">
        <f t="shared" si="102"/>
        <v>14.747600000000004</v>
      </c>
      <c r="L181" s="23">
        <f t="shared" si="102"/>
        <v>15.147600000000006</v>
      </c>
      <c r="M181" s="23">
        <f t="shared" si="102"/>
        <v>18.747599999999998</v>
      </c>
      <c r="N181" s="23">
        <f>(scatterplots_LWG_grazdays_CS!$V$4*$A181+scatterplots_LWG_grazdays_CS!$W$4)/1000</f>
        <v>-0.36946000000000001</v>
      </c>
      <c r="O181" s="23">
        <f t="shared" si="85"/>
        <v>-0.32946000000000003</v>
      </c>
      <c r="P181" s="23">
        <f t="shared" si="85"/>
        <v>-0.28946</v>
      </c>
      <c r="Q181" s="23">
        <f t="shared" si="85"/>
        <v>-0.24946000000000002</v>
      </c>
      <c r="R181" s="23">
        <f>(scatterplots_LWG_grazdays_CS!$V$4*$A181+scatterplots_LWG_grazdays_CS!$W$4)/1000+R180</f>
        <v>-6.5514000000000046</v>
      </c>
      <c r="S181" s="23">
        <f t="shared" si="104"/>
        <v>-2.9914000000000045</v>
      </c>
      <c r="T181" s="23">
        <f t="shared" si="104"/>
        <v>0.56859999999999511</v>
      </c>
      <c r="U181" s="23">
        <f t="shared" si="104"/>
        <v>4.1285999999999961</v>
      </c>
      <c r="V181" s="23">
        <f>(scatterplots_LWG_grazdays_CS!$V$5*$A181+scatterplots_LWG_grazdays_CS!$W$5)/1000</f>
        <v>-0.46611999999999998</v>
      </c>
      <c r="W181" s="23">
        <f t="shared" si="86"/>
        <v>-0.42612</v>
      </c>
      <c r="X181" s="23">
        <f t="shared" si="101"/>
        <v>-0.38611999999999996</v>
      </c>
      <c r="Y181" s="23">
        <f t="shared" si="101"/>
        <v>-0.34611999999999998</v>
      </c>
      <c r="Z181" s="23">
        <f>(scatterplots_LWG_grazdays_CS!$V$5*$A181+scatterplots_LWG_grazdays_CS!$W$5)/1000+Z180</f>
        <v>-15.250800000000007</v>
      </c>
      <c r="AA181" s="23">
        <f t="shared" si="105"/>
        <v>-11.690800000000007</v>
      </c>
      <c r="AB181" s="23">
        <f t="shared" si="105"/>
        <v>-8.130800000000006</v>
      </c>
      <c r="AC181" s="23">
        <f t="shared" si="105"/>
        <v>-4.5708000000000055</v>
      </c>
      <c r="AD181" s="23">
        <f>(scatterplots_LWG_grazdays_CS!$V$6*$A181+scatterplots_LWG_grazdays_CS!$W$6)/1000</f>
        <v>-0.62005999999999994</v>
      </c>
      <c r="AE181" s="23">
        <f t="shared" si="88"/>
        <v>-0.58005999999999991</v>
      </c>
      <c r="AF181" s="23">
        <f t="shared" si="93"/>
        <v>-0.54005999999999998</v>
      </c>
      <c r="AG181" s="23">
        <f t="shared" si="93"/>
        <v>-0.50005999999999995</v>
      </c>
      <c r="AH181" s="23">
        <f>(scatterplots_LWG_grazdays_CS!$V$6*$A181+scatterplots_LWG_grazdays_CS!$W$6)/1000+AH180</f>
        <v>-29.105399999999989</v>
      </c>
      <c r="AI181" s="23">
        <f t="shared" si="103"/>
        <v>-25.54539999999999</v>
      </c>
      <c r="AJ181" s="23">
        <f t="shared" si="103"/>
        <v>-21.985399999999988</v>
      </c>
      <c r="AK181" s="23">
        <f t="shared" si="103"/>
        <v>-18.425399999999993</v>
      </c>
    </row>
    <row r="182" spans="1:37">
      <c r="A182" s="12">
        <v>180</v>
      </c>
      <c r="B182" s="12">
        <v>91</v>
      </c>
      <c r="C182" s="23">
        <f>(scatterplots_LWG_grazdays_CS!$V$3*$A182+scatterplots_LWG_grazdays_CS!$W$3)/1000</f>
        <v>-0.2112</v>
      </c>
      <c r="D182" s="23">
        <f t="shared" si="100"/>
        <v>-0.17119999999999999</v>
      </c>
      <c r="E182" s="23">
        <f t="shared" si="100"/>
        <v>-0.13119999999999998</v>
      </c>
      <c r="F182" s="23">
        <f t="shared" si="100"/>
        <v>-9.1200000000000003E-2</v>
      </c>
      <c r="G182" s="23">
        <f>(scatterplots_LWG_grazdays_CS!$V$3*$A182+scatterplots_LWG_grazdays_CS!$W$3)/1000+G181</f>
        <v>7.7364000000000077</v>
      </c>
      <c r="H182" s="23">
        <f t="shared" si="98"/>
        <v>11.376400000000006</v>
      </c>
      <c r="I182" s="23">
        <f t="shared" si="99"/>
        <v>13.176400000000001</v>
      </c>
      <c r="J182" s="23">
        <f t="shared" si="80"/>
        <v>14.176400000000001</v>
      </c>
      <c r="K182" s="23">
        <f t="shared" si="102"/>
        <v>14.576400000000003</v>
      </c>
      <c r="L182" s="23">
        <f t="shared" si="102"/>
        <v>15.016400000000006</v>
      </c>
      <c r="M182" s="23">
        <f t="shared" si="102"/>
        <v>18.656399999999998</v>
      </c>
      <c r="N182" s="23">
        <f>(scatterplots_LWG_grazdays_CS!$V$4*$A182+scatterplots_LWG_grazdays_CS!$W$4)/1000</f>
        <v>-0.37320000000000003</v>
      </c>
      <c r="O182" s="23">
        <f t="shared" si="85"/>
        <v>-0.33320000000000005</v>
      </c>
      <c r="P182" s="23">
        <f t="shared" si="85"/>
        <v>-0.29320000000000002</v>
      </c>
      <c r="Q182" s="23">
        <f t="shared" si="85"/>
        <v>-0.25320000000000004</v>
      </c>
      <c r="R182" s="23">
        <f>(scatterplots_LWG_grazdays_CS!$V$4*$A182+scatterplots_LWG_grazdays_CS!$W$4)/1000+R181</f>
        <v>-6.9246000000000043</v>
      </c>
      <c r="S182" s="23">
        <f t="shared" si="104"/>
        <v>-3.3246000000000047</v>
      </c>
      <c r="T182" s="23">
        <f t="shared" si="104"/>
        <v>0.27539999999999509</v>
      </c>
      <c r="U182" s="23">
        <f t="shared" si="104"/>
        <v>3.875399999999996</v>
      </c>
      <c r="V182" s="23">
        <f>(scatterplots_LWG_grazdays_CS!$V$5*$A182+scatterplots_LWG_grazdays_CS!$W$5)/1000</f>
        <v>-0.4704000000000001</v>
      </c>
      <c r="W182" s="23">
        <f t="shared" si="86"/>
        <v>-0.43040000000000012</v>
      </c>
      <c r="X182" s="23">
        <f t="shared" si="101"/>
        <v>-0.39040000000000008</v>
      </c>
      <c r="Y182" s="23">
        <f t="shared" si="101"/>
        <v>-0.3504000000000001</v>
      </c>
      <c r="Z182" s="23">
        <f>(scatterplots_LWG_grazdays_CS!$V$5*$A182+scatterplots_LWG_grazdays_CS!$W$5)/1000+Z181</f>
        <v>-15.721200000000007</v>
      </c>
      <c r="AA182" s="23">
        <f t="shared" si="105"/>
        <v>-12.121200000000007</v>
      </c>
      <c r="AB182" s="23">
        <f t="shared" si="105"/>
        <v>-8.5212000000000057</v>
      </c>
      <c r="AC182" s="23">
        <f t="shared" si="105"/>
        <v>-4.921200000000006</v>
      </c>
      <c r="AD182" s="23">
        <f>(scatterplots_LWG_grazdays_CS!$V$6*$A182+scatterplots_LWG_grazdays_CS!$W$6)/1000</f>
        <v>-0.62519999999999998</v>
      </c>
      <c r="AE182" s="23">
        <f t="shared" si="88"/>
        <v>-0.58519999999999994</v>
      </c>
      <c r="AF182" s="23">
        <f t="shared" si="93"/>
        <v>-0.54520000000000002</v>
      </c>
      <c r="AG182" s="23">
        <f t="shared" si="93"/>
        <v>-0.50519999999999998</v>
      </c>
      <c r="AH182" s="23">
        <f>(scatterplots_LWG_grazdays_CS!$V$6*$A182+scatterplots_LWG_grazdays_CS!$W$6)/1000+AH181</f>
        <v>-29.730599999999988</v>
      </c>
      <c r="AI182" s="23">
        <f t="shared" si="103"/>
        <v>-26.130599999999991</v>
      </c>
      <c r="AJ182" s="23">
        <f t="shared" si="103"/>
        <v>-22.530599999999989</v>
      </c>
      <c r="AK182" s="23">
        <f t="shared" si="103"/>
        <v>-18.930599999999991</v>
      </c>
    </row>
    <row r="183" spans="1:37">
      <c r="A183" s="12">
        <v>181</v>
      </c>
      <c r="B183" s="12">
        <v>92</v>
      </c>
      <c r="C183" s="23">
        <f>(scatterplots_LWG_grazdays_CS!$V$3*$A183+scatterplots_LWG_grazdays_CS!$W$3)/1000</f>
        <v>-0.21403999999999995</v>
      </c>
      <c r="D183" s="23">
        <f t="shared" si="100"/>
        <v>-0.17403999999999994</v>
      </c>
      <c r="E183" s="23">
        <f t="shared" si="100"/>
        <v>-0.13403999999999994</v>
      </c>
      <c r="F183" s="23">
        <f t="shared" si="100"/>
        <v>-9.4039999999999957E-2</v>
      </c>
      <c r="G183" s="23">
        <f>(scatterplots_LWG_grazdays_CS!$V$3*$A183+scatterplots_LWG_grazdays_CS!$W$3)/1000+G182</f>
        <v>7.5223600000000079</v>
      </c>
      <c r="H183" s="23">
        <f t="shared" si="98"/>
        <v>11.202360000000006</v>
      </c>
      <c r="I183" s="23">
        <f t="shared" si="99"/>
        <v>13.002360000000001</v>
      </c>
      <c r="J183" s="23">
        <f t="shared" si="80"/>
        <v>14.002360000000001</v>
      </c>
      <c r="K183" s="23">
        <f t="shared" si="102"/>
        <v>14.402360000000003</v>
      </c>
      <c r="L183" s="23">
        <f t="shared" si="102"/>
        <v>14.882360000000006</v>
      </c>
      <c r="M183" s="23">
        <f t="shared" si="102"/>
        <v>18.562359999999998</v>
      </c>
      <c r="N183" s="23">
        <f>(scatterplots_LWG_grazdays_CS!$V$4*$A183+scatterplots_LWG_grazdays_CS!$W$4)/1000</f>
        <v>-0.37694000000000005</v>
      </c>
      <c r="O183" s="23">
        <f t="shared" si="85"/>
        <v>-0.33694000000000007</v>
      </c>
      <c r="P183" s="23">
        <f t="shared" si="85"/>
        <v>-0.29694000000000004</v>
      </c>
      <c r="Q183" s="23">
        <f t="shared" si="85"/>
        <v>-0.25694000000000006</v>
      </c>
      <c r="R183" s="23">
        <f>(scatterplots_LWG_grazdays_CS!$V$4*$A183+scatterplots_LWG_grazdays_CS!$W$4)/1000+R182</f>
        <v>-7.3015400000000046</v>
      </c>
      <c r="S183" s="23">
        <f t="shared" si="104"/>
        <v>-3.6615400000000049</v>
      </c>
      <c r="T183" s="23">
        <f t="shared" si="104"/>
        <v>-2.1540000000004944E-2</v>
      </c>
      <c r="U183" s="23">
        <f t="shared" si="104"/>
        <v>3.6184599999999958</v>
      </c>
      <c r="V183" s="23">
        <f>(scatterplots_LWG_grazdays_CS!$V$5*$A183+scatterplots_LWG_grazdays_CS!$W$5)/1000</f>
        <v>-0.47468000000000005</v>
      </c>
      <c r="W183" s="23">
        <f t="shared" si="86"/>
        <v>-0.43468000000000007</v>
      </c>
      <c r="X183" s="23">
        <f t="shared" si="101"/>
        <v>-0.39468000000000003</v>
      </c>
      <c r="Y183" s="23">
        <f t="shared" si="101"/>
        <v>-0.35468000000000005</v>
      </c>
      <c r="Z183" s="23">
        <f>(scatterplots_LWG_grazdays_CS!$V$5*$A183+scatterplots_LWG_grazdays_CS!$W$5)/1000+Z182</f>
        <v>-16.195880000000006</v>
      </c>
      <c r="AA183" s="23">
        <f t="shared" si="105"/>
        <v>-12.555880000000007</v>
      </c>
      <c r="AB183" s="23">
        <f t="shared" si="105"/>
        <v>-8.9158800000000049</v>
      </c>
      <c r="AC183" s="23">
        <f t="shared" si="105"/>
        <v>-5.2758800000000061</v>
      </c>
      <c r="AD183" s="23">
        <f>(scatterplots_LWG_grazdays_CS!$V$6*$A183+scatterplots_LWG_grazdays_CS!$W$6)/1000</f>
        <v>-0.6303399999999999</v>
      </c>
      <c r="AE183" s="23">
        <f t="shared" si="88"/>
        <v>-0.59033999999999986</v>
      </c>
      <c r="AF183" s="23">
        <f t="shared" si="93"/>
        <v>-0.55033999999999994</v>
      </c>
      <c r="AG183" s="23">
        <f t="shared" si="93"/>
        <v>-0.5103399999999999</v>
      </c>
      <c r="AH183" s="23">
        <f>(scatterplots_LWG_grazdays_CS!$V$6*$A183+scatterplots_LWG_grazdays_CS!$W$6)/1000+AH182</f>
        <v>-30.360939999999989</v>
      </c>
      <c r="AI183" s="23">
        <f t="shared" si="103"/>
        <v>-26.720939999999992</v>
      </c>
      <c r="AJ183" s="23">
        <f t="shared" si="103"/>
        <v>-23.080939999999988</v>
      </c>
      <c r="AK183" s="23">
        <f t="shared" si="103"/>
        <v>-19.440939999999991</v>
      </c>
    </row>
    <row r="184" spans="1:37">
      <c r="A184" s="12">
        <v>182</v>
      </c>
      <c r="B184" s="12">
        <v>93</v>
      </c>
      <c r="C184" s="23">
        <f>(scatterplots_LWG_grazdays_CS!$V$3*$A184+scatterplots_LWG_grazdays_CS!$W$3)/1000</f>
        <v>-0.21687999999999999</v>
      </c>
      <c r="D184" s="23">
        <f t="shared" si="100"/>
        <v>-0.17687999999999998</v>
      </c>
      <c r="E184" s="23">
        <f t="shared" si="100"/>
        <v>-0.13688</v>
      </c>
      <c r="F184" s="23">
        <f t="shared" si="100"/>
        <v>-9.6879999999999994E-2</v>
      </c>
      <c r="G184" s="23">
        <f>(scatterplots_LWG_grazdays_CS!$V$3*$A184+scatterplots_LWG_grazdays_CS!$W$3)/1000+G183</f>
        <v>7.3054800000000082</v>
      </c>
      <c r="H184" s="23">
        <f t="shared" si="98"/>
        <v>11.025480000000005</v>
      </c>
      <c r="I184" s="23">
        <f t="shared" si="99"/>
        <v>12.825480000000001</v>
      </c>
      <c r="J184" s="23">
        <f t="shared" si="80"/>
        <v>13.825480000000001</v>
      </c>
      <c r="K184" s="23">
        <f t="shared" ref="K184:M199" si="106">D184+K183</f>
        <v>14.225480000000003</v>
      </c>
      <c r="L184" s="23">
        <f t="shared" si="106"/>
        <v>14.745480000000006</v>
      </c>
      <c r="M184" s="23">
        <f t="shared" si="106"/>
        <v>18.465479999999999</v>
      </c>
      <c r="N184" s="23">
        <f>(scatterplots_LWG_grazdays_CS!$V$4*$A184+scatterplots_LWG_grazdays_CS!$W$4)/1000</f>
        <v>-0.38068000000000007</v>
      </c>
      <c r="O184" s="23">
        <f t="shared" si="85"/>
        <v>-0.34068000000000009</v>
      </c>
      <c r="P184" s="23">
        <f t="shared" si="85"/>
        <v>-0.30068000000000006</v>
      </c>
      <c r="Q184" s="23">
        <f t="shared" si="85"/>
        <v>-0.26068000000000008</v>
      </c>
      <c r="R184" s="23">
        <f>(scatterplots_LWG_grazdays_CS!$V$4*$A184+scatterplots_LWG_grazdays_CS!$W$4)/1000+R183</f>
        <v>-7.6822200000000045</v>
      </c>
      <c r="S184" s="23">
        <f t="shared" si="104"/>
        <v>-4.0022200000000048</v>
      </c>
      <c r="T184" s="23">
        <f t="shared" si="104"/>
        <v>-0.322220000000005</v>
      </c>
      <c r="U184" s="23">
        <f t="shared" si="104"/>
        <v>3.3577799999999955</v>
      </c>
      <c r="V184" s="23">
        <f>(scatterplots_LWG_grazdays_CS!$V$5*$A184+scatterplots_LWG_grazdays_CS!$W$5)/1000</f>
        <v>-0.47896000000000005</v>
      </c>
      <c r="W184" s="23">
        <f t="shared" si="86"/>
        <v>-0.43896000000000007</v>
      </c>
      <c r="X184" s="23">
        <f t="shared" si="101"/>
        <v>-0.39896000000000004</v>
      </c>
      <c r="Y184" s="23">
        <f t="shared" si="101"/>
        <v>-0.35896000000000006</v>
      </c>
      <c r="Z184" s="23">
        <f>(scatterplots_LWG_grazdays_CS!$V$5*$A184+scatterplots_LWG_grazdays_CS!$W$5)/1000+Z183</f>
        <v>-16.674840000000007</v>
      </c>
      <c r="AA184" s="23">
        <f t="shared" si="105"/>
        <v>-12.994840000000007</v>
      </c>
      <c r="AB184" s="23">
        <f t="shared" si="105"/>
        <v>-9.3148400000000056</v>
      </c>
      <c r="AC184" s="23">
        <f t="shared" si="105"/>
        <v>-5.6348400000000058</v>
      </c>
      <c r="AD184" s="23">
        <f>(scatterplots_LWG_grazdays_CS!$V$6*$A184+scatterplots_LWG_grazdays_CS!$W$6)/1000</f>
        <v>-0.63547999999999993</v>
      </c>
      <c r="AE184" s="23">
        <f t="shared" si="88"/>
        <v>-0.5954799999999999</v>
      </c>
      <c r="AF184" s="23">
        <f t="shared" si="93"/>
        <v>-0.55547999999999997</v>
      </c>
      <c r="AG184" s="23">
        <f t="shared" si="93"/>
        <v>-0.51547999999999994</v>
      </c>
      <c r="AH184" s="23">
        <f>(scatterplots_LWG_grazdays_CS!$V$6*$A184+scatterplots_LWG_grazdays_CS!$W$6)/1000+AH183</f>
        <v>-30.99641999999999</v>
      </c>
      <c r="AI184" s="23">
        <f t="shared" si="103"/>
        <v>-27.31641999999999</v>
      </c>
      <c r="AJ184" s="23">
        <f t="shared" si="103"/>
        <v>-23.636419999999987</v>
      </c>
      <c r="AK184" s="23">
        <f t="shared" si="103"/>
        <v>-19.956419999999991</v>
      </c>
    </row>
    <row r="185" spans="1:37">
      <c r="A185" s="12">
        <v>183</v>
      </c>
      <c r="B185" s="12">
        <v>94</v>
      </c>
      <c r="C185" s="23">
        <f>(scatterplots_LWG_grazdays_CS!$V$3*$A185+scatterplots_LWG_grazdays_CS!$W$3)/1000</f>
        <v>-0.21972000000000003</v>
      </c>
      <c r="D185" s="23">
        <f t="shared" si="100"/>
        <v>-0.17972000000000002</v>
      </c>
      <c r="E185" s="23">
        <f t="shared" si="100"/>
        <v>-0.13972000000000001</v>
      </c>
      <c r="F185" s="23">
        <f t="shared" si="100"/>
        <v>-9.9720000000000031E-2</v>
      </c>
      <c r="G185" s="23">
        <f>(scatterplots_LWG_grazdays_CS!$V$3*$A185+scatterplots_LWG_grazdays_CS!$W$3)/1000+G184</f>
        <v>7.0857600000000085</v>
      </c>
      <c r="H185" s="23">
        <f t="shared" si="98"/>
        <v>10.845760000000006</v>
      </c>
      <c r="I185" s="23">
        <f t="shared" si="99"/>
        <v>12.645760000000001</v>
      </c>
      <c r="J185" s="23">
        <f t="shared" ref="J185:J202" si="107">D185+J184</f>
        <v>13.645760000000001</v>
      </c>
      <c r="K185" s="23">
        <f t="shared" si="106"/>
        <v>14.045760000000003</v>
      </c>
      <c r="L185" s="23">
        <f t="shared" si="106"/>
        <v>14.605760000000005</v>
      </c>
      <c r="M185" s="23">
        <f t="shared" si="106"/>
        <v>18.365759999999998</v>
      </c>
      <c r="N185" s="23">
        <f>(scatterplots_LWG_grazdays_CS!$V$4*$A185+scatterplots_LWG_grazdays_CS!$W$4)/1000</f>
        <v>-0.38442000000000009</v>
      </c>
      <c r="O185" s="23">
        <f t="shared" si="85"/>
        <v>-0.34442000000000011</v>
      </c>
      <c r="P185" s="23">
        <f t="shared" si="85"/>
        <v>-0.30442000000000008</v>
      </c>
      <c r="Q185" s="23">
        <f t="shared" si="85"/>
        <v>-0.2644200000000001</v>
      </c>
      <c r="R185" s="23">
        <f>(scatterplots_LWG_grazdays_CS!$V$4*$A185+scatterplots_LWG_grazdays_CS!$W$4)/1000+R184</f>
        <v>-8.0666400000000049</v>
      </c>
      <c r="S185" s="23">
        <f t="shared" si="104"/>
        <v>-4.3466400000000052</v>
      </c>
      <c r="T185" s="23">
        <f t="shared" si="104"/>
        <v>-0.62664000000000508</v>
      </c>
      <c r="U185" s="23">
        <f t="shared" si="104"/>
        <v>3.0933599999999952</v>
      </c>
      <c r="V185" s="23">
        <f>(scatterplots_LWG_grazdays_CS!$V$5*$A185+scatterplots_LWG_grazdays_CS!$W$5)/1000</f>
        <v>-0.48324</v>
      </c>
      <c r="W185" s="23">
        <f t="shared" si="86"/>
        <v>-0.44324000000000002</v>
      </c>
      <c r="X185" s="23">
        <f t="shared" si="101"/>
        <v>-0.40323999999999999</v>
      </c>
      <c r="Y185" s="23">
        <f t="shared" si="101"/>
        <v>-0.36324000000000001</v>
      </c>
      <c r="Z185" s="23">
        <f>(scatterplots_LWG_grazdays_CS!$V$5*$A185+scatterplots_LWG_grazdays_CS!$W$5)/1000+Z184</f>
        <v>-17.158080000000005</v>
      </c>
      <c r="AA185" s="23">
        <f t="shared" si="105"/>
        <v>-13.438080000000006</v>
      </c>
      <c r="AB185" s="23">
        <f t="shared" si="105"/>
        <v>-9.7180800000000058</v>
      </c>
      <c r="AC185" s="23">
        <f t="shared" si="105"/>
        <v>-5.9980800000000061</v>
      </c>
      <c r="AD185" s="23">
        <f>(scatterplots_LWG_grazdays_CS!$V$6*$A185+scatterplots_LWG_grazdays_CS!$W$6)/1000</f>
        <v>-0.64061999999999986</v>
      </c>
      <c r="AE185" s="23">
        <f t="shared" si="88"/>
        <v>-0.60061999999999982</v>
      </c>
      <c r="AF185" s="23">
        <f t="shared" si="93"/>
        <v>-0.5606199999999999</v>
      </c>
      <c r="AG185" s="23">
        <f t="shared" si="93"/>
        <v>-0.52061999999999986</v>
      </c>
      <c r="AH185" s="23">
        <f>(scatterplots_LWG_grazdays_CS!$V$6*$A185+scatterplots_LWG_grazdays_CS!$W$6)/1000+AH184</f>
        <v>-31.637039999999988</v>
      </c>
      <c r="AI185" s="23">
        <f t="shared" si="103"/>
        <v>-27.917039999999989</v>
      </c>
      <c r="AJ185" s="23">
        <f t="shared" si="103"/>
        <v>-24.197039999999987</v>
      </c>
      <c r="AK185" s="23">
        <f t="shared" si="103"/>
        <v>-20.477039999999992</v>
      </c>
    </row>
    <row r="186" spans="1:37">
      <c r="A186" s="12">
        <v>184</v>
      </c>
      <c r="B186" s="12">
        <v>95</v>
      </c>
      <c r="C186" s="23">
        <f>(scatterplots_LWG_grazdays_CS!$V$3*$A186+scatterplots_LWG_grazdays_CS!$W$3)/1000</f>
        <v>-0.22255999999999995</v>
      </c>
      <c r="D186" s="23">
        <f t="shared" si="100"/>
        <v>-0.18255999999999994</v>
      </c>
      <c r="E186" s="23">
        <f t="shared" si="100"/>
        <v>-0.14255999999999996</v>
      </c>
      <c r="F186" s="23">
        <f t="shared" si="100"/>
        <v>-0.10255999999999996</v>
      </c>
      <c r="G186" s="23">
        <f>(scatterplots_LWG_grazdays_CS!$V$3*$A186+scatterplots_LWG_grazdays_CS!$W$3)/1000+G185</f>
        <v>6.8632000000000088</v>
      </c>
      <c r="H186" s="23">
        <f t="shared" si="98"/>
        <v>10.663200000000005</v>
      </c>
      <c r="I186" s="23">
        <f t="shared" si="99"/>
        <v>12.463200000000001</v>
      </c>
      <c r="J186" s="23">
        <f t="shared" si="107"/>
        <v>13.463200000000001</v>
      </c>
      <c r="K186" s="23">
        <f t="shared" si="106"/>
        <v>13.863200000000003</v>
      </c>
      <c r="L186" s="23">
        <f t="shared" si="106"/>
        <v>14.463200000000006</v>
      </c>
      <c r="M186" s="23">
        <f t="shared" si="106"/>
        <v>18.263199999999998</v>
      </c>
      <c r="N186" s="23">
        <f>(scatterplots_LWG_grazdays_CS!$V$4*$A186+scatterplots_LWG_grazdays_CS!$W$4)/1000</f>
        <v>-0.38816000000000006</v>
      </c>
      <c r="O186" s="23">
        <f t="shared" si="85"/>
        <v>-0.34816000000000008</v>
      </c>
      <c r="P186" s="23">
        <f t="shared" si="85"/>
        <v>-0.30816000000000004</v>
      </c>
      <c r="Q186" s="23">
        <f t="shared" si="85"/>
        <v>-0.26816000000000006</v>
      </c>
      <c r="R186" s="23">
        <f>(scatterplots_LWG_grazdays_CS!$V$4*$A186+scatterplots_LWG_grazdays_CS!$W$4)/1000+R185</f>
        <v>-8.4548000000000059</v>
      </c>
      <c r="S186" s="23">
        <f t="shared" si="104"/>
        <v>-4.6948000000000052</v>
      </c>
      <c r="T186" s="23">
        <f t="shared" si="104"/>
        <v>-0.93480000000000518</v>
      </c>
      <c r="U186" s="23">
        <f t="shared" si="104"/>
        <v>2.8251999999999953</v>
      </c>
      <c r="V186" s="23">
        <f>(scatterplots_LWG_grazdays_CS!$V$5*$A186+scatterplots_LWG_grazdays_CS!$W$5)/1000</f>
        <v>-0.48752000000000012</v>
      </c>
      <c r="W186" s="23">
        <f t="shared" si="86"/>
        <v>-0.44752000000000014</v>
      </c>
      <c r="X186" s="23">
        <f t="shared" si="101"/>
        <v>-0.4075200000000001</v>
      </c>
      <c r="Y186" s="23">
        <f t="shared" si="101"/>
        <v>-0.36752000000000012</v>
      </c>
      <c r="Z186" s="23">
        <f>(scatterplots_LWG_grazdays_CS!$V$5*$A186+scatterplots_LWG_grazdays_CS!$W$5)/1000+Z185</f>
        <v>-17.645600000000005</v>
      </c>
      <c r="AA186" s="23">
        <f t="shared" si="105"/>
        <v>-13.885600000000007</v>
      </c>
      <c r="AB186" s="23">
        <f t="shared" si="105"/>
        <v>-10.125600000000006</v>
      </c>
      <c r="AC186" s="23">
        <f t="shared" si="105"/>
        <v>-6.3656000000000059</v>
      </c>
      <c r="AD186" s="23">
        <f>(scatterplots_LWG_grazdays_CS!$V$6*$A186+scatterplots_LWG_grazdays_CS!$W$6)/1000</f>
        <v>-0.64576</v>
      </c>
      <c r="AE186" s="23">
        <f t="shared" si="88"/>
        <v>-0.60575999999999997</v>
      </c>
      <c r="AF186" s="23">
        <f t="shared" si="93"/>
        <v>-0.56576000000000004</v>
      </c>
      <c r="AG186" s="23">
        <f t="shared" si="93"/>
        <v>-0.52576000000000001</v>
      </c>
      <c r="AH186" s="23">
        <f>(scatterplots_LWG_grazdays_CS!$V$6*$A186+scatterplots_LWG_grazdays_CS!$W$6)/1000+AH185</f>
        <v>-32.282799999999988</v>
      </c>
      <c r="AI186" s="23">
        <f t="shared" si="103"/>
        <v>-28.522799999999989</v>
      </c>
      <c r="AJ186" s="23">
        <f t="shared" si="103"/>
        <v>-24.762799999999988</v>
      </c>
      <c r="AK186" s="23">
        <f t="shared" si="103"/>
        <v>-21.002799999999993</v>
      </c>
    </row>
    <row r="187" spans="1:37">
      <c r="A187" s="12">
        <v>185</v>
      </c>
      <c r="B187" s="12">
        <v>96</v>
      </c>
      <c r="C187" s="23">
        <f>(scatterplots_LWG_grazdays_CS!$V$3*$A187+scatterplots_LWG_grazdays_CS!$W$3)/1000</f>
        <v>-0.22539999999999999</v>
      </c>
      <c r="D187" s="23">
        <f t="shared" si="100"/>
        <v>-0.18539999999999998</v>
      </c>
      <c r="E187" s="23">
        <f t="shared" si="100"/>
        <v>-0.14539999999999997</v>
      </c>
      <c r="F187" s="23">
        <f t="shared" si="100"/>
        <v>-0.10539999999999999</v>
      </c>
      <c r="G187" s="23">
        <f>(scatterplots_LWG_grazdays_CS!$V$3*$A187+scatterplots_LWG_grazdays_CS!$W$3)/1000+G186</f>
        <v>6.6378000000000092</v>
      </c>
      <c r="H187" s="23">
        <f t="shared" si="98"/>
        <v>10.477800000000006</v>
      </c>
      <c r="I187" s="23">
        <f t="shared" si="99"/>
        <v>12.277800000000001</v>
      </c>
      <c r="J187" s="23">
        <f t="shared" si="107"/>
        <v>13.277800000000001</v>
      </c>
      <c r="K187" s="23">
        <f t="shared" si="106"/>
        <v>13.677800000000003</v>
      </c>
      <c r="L187" s="23">
        <f t="shared" si="106"/>
        <v>14.317800000000005</v>
      </c>
      <c r="M187" s="23">
        <f t="shared" si="106"/>
        <v>18.157799999999998</v>
      </c>
      <c r="N187" s="23">
        <f>(scatterplots_LWG_grazdays_CS!$V$4*$A187+scatterplots_LWG_grazdays_CS!$W$4)/1000</f>
        <v>-0.39190000000000008</v>
      </c>
      <c r="O187" s="23">
        <f t="shared" si="85"/>
        <v>-0.3519000000000001</v>
      </c>
      <c r="P187" s="23">
        <f t="shared" si="85"/>
        <v>-0.31190000000000007</v>
      </c>
      <c r="Q187" s="23">
        <f t="shared" si="85"/>
        <v>-0.27190000000000009</v>
      </c>
      <c r="R187" s="23">
        <f>(scatterplots_LWG_grazdays_CS!$V$4*$A187+scatterplots_LWG_grazdays_CS!$W$4)/1000+R186</f>
        <v>-8.8467000000000056</v>
      </c>
      <c r="S187" s="23">
        <f t="shared" si="104"/>
        <v>-5.0467000000000048</v>
      </c>
      <c r="T187" s="23">
        <f t="shared" si="104"/>
        <v>-1.2467000000000052</v>
      </c>
      <c r="U187" s="23">
        <f t="shared" si="104"/>
        <v>2.5532999999999952</v>
      </c>
      <c r="V187" s="23">
        <f>(scatterplots_LWG_grazdays_CS!$V$5*$A187+scatterplots_LWG_grazdays_CS!$W$5)/1000</f>
        <v>-0.49180000000000007</v>
      </c>
      <c r="W187" s="23">
        <f t="shared" si="86"/>
        <v>-0.45180000000000009</v>
      </c>
      <c r="X187" s="23">
        <f t="shared" si="101"/>
        <v>-0.41180000000000005</v>
      </c>
      <c r="Y187" s="23">
        <f t="shared" si="101"/>
        <v>-0.37180000000000007</v>
      </c>
      <c r="Z187" s="23">
        <f>(scatterplots_LWG_grazdays_CS!$V$5*$A187+scatterplots_LWG_grazdays_CS!$W$5)/1000+Z186</f>
        <v>-18.137400000000007</v>
      </c>
      <c r="AA187" s="23">
        <f t="shared" si="105"/>
        <v>-14.337400000000008</v>
      </c>
      <c r="AB187" s="23">
        <f t="shared" si="105"/>
        <v>-10.537400000000005</v>
      </c>
      <c r="AC187" s="23">
        <f t="shared" si="105"/>
        <v>-6.7374000000000063</v>
      </c>
      <c r="AD187" s="23">
        <f>(scatterplots_LWG_grazdays_CS!$V$6*$A187+scatterplots_LWG_grazdays_CS!$W$6)/1000</f>
        <v>-0.65089999999999992</v>
      </c>
      <c r="AE187" s="23">
        <f t="shared" si="88"/>
        <v>-0.61089999999999989</v>
      </c>
      <c r="AF187" s="23">
        <f t="shared" si="93"/>
        <v>-0.57089999999999996</v>
      </c>
      <c r="AG187" s="23">
        <f t="shared" si="93"/>
        <v>-0.53089999999999993</v>
      </c>
      <c r="AH187" s="23">
        <f>(scatterplots_LWG_grazdays_CS!$V$6*$A187+scatterplots_LWG_grazdays_CS!$W$6)/1000+AH186</f>
        <v>-32.933699999999988</v>
      </c>
      <c r="AI187" s="23">
        <f t="shared" si="103"/>
        <v>-29.13369999999999</v>
      </c>
      <c r="AJ187" s="23">
        <f t="shared" si="103"/>
        <v>-25.333699999999986</v>
      </c>
      <c r="AK187" s="23">
        <f t="shared" si="103"/>
        <v>-21.533699999999993</v>
      </c>
    </row>
    <row r="188" spans="1:37">
      <c r="A188" s="12">
        <v>186</v>
      </c>
      <c r="B188" s="12">
        <v>97</v>
      </c>
      <c r="C188" s="23">
        <f>(scatterplots_LWG_grazdays_CS!$V$3*$A188+scatterplots_LWG_grazdays_CS!$W$3)/1000</f>
        <v>-0.22824</v>
      </c>
      <c r="D188" s="23">
        <f t="shared" si="100"/>
        <v>-0.18823999999999999</v>
      </c>
      <c r="E188" s="23">
        <f t="shared" si="100"/>
        <v>-0.14823999999999998</v>
      </c>
      <c r="F188" s="23">
        <f t="shared" si="100"/>
        <v>-0.10824</v>
      </c>
      <c r="G188" s="23">
        <f>(scatterplots_LWG_grazdays_CS!$V$3*$A188+scatterplots_LWG_grazdays_CS!$W$3)/1000+G187</f>
        <v>6.4095600000000097</v>
      </c>
      <c r="H188" s="23">
        <f t="shared" si="98"/>
        <v>10.289560000000005</v>
      </c>
      <c r="I188" s="23">
        <f t="shared" si="99"/>
        <v>12.089560000000001</v>
      </c>
      <c r="J188" s="23">
        <f t="shared" si="107"/>
        <v>13.089560000000001</v>
      </c>
      <c r="K188" s="23">
        <f t="shared" si="106"/>
        <v>13.489560000000003</v>
      </c>
      <c r="L188" s="23">
        <f t="shared" si="106"/>
        <v>14.169560000000006</v>
      </c>
      <c r="M188" s="23">
        <f t="shared" si="106"/>
        <v>18.04956</v>
      </c>
      <c r="N188" s="23">
        <f>(scatterplots_LWG_grazdays_CS!$V$4*$A188+scatterplots_LWG_grazdays_CS!$W$4)/1000</f>
        <v>-0.39563999999999999</v>
      </c>
      <c r="O188" s="23">
        <f t="shared" si="85"/>
        <v>-0.35564000000000001</v>
      </c>
      <c r="P188" s="23">
        <f t="shared" si="85"/>
        <v>-0.31563999999999998</v>
      </c>
      <c r="Q188" s="23">
        <f t="shared" si="85"/>
        <v>-0.27564</v>
      </c>
      <c r="R188" s="23">
        <f>(scatterplots_LWG_grazdays_CS!$V$4*$A188+scatterplots_LWG_grazdays_CS!$W$4)/1000+R187</f>
        <v>-9.2423400000000058</v>
      </c>
      <c r="S188" s="23">
        <f t="shared" si="104"/>
        <v>-5.402340000000005</v>
      </c>
      <c r="T188" s="23">
        <f t="shared" si="104"/>
        <v>-1.5623400000000052</v>
      </c>
      <c r="U188" s="23">
        <f t="shared" si="104"/>
        <v>2.2776599999999951</v>
      </c>
      <c r="V188" s="23">
        <f>(scatterplots_LWG_grazdays_CS!$V$5*$A188+scatterplots_LWG_grazdays_CS!$W$5)/1000</f>
        <v>-0.49608000000000002</v>
      </c>
      <c r="W188" s="23">
        <f t="shared" si="86"/>
        <v>-0.45608000000000004</v>
      </c>
      <c r="X188" s="23">
        <f t="shared" si="101"/>
        <v>-0.41608000000000001</v>
      </c>
      <c r="Y188" s="23">
        <f t="shared" si="101"/>
        <v>-0.37608000000000003</v>
      </c>
      <c r="Z188" s="23">
        <f>(scatterplots_LWG_grazdays_CS!$V$5*$A188+scatterplots_LWG_grazdays_CS!$W$5)/1000+Z187</f>
        <v>-18.633480000000006</v>
      </c>
      <c r="AA188" s="23">
        <f t="shared" si="105"/>
        <v>-14.793480000000008</v>
      </c>
      <c r="AB188" s="23">
        <f t="shared" si="105"/>
        <v>-10.953480000000006</v>
      </c>
      <c r="AC188" s="23">
        <f t="shared" si="105"/>
        <v>-7.1134800000000062</v>
      </c>
      <c r="AD188" s="23">
        <f>(scatterplots_LWG_grazdays_CS!$V$6*$A188+scatterplots_LWG_grazdays_CS!$W$6)/1000</f>
        <v>-0.65603999999999996</v>
      </c>
      <c r="AE188" s="23">
        <f>AD188+AE$1/1000</f>
        <v>-0.61603999999999992</v>
      </c>
      <c r="AF188" s="23">
        <f t="shared" si="93"/>
        <v>-0.57604</v>
      </c>
      <c r="AG188" s="23">
        <f t="shared" si="93"/>
        <v>-0.53603999999999996</v>
      </c>
      <c r="AH188" s="23">
        <f>(scatterplots_LWG_grazdays_CS!$V$6*$A188+scatterplots_LWG_grazdays_CS!$W$6)/1000+AH187</f>
        <v>-33.589739999999985</v>
      </c>
      <c r="AI188" s="23">
        <f t="shared" si="103"/>
        <v>-29.749739999999989</v>
      </c>
      <c r="AJ188" s="23">
        <f t="shared" si="103"/>
        <v>-25.909739999999985</v>
      </c>
      <c r="AK188" s="23">
        <f t="shared" si="103"/>
        <v>-22.069739999999992</v>
      </c>
    </row>
    <row r="189" spans="1:37">
      <c r="A189" s="12">
        <v>187</v>
      </c>
      <c r="B189" s="12">
        <v>98</v>
      </c>
      <c r="C189" s="23">
        <f>(scatterplots_LWG_grazdays_CS!$V$3*$A189+scatterplots_LWG_grazdays_CS!$W$3)/1000</f>
        <v>-0.23107999999999992</v>
      </c>
      <c r="D189" s="23">
        <f t="shared" si="100"/>
        <v>-0.19107999999999992</v>
      </c>
      <c r="E189" s="23">
        <f t="shared" si="100"/>
        <v>-0.15107999999999994</v>
      </c>
      <c r="F189" s="23">
        <f t="shared" si="100"/>
        <v>-0.11107999999999993</v>
      </c>
      <c r="G189" s="23">
        <f>(scatterplots_LWG_grazdays_CS!$V$3*$A189+scatterplots_LWG_grazdays_CS!$W$3)/1000+G188</f>
        <v>6.1784800000000102</v>
      </c>
      <c r="H189" s="23">
        <f t="shared" si="98"/>
        <v>10.098480000000006</v>
      </c>
      <c r="I189" s="23">
        <f t="shared" si="99"/>
        <v>11.898480000000001</v>
      </c>
      <c r="J189" s="23">
        <f t="shared" si="107"/>
        <v>12.898480000000001</v>
      </c>
      <c r="K189" s="23">
        <f t="shared" si="106"/>
        <v>13.298480000000003</v>
      </c>
      <c r="L189" s="23">
        <f t="shared" si="106"/>
        <v>14.018480000000006</v>
      </c>
      <c r="M189" s="23">
        <f t="shared" si="106"/>
        <v>17.938479999999998</v>
      </c>
      <c r="N189" s="23">
        <f>(scatterplots_LWG_grazdays_CS!$V$4*$A189+scatterplots_LWG_grazdays_CS!$W$4)/1000</f>
        <v>-0.39938000000000001</v>
      </c>
      <c r="O189" s="23">
        <f t="shared" si="85"/>
        <v>-0.35938000000000003</v>
      </c>
      <c r="P189" s="23">
        <f t="shared" si="85"/>
        <v>-0.31938</v>
      </c>
      <c r="Q189" s="23">
        <f t="shared" si="85"/>
        <v>-0.27938000000000002</v>
      </c>
      <c r="R189" s="23">
        <f>(scatterplots_LWG_grazdays_CS!$V$4*$A189+scatterplots_LWG_grazdays_CS!$W$4)/1000+R188</f>
        <v>-9.6417200000000065</v>
      </c>
      <c r="S189" s="23">
        <f t="shared" si="104"/>
        <v>-5.7617200000000048</v>
      </c>
      <c r="T189" s="23">
        <f t="shared" si="104"/>
        <v>-1.8817200000000052</v>
      </c>
      <c r="U189" s="23">
        <f t="shared" si="104"/>
        <v>1.9982799999999952</v>
      </c>
      <c r="V189" s="23">
        <f>(scatterplots_LWG_grazdays_CS!$V$5*$A189+scatterplots_LWG_grazdays_CS!$W$5)/1000</f>
        <v>-0.50036000000000003</v>
      </c>
      <c r="W189" s="23">
        <f t="shared" si="86"/>
        <v>-0.46036000000000005</v>
      </c>
      <c r="X189" s="23">
        <f t="shared" si="101"/>
        <v>-0.42036000000000001</v>
      </c>
      <c r="Y189" s="23">
        <f t="shared" si="101"/>
        <v>-0.38036000000000003</v>
      </c>
      <c r="Z189" s="23">
        <f>(scatterplots_LWG_grazdays_CS!$V$5*$A189+scatterplots_LWG_grazdays_CS!$W$5)/1000+Z188</f>
        <v>-19.133840000000006</v>
      </c>
      <c r="AA189" s="23">
        <f t="shared" si="105"/>
        <v>-15.253840000000007</v>
      </c>
      <c r="AB189" s="23">
        <f t="shared" si="105"/>
        <v>-11.373840000000007</v>
      </c>
      <c r="AC189" s="23">
        <f t="shared" si="105"/>
        <v>-7.4938400000000058</v>
      </c>
      <c r="AD189" s="23">
        <f>(scatterplots_LWG_grazdays_CS!$V$6*$A189+scatterplots_LWG_grazdays_CS!$W$6)/1000</f>
        <v>-0.66117999999999999</v>
      </c>
      <c r="AE189" s="23">
        <f t="shared" si="88"/>
        <v>-0.62117999999999995</v>
      </c>
      <c r="AF189" s="23">
        <f t="shared" si="93"/>
        <v>-0.58118000000000003</v>
      </c>
      <c r="AG189" s="23">
        <f t="shared" si="93"/>
        <v>-0.54117999999999999</v>
      </c>
      <c r="AH189" s="23">
        <f>(scatterplots_LWG_grazdays_CS!$V$6*$A189+scatterplots_LWG_grazdays_CS!$W$6)/1000+AH188</f>
        <v>-34.250919999999986</v>
      </c>
      <c r="AI189" s="23">
        <f t="shared" ref="AI189:AK202" si="108">AE189+AI188</f>
        <v>-30.370919999999987</v>
      </c>
      <c r="AJ189" s="23">
        <f t="shared" si="108"/>
        <v>-26.490919999999985</v>
      </c>
      <c r="AK189" s="23">
        <f t="shared" si="108"/>
        <v>-22.610919999999993</v>
      </c>
    </row>
    <row r="190" spans="1:37">
      <c r="A190" s="12">
        <v>188</v>
      </c>
      <c r="B190" s="12">
        <v>99</v>
      </c>
      <c r="C190" s="23">
        <f>(scatterplots_LWG_grazdays_CS!$V$3*$A190+scatterplots_LWG_grazdays_CS!$W$3)/1000</f>
        <v>-0.23391999999999996</v>
      </c>
      <c r="D190" s="23">
        <f t="shared" si="100"/>
        <v>-0.19391999999999995</v>
      </c>
      <c r="E190" s="23">
        <f t="shared" si="100"/>
        <v>-0.15391999999999995</v>
      </c>
      <c r="F190" s="23">
        <f t="shared" si="100"/>
        <v>-0.11391999999999997</v>
      </c>
      <c r="G190" s="23">
        <f>(scatterplots_LWG_grazdays_CS!$V$3*$A190+scatterplots_LWG_grazdays_CS!$W$3)/1000+G189</f>
        <v>5.9445600000000098</v>
      </c>
      <c r="H190" s="23">
        <f t="shared" si="98"/>
        <v>9.9045600000000054</v>
      </c>
      <c r="I190" s="23">
        <f t="shared" si="99"/>
        <v>11.704560000000001</v>
      </c>
      <c r="J190" s="23">
        <f t="shared" si="107"/>
        <v>12.704560000000001</v>
      </c>
      <c r="K190" s="23">
        <f t="shared" si="106"/>
        <v>13.104560000000003</v>
      </c>
      <c r="L190" s="23">
        <f t="shared" si="106"/>
        <v>13.864560000000006</v>
      </c>
      <c r="M190" s="23">
        <f t="shared" si="106"/>
        <v>17.824559999999998</v>
      </c>
      <c r="N190" s="23">
        <f>(scatterplots_LWG_grazdays_CS!$V$4*$A190+scatterplots_LWG_grazdays_CS!$W$4)/1000</f>
        <v>-0.40311999999999998</v>
      </c>
      <c r="O190" s="23">
        <f t="shared" si="85"/>
        <v>-0.36312</v>
      </c>
      <c r="P190" s="23">
        <f t="shared" si="85"/>
        <v>-0.32311999999999996</v>
      </c>
      <c r="Q190" s="23">
        <f t="shared" si="85"/>
        <v>-0.28311999999999998</v>
      </c>
      <c r="R190" s="23">
        <f>(scatterplots_LWG_grazdays_CS!$V$4*$A190+scatterplots_LWG_grazdays_CS!$W$4)/1000+R189</f>
        <v>-10.044840000000006</v>
      </c>
      <c r="S190" s="23">
        <f t="shared" ref="S190:U202" si="109">O190+S189</f>
        <v>-6.1248400000000052</v>
      </c>
      <c r="T190" s="23">
        <f t="shared" si="109"/>
        <v>-2.2048400000000052</v>
      </c>
      <c r="U190" s="23">
        <f t="shared" si="109"/>
        <v>1.7151599999999951</v>
      </c>
      <c r="V190" s="23">
        <f>(scatterplots_LWG_grazdays_CS!$V$5*$A190+scatterplots_LWG_grazdays_CS!$W$5)/1000</f>
        <v>-0.50464000000000009</v>
      </c>
      <c r="W190" s="23">
        <f t="shared" si="86"/>
        <v>-0.46464000000000011</v>
      </c>
      <c r="X190" s="23">
        <f t="shared" si="101"/>
        <v>-0.42464000000000007</v>
      </c>
      <c r="Y190" s="23">
        <f t="shared" si="101"/>
        <v>-0.38464000000000009</v>
      </c>
      <c r="Z190" s="23">
        <f>(scatterplots_LWG_grazdays_CS!$V$5*$A190+scatterplots_LWG_grazdays_CS!$W$5)/1000+Z189</f>
        <v>-19.638480000000005</v>
      </c>
      <c r="AA190" s="23">
        <f t="shared" ref="AA190:AC202" si="110">AA189+W190</f>
        <v>-15.718480000000007</v>
      </c>
      <c r="AB190" s="23">
        <f t="shared" si="110"/>
        <v>-11.798480000000007</v>
      </c>
      <c r="AC190" s="23">
        <f t="shared" si="110"/>
        <v>-7.8784800000000059</v>
      </c>
      <c r="AD190" s="23">
        <f>(scatterplots_LWG_grazdays_CS!$V$6*$A190+scatterplots_LWG_grazdays_CS!$W$6)/1000</f>
        <v>-0.66631999999999991</v>
      </c>
      <c r="AE190" s="23">
        <f t="shared" si="88"/>
        <v>-0.62631999999999988</v>
      </c>
      <c r="AF190" s="23">
        <f t="shared" si="93"/>
        <v>-0.58631999999999995</v>
      </c>
      <c r="AG190" s="23">
        <f t="shared" si="93"/>
        <v>-0.54631999999999992</v>
      </c>
      <c r="AH190" s="23">
        <f>(scatterplots_LWG_grazdays_CS!$V$6*$A190+scatterplots_LWG_grazdays_CS!$W$6)/1000+AH189</f>
        <v>-34.917239999999985</v>
      </c>
      <c r="AI190" s="23">
        <f t="shared" si="108"/>
        <v>-30.997239999999987</v>
      </c>
      <c r="AJ190" s="23">
        <f t="shared" si="108"/>
        <v>-27.077239999999986</v>
      </c>
      <c r="AK190" s="23">
        <f t="shared" si="108"/>
        <v>-23.157239999999994</v>
      </c>
    </row>
    <row r="191" spans="1:37">
      <c r="A191" s="12">
        <v>189</v>
      </c>
      <c r="B191" s="12">
        <v>100</v>
      </c>
      <c r="C191" s="23">
        <f>(scatterplots_LWG_grazdays_CS!$V$3*$A191+scatterplots_LWG_grazdays_CS!$W$3)/1000</f>
        <v>-0.23676</v>
      </c>
      <c r="D191" s="23">
        <f t="shared" si="100"/>
        <v>-0.19675999999999999</v>
      </c>
      <c r="E191" s="23">
        <f t="shared" si="100"/>
        <v>-0.15676000000000001</v>
      </c>
      <c r="F191" s="23">
        <f t="shared" si="100"/>
        <v>-0.11676</v>
      </c>
      <c r="G191" s="23">
        <f>(scatterplots_LWG_grazdays_CS!$V$3*$A191+scatterplots_LWG_grazdays_CS!$W$3)/1000+G190</f>
        <v>5.7078000000000095</v>
      </c>
      <c r="H191" s="23">
        <f t="shared" si="98"/>
        <v>9.707800000000006</v>
      </c>
      <c r="I191" s="23">
        <f t="shared" si="99"/>
        <v>11.507800000000001</v>
      </c>
      <c r="J191" s="23">
        <f t="shared" si="107"/>
        <v>12.507800000000001</v>
      </c>
      <c r="K191" s="23">
        <f t="shared" si="106"/>
        <v>12.907800000000003</v>
      </c>
      <c r="L191" s="23">
        <f t="shared" si="106"/>
        <v>13.707800000000006</v>
      </c>
      <c r="M191" s="23">
        <f t="shared" si="106"/>
        <v>17.707799999999999</v>
      </c>
      <c r="N191" s="23">
        <f>(scatterplots_LWG_grazdays_CS!$V$4*$A191+scatterplots_LWG_grazdays_CS!$W$4)/1000</f>
        <v>-0.40686</v>
      </c>
      <c r="O191" s="23">
        <f t="shared" si="85"/>
        <v>-0.36686000000000002</v>
      </c>
      <c r="P191" s="23">
        <f t="shared" si="85"/>
        <v>-0.32685999999999998</v>
      </c>
      <c r="Q191" s="23">
        <f t="shared" si="85"/>
        <v>-0.28686</v>
      </c>
      <c r="R191" s="23">
        <f>(scatterplots_LWG_grazdays_CS!$V$4*$A191+scatterplots_LWG_grazdays_CS!$W$4)/1000+R190</f>
        <v>-10.451700000000006</v>
      </c>
      <c r="S191" s="23">
        <f t="shared" si="109"/>
        <v>-6.4917000000000051</v>
      </c>
      <c r="T191" s="23">
        <f t="shared" si="109"/>
        <v>-2.5317000000000052</v>
      </c>
      <c r="U191" s="23">
        <f t="shared" si="109"/>
        <v>1.4282999999999952</v>
      </c>
      <c r="V191" s="23">
        <f>(scatterplots_LWG_grazdays_CS!$V$5*$A191+scatterplots_LWG_grazdays_CS!$W$5)/1000</f>
        <v>-0.50892000000000004</v>
      </c>
      <c r="W191" s="23">
        <f t="shared" si="86"/>
        <v>-0.46892000000000006</v>
      </c>
      <c r="X191" s="23">
        <f t="shared" si="101"/>
        <v>-0.42892000000000002</v>
      </c>
      <c r="Y191" s="23">
        <f t="shared" si="101"/>
        <v>-0.38892000000000004</v>
      </c>
      <c r="Z191" s="23">
        <f>(scatterplots_LWG_grazdays_CS!$V$5*$A191+scatterplots_LWG_grazdays_CS!$W$5)/1000+Z190</f>
        <v>-20.147400000000005</v>
      </c>
      <c r="AA191" s="23">
        <f t="shared" si="110"/>
        <v>-16.187400000000007</v>
      </c>
      <c r="AB191" s="23">
        <f t="shared" si="110"/>
        <v>-12.227400000000006</v>
      </c>
      <c r="AC191" s="23">
        <f t="shared" si="110"/>
        <v>-8.2674000000000056</v>
      </c>
      <c r="AD191" s="23">
        <f>(scatterplots_LWG_grazdays_CS!$V$6*$A191+scatterplots_LWG_grazdays_CS!$W$6)/1000</f>
        <v>-0.67145999999999995</v>
      </c>
      <c r="AE191" s="23">
        <f t="shared" si="88"/>
        <v>-0.63145999999999991</v>
      </c>
      <c r="AF191" s="23">
        <f t="shared" si="93"/>
        <v>-0.59145999999999999</v>
      </c>
      <c r="AG191" s="23">
        <f t="shared" si="93"/>
        <v>-0.55145999999999995</v>
      </c>
      <c r="AH191" s="23">
        <f>(scatterplots_LWG_grazdays_CS!$V$6*$A191+scatterplots_LWG_grazdays_CS!$W$6)/1000+AH190</f>
        <v>-35.588699999999989</v>
      </c>
      <c r="AI191" s="23">
        <f t="shared" si="108"/>
        <v>-31.628699999999988</v>
      </c>
      <c r="AJ191" s="23">
        <f t="shared" si="108"/>
        <v>-27.668699999999987</v>
      </c>
      <c r="AK191" s="23">
        <f t="shared" si="108"/>
        <v>-23.708699999999993</v>
      </c>
    </row>
    <row r="192" spans="1:37">
      <c r="A192" s="12">
        <v>190</v>
      </c>
      <c r="B192" s="12">
        <v>101</v>
      </c>
      <c r="C192" s="23">
        <f>(scatterplots_LWG_grazdays_CS!$V$3*$A192+scatterplots_LWG_grazdays_CS!$W$3)/1000</f>
        <v>-0.23960000000000004</v>
      </c>
      <c r="D192" s="23">
        <f t="shared" si="100"/>
        <v>-0.19960000000000003</v>
      </c>
      <c r="E192" s="23">
        <f t="shared" si="100"/>
        <v>-0.15960000000000002</v>
      </c>
      <c r="F192" s="23">
        <f t="shared" si="100"/>
        <v>-0.11960000000000004</v>
      </c>
      <c r="G192" s="23">
        <f>(scatterplots_LWG_grazdays_CS!$V$3*$A192+scatterplots_LWG_grazdays_CS!$W$3)/1000+G191</f>
        <v>5.4682000000000093</v>
      </c>
      <c r="H192" s="23">
        <f t="shared" si="98"/>
        <v>9.5082000000000058</v>
      </c>
      <c r="I192" s="23">
        <f t="shared" si="99"/>
        <v>11.308200000000001</v>
      </c>
      <c r="J192" s="23">
        <f t="shared" si="107"/>
        <v>12.308200000000001</v>
      </c>
      <c r="K192" s="23">
        <f t="shared" si="106"/>
        <v>12.708200000000003</v>
      </c>
      <c r="L192" s="23">
        <f t="shared" si="106"/>
        <v>13.548200000000007</v>
      </c>
      <c r="M192" s="23">
        <f t="shared" si="106"/>
        <v>17.588200000000001</v>
      </c>
      <c r="N192" s="23">
        <f>(scatterplots_LWG_grazdays_CS!$V$4*$A192+scatterplots_LWG_grazdays_CS!$W$4)/1000</f>
        <v>-0.41060000000000002</v>
      </c>
      <c r="O192" s="23">
        <f t="shared" si="85"/>
        <v>-0.37060000000000004</v>
      </c>
      <c r="P192" s="23">
        <f t="shared" si="85"/>
        <v>-0.3306</v>
      </c>
      <c r="Q192" s="23">
        <f t="shared" si="85"/>
        <v>-0.29060000000000002</v>
      </c>
      <c r="R192" s="23">
        <f>(scatterplots_LWG_grazdays_CS!$V$4*$A192+scatterplots_LWG_grazdays_CS!$W$4)/1000+R191</f>
        <v>-10.862300000000007</v>
      </c>
      <c r="S192" s="23">
        <f t="shared" si="109"/>
        <v>-6.8623000000000047</v>
      </c>
      <c r="T192" s="23">
        <f t="shared" si="109"/>
        <v>-2.8623000000000052</v>
      </c>
      <c r="U192" s="23">
        <f t="shared" si="109"/>
        <v>1.1376999999999953</v>
      </c>
      <c r="V192" s="23">
        <f>(scatterplots_LWG_grazdays_CS!$V$5*$A192+scatterplots_LWG_grazdays_CS!$W$5)/1000</f>
        <v>-0.5132000000000001</v>
      </c>
      <c r="W192" s="23">
        <f t="shared" si="86"/>
        <v>-0.47320000000000012</v>
      </c>
      <c r="X192" s="23">
        <f t="shared" si="101"/>
        <v>-0.43320000000000008</v>
      </c>
      <c r="Y192" s="23">
        <f t="shared" si="101"/>
        <v>-0.3932000000000001</v>
      </c>
      <c r="Z192" s="23">
        <f>(scatterplots_LWG_grazdays_CS!$V$5*$A192+scatterplots_LWG_grazdays_CS!$W$5)/1000+Z191</f>
        <v>-20.660600000000006</v>
      </c>
      <c r="AA192" s="23">
        <f t="shared" si="110"/>
        <v>-16.660600000000006</v>
      </c>
      <c r="AB192" s="23">
        <f t="shared" si="110"/>
        <v>-12.660600000000006</v>
      </c>
      <c r="AC192" s="23">
        <f t="shared" si="110"/>
        <v>-8.6606000000000058</v>
      </c>
      <c r="AD192" s="23">
        <f>(scatterplots_LWG_grazdays_CS!$V$6*$A192+scatterplots_LWG_grazdays_CS!$W$6)/1000</f>
        <v>-0.67659999999999987</v>
      </c>
      <c r="AE192" s="23">
        <f t="shared" si="88"/>
        <v>-0.63659999999999983</v>
      </c>
      <c r="AF192" s="23">
        <f t="shared" si="93"/>
        <v>-0.59659999999999991</v>
      </c>
      <c r="AG192" s="23">
        <f t="shared" si="93"/>
        <v>-0.55659999999999987</v>
      </c>
      <c r="AH192" s="23">
        <f>(scatterplots_LWG_grazdays_CS!$V$6*$A192+scatterplots_LWG_grazdays_CS!$W$6)/1000+AH191</f>
        <v>-36.265299999999989</v>
      </c>
      <c r="AI192" s="23">
        <f t="shared" si="108"/>
        <v>-32.265299999999989</v>
      </c>
      <c r="AJ192" s="23">
        <f t="shared" si="108"/>
        <v>-28.265299999999986</v>
      </c>
      <c r="AK192" s="23">
        <f t="shared" si="108"/>
        <v>-24.265299999999993</v>
      </c>
    </row>
    <row r="193" spans="1:37">
      <c r="A193" s="12">
        <v>191</v>
      </c>
      <c r="B193" s="12">
        <v>102</v>
      </c>
      <c r="C193" s="23">
        <f>(scatterplots_LWG_grazdays_CS!$V$3*$A193+scatterplots_LWG_grazdays_CS!$W$3)/1000</f>
        <v>-0.24243999999999993</v>
      </c>
      <c r="D193" s="23">
        <f t="shared" si="100"/>
        <v>-0.20243999999999993</v>
      </c>
      <c r="E193" s="23">
        <f t="shared" si="100"/>
        <v>-0.16243999999999992</v>
      </c>
      <c r="F193" s="23">
        <f t="shared" si="100"/>
        <v>-0.12243999999999994</v>
      </c>
      <c r="G193" s="23">
        <f>(scatterplots_LWG_grazdays_CS!$V$3*$A193+scatterplots_LWG_grazdays_CS!$W$3)/1000+G192</f>
        <v>5.2257600000000091</v>
      </c>
      <c r="H193" s="23">
        <f t="shared" si="98"/>
        <v>9.3057600000000065</v>
      </c>
      <c r="I193" s="23">
        <f t="shared" si="99"/>
        <v>11.105760000000002</v>
      </c>
      <c r="J193" s="23">
        <f t="shared" si="107"/>
        <v>12.105760000000002</v>
      </c>
      <c r="K193" s="23">
        <f t="shared" si="106"/>
        <v>12.505760000000004</v>
      </c>
      <c r="L193" s="23">
        <f t="shared" si="106"/>
        <v>13.385760000000007</v>
      </c>
      <c r="M193" s="23">
        <f t="shared" si="106"/>
        <v>17.46576</v>
      </c>
      <c r="N193" s="23">
        <f>(scatterplots_LWG_grazdays_CS!$V$4*$A193+scatterplots_LWG_grazdays_CS!$W$4)/1000</f>
        <v>-0.41434000000000004</v>
      </c>
      <c r="O193" s="23">
        <f t="shared" si="85"/>
        <v>-0.37434000000000006</v>
      </c>
      <c r="P193" s="23">
        <f t="shared" si="85"/>
        <v>-0.33434000000000003</v>
      </c>
      <c r="Q193" s="23">
        <f t="shared" si="85"/>
        <v>-0.29434000000000005</v>
      </c>
      <c r="R193" s="23">
        <f>(scatterplots_LWG_grazdays_CS!$V$4*$A193+scatterplots_LWG_grazdays_CS!$W$4)/1000+R192</f>
        <v>-11.276640000000006</v>
      </c>
      <c r="S193" s="23">
        <f t="shared" si="109"/>
        <v>-7.2366400000000048</v>
      </c>
      <c r="T193" s="23">
        <f t="shared" si="109"/>
        <v>-3.1966400000000053</v>
      </c>
      <c r="U193" s="23">
        <f t="shared" si="109"/>
        <v>0.84335999999999522</v>
      </c>
      <c r="V193" s="23">
        <f>(scatterplots_LWG_grazdays_CS!$V$5*$A193+scatterplots_LWG_grazdays_CS!$W$5)/1000</f>
        <v>-0.51748000000000005</v>
      </c>
      <c r="W193" s="23">
        <f t="shared" si="86"/>
        <v>-0.47748000000000007</v>
      </c>
      <c r="X193" s="23">
        <f t="shared" si="101"/>
        <v>-0.43748000000000004</v>
      </c>
      <c r="Y193" s="23">
        <f t="shared" si="101"/>
        <v>-0.39748000000000006</v>
      </c>
      <c r="Z193" s="23">
        <f>(scatterplots_LWG_grazdays_CS!$V$5*$A193+scatterplots_LWG_grazdays_CS!$W$5)/1000+Z192</f>
        <v>-21.178080000000005</v>
      </c>
      <c r="AA193" s="23">
        <f t="shared" si="110"/>
        <v>-17.138080000000006</v>
      </c>
      <c r="AB193" s="23">
        <f t="shared" si="110"/>
        <v>-13.098080000000007</v>
      </c>
      <c r="AC193" s="23">
        <f t="shared" si="110"/>
        <v>-9.0580800000000057</v>
      </c>
      <c r="AD193" s="23">
        <f>(scatterplots_LWG_grazdays_CS!$V$6*$A193+scatterplots_LWG_grazdays_CS!$W$6)/1000</f>
        <v>-0.6817399999999999</v>
      </c>
      <c r="AE193" s="23">
        <f t="shared" si="88"/>
        <v>-0.64173999999999987</v>
      </c>
      <c r="AF193" s="23">
        <f t="shared" si="93"/>
        <v>-0.60173999999999994</v>
      </c>
      <c r="AG193" s="23">
        <f t="shared" si="93"/>
        <v>-0.56173999999999991</v>
      </c>
      <c r="AH193" s="23">
        <f>(scatterplots_LWG_grazdays_CS!$V$6*$A193+scatterplots_LWG_grazdays_CS!$W$6)/1000+AH192</f>
        <v>-36.947039999999987</v>
      </c>
      <c r="AI193" s="23">
        <f t="shared" si="108"/>
        <v>-32.907039999999988</v>
      </c>
      <c r="AJ193" s="23">
        <f t="shared" si="108"/>
        <v>-28.867039999999985</v>
      </c>
      <c r="AK193" s="23">
        <f t="shared" si="108"/>
        <v>-24.827039999999993</v>
      </c>
    </row>
    <row r="194" spans="1:37">
      <c r="A194" s="12">
        <v>192</v>
      </c>
      <c r="B194" s="12">
        <v>103</v>
      </c>
      <c r="C194" s="23">
        <f>(scatterplots_LWG_grazdays_CS!$V$3*$A194+scatterplots_LWG_grazdays_CS!$W$3)/1000</f>
        <v>-0.24527999999999997</v>
      </c>
      <c r="D194" s="23">
        <f t="shared" si="100"/>
        <v>-0.20527999999999996</v>
      </c>
      <c r="E194" s="23">
        <f t="shared" si="100"/>
        <v>-0.16527999999999998</v>
      </c>
      <c r="F194" s="23">
        <f t="shared" si="100"/>
        <v>-0.12527999999999997</v>
      </c>
      <c r="G194" s="23">
        <f>(scatterplots_LWG_grazdays_CS!$V$3*$A194+scatterplots_LWG_grazdays_CS!$W$3)/1000+G193</f>
        <v>4.9804800000000089</v>
      </c>
      <c r="H194" s="23">
        <f t="shared" si="98"/>
        <v>9.1004800000000063</v>
      </c>
      <c r="I194" s="23">
        <f t="shared" si="99"/>
        <v>10.900480000000002</v>
      </c>
      <c r="J194" s="23">
        <f t="shared" si="107"/>
        <v>11.900480000000002</v>
      </c>
      <c r="K194" s="23">
        <f t="shared" si="106"/>
        <v>12.300480000000004</v>
      </c>
      <c r="L194" s="23">
        <f t="shared" si="106"/>
        <v>13.220480000000007</v>
      </c>
      <c r="M194" s="23">
        <f t="shared" si="106"/>
        <v>17.340479999999999</v>
      </c>
      <c r="N194" s="23">
        <f>(scatterplots_LWG_grazdays_CS!$V$4*$A194+scatterplots_LWG_grazdays_CS!$W$4)/1000</f>
        <v>-0.41808000000000006</v>
      </c>
      <c r="O194" s="23">
        <f t="shared" si="85"/>
        <v>-0.37808000000000008</v>
      </c>
      <c r="P194" s="23">
        <f t="shared" si="85"/>
        <v>-0.33808000000000005</v>
      </c>
      <c r="Q194" s="23">
        <f t="shared" si="85"/>
        <v>-0.29808000000000007</v>
      </c>
      <c r="R194" s="23">
        <f>(scatterplots_LWG_grazdays_CS!$V$4*$A194+scatterplots_LWG_grazdays_CS!$W$4)/1000+R193</f>
        <v>-11.694720000000006</v>
      </c>
      <c r="S194" s="23">
        <f t="shared" si="109"/>
        <v>-7.6147200000000046</v>
      </c>
      <c r="T194" s="23">
        <f t="shared" si="109"/>
        <v>-3.5347200000000054</v>
      </c>
      <c r="U194" s="23">
        <f t="shared" si="109"/>
        <v>0.5452799999999951</v>
      </c>
      <c r="V194" s="23">
        <f>(scatterplots_LWG_grazdays_CS!$V$5*$A194+scatterplots_LWG_grazdays_CS!$W$5)/1000</f>
        <v>-0.52176</v>
      </c>
      <c r="W194" s="23">
        <f t="shared" si="86"/>
        <v>-0.48176000000000002</v>
      </c>
      <c r="X194" s="23">
        <f t="shared" si="101"/>
        <v>-0.44175999999999999</v>
      </c>
      <c r="Y194" s="23">
        <f t="shared" si="101"/>
        <v>-0.40176000000000001</v>
      </c>
      <c r="Z194" s="23">
        <f>(scatterplots_LWG_grazdays_CS!$V$5*$A194+scatterplots_LWG_grazdays_CS!$W$5)/1000+Z193</f>
        <v>-21.699840000000005</v>
      </c>
      <c r="AA194" s="23">
        <f t="shared" si="110"/>
        <v>-17.619840000000007</v>
      </c>
      <c r="AB194" s="23">
        <f t="shared" si="110"/>
        <v>-13.539840000000007</v>
      </c>
      <c r="AC194" s="23">
        <f t="shared" si="110"/>
        <v>-9.4598400000000051</v>
      </c>
      <c r="AD194" s="23">
        <f>(scatterplots_LWG_grazdays_CS!$V$6*$A194+scatterplots_LWG_grazdays_CS!$W$6)/1000</f>
        <v>-0.68687999999999994</v>
      </c>
      <c r="AE194" s="23">
        <f t="shared" si="88"/>
        <v>-0.6468799999999999</v>
      </c>
      <c r="AF194" s="23">
        <f t="shared" si="93"/>
        <v>-0.60687999999999998</v>
      </c>
      <c r="AG194" s="23">
        <f t="shared" si="93"/>
        <v>-0.56687999999999994</v>
      </c>
      <c r="AH194" s="23">
        <f>(scatterplots_LWG_grazdays_CS!$V$6*$A194+scatterplots_LWG_grazdays_CS!$W$6)/1000+AH193</f>
        <v>-37.633919999999989</v>
      </c>
      <c r="AI194" s="23">
        <f t="shared" si="108"/>
        <v>-33.553919999999991</v>
      </c>
      <c r="AJ194" s="23">
        <f t="shared" si="108"/>
        <v>-29.473919999999985</v>
      </c>
      <c r="AK194" s="23">
        <f t="shared" si="108"/>
        <v>-25.393919999999994</v>
      </c>
    </row>
    <row r="195" spans="1:37">
      <c r="A195" s="12">
        <v>193</v>
      </c>
      <c r="B195" s="12">
        <v>104</v>
      </c>
      <c r="C195" s="23">
        <f>(scatterplots_LWG_grazdays_CS!$V$3*$A195+scatterplots_LWG_grazdays_CS!$W$3)/1000</f>
        <v>-0.24812000000000001</v>
      </c>
      <c r="D195" s="23">
        <f t="shared" si="100"/>
        <v>-0.20812</v>
      </c>
      <c r="E195" s="23">
        <f t="shared" si="100"/>
        <v>-0.16811999999999999</v>
      </c>
      <c r="F195" s="23">
        <f t="shared" si="100"/>
        <v>-0.12812000000000001</v>
      </c>
      <c r="G195" s="23">
        <f>(scatterplots_LWG_grazdays_CS!$V$3*$A195+scatterplots_LWG_grazdays_CS!$W$3)/1000+G194</f>
        <v>4.7323600000000088</v>
      </c>
      <c r="H195" s="23">
        <f t="shared" si="98"/>
        <v>8.8923600000000071</v>
      </c>
      <c r="I195" s="23">
        <f t="shared" si="99"/>
        <v>10.692360000000003</v>
      </c>
      <c r="J195" s="23">
        <f t="shared" si="107"/>
        <v>11.692360000000003</v>
      </c>
      <c r="K195" s="23">
        <f t="shared" si="106"/>
        <v>12.092360000000005</v>
      </c>
      <c r="L195" s="23">
        <f t="shared" si="106"/>
        <v>13.052360000000007</v>
      </c>
      <c r="M195" s="23">
        <f t="shared" si="106"/>
        <v>17.21236</v>
      </c>
      <c r="N195" s="23">
        <f>(scatterplots_LWG_grazdays_CS!$V$4*$A195+scatterplots_LWG_grazdays_CS!$W$4)/1000</f>
        <v>-0.42182000000000003</v>
      </c>
      <c r="O195" s="23">
        <f t="shared" si="85"/>
        <v>-0.38182000000000005</v>
      </c>
      <c r="P195" s="23">
        <f t="shared" si="85"/>
        <v>-0.34182000000000001</v>
      </c>
      <c r="Q195" s="23">
        <f t="shared" si="85"/>
        <v>-0.30182000000000003</v>
      </c>
      <c r="R195" s="23">
        <f>(scatterplots_LWG_grazdays_CS!$V$4*$A195+scatterplots_LWG_grazdays_CS!$W$4)/1000+R194</f>
        <v>-12.116540000000006</v>
      </c>
      <c r="S195" s="23">
        <f t="shared" si="109"/>
        <v>-7.9965400000000049</v>
      </c>
      <c r="T195" s="23">
        <f t="shared" si="109"/>
        <v>-3.8765400000000056</v>
      </c>
      <c r="U195" s="23">
        <f t="shared" si="109"/>
        <v>0.24345999999999507</v>
      </c>
      <c r="V195" s="23">
        <f>(scatterplots_LWG_grazdays_CS!$V$5*$A195+scatterplots_LWG_grazdays_CS!$W$5)/1000</f>
        <v>-0.52604000000000006</v>
      </c>
      <c r="W195" s="23">
        <f t="shared" si="86"/>
        <v>-0.48604000000000008</v>
      </c>
      <c r="X195" s="23">
        <f t="shared" si="101"/>
        <v>-0.44604000000000005</v>
      </c>
      <c r="Y195" s="23">
        <f t="shared" si="101"/>
        <v>-0.40604000000000007</v>
      </c>
      <c r="Z195" s="23">
        <f>(scatterplots_LWG_grazdays_CS!$V$5*$A195+scatterplots_LWG_grazdays_CS!$W$5)/1000+Z194</f>
        <v>-22.225880000000004</v>
      </c>
      <c r="AA195" s="23">
        <f t="shared" si="110"/>
        <v>-18.105880000000006</v>
      </c>
      <c r="AB195" s="23">
        <f t="shared" si="110"/>
        <v>-13.985880000000007</v>
      </c>
      <c r="AC195" s="23">
        <f t="shared" si="110"/>
        <v>-9.865880000000006</v>
      </c>
      <c r="AD195" s="23">
        <f>(scatterplots_LWG_grazdays_CS!$V$6*$A195+scatterplots_LWG_grazdays_CS!$W$6)/1000</f>
        <v>-0.69201999999999997</v>
      </c>
      <c r="AE195" s="23">
        <f t="shared" si="88"/>
        <v>-0.65201999999999993</v>
      </c>
      <c r="AF195" s="23">
        <f t="shared" si="93"/>
        <v>-0.61202000000000001</v>
      </c>
      <c r="AG195" s="23">
        <f t="shared" si="93"/>
        <v>-0.57201999999999997</v>
      </c>
      <c r="AH195" s="23">
        <f>(scatterplots_LWG_grazdays_CS!$V$6*$A195+scatterplots_LWG_grazdays_CS!$W$6)/1000+AH194</f>
        <v>-38.325939999999989</v>
      </c>
      <c r="AI195" s="23">
        <f t="shared" si="108"/>
        <v>-34.205939999999991</v>
      </c>
      <c r="AJ195" s="23">
        <f t="shared" si="108"/>
        <v>-30.085939999999987</v>
      </c>
      <c r="AK195" s="23">
        <f t="shared" si="108"/>
        <v>-25.965939999999993</v>
      </c>
    </row>
    <row r="196" spans="1:37">
      <c r="A196" s="12">
        <v>194</v>
      </c>
      <c r="B196" s="12">
        <v>105</v>
      </c>
      <c r="C196" s="23">
        <f>(scatterplots_LWG_grazdays_CS!$V$3*$A196+scatterplots_LWG_grazdays_CS!$W$3)/1000</f>
        <v>-0.25095999999999991</v>
      </c>
      <c r="D196" s="23">
        <f t="shared" si="100"/>
        <v>-0.2109599999999999</v>
      </c>
      <c r="E196" s="23">
        <f t="shared" si="100"/>
        <v>-0.17095999999999989</v>
      </c>
      <c r="F196" s="23">
        <f t="shared" si="100"/>
        <v>-0.13095999999999991</v>
      </c>
      <c r="G196" s="23">
        <f>(scatterplots_LWG_grazdays_CS!$V$3*$A196+scatterplots_LWG_grazdays_CS!$W$3)/1000+G195</f>
        <v>4.4814000000000087</v>
      </c>
      <c r="H196" s="23">
        <f t="shared" si="98"/>
        <v>8.6814000000000071</v>
      </c>
      <c r="I196" s="23">
        <f t="shared" si="99"/>
        <v>10.481400000000002</v>
      </c>
      <c r="J196" s="23">
        <f t="shared" si="107"/>
        <v>11.481400000000002</v>
      </c>
      <c r="K196" s="23">
        <f t="shared" si="106"/>
        <v>11.881400000000005</v>
      </c>
      <c r="L196" s="23">
        <f t="shared" si="106"/>
        <v>12.881400000000008</v>
      </c>
      <c r="M196" s="23">
        <f t="shared" si="106"/>
        <v>17.081400000000002</v>
      </c>
      <c r="N196" s="23">
        <f>(scatterplots_LWG_grazdays_CS!$V$4*$A196+scatterplots_LWG_grazdays_CS!$W$4)/1000</f>
        <v>-0.42556000000000005</v>
      </c>
      <c r="O196" s="23">
        <f t="shared" ref="O196:Q202" si="111">$N196+O$1/1000</f>
        <v>-0.38556000000000007</v>
      </c>
      <c r="P196" s="23">
        <f t="shared" si="111"/>
        <v>-0.34556000000000003</v>
      </c>
      <c r="Q196" s="23">
        <f t="shared" si="111"/>
        <v>-0.30556000000000005</v>
      </c>
      <c r="R196" s="23">
        <f>(scatterplots_LWG_grazdays_CS!$V$4*$A196+scatterplots_LWG_grazdays_CS!$W$4)/1000+R195</f>
        <v>-12.542100000000007</v>
      </c>
      <c r="S196" s="23">
        <f t="shared" si="109"/>
        <v>-8.3821000000000048</v>
      </c>
      <c r="T196" s="23">
        <f t="shared" si="109"/>
        <v>-4.2221000000000055</v>
      </c>
      <c r="U196" s="23">
        <f t="shared" si="109"/>
        <v>-6.2100000000004985E-2</v>
      </c>
      <c r="V196" s="23">
        <f>(scatterplots_LWG_grazdays_CS!$V$5*$A196+scatterplots_LWG_grazdays_CS!$W$5)/1000</f>
        <v>-0.53032000000000001</v>
      </c>
      <c r="W196" s="23">
        <f t="shared" ref="W196:W202" si="112">V196+W$1/1000</f>
        <v>-0.49032000000000003</v>
      </c>
      <c r="X196" s="23">
        <f t="shared" si="101"/>
        <v>-0.45032</v>
      </c>
      <c r="Y196" s="23">
        <f t="shared" si="101"/>
        <v>-0.41032000000000002</v>
      </c>
      <c r="Z196" s="23">
        <f>(scatterplots_LWG_grazdays_CS!$V$5*$A196+scatterplots_LWG_grazdays_CS!$W$5)/1000+Z195</f>
        <v>-22.756200000000003</v>
      </c>
      <c r="AA196" s="23">
        <f t="shared" si="110"/>
        <v>-18.596200000000007</v>
      </c>
      <c r="AB196" s="23">
        <f t="shared" si="110"/>
        <v>-14.436200000000007</v>
      </c>
      <c r="AC196" s="23">
        <f t="shared" si="110"/>
        <v>-10.276200000000006</v>
      </c>
      <c r="AD196" s="23">
        <f>(scatterplots_LWG_grazdays_CS!$V$6*$A196+scatterplots_LWG_grazdays_CS!$W$6)/1000</f>
        <v>-0.69716</v>
      </c>
      <c r="AE196" s="23">
        <f t="shared" ref="AE196:AE202" si="113">AD196+AE$1/1000</f>
        <v>-0.65715999999999997</v>
      </c>
      <c r="AF196" s="23">
        <f t="shared" si="93"/>
        <v>-0.61716000000000004</v>
      </c>
      <c r="AG196" s="23">
        <f t="shared" si="93"/>
        <v>-0.57716000000000001</v>
      </c>
      <c r="AH196" s="23">
        <f>(scatterplots_LWG_grazdays_CS!$V$6*$A196+scatterplots_LWG_grazdays_CS!$W$6)/1000+AH195</f>
        <v>-39.023099999999985</v>
      </c>
      <c r="AI196" s="23">
        <f t="shared" si="108"/>
        <v>-34.863099999999989</v>
      </c>
      <c r="AJ196" s="23">
        <f t="shared" si="108"/>
        <v>-30.703099999999985</v>
      </c>
      <c r="AK196" s="23">
        <f t="shared" si="108"/>
        <v>-26.543099999999992</v>
      </c>
    </row>
    <row r="197" spans="1:37">
      <c r="A197" s="12">
        <v>195</v>
      </c>
      <c r="B197" s="12">
        <v>106</v>
      </c>
      <c r="C197" s="23">
        <f>(scatterplots_LWG_grazdays_CS!$V$3*$A197+scatterplots_LWG_grazdays_CS!$W$3)/1000</f>
        <v>-0.25379999999999997</v>
      </c>
      <c r="D197" s="23">
        <f t="shared" si="100"/>
        <v>-0.21379999999999996</v>
      </c>
      <c r="E197" s="23">
        <f t="shared" si="100"/>
        <v>-0.17379999999999995</v>
      </c>
      <c r="F197" s="23">
        <f t="shared" si="100"/>
        <v>-0.13379999999999997</v>
      </c>
      <c r="G197" s="23">
        <f>(scatterplots_LWG_grazdays_CS!$V$3*$A197+scatterplots_LWG_grazdays_CS!$W$3)/1000+G196</f>
        <v>4.2276000000000087</v>
      </c>
      <c r="H197" s="23">
        <f t="shared" si="98"/>
        <v>8.467600000000008</v>
      </c>
      <c r="I197" s="23">
        <f>D197+I196</f>
        <v>10.267600000000003</v>
      </c>
      <c r="J197" s="23">
        <f t="shared" si="107"/>
        <v>11.267600000000003</v>
      </c>
      <c r="K197" s="23">
        <f t="shared" si="106"/>
        <v>11.667600000000006</v>
      </c>
      <c r="L197" s="23">
        <f t="shared" si="106"/>
        <v>12.707600000000008</v>
      </c>
      <c r="M197" s="23">
        <f t="shared" si="106"/>
        <v>16.947600000000001</v>
      </c>
      <c r="N197" s="23">
        <f>(scatterplots_LWG_grazdays_CS!$V$4*$A197+scatterplots_LWG_grazdays_CS!$W$4)/1000</f>
        <v>-0.42930000000000007</v>
      </c>
      <c r="O197" s="23">
        <f t="shared" si="111"/>
        <v>-0.38930000000000009</v>
      </c>
      <c r="P197" s="23">
        <f t="shared" si="111"/>
        <v>-0.34930000000000005</v>
      </c>
      <c r="Q197" s="23">
        <f t="shared" si="111"/>
        <v>-0.30930000000000007</v>
      </c>
      <c r="R197" s="23">
        <f>(scatterplots_LWG_grazdays_CS!$V$4*$A197+scatterplots_LWG_grazdays_CS!$W$4)/1000+R196</f>
        <v>-12.971400000000006</v>
      </c>
      <c r="S197" s="23">
        <f t="shared" si="109"/>
        <v>-8.7714000000000052</v>
      </c>
      <c r="T197" s="23">
        <f t="shared" si="109"/>
        <v>-4.5714000000000059</v>
      </c>
      <c r="U197" s="23">
        <f t="shared" si="109"/>
        <v>-0.37140000000000506</v>
      </c>
      <c r="V197" s="23">
        <f>(scatterplots_LWG_grazdays_CS!$V$5*$A197+scatterplots_LWG_grazdays_CS!$W$5)/1000</f>
        <v>-0.53460000000000008</v>
      </c>
      <c r="W197" s="23">
        <f t="shared" si="112"/>
        <v>-0.4946000000000001</v>
      </c>
      <c r="X197" s="23">
        <f t="shared" si="101"/>
        <v>-0.45460000000000006</v>
      </c>
      <c r="Y197" s="23">
        <f t="shared" si="101"/>
        <v>-0.41460000000000008</v>
      </c>
      <c r="Z197" s="23">
        <f>(scatterplots_LWG_grazdays_CS!$V$5*$A197+scatterplots_LWG_grazdays_CS!$W$5)/1000+Z196</f>
        <v>-23.290800000000004</v>
      </c>
      <c r="AA197" s="23">
        <f t="shared" si="110"/>
        <v>-19.090800000000005</v>
      </c>
      <c r="AB197" s="23">
        <f t="shared" si="110"/>
        <v>-14.890800000000006</v>
      </c>
      <c r="AC197" s="23">
        <f t="shared" si="110"/>
        <v>-10.690800000000007</v>
      </c>
      <c r="AD197" s="23">
        <f>(scatterplots_LWG_grazdays_CS!$V$6*$A197+scatterplots_LWG_grazdays_CS!$W$6)/1000</f>
        <v>-0.70229999999999992</v>
      </c>
      <c r="AE197" s="23">
        <f t="shared" si="113"/>
        <v>-0.66229999999999989</v>
      </c>
      <c r="AF197" s="23">
        <f t="shared" si="93"/>
        <v>-0.62229999999999996</v>
      </c>
      <c r="AG197" s="23">
        <f t="shared" si="93"/>
        <v>-0.58229999999999993</v>
      </c>
      <c r="AH197" s="23">
        <f>(scatterplots_LWG_grazdays_CS!$V$6*$A197+scatterplots_LWG_grazdays_CS!$W$6)/1000+AH196</f>
        <v>-39.725399999999986</v>
      </c>
      <c r="AI197" s="23">
        <f t="shared" si="108"/>
        <v>-35.525399999999991</v>
      </c>
      <c r="AJ197" s="23">
        <f t="shared" si="108"/>
        <v>-31.325399999999984</v>
      </c>
      <c r="AK197" s="23">
        <f t="shared" si="108"/>
        <v>-27.125399999999992</v>
      </c>
    </row>
    <row r="198" spans="1:37">
      <c r="A198" s="12">
        <v>196</v>
      </c>
      <c r="B198" s="12">
        <v>107</v>
      </c>
      <c r="C198" s="23">
        <f>(scatterplots_LWG_grazdays_CS!$V$3*$A198+scatterplots_LWG_grazdays_CS!$W$3)/1000</f>
        <v>-0.25663999999999998</v>
      </c>
      <c r="D198" s="23">
        <f t="shared" si="100"/>
        <v>-0.21663999999999997</v>
      </c>
      <c r="E198" s="23">
        <f t="shared" si="100"/>
        <v>-0.17663999999999996</v>
      </c>
      <c r="F198" s="23">
        <f t="shared" si="100"/>
        <v>-0.13663999999999998</v>
      </c>
      <c r="G198" s="23">
        <f>(scatterplots_LWG_grazdays_CS!$V$3*$A198+scatterplots_LWG_grazdays_CS!$W$3)/1000+G197</f>
        <v>3.9709600000000087</v>
      </c>
      <c r="H198" s="23">
        <f t="shared" si="98"/>
        <v>8.2509600000000081</v>
      </c>
      <c r="I198" s="23">
        <f t="shared" si="99"/>
        <v>10.050960000000003</v>
      </c>
      <c r="J198" s="23">
        <f t="shared" si="107"/>
        <v>11.050960000000003</v>
      </c>
      <c r="K198" s="23">
        <f t="shared" si="106"/>
        <v>11.450960000000006</v>
      </c>
      <c r="L198" s="23">
        <f t="shared" si="106"/>
        <v>12.530960000000007</v>
      </c>
      <c r="M198" s="23">
        <f t="shared" si="106"/>
        <v>16.810960000000001</v>
      </c>
      <c r="N198" s="23">
        <f>(scatterplots_LWG_grazdays_CS!$V$4*$A198+scatterplots_LWG_grazdays_CS!$W$4)/1000</f>
        <v>-0.43304000000000009</v>
      </c>
      <c r="O198" s="23">
        <f t="shared" si="111"/>
        <v>-0.39304000000000011</v>
      </c>
      <c r="P198" s="23">
        <f t="shared" si="111"/>
        <v>-0.35304000000000008</v>
      </c>
      <c r="Q198" s="23">
        <f t="shared" si="111"/>
        <v>-0.3130400000000001</v>
      </c>
      <c r="R198" s="23">
        <f>(scatterplots_LWG_grazdays_CS!$V$4*$A198+scatterplots_LWG_grazdays_CS!$W$4)/1000+R197</f>
        <v>-13.404440000000006</v>
      </c>
      <c r="S198" s="23">
        <f t="shared" si="109"/>
        <v>-9.1644400000000061</v>
      </c>
      <c r="T198" s="23">
        <f t="shared" si="109"/>
        <v>-4.9244400000000059</v>
      </c>
      <c r="U198" s="23">
        <f t="shared" si="109"/>
        <v>-0.68444000000000516</v>
      </c>
      <c r="V198" s="23">
        <f>(scatterplots_LWG_grazdays_CS!$V$5*$A198+scatterplots_LWG_grazdays_CS!$W$5)/1000</f>
        <v>-0.53888000000000003</v>
      </c>
      <c r="W198" s="23">
        <f t="shared" si="112"/>
        <v>-0.49888000000000005</v>
      </c>
      <c r="X198" s="23">
        <f t="shared" si="101"/>
        <v>-0.45888000000000001</v>
      </c>
      <c r="Y198" s="23">
        <f t="shared" si="101"/>
        <v>-0.41888000000000003</v>
      </c>
      <c r="Z198" s="23">
        <f>(scatterplots_LWG_grazdays_CS!$V$5*$A198+scatterplots_LWG_grazdays_CS!$W$5)/1000+Z197</f>
        <v>-23.829680000000003</v>
      </c>
      <c r="AA198" s="23">
        <f t="shared" si="110"/>
        <v>-19.589680000000005</v>
      </c>
      <c r="AB198" s="23">
        <f t="shared" si="110"/>
        <v>-15.349680000000006</v>
      </c>
      <c r="AC198" s="23">
        <f t="shared" si="110"/>
        <v>-11.109680000000006</v>
      </c>
      <c r="AD198" s="23">
        <f>(scatterplots_LWG_grazdays_CS!$V$6*$A198+scatterplots_LWG_grazdays_CS!$W$6)/1000</f>
        <v>-0.70743999999999996</v>
      </c>
      <c r="AE198" s="23">
        <f t="shared" si="113"/>
        <v>-0.66743999999999992</v>
      </c>
      <c r="AF198" s="23">
        <f t="shared" si="93"/>
        <v>-0.62744</v>
      </c>
      <c r="AG198" s="23">
        <f t="shared" si="93"/>
        <v>-0.58743999999999996</v>
      </c>
      <c r="AH198" s="23">
        <f>(scatterplots_LWG_grazdays_CS!$V$6*$A198+scatterplots_LWG_grazdays_CS!$W$6)/1000+AH197</f>
        <v>-40.432839999999985</v>
      </c>
      <c r="AI198" s="23">
        <f t="shared" si="108"/>
        <v>-36.19283999999999</v>
      </c>
      <c r="AJ198" s="23">
        <f t="shared" si="108"/>
        <v>-31.952839999999984</v>
      </c>
      <c r="AK198" s="23">
        <f t="shared" si="108"/>
        <v>-27.712839999999993</v>
      </c>
    </row>
    <row r="199" spans="1:37">
      <c r="A199" s="12">
        <v>197</v>
      </c>
      <c r="B199" s="12">
        <v>108</v>
      </c>
      <c r="C199" s="23">
        <f>(scatterplots_LWG_grazdays_CS!$V$3*$A199+scatterplots_LWG_grazdays_CS!$W$3)/1000</f>
        <v>-0.25948000000000004</v>
      </c>
      <c r="D199" s="23">
        <f t="shared" si="100"/>
        <v>-0.21948000000000004</v>
      </c>
      <c r="E199" s="23">
        <f t="shared" si="100"/>
        <v>-0.17948000000000003</v>
      </c>
      <c r="F199" s="23">
        <f t="shared" si="100"/>
        <v>-0.13948000000000005</v>
      </c>
      <c r="G199" s="23">
        <f>(scatterplots_LWG_grazdays_CS!$V$3*$A199+scatterplots_LWG_grazdays_CS!$W$3)/1000+G198</f>
        <v>3.7114800000000088</v>
      </c>
      <c r="H199" s="23">
        <f t="shared" si="98"/>
        <v>8.0314800000000073</v>
      </c>
      <c r="I199" s="23">
        <f t="shared" si="99"/>
        <v>9.8314800000000027</v>
      </c>
      <c r="J199" s="23">
        <f t="shared" si="107"/>
        <v>10.831480000000003</v>
      </c>
      <c r="K199" s="23">
        <f t="shared" si="106"/>
        <v>11.231480000000005</v>
      </c>
      <c r="L199" s="23">
        <f t="shared" si="106"/>
        <v>12.351480000000008</v>
      </c>
      <c r="M199" s="23">
        <f t="shared" si="106"/>
        <v>16.671480000000003</v>
      </c>
      <c r="N199" s="23">
        <f>(scatterplots_LWG_grazdays_CS!$V$4*$A199+scatterplots_LWG_grazdays_CS!$W$4)/1000</f>
        <v>-0.43678000000000011</v>
      </c>
      <c r="O199" s="23">
        <f t="shared" si="111"/>
        <v>-0.39678000000000013</v>
      </c>
      <c r="P199" s="23">
        <f t="shared" si="111"/>
        <v>-0.3567800000000001</v>
      </c>
      <c r="Q199" s="23">
        <f t="shared" si="111"/>
        <v>-0.31678000000000012</v>
      </c>
      <c r="R199" s="23">
        <f>(scatterplots_LWG_grazdays_CS!$V$4*$A199+scatterplots_LWG_grazdays_CS!$W$4)/1000+R198</f>
        <v>-13.841220000000007</v>
      </c>
      <c r="S199" s="23">
        <f t="shared" si="109"/>
        <v>-9.5612200000000058</v>
      </c>
      <c r="T199" s="23">
        <f t="shared" si="109"/>
        <v>-5.2812200000000065</v>
      </c>
      <c r="U199" s="23">
        <f t="shared" si="109"/>
        <v>-1.0012200000000053</v>
      </c>
      <c r="V199" s="23">
        <f>(scatterplots_LWG_grazdays_CS!$V$5*$A199+scatterplots_LWG_grazdays_CS!$W$5)/1000</f>
        <v>-0.54316000000000009</v>
      </c>
      <c r="W199" s="23">
        <f t="shared" si="112"/>
        <v>-0.50316000000000005</v>
      </c>
      <c r="X199" s="23">
        <f t="shared" si="101"/>
        <v>-0.46316000000000007</v>
      </c>
      <c r="Y199" s="23">
        <f t="shared" si="101"/>
        <v>-0.42316000000000009</v>
      </c>
      <c r="Z199" s="23">
        <f>(scatterplots_LWG_grazdays_CS!$V$5*$A199+scatterplots_LWG_grazdays_CS!$W$5)/1000+Z198</f>
        <v>-24.372840000000004</v>
      </c>
      <c r="AA199" s="23">
        <f t="shared" si="110"/>
        <v>-20.092840000000006</v>
      </c>
      <c r="AB199" s="23">
        <f t="shared" si="110"/>
        <v>-15.812840000000007</v>
      </c>
      <c r="AC199" s="23">
        <f t="shared" si="110"/>
        <v>-11.532840000000006</v>
      </c>
      <c r="AD199" s="23">
        <f>(scatterplots_LWG_grazdays_CS!$V$6*$A199+scatterplots_LWG_grazdays_CS!$W$6)/1000</f>
        <v>-0.71257999999999988</v>
      </c>
      <c r="AE199" s="23">
        <f t="shared" si="113"/>
        <v>-0.67257999999999984</v>
      </c>
      <c r="AF199" s="23">
        <f t="shared" si="93"/>
        <v>-0.63257999999999992</v>
      </c>
      <c r="AG199" s="23">
        <f t="shared" si="93"/>
        <v>-0.59257999999999988</v>
      </c>
      <c r="AH199" s="23">
        <f>(scatterplots_LWG_grazdays_CS!$V$6*$A199+scatterplots_LWG_grazdays_CS!$W$6)/1000+AH198</f>
        <v>-41.145419999999987</v>
      </c>
      <c r="AI199" s="23">
        <f t="shared" si="108"/>
        <v>-36.865419999999986</v>
      </c>
      <c r="AJ199" s="23">
        <f t="shared" si="108"/>
        <v>-32.585419999999985</v>
      </c>
      <c r="AK199" s="23">
        <f t="shared" si="108"/>
        <v>-28.305419999999991</v>
      </c>
    </row>
    <row r="200" spans="1:37">
      <c r="A200" s="12">
        <v>198</v>
      </c>
      <c r="B200" s="12">
        <v>109</v>
      </c>
      <c r="C200" s="23">
        <f>(scatterplots_LWG_grazdays_CS!$V$3*$A200+scatterplots_LWG_grazdays_CS!$W$3)/1000</f>
        <v>-0.26231999999999994</v>
      </c>
      <c r="D200" s="23">
        <f t="shared" si="100"/>
        <v>-0.22231999999999993</v>
      </c>
      <c r="E200" s="23">
        <f t="shared" si="100"/>
        <v>-0.18231999999999993</v>
      </c>
      <c r="F200" s="23">
        <f t="shared" si="100"/>
        <v>-0.14231999999999995</v>
      </c>
      <c r="G200" s="23">
        <f>(scatterplots_LWG_grazdays_CS!$V$3*$A200+scatterplots_LWG_grazdays_CS!$W$3)/1000+G199</f>
        <v>3.4491600000000089</v>
      </c>
      <c r="H200" s="23">
        <f t="shared" si="98"/>
        <v>7.8091600000000074</v>
      </c>
      <c r="I200" s="23">
        <f t="shared" si="99"/>
        <v>9.6091600000000028</v>
      </c>
      <c r="J200" s="23">
        <f t="shared" si="107"/>
        <v>10.609160000000003</v>
      </c>
      <c r="K200" s="23">
        <f t="shared" ref="K200:M202" si="114">D200+K199</f>
        <v>11.009160000000005</v>
      </c>
      <c r="L200" s="23">
        <f t="shared" si="114"/>
        <v>12.169160000000007</v>
      </c>
      <c r="M200" s="23">
        <f t="shared" si="114"/>
        <v>16.529160000000001</v>
      </c>
      <c r="N200" s="23">
        <f>(scatterplots_LWG_grazdays_CS!$V$4*$A200+scatterplots_LWG_grazdays_CS!$W$4)/1000</f>
        <v>-0.44052000000000008</v>
      </c>
      <c r="O200" s="23">
        <f t="shared" si="111"/>
        <v>-0.4005200000000001</v>
      </c>
      <c r="P200" s="23">
        <f t="shared" si="111"/>
        <v>-0.36052000000000006</v>
      </c>
      <c r="Q200" s="23">
        <f t="shared" si="111"/>
        <v>-0.32052000000000008</v>
      </c>
      <c r="R200" s="23">
        <f>(scatterplots_LWG_grazdays_CS!$V$4*$A200+scatterplots_LWG_grazdays_CS!$W$4)/1000+R199</f>
        <v>-14.281740000000006</v>
      </c>
      <c r="S200" s="23">
        <f t="shared" si="109"/>
        <v>-9.961740000000006</v>
      </c>
      <c r="T200" s="23">
        <f t="shared" si="109"/>
        <v>-5.6417400000000066</v>
      </c>
      <c r="U200" s="23">
        <f t="shared" si="109"/>
        <v>-1.3217400000000055</v>
      </c>
      <c r="V200" s="23">
        <f>(scatterplots_LWG_grazdays_CS!$V$5*$A200+scatterplots_LWG_grazdays_CS!$W$5)/1000</f>
        <v>-0.54744000000000004</v>
      </c>
      <c r="W200" s="23">
        <f t="shared" si="112"/>
        <v>-0.50744</v>
      </c>
      <c r="X200" s="23">
        <f t="shared" si="101"/>
        <v>-0.46744000000000002</v>
      </c>
      <c r="Y200" s="23">
        <f t="shared" si="101"/>
        <v>-0.42744000000000004</v>
      </c>
      <c r="Z200" s="23">
        <f>(scatterplots_LWG_grazdays_CS!$V$5*$A200+scatterplots_LWG_grazdays_CS!$W$5)/1000+Z199</f>
        <v>-24.920280000000005</v>
      </c>
      <c r="AA200" s="23">
        <f t="shared" si="110"/>
        <v>-20.600280000000005</v>
      </c>
      <c r="AB200" s="23">
        <f t="shared" si="110"/>
        <v>-16.280280000000008</v>
      </c>
      <c r="AC200" s="23">
        <f t="shared" si="110"/>
        <v>-11.960280000000006</v>
      </c>
      <c r="AD200" s="23">
        <f>(scatterplots_LWG_grazdays_CS!$V$6*$A200+scatterplots_LWG_grazdays_CS!$W$6)/1000</f>
        <v>-0.71771999999999991</v>
      </c>
      <c r="AE200" s="23">
        <f t="shared" si="113"/>
        <v>-0.67771999999999988</v>
      </c>
      <c r="AF200" s="23">
        <f t="shared" si="93"/>
        <v>-0.63771999999999995</v>
      </c>
      <c r="AG200" s="23">
        <f t="shared" si="93"/>
        <v>-0.59771999999999992</v>
      </c>
      <c r="AH200" s="23">
        <f>(scatterplots_LWG_grazdays_CS!$V$6*$A200+scatterplots_LWG_grazdays_CS!$W$6)/1000+AH199</f>
        <v>-41.863139999999987</v>
      </c>
      <c r="AI200" s="23">
        <f t="shared" si="108"/>
        <v>-37.543139999999987</v>
      </c>
      <c r="AJ200" s="23">
        <f t="shared" si="108"/>
        <v>-33.223139999999987</v>
      </c>
      <c r="AK200" s="23">
        <f t="shared" si="108"/>
        <v>-28.90313999999999</v>
      </c>
    </row>
    <row r="201" spans="1:37">
      <c r="A201" s="12">
        <v>199</v>
      </c>
      <c r="B201" s="12">
        <v>110</v>
      </c>
      <c r="C201" s="23">
        <f>(scatterplots_LWG_grazdays_CS!$V$3*$A201+scatterplots_LWG_grazdays_CS!$W$3)/1000</f>
        <v>-0.26515999999999995</v>
      </c>
      <c r="D201" s="23">
        <f t="shared" si="100"/>
        <v>-0.22515999999999994</v>
      </c>
      <c r="E201" s="23">
        <f t="shared" si="100"/>
        <v>-0.18515999999999994</v>
      </c>
      <c r="F201" s="23">
        <f t="shared" si="100"/>
        <v>-0.14515999999999996</v>
      </c>
      <c r="G201" s="23">
        <f>(scatterplots_LWG_grazdays_CS!$V$3*$A201+scatterplots_LWG_grazdays_CS!$W$3)/1000+G200</f>
        <v>3.184000000000009</v>
      </c>
      <c r="H201" s="23">
        <f t="shared" si="98"/>
        <v>7.5840000000000076</v>
      </c>
      <c r="I201" s="23">
        <f t="shared" si="99"/>
        <v>9.3840000000000021</v>
      </c>
      <c r="J201" s="23">
        <f t="shared" si="107"/>
        <v>10.384000000000002</v>
      </c>
      <c r="K201" s="23">
        <f t="shared" si="114"/>
        <v>10.784000000000004</v>
      </c>
      <c r="L201" s="23">
        <f t="shared" si="114"/>
        <v>11.984000000000007</v>
      </c>
      <c r="M201" s="23">
        <f t="shared" si="114"/>
        <v>16.384</v>
      </c>
      <c r="N201" s="23">
        <f>(scatterplots_LWG_grazdays_CS!$V$4*$A201+scatterplots_LWG_grazdays_CS!$W$4)/1000</f>
        <v>-0.44425999999999999</v>
      </c>
      <c r="O201" s="23">
        <f t="shared" si="111"/>
        <v>-0.40426000000000001</v>
      </c>
      <c r="P201" s="23">
        <f t="shared" si="111"/>
        <v>-0.36425999999999997</v>
      </c>
      <c r="Q201" s="23">
        <f t="shared" si="111"/>
        <v>-0.32425999999999999</v>
      </c>
      <c r="R201" s="23">
        <f>(scatterplots_LWG_grazdays_CS!$V$4*$A201+scatterplots_LWG_grazdays_CS!$W$4)/1000+R200</f>
        <v>-14.726000000000006</v>
      </c>
      <c r="S201" s="23">
        <f t="shared" si="109"/>
        <v>-10.366000000000007</v>
      </c>
      <c r="T201" s="23">
        <f t="shared" si="109"/>
        <v>-6.0060000000000064</v>
      </c>
      <c r="U201" s="23">
        <f t="shared" si="109"/>
        <v>-1.6460000000000055</v>
      </c>
      <c r="V201" s="23">
        <f>(scatterplots_LWG_grazdays_CS!$V$5*$A201+scatterplots_LWG_grazdays_CS!$W$5)/1000</f>
        <v>-0.55171999999999999</v>
      </c>
      <c r="W201" s="23">
        <f t="shared" si="112"/>
        <v>-0.51171999999999995</v>
      </c>
      <c r="X201" s="23">
        <f t="shared" si="101"/>
        <v>-0.47171999999999997</v>
      </c>
      <c r="Y201" s="23">
        <f t="shared" si="101"/>
        <v>-0.43171999999999999</v>
      </c>
      <c r="Z201" s="23">
        <f>(scatterplots_LWG_grazdays_CS!$V$5*$A201+scatterplots_LWG_grazdays_CS!$W$5)/1000+Z200</f>
        <v>-25.472000000000005</v>
      </c>
      <c r="AA201" s="23">
        <f t="shared" si="110"/>
        <v>-21.112000000000005</v>
      </c>
      <c r="AB201" s="23">
        <f t="shared" si="110"/>
        <v>-16.75200000000001</v>
      </c>
      <c r="AC201" s="23">
        <f t="shared" si="110"/>
        <v>-12.392000000000007</v>
      </c>
      <c r="AD201" s="23">
        <f>(scatterplots_LWG_grazdays_CS!$V$6*$A201+scatterplots_LWG_grazdays_CS!$W$6)/1000</f>
        <v>-0.72285999999999995</v>
      </c>
      <c r="AE201" s="23">
        <f t="shared" si="113"/>
        <v>-0.68285999999999991</v>
      </c>
      <c r="AF201" s="23">
        <f t="shared" si="93"/>
        <v>-0.64285999999999999</v>
      </c>
      <c r="AG201" s="23">
        <f t="shared" si="93"/>
        <v>-0.60285999999999995</v>
      </c>
      <c r="AH201" s="23">
        <f>(scatterplots_LWG_grazdays_CS!$V$6*$A201+scatterplots_LWG_grazdays_CS!$W$6)/1000+AH200</f>
        <v>-42.585999999999984</v>
      </c>
      <c r="AI201" s="23">
        <f t="shared" si="108"/>
        <v>-38.225999999999985</v>
      </c>
      <c r="AJ201" s="23">
        <f t="shared" si="108"/>
        <v>-33.865999999999985</v>
      </c>
      <c r="AK201" s="23">
        <f t="shared" si="108"/>
        <v>-29.50599999999999</v>
      </c>
    </row>
    <row r="202" spans="1:37">
      <c r="A202" s="12">
        <v>200</v>
      </c>
      <c r="B202" s="12">
        <v>111</v>
      </c>
      <c r="C202" s="23">
        <f>(scatterplots_LWG_grazdays_CS!$V$3*$A202+scatterplots_LWG_grazdays_CS!$W$3)/1000</f>
        <v>-0.26800000000000002</v>
      </c>
      <c r="D202" s="23">
        <f t="shared" si="100"/>
        <v>-0.22800000000000001</v>
      </c>
      <c r="E202" s="23">
        <f t="shared" si="100"/>
        <v>-0.188</v>
      </c>
      <c r="F202" s="23">
        <f t="shared" si="100"/>
        <v>-0.14800000000000002</v>
      </c>
      <c r="G202" s="23">
        <f>(scatterplots_LWG_grazdays_CS!$V$3*$A202+scatterplots_LWG_grazdays_CS!$W$3)/1000+G201</f>
        <v>2.9160000000000093</v>
      </c>
      <c r="H202" s="23">
        <f t="shared" si="98"/>
        <v>7.3560000000000079</v>
      </c>
      <c r="I202" s="23">
        <f t="shared" si="99"/>
        <v>9.1560000000000024</v>
      </c>
      <c r="J202" s="23">
        <f t="shared" si="107"/>
        <v>10.156000000000002</v>
      </c>
      <c r="K202" s="23">
        <f t="shared" si="114"/>
        <v>10.556000000000004</v>
      </c>
      <c r="L202" s="23">
        <f t="shared" si="114"/>
        <v>11.796000000000006</v>
      </c>
      <c r="M202" s="23">
        <f t="shared" si="114"/>
        <v>16.236000000000001</v>
      </c>
      <c r="N202" s="23">
        <f>(scatterplots_LWG_grazdays_CS!$V$4*$A202+scatterplots_LWG_grazdays_CS!$W$4)/1000</f>
        <v>-0.44800000000000001</v>
      </c>
      <c r="O202" s="23">
        <f t="shared" si="111"/>
        <v>-0.40800000000000003</v>
      </c>
      <c r="P202" s="23">
        <f t="shared" si="111"/>
        <v>-0.36799999999999999</v>
      </c>
      <c r="Q202" s="23">
        <f t="shared" si="111"/>
        <v>-0.32800000000000001</v>
      </c>
      <c r="R202" s="23">
        <f>(scatterplots_LWG_grazdays_CS!$V$4*$A202+scatterplots_LWG_grazdays_CS!$W$4)/1000+R201</f>
        <v>-15.174000000000007</v>
      </c>
      <c r="S202" s="23">
        <f t="shared" si="109"/>
        <v>-10.774000000000006</v>
      </c>
      <c r="T202" s="23">
        <f t="shared" si="109"/>
        <v>-6.3740000000000068</v>
      </c>
      <c r="U202" s="23">
        <f t="shared" si="109"/>
        <v>-1.9740000000000055</v>
      </c>
      <c r="V202" s="23">
        <f>(scatterplots_LWG_grazdays_CS!$V$5*$A202+scatterplots_LWG_grazdays_CS!$W$5)/1000</f>
        <v>-0.55600000000000005</v>
      </c>
      <c r="W202" s="23">
        <f t="shared" si="112"/>
        <v>-0.51600000000000001</v>
      </c>
      <c r="X202" s="23">
        <f t="shared" si="101"/>
        <v>-0.47600000000000003</v>
      </c>
      <c r="Y202" s="23">
        <f t="shared" si="101"/>
        <v>-0.43600000000000005</v>
      </c>
      <c r="Z202" s="23">
        <f>(scatterplots_LWG_grazdays_CS!$V$5*$A202+scatterplots_LWG_grazdays_CS!$W$5)/1000+Z201</f>
        <v>-26.028000000000006</v>
      </c>
      <c r="AA202" s="23">
        <f t="shared" si="110"/>
        <v>-21.628000000000007</v>
      </c>
      <c r="AB202" s="23">
        <f t="shared" si="110"/>
        <v>-17.228000000000009</v>
      </c>
      <c r="AC202" s="23">
        <f t="shared" si="110"/>
        <v>-12.828000000000007</v>
      </c>
      <c r="AD202" s="23">
        <f>(scatterplots_LWG_grazdays_CS!$V$6*$A202+scatterplots_LWG_grazdays_CS!$W$6)/1000</f>
        <v>-0.72799999999999998</v>
      </c>
      <c r="AE202" s="23">
        <f t="shared" si="113"/>
        <v>-0.68799999999999994</v>
      </c>
      <c r="AF202" s="23">
        <f t="shared" si="93"/>
        <v>-0.64800000000000002</v>
      </c>
      <c r="AG202" s="23">
        <f t="shared" si="93"/>
        <v>-0.60799999999999998</v>
      </c>
      <c r="AH202" s="23">
        <f>(scatterplots_LWG_grazdays_CS!$V$6*$A202+scatterplots_LWG_grazdays_CS!$W$6)/1000+AH201</f>
        <v>-43.313999999999986</v>
      </c>
      <c r="AI202" s="23">
        <f t="shared" si="108"/>
        <v>-38.913999999999987</v>
      </c>
      <c r="AJ202" s="23">
        <f t="shared" si="108"/>
        <v>-34.513999999999989</v>
      </c>
      <c r="AK202" s="23">
        <f t="shared" si="108"/>
        <v>-30.11399999999999</v>
      </c>
    </row>
  </sheetData>
  <customSheetViews>
    <customSheetView guid="{51F81FF1-EE1A-40FC-8953-32A9F2F33EA5}" state="hidden">
      <pageMargins left="0" right="0" top="0" bottom="0" header="0" footer="0"/>
      <pageSetup paperSize="9" orientation="portrait" horizontalDpi="300" verticalDpi="0" r:id="rId1"/>
    </customSheetView>
  </customSheetViews>
  <pageMargins left="0.7" right="0.7" top="0.75" bottom="0.75" header="0.3" footer="0.3"/>
  <pageSetup paperSize="9" orientation="portrait" horizontalDpi="30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3300-1C74-400F-865B-E9200AECACF4}">
  <sheetPr codeName="Sheet15"/>
  <dimension ref="A1:CG202"/>
  <sheetViews>
    <sheetView topLeftCell="AI1" workbookViewId="0">
      <selection activeCell="A2" sqref="A2"/>
    </sheetView>
  </sheetViews>
  <sheetFormatPr defaultRowHeight="14.85"/>
  <cols>
    <col min="1" max="1" width="11" style="12" bestFit="1" customWidth="1"/>
    <col min="2" max="2" width="16.140625" style="12" bestFit="1" customWidth="1"/>
    <col min="3" max="3" width="9.85546875" style="12" customWidth="1"/>
    <col min="4" max="6" width="14.85546875" style="12" bestFit="1" customWidth="1"/>
    <col min="7" max="7" width="18.28515625" style="12" customWidth="1"/>
    <col min="8" max="8" width="24.5703125" style="12" bestFit="1" customWidth="1"/>
    <col min="9" max="11" width="25.42578125" style="12" customWidth="1"/>
    <col min="12" max="13" width="24.5703125" style="12" bestFit="1" customWidth="1"/>
    <col min="14" max="14" width="14.140625" style="12" customWidth="1"/>
    <col min="15" max="15" width="15.7109375" style="12" bestFit="1" customWidth="1"/>
    <col min="16" max="17" width="25.5703125" style="12" bestFit="1" customWidth="1"/>
    <col min="18" max="18" width="16.42578125" style="12" bestFit="1" customWidth="1"/>
    <col min="19" max="19" width="24.5703125" style="12" bestFit="1" customWidth="1"/>
    <col min="20" max="21" width="24.5703125" style="12" customWidth="1"/>
    <col min="22" max="22" width="6.5703125" style="12" bestFit="1" customWidth="1"/>
    <col min="23" max="23" width="15.7109375" style="12" bestFit="1" customWidth="1"/>
    <col min="24" max="25" width="15.5703125" style="12" bestFit="1" customWidth="1"/>
    <col min="26" max="26" width="18.5703125" style="12" customWidth="1"/>
    <col min="27" max="27" width="24.5703125" style="12" bestFit="1" customWidth="1"/>
    <col min="28" max="29" width="24.5703125" style="12" customWidth="1"/>
    <col min="30" max="30" width="6.5703125" style="12" bestFit="1" customWidth="1"/>
    <col min="31" max="31" width="15.7109375" style="12" bestFit="1" customWidth="1"/>
    <col min="32" max="33" width="15.5703125" style="12" bestFit="1" customWidth="1"/>
    <col min="34" max="34" width="16.42578125" style="12" bestFit="1" customWidth="1"/>
    <col min="35" max="35" width="24.5703125" style="12" bestFit="1" customWidth="1"/>
    <col min="36" max="37" width="24.5703125" style="12" customWidth="1"/>
    <col min="39" max="39" width="11" customWidth="1"/>
    <col min="41" max="41" width="12.85546875" customWidth="1"/>
    <col min="44" max="44" width="11.85546875" customWidth="1"/>
    <col min="49" max="49" width="11.5703125" customWidth="1"/>
    <col min="54" max="54" width="12.140625" customWidth="1"/>
    <col min="59" max="59" width="12" customWidth="1"/>
    <col min="77" max="77" width="29.5703125" customWidth="1"/>
    <col min="78" max="78" width="12.85546875" style="12" customWidth="1"/>
    <col min="79" max="80" width="12.7109375" style="12" bestFit="1" customWidth="1"/>
    <col min="81" max="81" width="8.7109375" style="12"/>
    <col min="85" max="85" width="8.7109375" style="12"/>
  </cols>
  <sheetData>
    <row r="1" spans="1:85">
      <c r="C1" s="12" t="s">
        <v>206</v>
      </c>
      <c r="D1" s="12">
        <v>40</v>
      </c>
      <c r="E1" s="12">
        <v>80</v>
      </c>
      <c r="F1" s="12">
        <v>120</v>
      </c>
      <c r="G1" s="12" t="s">
        <v>206</v>
      </c>
      <c r="H1" s="12">
        <v>40</v>
      </c>
      <c r="I1" s="12">
        <v>40</v>
      </c>
      <c r="J1" s="12">
        <v>40</v>
      </c>
      <c r="K1" s="12">
        <v>40</v>
      </c>
      <c r="L1" s="12">
        <v>80</v>
      </c>
      <c r="M1" s="12">
        <v>120</v>
      </c>
      <c r="N1" s="12" t="s">
        <v>208</v>
      </c>
      <c r="O1" s="12">
        <v>40</v>
      </c>
      <c r="P1" s="12">
        <v>80</v>
      </c>
      <c r="Q1" s="12">
        <v>120</v>
      </c>
      <c r="R1" s="12" t="s">
        <v>208</v>
      </c>
      <c r="S1" s="12">
        <v>40</v>
      </c>
      <c r="T1" s="12">
        <v>80</v>
      </c>
      <c r="U1" s="12">
        <v>120</v>
      </c>
      <c r="V1" s="12" t="s">
        <v>210</v>
      </c>
      <c r="W1" s="12">
        <v>40</v>
      </c>
      <c r="X1" s="12">
        <v>80</v>
      </c>
      <c r="Y1" s="12">
        <v>120</v>
      </c>
      <c r="Z1" s="12" t="s">
        <v>210</v>
      </c>
      <c r="AA1" s="12">
        <v>40</v>
      </c>
      <c r="AB1" s="12">
        <v>80</v>
      </c>
      <c r="AC1" s="12">
        <v>120</v>
      </c>
      <c r="AD1" s="12" t="s">
        <v>212</v>
      </c>
      <c r="AE1" s="12">
        <v>40</v>
      </c>
      <c r="AF1" s="12">
        <v>80</v>
      </c>
      <c r="AG1" s="12">
        <v>120</v>
      </c>
      <c r="AH1" s="12" t="s">
        <v>212</v>
      </c>
      <c r="AI1" s="12">
        <v>40</v>
      </c>
      <c r="AJ1" s="12">
        <v>80</v>
      </c>
      <c r="AK1" s="12">
        <v>120</v>
      </c>
      <c r="AM1" t="s">
        <v>600</v>
      </c>
      <c r="AR1" t="s">
        <v>601</v>
      </c>
      <c r="AW1" t="s">
        <v>602</v>
      </c>
      <c r="BB1" t="s">
        <v>603</v>
      </c>
      <c r="BH1" s="12" t="s">
        <v>604</v>
      </c>
      <c r="BI1" s="22" t="s">
        <v>605</v>
      </c>
      <c r="BJ1" s="22">
        <v>300</v>
      </c>
      <c r="CG1" s="22"/>
    </row>
    <row r="2" spans="1:85">
      <c r="A2" s="12" t="s">
        <v>578</v>
      </c>
      <c r="B2" s="12" t="s">
        <v>606</v>
      </c>
      <c r="C2" s="12" t="s">
        <v>607</v>
      </c>
      <c r="D2" s="12" t="s">
        <v>608</v>
      </c>
      <c r="E2" s="12" t="s">
        <v>609</v>
      </c>
      <c r="F2" s="12" t="s">
        <v>610</v>
      </c>
      <c r="G2" s="12" t="s">
        <v>611</v>
      </c>
      <c r="H2" s="12" t="s">
        <v>612</v>
      </c>
      <c r="I2" s="12" t="s">
        <v>613</v>
      </c>
      <c r="J2" s="12" t="s">
        <v>614</v>
      </c>
      <c r="K2" s="12" t="s">
        <v>615</v>
      </c>
      <c r="L2" s="12" t="s">
        <v>616</v>
      </c>
      <c r="M2" s="12" t="s">
        <v>617</v>
      </c>
      <c r="N2" s="12" t="s">
        <v>193</v>
      </c>
      <c r="O2" s="12" t="s">
        <v>618</v>
      </c>
      <c r="P2" s="12" t="s">
        <v>619</v>
      </c>
      <c r="Q2" s="12" t="s">
        <v>620</v>
      </c>
      <c r="R2" s="12" t="s">
        <v>611</v>
      </c>
      <c r="S2" s="12" t="s">
        <v>612</v>
      </c>
      <c r="T2" s="12" t="s">
        <v>616</v>
      </c>
      <c r="U2" s="12" t="s">
        <v>617</v>
      </c>
      <c r="V2" s="12" t="s">
        <v>193</v>
      </c>
      <c r="W2" s="12" t="s">
        <v>618</v>
      </c>
      <c r="X2" s="12" t="s">
        <v>619</v>
      </c>
      <c r="Y2" s="12" t="s">
        <v>620</v>
      </c>
      <c r="Z2" s="12" t="s">
        <v>611</v>
      </c>
      <c r="AA2" s="12" t="s">
        <v>612</v>
      </c>
      <c r="AB2" s="12" t="s">
        <v>616</v>
      </c>
      <c r="AC2" s="12" t="s">
        <v>617</v>
      </c>
      <c r="AD2" s="12" t="s">
        <v>193</v>
      </c>
      <c r="AE2" s="12" t="s">
        <v>618</v>
      </c>
      <c r="AF2" s="12" t="s">
        <v>619</v>
      </c>
      <c r="AG2" s="12" t="s">
        <v>620</v>
      </c>
      <c r="AH2" s="12" t="s">
        <v>611</v>
      </c>
      <c r="AI2" s="12" t="s">
        <v>612</v>
      </c>
      <c r="AJ2" s="12" t="s">
        <v>616</v>
      </c>
      <c r="AK2" s="12" t="s">
        <v>617</v>
      </c>
      <c r="AM2" s="16" t="s">
        <v>621</v>
      </c>
      <c r="AN2" s="12"/>
      <c r="AO2" s="12"/>
      <c r="AP2" s="12"/>
      <c r="AQ2" s="12"/>
      <c r="BH2" s="12"/>
      <c r="BI2" s="12"/>
      <c r="BJ2" s="12"/>
      <c r="CG2" s="22"/>
    </row>
    <row r="3" spans="1:85">
      <c r="A3" s="12">
        <v>1</v>
      </c>
      <c r="B3" s="12">
        <v>1</v>
      </c>
      <c r="C3" s="23">
        <f>(scatterplots_LWG_grazdays_CS!$V$3*$A3+scatterplots_LWG_grazdays_CS!$W$3)/1000</f>
        <v>0.29716000000000004</v>
      </c>
      <c r="D3" s="23">
        <f>$C3+D$1/1000</f>
        <v>0.33716000000000002</v>
      </c>
      <c r="E3" s="23">
        <f t="shared" ref="E3:F18" si="0">$C3+E$1/1000</f>
        <v>0.37716000000000005</v>
      </c>
      <c r="F3" s="23">
        <f t="shared" si="0"/>
        <v>0.41716000000000003</v>
      </c>
      <c r="G3" s="23">
        <f>C3</f>
        <v>0.29716000000000004</v>
      </c>
      <c r="H3" s="23">
        <f>C3</f>
        <v>0.29716000000000004</v>
      </c>
      <c r="I3" s="23">
        <f>C3</f>
        <v>0.29716000000000004</v>
      </c>
      <c r="J3" s="23">
        <f>C3</f>
        <v>0.29716000000000004</v>
      </c>
      <c r="K3" s="23">
        <f>C3</f>
        <v>0.29716000000000004</v>
      </c>
      <c r="L3" s="23">
        <f>C3</f>
        <v>0.29716000000000004</v>
      </c>
      <c r="M3" s="23">
        <f>C3</f>
        <v>0.29716000000000004</v>
      </c>
      <c r="N3" s="23">
        <f>(scatterplots_LWG_grazdays_CS!$V$4*$A3+scatterplots_LWG_grazdays_CS!$W$4)/1000</f>
        <v>0.29625999999999997</v>
      </c>
      <c r="O3" s="23">
        <f>$N3+O$1/1000</f>
        <v>0.33625999999999995</v>
      </c>
      <c r="P3" s="23">
        <f>$N3+P$1/1000</f>
        <v>0.37625999999999998</v>
      </c>
      <c r="Q3" s="23">
        <f>$N3+Q$1/1000</f>
        <v>0.41625999999999996</v>
      </c>
      <c r="R3" s="23">
        <f>N3</f>
        <v>0.29625999999999997</v>
      </c>
      <c r="S3" s="23">
        <f>$R3</f>
        <v>0.29625999999999997</v>
      </c>
      <c r="T3" s="23">
        <f>$R3</f>
        <v>0.29625999999999997</v>
      </c>
      <c r="U3" s="23">
        <f t="shared" ref="U3" si="1">$R3</f>
        <v>0.29625999999999997</v>
      </c>
      <c r="V3" s="23">
        <f>(scatterplots_LWG_grazdays_CS!$V$5*$A3+scatterplots_LWG_grazdays_CS!$W$5)/1000</f>
        <v>0.29572000000000004</v>
      </c>
      <c r="W3" s="23">
        <f>$V3+W$1/1000</f>
        <v>0.33572000000000002</v>
      </c>
      <c r="X3" s="23">
        <f>$V3+X$1/1000</f>
        <v>0.37572000000000005</v>
      </c>
      <c r="Y3" s="23">
        <f t="shared" ref="Y3:Y18" si="2">$V3+Y$1/1000</f>
        <v>0.41572000000000003</v>
      </c>
      <c r="Z3" s="23">
        <f>V3</f>
        <v>0.29572000000000004</v>
      </c>
      <c r="AA3" s="23">
        <f>$Z3</f>
        <v>0.29572000000000004</v>
      </c>
      <c r="AB3" s="23">
        <f t="shared" ref="AB3:AC3" si="3">$Z3</f>
        <v>0.29572000000000004</v>
      </c>
      <c r="AC3" s="23">
        <f t="shared" si="3"/>
        <v>0.29572000000000004</v>
      </c>
      <c r="AD3" s="23">
        <f>(scatterplots_LWG_grazdays_CS!$V$6*$A3+scatterplots_LWG_grazdays_CS!$W$6)/1000</f>
        <v>0.29486000000000001</v>
      </c>
      <c r="AE3" s="23">
        <f>$AD3+AE$1/1000</f>
        <v>0.33485999999999999</v>
      </c>
      <c r="AF3" s="23">
        <f t="shared" ref="AF3:AG18" si="4">$AD3+AF$1/1000</f>
        <v>0.37486000000000003</v>
      </c>
      <c r="AG3" s="23">
        <f t="shared" si="4"/>
        <v>0.41486000000000001</v>
      </c>
      <c r="AH3" s="23">
        <f>AD3</f>
        <v>0.29486000000000001</v>
      </c>
      <c r="AI3" s="23">
        <f>$AH3</f>
        <v>0.29486000000000001</v>
      </c>
      <c r="AJ3" s="23">
        <f t="shared" ref="AJ3:AK18" si="5">$AH3</f>
        <v>0.29486000000000001</v>
      </c>
      <c r="AK3" s="23">
        <f t="shared" si="5"/>
        <v>0.29486000000000001</v>
      </c>
      <c r="AM3" t="s">
        <v>183</v>
      </c>
      <c r="AN3" s="12" t="s">
        <v>184</v>
      </c>
      <c r="AO3" s="12" t="s">
        <v>130</v>
      </c>
      <c r="AP3" s="12" t="s">
        <v>147</v>
      </c>
      <c r="AQ3" s="12"/>
      <c r="AR3" t="s">
        <v>183</v>
      </c>
      <c r="AS3" s="12" t="s">
        <v>184</v>
      </c>
      <c r="AT3" s="12" t="s">
        <v>130</v>
      </c>
      <c r="AU3" s="12" t="s">
        <v>147</v>
      </c>
      <c r="AW3" t="s">
        <v>183</v>
      </c>
      <c r="AX3" s="12" t="s">
        <v>184</v>
      </c>
      <c r="AY3" s="12" t="s">
        <v>130</v>
      </c>
      <c r="AZ3" s="12" t="s">
        <v>147</v>
      </c>
      <c r="BB3" t="s">
        <v>183</v>
      </c>
      <c r="BC3" s="12" t="s">
        <v>184</v>
      </c>
      <c r="BD3" s="12" t="s">
        <v>130</v>
      </c>
      <c r="BE3" s="12" t="s">
        <v>147</v>
      </c>
      <c r="BG3" t="s">
        <v>183</v>
      </c>
      <c r="BH3" s="12" t="s">
        <v>128</v>
      </c>
      <c r="BI3" s="12" t="s">
        <v>130</v>
      </c>
      <c r="BJ3" s="12" t="s">
        <v>147</v>
      </c>
      <c r="CE3" s="12"/>
      <c r="CF3" s="12"/>
    </row>
    <row r="4" spans="1:85">
      <c r="A4" s="12">
        <v>2</v>
      </c>
      <c r="B4" s="12">
        <v>2</v>
      </c>
      <c r="C4" s="23">
        <f>(scatterplots_LWG_grazdays_CS!$V$3*$A4+scatterplots_LWG_grazdays_CS!$W$3)/1000</f>
        <v>0.29431999999999997</v>
      </c>
      <c r="D4" s="23">
        <f t="shared" ref="D4:F35" si="6">$C4+D$1/1000</f>
        <v>0.33431999999999995</v>
      </c>
      <c r="E4" s="23">
        <f t="shared" si="0"/>
        <v>0.37431999999999999</v>
      </c>
      <c r="F4" s="23">
        <f t="shared" si="0"/>
        <v>0.41431999999999997</v>
      </c>
      <c r="G4" s="23">
        <f>(scatterplots_LWG_grazdays_CS!$V$3*$A4+scatterplots_LWG_grazdays_CS!$W$3)/1000+G3</f>
        <v>0.59148000000000001</v>
      </c>
      <c r="H4" s="23">
        <f>C4+I3</f>
        <v>0.59148000000000001</v>
      </c>
      <c r="I4" s="23">
        <f>C4+J3</f>
        <v>0.59148000000000001</v>
      </c>
      <c r="J4" s="23">
        <f>C4+J3</f>
        <v>0.59148000000000001</v>
      </c>
      <c r="K4" s="23">
        <f>C4+K3</f>
        <v>0.59148000000000001</v>
      </c>
      <c r="L4" s="23">
        <f t="shared" ref="L4:L35" si="7">C4+L3</f>
        <v>0.59148000000000001</v>
      </c>
      <c r="M4" s="23">
        <f t="shared" ref="M4:M35" si="8">C4+M3</f>
        <v>0.59148000000000001</v>
      </c>
      <c r="N4" s="23">
        <f>(scatterplots_LWG_grazdays_CS!$V$4*$A4+scatterplots_LWG_grazdays_CS!$W$4)/1000</f>
        <v>0.29252</v>
      </c>
      <c r="O4" s="23">
        <f>$N4+O$1/1000</f>
        <v>0.33251999999999998</v>
      </c>
      <c r="P4" s="23">
        <f t="shared" ref="P4:Q18" si="9">$N4+P$1/1000</f>
        <v>0.37252000000000002</v>
      </c>
      <c r="Q4" s="23">
        <f t="shared" si="9"/>
        <v>0.41252</v>
      </c>
      <c r="R4" s="23">
        <f>(scatterplots_LWG_grazdays_CS!$V$4*$A4+scatterplots_LWG_grazdays_CS!$W$4)/1000+R3</f>
        <v>0.58877999999999997</v>
      </c>
      <c r="S4" s="23">
        <f>$N4+S3</f>
        <v>0.58877999999999997</v>
      </c>
      <c r="T4" s="23">
        <f t="shared" ref="T4:U4" si="10">$N4+T3</f>
        <v>0.58877999999999997</v>
      </c>
      <c r="U4" s="23">
        <f t="shared" si="10"/>
        <v>0.58877999999999997</v>
      </c>
      <c r="V4" s="23">
        <f>(scatterplots_LWG_grazdays_CS!$V$5*$A4+scatterplots_LWG_grazdays_CS!$W$5)/1000</f>
        <v>0.29143999999999998</v>
      </c>
      <c r="W4" s="23">
        <f t="shared" ref="W4:W67" si="11">V4+W$1/1000</f>
        <v>0.33143999999999996</v>
      </c>
      <c r="X4" s="23">
        <f t="shared" ref="X4:Y35" si="12">$V4+X$1/1000</f>
        <v>0.37143999999999999</v>
      </c>
      <c r="Y4" s="23">
        <f t="shared" si="2"/>
        <v>0.41143999999999997</v>
      </c>
      <c r="Z4" s="23">
        <f>(scatterplots_LWG_grazdays_CS!$V$5*$A4+scatterplots_LWG_grazdays_CS!$W$5)/1000+Z3</f>
        <v>0.58716000000000002</v>
      </c>
      <c r="AA4" s="23">
        <f>AA3+$V4</f>
        <v>0.58716000000000002</v>
      </c>
      <c r="AB4" s="23">
        <f t="shared" ref="AB4:AC4" si="13">AB3+$V4</f>
        <v>0.58716000000000002</v>
      </c>
      <c r="AC4" s="23">
        <f t="shared" si="13"/>
        <v>0.58716000000000002</v>
      </c>
      <c r="AD4" s="23">
        <f>(scatterplots_LWG_grazdays_CS!$V$6*$A4+scatterplots_LWG_grazdays_CS!$W$6)/1000</f>
        <v>0.28972000000000003</v>
      </c>
      <c r="AE4" s="23">
        <f t="shared" ref="AE4:AE67" si="14">AD4+AE$1/1000</f>
        <v>0.32972000000000001</v>
      </c>
      <c r="AF4" s="23">
        <f t="shared" si="4"/>
        <v>0.36972000000000005</v>
      </c>
      <c r="AG4" s="23">
        <f t="shared" si="4"/>
        <v>0.40972000000000003</v>
      </c>
      <c r="AH4" s="23">
        <f>(scatterplots_LWG_grazdays_CS!$V$6*$A4+scatterplots_LWG_grazdays_CS!$W$6)/1000+AH3</f>
        <v>0.5845800000000001</v>
      </c>
      <c r="AI4" s="23">
        <f t="shared" ref="AI4:AI35" si="15">AD4+AI3</f>
        <v>0.5845800000000001</v>
      </c>
      <c r="AJ4" s="23">
        <f t="shared" si="5"/>
        <v>0.5845800000000001</v>
      </c>
      <c r="AK4" s="23">
        <f t="shared" si="5"/>
        <v>0.5845800000000001</v>
      </c>
      <c r="AM4" t="s">
        <v>189</v>
      </c>
      <c r="AN4" s="12">
        <v>-1.4E-3</v>
      </c>
      <c r="AO4" s="12">
        <v>0.29849999999999999</v>
      </c>
      <c r="AP4" s="12">
        <v>0</v>
      </c>
      <c r="AQ4" s="12"/>
      <c r="AR4" t="s">
        <v>189</v>
      </c>
      <c r="AS4" s="12">
        <f>AN4</f>
        <v>-1.4E-3</v>
      </c>
      <c r="AT4" s="12">
        <v>0.33860000000000001</v>
      </c>
      <c r="AU4" s="12">
        <v>-3.56</v>
      </c>
      <c r="AW4" t="s">
        <v>189</v>
      </c>
      <c r="AX4" s="12">
        <f>AN4</f>
        <v>-1.4E-3</v>
      </c>
      <c r="AY4" s="12">
        <v>0.37859999999999999</v>
      </c>
      <c r="AZ4" s="12">
        <v>-7.12</v>
      </c>
      <c r="BB4" t="s">
        <v>189</v>
      </c>
      <c r="BC4" s="12">
        <f>AN4</f>
        <v>-1.4E-3</v>
      </c>
      <c r="BD4" s="12">
        <v>0.41860000000000003</v>
      </c>
      <c r="BE4" s="12">
        <v>-10.68</v>
      </c>
      <c r="BG4" t="s">
        <v>189</v>
      </c>
      <c r="BH4" s="12">
        <f>AS4</f>
        <v>-1.4E-3</v>
      </c>
      <c r="BI4" s="12">
        <f>0.3+BJ$1*0.0004</f>
        <v>0.42</v>
      </c>
      <c r="BJ4" s="37">
        <f>-BJ$1*0.036</f>
        <v>-10.799999999999999</v>
      </c>
      <c r="CE4" s="12"/>
      <c r="CF4" s="12"/>
    </row>
    <row r="5" spans="1:85">
      <c r="A5" s="12">
        <v>3</v>
      </c>
      <c r="B5" s="12">
        <v>3</v>
      </c>
      <c r="C5" s="23">
        <f>(scatterplots_LWG_grazdays_CS!$V$3*$A5+scatterplots_LWG_grazdays_CS!$W$3)/1000</f>
        <v>0.29148000000000002</v>
      </c>
      <c r="D5" s="23">
        <f t="shared" si="6"/>
        <v>0.33148</v>
      </c>
      <c r="E5" s="23">
        <f t="shared" si="0"/>
        <v>0.37148000000000003</v>
      </c>
      <c r="F5" s="23">
        <f t="shared" si="0"/>
        <v>0.41148000000000001</v>
      </c>
      <c r="G5" s="23">
        <f>(scatterplots_LWG_grazdays_CS!$V$3*$A5+scatterplots_LWG_grazdays_CS!$W$3)/1000+G4</f>
        <v>0.88295999999999997</v>
      </c>
      <c r="H5" s="23">
        <f>C5+J4</f>
        <v>0.88295999999999997</v>
      </c>
      <c r="I5" s="23">
        <f>C5+J4</f>
        <v>0.88295999999999997</v>
      </c>
      <c r="J5" s="23">
        <f>C5+J4</f>
        <v>0.88295999999999997</v>
      </c>
      <c r="K5" s="23">
        <f t="shared" ref="K5:K8" si="16">C5+K4</f>
        <v>0.88295999999999997</v>
      </c>
      <c r="L5" s="23">
        <f t="shared" si="7"/>
        <v>0.88295999999999997</v>
      </c>
      <c r="M5" s="23">
        <f t="shared" si="8"/>
        <v>0.88295999999999997</v>
      </c>
      <c r="N5" s="23">
        <f>(scatterplots_LWG_grazdays_CS!$V$4*$A5+scatterplots_LWG_grazdays_CS!$W$4)/1000</f>
        <v>0.28877999999999998</v>
      </c>
      <c r="O5" s="23">
        <f t="shared" ref="O5:Q67" si="17">$N5+O$1/1000</f>
        <v>0.32877999999999996</v>
      </c>
      <c r="P5" s="23">
        <f t="shared" si="9"/>
        <v>0.36878</v>
      </c>
      <c r="Q5" s="23">
        <f t="shared" si="9"/>
        <v>0.40877999999999998</v>
      </c>
      <c r="R5" s="23">
        <f>(scatterplots_LWG_grazdays_CS!$V$4*$A5+scatterplots_LWG_grazdays_CS!$W$4)/1000+R4</f>
        <v>0.8775599999999999</v>
      </c>
      <c r="S5" s="23">
        <f>N5+S4</f>
        <v>0.8775599999999999</v>
      </c>
      <c r="T5" s="23">
        <f t="shared" ref="T5:T68" si="18">$N5+T4</f>
        <v>0.8775599999999999</v>
      </c>
      <c r="U5" s="23">
        <f t="shared" ref="U5:U68" si="19">$N5+U4</f>
        <v>0.8775599999999999</v>
      </c>
      <c r="V5" s="23">
        <f>(scatterplots_LWG_grazdays_CS!$V$5*$A5+scatterplots_LWG_grazdays_CS!$W$5)/1000</f>
        <v>0.28716000000000003</v>
      </c>
      <c r="W5" s="23">
        <f t="shared" si="11"/>
        <v>0.32716000000000001</v>
      </c>
      <c r="X5" s="23">
        <f t="shared" si="12"/>
        <v>0.36716000000000004</v>
      </c>
      <c r="Y5" s="23">
        <f t="shared" si="2"/>
        <v>0.40716000000000002</v>
      </c>
      <c r="Z5" s="23">
        <f>(scatterplots_LWG_grazdays_CS!$V$5*$A5+scatterplots_LWG_grazdays_CS!$W$5)/1000+Z4</f>
        <v>0.87431999999999999</v>
      </c>
      <c r="AA5" s="23">
        <f t="shared" ref="AA5:AA36" si="20">AA4+V5</f>
        <v>0.87431999999999999</v>
      </c>
      <c r="AB5" s="23">
        <f t="shared" ref="AB5:AB68" si="21">AB4+$V5</f>
        <v>0.87431999999999999</v>
      </c>
      <c r="AC5" s="23">
        <f t="shared" ref="AC5:AC68" si="22">AC4+$V5</f>
        <v>0.87431999999999999</v>
      </c>
      <c r="AD5" s="23">
        <f>(scatterplots_LWG_grazdays_CS!$V$6*$A5+scatterplots_LWG_grazdays_CS!$W$6)/1000</f>
        <v>0.28458</v>
      </c>
      <c r="AE5" s="23">
        <f t="shared" si="14"/>
        <v>0.32457999999999998</v>
      </c>
      <c r="AF5" s="23">
        <f t="shared" si="4"/>
        <v>0.36458000000000002</v>
      </c>
      <c r="AG5" s="23">
        <f t="shared" si="4"/>
        <v>0.40458</v>
      </c>
      <c r="AH5" s="23">
        <f>(scatterplots_LWG_grazdays_CS!$V$6*$A5+scatterplots_LWG_grazdays_CS!$W$6)/1000+AH4</f>
        <v>0.86916000000000015</v>
      </c>
      <c r="AI5" s="23">
        <f t="shared" si="15"/>
        <v>0.86916000000000015</v>
      </c>
      <c r="AJ5" s="23">
        <f t="shared" si="5"/>
        <v>0.86916000000000015</v>
      </c>
      <c r="AK5" s="23">
        <f t="shared" si="5"/>
        <v>0.86916000000000015</v>
      </c>
      <c r="AM5" t="s">
        <v>190</v>
      </c>
      <c r="AN5" s="12">
        <v>-1.9E-3</v>
      </c>
      <c r="AO5" s="12">
        <v>0.29809999999999998</v>
      </c>
      <c r="AP5" s="12">
        <v>0</v>
      </c>
      <c r="AQ5" s="12"/>
      <c r="AR5" t="s">
        <v>190</v>
      </c>
      <c r="AS5" s="12">
        <v>-1.9E-3</v>
      </c>
      <c r="AT5" s="12">
        <f>AO5+0.04</f>
        <v>0.33809999999999996</v>
      </c>
      <c r="AU5" s="12">
        <v>-3.56</v>
      </c>
      <c r="AW5" t="s">
        <v>190</v>
      </c>
      <c r="AX5" s="12">
        <f t="shared" ref="AX5:AX7" si="23">AN5</f>
        <v>-1.9E-3</v>
      </c>
      <c r="AY5" s="12">
        <f>AO5+0.08</f>
        <v>0.37809999999999999</v>
      </c>
      <c r="AZ5" s="12">
        <v>-7.12</v>
      </c>
      <c r="BB5" t="s">
        <v>190</v>
      </c>
      <c r="BC5" s="12">
        <f t="shared" ref="BC5:BC7" si="24">AN5</f>
        <v>-1.9E-3</v>
      </c>
      <c r="BD5">
        <f>AO5+0.12</f>
        <v>0.41809999999999997</v>
      </c>
      <c r="BE5" s="12">
        <v>-10.68</v>
      </c>
      <c r="BG5" t="s">
        <v>190</v>
      </c>
      <c r="BH5" s="12">
        <f>AS5</f>
        <v>-1.9E-3</v>
      </c>
      <c r="BI5" s="12">
        <f t="shared" ref="BI5:BI7" si="25">0.3+BJ$1*0.0004</f>
        <v>0.42</v>
      </c>
      <c r="BJ5" s="37">
        <f t="shared" ref="BJ5:BJ7" si="26">-BJ$1*0.036</f>
        <v>-10.799999999999999</v>
      </c>
      <c r="CE5" s="12"/>
      <c r="CF5" s="12"/>
    </row>
    <row r="6" spans="1:85">
      <c r="A6" s="12">
        <v>4</v>
      </c>
      <c r="B6" s="12">
        <v>4</v>
      </c>
      <c r="C6" s="23">
        <f>(scatterplots_LWG_grazdays_CS!$V$3*$A6+scatterplots_LWG_grazdays_CS!$W$3)/1000</f>
        <v>0.28864000000000001</v>
      </c>
      <c r="D6" s="23">
        <f t="shared" si="6"/>
        <v>0.32863999999999999</v>
      </c>
      <c r="E6" s="23">
        <f t="shared" si="0"/>
        <v>0.36864000000000002</v>
      </c>
      <c r="F6" s="23">
        <f t="shared" si="0"/>
        <v>0.40864</v>
      </c>
      <c r="G6" s="23">
        <f>(scatterplots_LWG_grazdays_CS!$V$3*$A6+scatterplots_LWG_grazdays_CS!$W$3)/1000+G5</f>
        <v>1.1716</v>
      </c>
      <c r="H6" s="23">
        <f t="shared" ref="H6:H35" si="27">C6+H5</f>
        <v>1.1716</v>
      </c>
      <c r="I6" s="23">
        <f t="shared" ref="I6:I40" si="28">C6+I5</f>
        <v>1.1716</v>
      </c>
      <c r="J6" s="23">
        <f>C6+J5</f>
        <v>1.1716</v>
      </c>
      <c r="K6" s="23">
        <f t="shared" si="16"/>
        <v>1.1716</v>
      </c>
      <c r="L6" s="23">
        <f t="shared" si="7"/>
        <v>1.1716</v>
      </c>
      <c r="M6" s="23">
        <f t="shared" si="8"/>
        <v>1.1716</v>
      </c>
      <c r="N6" s="23">
        <f>(scatterplots_LWG_grazdays_CS!$V$4*$A6+scatterplots_LWG_grazdays_CS!$W$4)/1000</f>
        <v>0.28504000000000002</v>
      </c>
      <c r="O6" s="23">
        <f t="shared" si="17"/>
        <v>0.32504</v>
      </c>
      <c r="P6" s="23">
        <f t="shared" si="9"/>
        <v>0.36504000000000003</v>
      </c>
      <c r="Q6" s="23">
        <f t="shared" si="9"/>
        <v>0.40504000000000001</v>
      </c>
      <c r="R6" s="23">
        <f>(scatterplots_LWG_grazdays_CS!$V$4*$A6+scatterplots_LWG_grazdays_CS!$W$4)/1000+R5</f>
        <v>1.1625999999999999</v>
      </c>
      <c r="S6" s="23">
        <f t="shared" ref="S6:S54" si="29">N6+S5</f>
        <v>1.1625999999999999</v>
      </c>
      <c r="T6" s="23">
        <f t="shared" si="18"/>
        <v>1.1625999999999999</v>
      </c>
      <c r="U6" s="23">
        <f t="shared" si="19"/>
        <v>1.1625999999999999</v>
      </c>
      <c r="V6" s="23">
        <f>(scatterplots_LWG_grazdays_CS!$V$5*$A6+scatterplots_LWG_grazdays_CS!$W$5)/1000</f>
        <v>0.28288000000000002</v>
      </c>
      <c r="W6" s="23">
        <f t="shared" si="11"/>
        <v>0.32288</v>
      </c>
      <c r="X6" s="23">
        <f t="shared" si="12"/>
        <v>0.36288000000000004</v>
      </c>
      <c r="Y6" s="23">
        <f t="shared" si="2"/>
        <v>0.40288000000000002</v>
      </c>
      <c r="Z6" s="23">
        <f>(scatterplots_LWG_grazdays_CS!$V$5*$A6+scatterplots_LWG_grazdays_CS!$W$5)/1000+Z5</f>
        <v>1.1572</v>
      </c>
      <c r="AA6" s="23">
        <f t="shared" si="20"/>
        <v>1.1572</v>
      </c>
      <c r="AB6" s="23">
        <f t="shared" si="21"/>
        <v>1.1572</v>
      </c>
      <c r="AC6" s="23">
        <f t="shared" si="22"/>
        <v>1.1572</v>
      </c>
      <c r="AD6" s="23">
        <f>(scatterplots_LWG_grazdays_CS!$V$6*$A6+scatterplots_LWG_grazdays_CS!$W$6)/1000</f>
        <v>0.27944000000000002</v>
      </c>
      <c r="AE6" s="23">
        <f t="shared" si="14"/>
        <v>0.31944</v>
      </c>
      <c r="AF6" s="23">
        <f t="shared" si="4"/>
        <v>0.35944000000000004</v>
      </c>
      <c r="AG6" s="23">
        <f t="shared" si="4"/>
        <v>0.39944000000000002</v>
      </c>
      <c r="AH6" s="23">
        <f>(scatterplots_LWG_grazdays_CS!$V$6*$A6+scatterplots_LWG_grazdays_CS!$W$6)/1000+AH5</f>
        <v>1.1486000000000001</v>
      </c>
      <c r="AI6" s="23">
        <f t="shared" si="15"/>
        <v>1.1486000000000001</v>
      </c>
      <c r="AJ6" s="23">
        <f t="shared" si="5"/>
        <v>1.1486000000000001</v>
      </c>
      <c r="AK6" s="23">
        <f t="shared" si="5"/>
        <v>1.1486000000000001</v>
      </c>
      <c r="AM6" t="s">
        <v>191</v>
      </c>
      <c r="AN6" s="12">
        <v>-2.0999999999999999E-3</v>
      </c>
      <c r="AO6" s="12">
        <v>0.2979</v>
      </c>
      <c r="AP6" s="12">
        <v>0</v>
      </c>
      <c r="AQ6" s="12"/>
      <c r="AR6" t="s">
        <v>191</v>
      </c>
      <c r="AS6" s="12">
        <v>-2.0999999999999999E-3</v>
      </c>
      <c r="AT6" s="12">
        <f t="shared" ref="AT6:AT7" si="30">AO6+0.04</f>
        <v>0.33789999999999998</v>
      </c>
      <c r="AU6" s="12">
        <v>-3.56</v>
      </c>
      <c r="AW6" t="s">
        <v>191</v>
      </c>
      <c r="AX6" s="12">
        <f t="shared" si="23"/>
        <v>-2.0999999999999999E-3</v>
      </c>
      <c r="AY6" s="12">
        <f t="shared" ref="AY6:AY7" si="31">AO6+0.08</f>
        <v>0.37790000000000001</v>
      </c>
      <c r="AZ6" s="12">
        <v>-7.12</v>
      </c>
      <c r="BB6" t="s">
        <v>191</v>
      </c>
      <c r="BC6" s="12">
        <f t="shared" si="24"/>
        <v>-2.0999999999999999E-3</v>
      </c>
      <c r="BD6">
        <f t="shared" ref="BD6:BD7" si="32">AO6+0.12</f>
        <v>0.41789999999999999</v>
      </c>
      <c r="BE6" s="12">
        <v>-10.68</v>
      </c>
      <c r="BG6" t="s">
        <v>191</v>
      </c>
      <c r="BH6" s="12">
        <f>AS6</f>
        <v>-2.0999999999999999E-3</v>
      </c>
      <c r="BI6" s="12">
        <f t="shared" si="25"/>
        <v>0.42</v>
      </c>
      <c r="BJ6" s="37">
        <f t="shared" si="26"/>
        <v>-10.799999999999999</v>
      </c>
      <c r="CE6" s="12"/>
      <c r="CF6" s="12"/>
    </row>
    <row r="7" spans="1:85">
      <c r="A7" s="12">
        <v>5</v>
      </c>
      <c r="B7" s="12">
        <v>5</v>
      </c>
      <c r="C7" s="23">
        <f>(scatterplots_LWG_grazdays_CS!$V$3*$A7+scatterplots_LWG_grazdays_CS!$W$3)/1000</f>
        <v>0.2858</v>
      </c>
      <c r="D7" s="23">
        <f t="shared" si="6"/>
        <v>0.32579999999999998</v>
      </c>
      <c r="E7" s="23">
        <f t="shared" si="0"/>
        <v>0.36580000000000001</v>
      </c>
      <c r="F7" s="23">
        <f t="shared" si="0"/>
        <v>0.40579999999999999</v>
      </c>
      <c r="G7" s="23">
        <f>(scatterplots_LWG_grazdays_CS!$V$3*$A7+scatterplots_LWG_grazdays_CS!$W$3)/1000+G6</f>
        <v>1.4574</v>
      </c>
      <c r="H7" s="23">
        <f t="shared" si="27"/>
        <v>1.4574</v>
      </c>
      <c r="I7" s="23">
        <f t="shared" si="28"/>
        <v>1.4574</v>
      </c>
      <c r="J7" s="23">
        <f>C7+J6</f>
        <v>1.4574</v>
      </c>
      <c r="K7" s="23">
        <f t="shared" si="16"/>
        <v>1.4574</v>
      </c>
      <c r="L7" s="23">
        <f t="shared" si="7"/>
        <v>1.4574</v>
      </c>
      <c r="M7" s="23">
        <f t="shared" si="8"/>
        <v>1.4574</v>
      </c>
      <c r="N7" s="23">
        <f>(scatterplots_LWG_grazdays_CS!$V$4*$A7+scatterplots_LWG_grazdays_CS!$W$4)/1000</f>
        <v>0.28129999999999999</v>
      </c>
      <c r="O7" s="23">
        <f t="shared" si="17"/>
        <v>0.32129999999999997</v>
      </c>
      <c r="P7" s="23">
        <f t="shared" si="9"/>
        <v>0.36130000000000001</v>
      </c>
      <c r="Q7" s="23">
        <f t="shared" si="9"/>
        <v>0.40129999999999999</v>
      </c>
      <c r="R7" s="23">
        <f>(scatterplots_LWG_grazdays_CS!$V$4*$A7+scatterplots_LWG_grazdays_CS!$W$4)/1000+R6</f>
        <v>1.4438999999999997</v>
      </c>
      <c r="S7" s="23">
        <f t="shared" si="29"/>
        <v>1.4438999999999997</v>
      </c>
      <c r="T7" s="23">
        <f t="shared" si="18"/>
        <v>1.4438999999999997</v>
      </c>
      <c r="U7" s="23">
        <f t="shared" si="19"/>
        <v>1.4438999999999997</v>
      </c>
      <c r="V7" s="23">
        <f>(scatterplots_LWG_grazdays_CS!$V$5*$A7+scatterplots_LWG_grazdays_CS!$W$5)/1000</f>
        <v>0.27860000000000001</v>
      </c>
      <c r="W7" s="23">
        <f t="shared" si="11"/>
        <v>0.31859999999999999</v>
      </c>
      <c r="X7" s="23">
        <f t="shared" si="12"/>
        <v>0.35860000000000003</v>
      </c>
      <c r="Y7" s="23">
        <f t="shared" si="2"/>
        <v>0.39860000000000001</v>
      </c>
      <c r="Z7" s="23">
        <f>(scatterplots_LWG_grazdays_CS!$V$5*$A7+scatterplots_LWG_grazdays_CS!$W$5)/1000+Z6</f>
        <v>1.4358</v>
      </c>
      <c r="AA7" s="23">
        <f t="shared" si="20"/>
        <v>1.4358</v>
      </c>
      <c r="AB7" s="23">
        <f t="shared" si="21"/>
        <v>1.4358</v>
      </c>
      <c r="AC7" s="23">
        <f t="shared" si="22"/>
        <v>1.4358</v>
      </c>
      <c r="AD7" s="23">
        <f>(scatterplots_LWG_grazdays_CS!$V$6*$A7+scatterplots_LWG_grazdays_CS!$W$6)/1000</f>
        <v>0.27429999999999999</v>
      </c>
      <c r="AE7" s="23">
        <f t="shared" si="14"/>
        <v>0.31429999999999997</v>
      </c>
      <c r="AF7" s="23">
        <f t="shared" si="4"/>
        <v>0.3543</v>
      </c>
      <c r="AG7" s="23">
        <f t="shared" si="4"/>
        <v>0.39429999999999998</v>
      </c>
      <c r="AH7" s="23">
        <f>(scatterplots_LWG_grazdays_CS!$V$6*$A7+scatterplots_LWG_grazdays_CS!$W$6)/1000+AH6</f>
        <v>1.4229000000000001</v>
      </c>
      <c r="AI7" s="23">
        <f t="shared" si="15"/>
        <v>1.4229000000000001</v>
      </c>
      <c r="AJ7" s="23">
        <f t="shared" si="5"/>
        <v>1.4229000000000001</v>
      </c>
      <c r="AK7" s="23">
        <f t="shared" si="5"/>
        <v>1.4229000000000001</v>
      </c>
      <c r="AM7" t="s">
        <v>192</v>
      </c>
      <c r="AN7" s="12">
        <v>-2.5999999999999999E-3</v>
      </c>
      <c r="AO7" s="12">
        <v>0.2974</v>
      </c>
      <c r="AP7" s="12">
        <v>0</v>
      </c>
      <c r="AQ7" s="12"/>
      <c r="AR7" t="s">
        <v>192</v>
      </c>
      <c r="AS7" s="12">
        <v>-2.5999999999999999E-3</v>
      </c>
      <c r="AT7" s="12">
        <f t="shared" si="30"/>
        <v>0.33739999999999998</v>
      </c>
      <c r="AU7" s="12">
        <v>-3.56</v>
      </c>
      <c r="AW7" t="s">
        <v>192</v>
      </c>
      <c r="AX7" s="12">
        <f t="shared" si="23"/>
        <v>-2.5999999999999999E-3</v>
      </c>
      <c r="AY7" s="12">
        <f t="shared" si="31"/>
        <v>0.37740000000000001</v>
      </c>
      <c r="AZ7" s="12">
        <v>-7.12</v>
      </c>
      <c r="BB7" t="s">
        <v>192</v>
      </c>
      <c r="BC7" s="12">
        <f t="shared" si="24"/>
        <v>-2.5999999999999999E-3</v>
      </c>
      <c r="BD7">
        <f t="shared" si="32"/>
        <v>0.41739999999999999</v>
      </c>
      <c r="BE7" s="12">
        <v>-10.68</v>
      </c>
      <c r="BG7" t="s">
        <v>192</v>
      </c>
      <c r="BH7" s="12">
        <f>AS7</f>
        <v>-2.5999999999999999E-3</v>
      </c>
      <c r="BI7" s="12">
        <f t="shared" si="25"/>
        <v>0.42</v>
      </c>
      <c r="BJ7" s="37">
        <f t="shared" si="26"/>
        <v>-10.799999999999999</v>
      </c>
      <c r="CE7" s="12"/>
      <c r="CF7" s="12"/>
    </row>
    <row r="8" spans="1:85">
      <c r="A8" s="12">
        <v>6</v>
      </c>
      <c r="B8" s="12">
        <v>6</v>
      </c>
      <c r="C8" s="23">
        <f>(scatterplots_LWG_grazdays_CS!$V$3*$A8+scatterplots_LWG_grazdays_CS!$W$3)/1000</f>
        <v>0.28295999999999999</v>
      </c>
      <c r="D8" s="23">
        <f t="shared" si="6"/>
        <v>0.32295999999999997</v>
      </c>
      <c r="E8" s="23">
        <f t="shared" si="0"/>
        <v>0.36296</v>
      </c>
      <c r="F8" s="23">
        <f t="shared" si="0"/>
        <v>0.40295999999999998</v>
      </c>
      <c r="G8" s="23">
        <f>(scatterplots_LWG_grazdays_CS!$V$3*$A8+scatterplots_LWG_grazdays_CS!$W$3)/1000+G7</f>
        <v>1.7403599999999999</v>
      </c>
      <c r="H8" s="23">
        <f t="shared" si="27"/>
        <v>1.7403599999999999</v>
      </c>
      <c r="I8" s="23">
        <f t="shared" si="28"/>
        <v>1.7403599999999999</v>
      </c>
      <c r="J8" s="23">
        <f t="shared" ref="J8:J16" si="33">C8+J7</f>
        <v>1.7403599999999999</v>
      </c>
      <c r="K8" s="23">
        <f t="shared" si="16"/>
        <v>1.7403599999999999</v>
      </c>
      <c r="L8" s="23">
        <f t="shared" si="7"/>
        <v>1.7403599999999999</v>
      </c>
      <c r="M8" s="23">
        <f t="shared" si="8"/>
        <v>1.7403599999999999</v>
      </c>
      <c r="N8" s="23">
        <f>(scatterplots_LWG_grazdays_CS!$V$4*$A8+scatterplots_LWG_grazdays_CS!$W$4)/1000</f>
        <v>0.27756000000000003</v>
      </c>
      <c r="O8" s="23">
        <f t="shared" si="17"/>
        <v>0.31756000000000001</v>
      </c>
      <c r="P8" s="23">
        <f t="shared" si="9"/>
        <v>0.35756000000000004</v>
      </c>
      <c r="Q8" s="23">
        <f t="shared" si="9"/>
        <v>0.39756000000000002</v>
      </c>
      <c r="R8" s="23">
        <f>(scatterplots_LWG_grazdays_CS!$V$4*$A8+scatterplots_LWG_grazdays_CS!$W$4)/1000+R7</f>
        <v>1.7214599999999998</v>
      </c>
      <c r="S8" s="23">
        <f t="shared" si="29"/>
        <v>1.7214599999999998</v>
      </c>
      <c r="T8" s="23">
        <f t="shared" si="18"/>
        <v>1.7214599999999998</v>
      </c>
      <c r="U8" s="23">
        <f t="shared" si="19"/>
        <v>1.7214599999999998</v>
      </c>
      <c r="V8" s="23">
        <f>(scatterplots_LWG_grazdays_CS!$V$5*$A8+scatterplots_LWG_grazdays_CS!$W$5)/1000</f>
        <v>0.27432000000000001</v>
      </c>
      <c r="W8" s="23">
        <f t="shared" si="11"/>
        <v>0.31431999999999999</v>
      </c>
      <c r="X8" s="23">
        <f t="shared" si="12"/>
        <v>0.35432000000000002</v>
      </c>
      <c r="Y8" s="23">
        <f t="shared" si="2"/>
        <v>0.39432</v>
      </c>
      <c r="Z8" s="23">
        <f>(scatterplots_LWG_grazdays_CS!$V$5*$A8+scatterplots_LWG_grazdays_CS!$W$5)/1000+Z7</f>
        <v>1.7101199999999999</v>
      </c>
      <c r="AA8" s="23">
        <f t="shared" si="20"/>
        <v>1.7101199999999999</v>
      </c>
      <c r="AB8" s="23">
        <f t="shared" si="21"/>
        <v>1.7101199999999999</v>
      </c>
      <c r="AC8" s="23">
        <f t="shared" si="22"/>
        <v>1.7101199999999999</v>
      </c>
      <c r="AD8" s="23">
        <f>(scatterplots_LWG_grazdays_CS!$V$6*$A8+scatterplots_LWG_grazdays_CS!$W$6)/1000</f>
        <v>0.26916000000000001</v>
      </c>
      <c r="AE8" s="23">
        <f t="shared" si="14"/>
        <v>0.30915999999999999</v>
      </c>
      <c r="AF8" s="23">
        <f t="shared" si="4"/>
        <v>0.34916000000000003</v>
      </c>
      <c r="AG8" s="23">
        <f t="shared" si="4"/>
        <v>0.38916000000000001</v>
      </c>
      <c r="AH8" s="23">
        <f>(scatterplots_LWG_grazdays_CS!$V$6*$A8+scatterplots_LWG_grazdays_CS!$W$6)/1000+AH7</f>
        <v>1.6920600000000001</v>
      </c>
      <c r="AI8" s="23">
        <f t="shared" si="15"/>
        <v>1.6920600000000001</v>
      </c>
      <c r="AJ8" s="23">
        <f t="shared" si="5"/>
        <v>1.6920600000000001</v>
      </c>
      <c r="AK8" s="23">
        <f t="shared" si="5"/>
        <v>1.6920600000000001</v>
      </c>
      <c r="AZ8" s="12"/>
    </row>
    <row r="9" spans="1:85">
      <c r="A9" s="12">
        <v>7</v>
      </c>
      <c r="B9" s="12">
        <v>7</v>
      </c>
      <c r="C9" s="23">
        <f>(scatterplots_LWG_grazdays_CS!$V$3*$A9+scatterplots_LWG_grazdays_CS!$W$3)/1000</f>
        <v>0.28011999999999998</v>
      </c>
      <c r="D9" s="23">
        <f t="shared" si="6"/>
        <v>0.32011999999999996</v>
      </c>
      <c r="E9" s="23">
        <f t="shared" si="0"/>
        <v>0.36012</v>
      </c>
      <c r="F9" s="23">
        <f t="shared" si="0"/>
        <v>0.40011999999999998</v>
      </c>
      <c r="G9" s="23">
        <f>(scatterplots_LWG_grazdays_CS!$V$3*$A9+scatterplots_LWG_grazdays_CS!$W$3)/1000+G8</f>
        <v>2.0204800000000001</v>
      </c>
      <c r="H9" s="23">
        <f t="shared" si="27"/>
        <v>2.0204800000000001</v>
      </c>
      <c r="I9" s="23">
        <f t="shared" si="28"/>
        <v>2.0204800000000001</v>
      </c>
      <c r="J9" s="23">
        <f t="shared" si="33"/>
        <v>2.0204800000000001</v>
      </c>
      <c r="K9" s="23">
        <f>C9+K8</f>
        <v>2.0204800000000001</v>
      </c>
      <c r="L9" s="23">
        <f t="shared" si="7"/>
        <v>2.0204800000000001</v>
      </c>
      <c r="M9" s="23">
        <f t="shared" si="8"/>
        <v>2.0204800000000001</v>
      </c>
      <c r="N9" s="23">
        <f>(scatterplots_LWG_grazdays_CS!$V$4*$A9+scatterplots_LWG_grazdays_CS!$W$4)/1000</f>
        <v>0.27382000000000001</v>
      </c>
      <c r="O9" s="23">
        <f t="shared" si="17"/>
        <v>0.31381999999999999</v>
      </c>
      <c r="P9" s="23">
        <f t="shared" si="9"/>
        <v>0.35382000000000002</v>
      </c>
      <c r="Q9" s="23">
        <f t="shared" si="9"/>
        <v>0.39382</v>
      </c>
      <c r="R9" s="23">
        <f>(scatterplots_LWG_grazdays_CS!$V$4*$A9+scatterplots_LWG_grazdays_CS!$W$4)/1000+R8</f>
        <v>1.9952799999999997</v>
      </c>
      <c r="S9" s="23">
        <f t="shared" si="29"/>
        <v>1.9952799999999997</v>
      </c>
      <c r="T9" s="23">
        <f t="shared" si="18"/>
        <v>1.9952799999999997</v>
      </c>
      <c r="U9" s="23">
        <f t="shared" si="19"/>
        <v>1.9952799999999997</v>
      </c>
      <c r="V9" s="23">
        <f>(scatterplots_LWG_grazdays_CS!$V$5*$A9+scatterplots_LWG_grazdays_CS!$W$5)/1000</f>
        <v>0.27004</v>
      </c>
      <c r="W9" s="23">
        <f t="shared" si="11"/>
        <v>0.31003999999999998</v>
      </c>
      <c r="X9" s="23">
        <f t="shared" si="12"/>
        <v>0.35004000000000002</v>
      </c>
      <c r="Y9" s="23">
        <f t="shared" si="2"/>
        <v>0.39004</v>
      </c>
      <c r="Z9" s="23">
        <f>(scatterplots_LWG_grazdays_CS!$V$5*$A9+scatterplots_LWG_grazdays_CS!$W$5)/1000+Z8</f>
        <v>1.9801599999999999</v>
      </c>
      <c r="AA9" s="23">
        <f t="shared" si="20"/>
        <v>1.9801599999999999</v>
      </c>
      <c r="AB9" s="23">
        <f t="shared" si="21"/>
        <v>1.9801599999999999</v>
      </c>
      <c r="AC9" s="23">
        <f t="shared" si="22"/>
        <v>1.9801599999999999</v>
      </c>
      <c r="AD9" s="23">
        <f>(scatterplots_LWG_grazdays_CS!$V$6*$A9+scatterplots_LWG_grazdays_CS!$W$6)/1000</f>
        <v>0.26401999999999998</v>
      </c>
      <c r="AE9" s="23">
        <f t="shared" si="14"/>
        <v>0.30401999999999996</v>
      </c>
      <c r="AF9" s="23">
        <f t="shared" si="4"/>
        <v>0.34401999999999999</v>
      </c>
      <c r="AG9" s="23">
        <f t="shared" si="4"/>
        <v>0.38401999999999997</v>
      </c>
      <c r="AH9" s="23">
        <f>(scatterplots_LWG_grazdays_CS!$V$6*$A9+scatterplots_LWG_grazdays_CS!$W$6)/1000+AH8</f>
        <v>1.95608</v>
      </c>
      <c r="AI9" s="23">
        <f t="shared" si="15"/>
        <v>1.95608</v>
      </c>
      <c r="AJ9" s="23">
        <f t="shared" si="5"/>
        <v>1.95608</v>
      </c>
      <c r="AK9" s="23">
        <f t="shared" si="5"/>
        <v>1.95608</v>
      </c>
      <c r="BZ9" s="12" t="s">
        <v>622</v>
      </c>
      <c r="CA9" s="12" t="s">
        <v>623</v>
      </c>
      <c r="CB9" s="12" t="s">
        <v>179</v>
      </c>
    </row>
    <row r="10" spans="1:85">
      <c r="A10" s="12">
        <v>8</v>
      </c>
      <c r="B10" s="12">
        <v>8</v>
      </c>
      <c r="C10" s="23">
        <f>(scatterplots_LWG_grazdays_CS!$V$3*$A10+scatterplots_LWG_grazdays_CS!$W$3)/1000</f>
        <v>0.27727999999999997</v>
      </c>
      <c r="D10" s="23">
        <f t="shared" si="6"/>
        <v>0.31727999999999995</v>
      </c>
      <c r="E10" s="23">
        <f t="shared" si="0"/>
        <v>0.35727999999999999</v>
      </c>
      <c r="F10" s="23">
        <f t="shared" si="0"/>
        <v>0.39727999999999997</v>
      </c>
      <c r="G10" s="23">
        <f>(scatterplots_LWG_grazdays_CS!$V$3*$A10+scatterplots_LWG_grazdays_CS!$W$3)/1000+G9</f>
        <v>2.2977600000000002</v>
      </c>
      <c r="H10" s="23">
        <f t="shared" si="27"/>
        <v>2.2977600000000002</v>
      </c>
      <c r="I10" s="23">
        <f t="shared" si="28"/>
        <v>2.2977600000000002</v>
      </c>
      <c r="J10" s="23">
        <f t="shared" si="33"/>
        <v>2.2977600000000002</v>
      </c>
      <c r="K10" s="23">
        <f>C10+K9</f>
        <v>2.2977600000000002</v>
      </c>
      <c r="L10" s="23">
        <f t="shared" si="7"/>
        <v>2.2977600000000002</v>
      </c>
      <c r="M10" s="23">
        <f t="shared" si="8"/>
        <v>2.2977600000000002</v>
      </c>
      <c r="N10" s="23">
        <f>(scatterplots_LWG_grazdays_CS!$V$4*$A10+scatterplots_LWG_grazdays_CS!$W$4)/1000</f>
        <v>0.27007999999999999</v>
      </c>
      <c r="O10" s="23">
        <f t="shared" si="17"/>
        <v>0.31007999999999997</v>
      </c>
      <c r="P10" s="23">
        <f t="shared" si="9"/>
        <v>0.35008</v>
      </c>
      <c r="Q10" s="23">
        <f t="shared" si="9"/>
        <v>0.39007999999999998</v>
      </c>
      <c r="R10" s="23">
        <f>(scatterplots_LWG_grazdays_CS!$V$4*$A10+scatterplots_LWG_grazdays_CS!$W$4)/1000+R9</f>
        <v>2.2653599999999998</v>
      </c>
      <c r="S10" s="23">
        <f t="shared" si="29"/>
        <v>2.2653599999999998</v>
      </c>
      <c r="T10" s="23">
        <f t="shared" si="18"/>
        <v>2.2653599999999998</v>
      </c>
      <c r="U10" s="23">
        <f t="shared" si="19"/>
        <v>2.2653599999999998</v>
      </c>
      <c r="V10" s="23">
        <f>(scatterplots_LWG_grazdays_CS!$V$5*$A10+scatterplots_LWG_grazdays_CS!$W$5)/1000</f>
        <v>0.26576</v>
      </c>
      <c r="W10" s="23">
        <f t="shared" si="11"/>
        <v>0.30575999999999998</v>
      </c>
      <c r="X10" s="23">
        <f t="shared" si="12"/>
        <v>0.34576000000000001</v>
      </c>
      <c r="Y10" s="23">
        <f t="shared" si="2"/>
        <v>0.38575999999999999</v>
      </c>
      <c r="Z10" s="23">
        <f>(scatterplots_LWG_grazdays_CS!$V$5*$A10+scatterplots_LWG_grazdays_CS!$W$5)/1000+Z9</f>
        <v>2.2459199999999999</v>
      </c>
      <c r="AA10" s="23">
        <f t="shared" si="20"/>
        <v>2.2459199999999999</v>
      </c>
      <c r="AB10" s="23">
        <f t="shared" si="21"/>
        <v>2.2459199999999999</v>
      </c>
      <c r="AC10" s="23">
        <f t="shared" si="22"/>
        <v>2.2459199999999999</v>
      </c>
      <c r="AD10" s="23">
        <f>(scatterplots_LWG_grazdays_CS!$V$6*$A10+scatterplots_LWG_grazdays_CS!$W$6)/1000</f>
        <v>0.25888</v>
      </c>
      <c r="AE10" s="23">
        <f t="shared" si="14"/>
        <v>0.29887999999999998</v>
      </c>
      <c r="AF10" s="23">
        <f t="shared" si="4"/>
        <v>0.33888000000000001</v>
      </c>
      <c r="AG10" s="23">
        <f t="shared" si="4"/>
        <v>0.37887999999999999</v>
      </c>
      <c r="AH10" s="23">
        <f>(scatterplots_LWG_grazdays_CS!$V$6*$A10+scatterplots_LWG_grazdays_CS!$W$6)/1000+AH9</f>
        <v>2.21496</v>
      </c>
      <c r="AI10" s="23">
        <f t="shared" si="15"/>
        <v>2.21496</v>
      </c>
      <c r="AJ10" s="23">
        <f t="shared" si="5"/>
        <v>2.21496</v>
      </c>
      <c r="AK10" s="23">
        <f t="shared" si="5"/>
        <v>2.21496</v>
      </c>
      <c r="BY10" t="s">
        <v>624</v>
      </c>
      <c r="BZ10" s="12" t="s">
        <v>625</v>
      </c>
      <c r="CA10" s="12" t="s">
        <v>625</v>
      </c>
      <c r="CB10" s="12" t="s">
        <v>625</v>
      </c>
    </row>
    <row r="11" spans="1:85">
      <c r="A11" s="12">
        <v>9</v>
      </c>
      <c r="B11" s="12">
        <v>9</v>
      </c>
      <c r="C11" s="23">
        <f>(scatterplots_LWG_grazdays_CS!$V$3*$A11+scatterplots_LWG_grazdays_CS!$W$3)/1000</f>
        <v>0.27444000000000002</v>
      </c>
      <c r="D11" s="23">
        <f t="shared" si="6"/>
        <v>0.31444</v>
      </c>
      <c r="E11" s="23">
        <f t="shared" si="0"/>
        <v>0.35444000000000003</v>
      </c>
      <c r="F11" s="23">
        <f t="shared" si="0"/>
        <v>0.39444000000000001</v>
      </c>
      <c r="G11" s="23">
        <f>(scatterplots_LWG_grazdays_CS!$V$3*$A11+scatterplots_LWG_grazdays_CS!$W$3)/1000+G10</f>
        <v>2.5722000000000005</v>
      </c>
      <c r="H11" s="23">
        <f t="shared" si="27"/>
        <v>2.5722000000000005</v>
      </c>
      <c r="I11" s="23">
        <f t="shared" si="28"/>
        <v>2.5722000000000005</v>
      </c>
      <c r="J11" s="23">
        <f t="shared" si="33"/>
        <v>2.5722000000000005</v>
      </c>
      <c r="K11" s="23">
        <f>C11+K10</f>
        <v>2.5722000000000005</v>
      </c>
      <c r="L11" s="23">
        <f t="shared" si="7"/>
        <v>2.5722000000000005</v>
      </c>
      <c r="M11" s="23">
        <f t="shared" si="8"/>
        <v>2.5722000000000005</v>
      </c>
      <c r="N11" s="23">
        <f>(scatterplots_LWG_grazdays_CS!$V$4*$A11+scatterplots_LWG_grazdays_CS!$W$4)/1000</f>
        <v>0.26633999999999997</v>
      </c>
      <c r="O11" s="23">
        <f t="shared" si="17"/>
        <v>0.30633999999999995</v>
      </c>
      <c r="P11" s="23">
        <f t="shared" si="9"/>
        <v>0.34633999999999998</v>
      </c>
      <c r="Q11" s="23">
        <f t="shared" si="9"/>
        <v>0.38633999999999996</v>
      </c>
      <c r="R11" s="23">
        <f>(scatterplots_LWG_grazdays_CS!$V$4*$A11+scatterplots_LWG_grazdays_CS!$W$4)/1000+R10</f>
        <v>2.5316999999999998</v>
      </c>
      <c r="S11" s="23">
        <f t="shared" si="29"/>
        <v>2.5316999999999998</v>
      </c>
      <c r="T11" s="23">
        <f t="shared" si="18"/>
        <v>2.5316999999999998</v>
      </c>
      <c r="U11" s="23">
        <f t="shared" si="19"/>
        <v>2.5316999999999998</v>
      </c>
      <c r="V11" s="23">
        <f>(scatterplots_LWG_grazdays_CS!$V$5*$A11+scatterplots_LWG_grazdays_CS!$W$5)/1000</f>
        <v>0.26148000000000005</v>
      </c>
      <c r="W11" s="23">
        <f t="shared" si="11"/>
        <v>0.30148000000000003</v>
      </c>
      <c r="X11" s="23">
        <f t="shared" si="12"/>
        <v>0.34148000000000006</v>
      </c>
      <c r="Y11" s="23">
        <f t="shared" si="2"/>
        <v>0.38148000000000004</v>
      </c>
      <c r="Z11" s="23">
        <f>(scatterplots_LWG_grazdays_CS!$V$5*$A11+scatterplots_LWG_grazdays_CS!$W$5)/1000+Z10</f>
        <v>2.5074000000000001</v>
      </c>
      <c r="AA11" s="23">
        <f t="shared" si="20"/>
        <v>2.5074000000000001</v>
      </c>
      <c r="AB11" s="23">
        <f t="shared" si="21"/>
        <v>2.5074000000000001</v>
      </c>
      <c r="AC11" s="23">
        <f t="shared" si="22"/>
        <v>2.5074000000000001</v>
      </c>
      <c r="AD11" s="23">
        <f>(scatterplots_LWG_grazdays_CS!$V$6*$A11+scatterplots_LWG_grazdays_CS!$W$6)/1000</f>
        <v>0.25374000000000002</v>
      </c>
      <c r="AE11" s="23">
        <f t="shared" si="14"/>
        <v>0.29374</v>
      </c>
      <c r="AF11" s="23">
        <f t="shared" si="4"/>
        <v>0.33374000000000004</v>
      </c>
      <c r="AG11" s="23">
        <f t="shared" si="4"/>
        <v>0.37374000000000002</v>
      </c>
      <c r="AH11" s="23">
        <f>(scatterplots_LWG_grazdays_CS!$V$6*$A11+scatterplots_LWG_grazdays_CS!$W$6)/1000+AH10</f>
        <v>2.4687000000000001</v>
      </c>
      <c r="AI11" s="23">
        <f t="shared" si="15"/>
        <v>2.4687000000000001</v>
      </c>
      <c r="AJ11" s="23">
        <f t="shared" si="5"/>
        <v>2.4687000000000001</v>
      </c>
      <c r="AK11" s="23">
        <f t="shared" si="5"/>
        <v>2.4687000000000001</v>
      </c>
      <c r="BY11">
        <v>90</v>
      </c>
      <c r="BZ11">
        <v>-3.56</v>
      </c>
      <c r="CA11" s="12">
        <v>-7.12</v>
      </c>
      <c r="CB11" s="12">
        <v>-10.68</v>
      </c>
    </row>
    <row r="12" spans="1:85">
      <c r="A12" s="12">
        <v>10</v>
      </c>
      <c r="B12" s="12">
        <v>10</v>
      </c>
      <c r="C12" s="23">
        <f>(scatterplots_LWG_grazdays_CS!$V$3*$A12+scatterplots_LWG_grazdays_CS!$W$3)/1000</f>
        <v>0.27160000000000001</v>
      </c>
      <c r="D12" s="23">
        <f t="shared" si="6"/>
        <v>0.31159999999999999</v>
      </c>
      <c r="E12" s="23">
        <f t="shared" si="0"/>
        <v>0.35160000000000002</v>
      </c>
      <c r="F12" s="23">
        <f t="shared" si="0"/>
        <v>0.3916</v>
      </c>
      <c r="G12" s="23">
        <f>(scatterplots_LWG_grazdays_CS!$V$3*$A12+scatterplots_LWG_grazdays_CS!$W$3)/1000+G11</f>
        <v>2.8438000000000003</v>
      </c>
      <c r="H12" s="23">
        <f t="shared" si="27"/>
        <v>2.8438000000000003</v>
      </c>
      <c r="I12" s="23">
        <f t="shared" si="28"/>
        <v>2.8438000000000003</v>
      </c>
      <c r="J12" s="23">
        <f t="shared" si="33"/>
        <v>2.8438000000000003</v>
      </c>
      <c r="K12" s="23">
        <f>D12+K11</f>
        <v>2.8838000000000004</v>
      </c>
      <c r="L12" s="23">
        <f t="shared" si="7"/>
        <v>2.8438000000000003</v>
      </c>
      <c r="M12" s="23">
        <f t="shared" si="8"/>
        <v>2.8438000000000003</v>
      </c>
      <c r="N12" s="23">
        <f>(scatterplots_LWG_grazdays_CS!$V$4*$A12+scatterplots_LWG_grazdays_CS!$W$4)/1000</f>
        <v>0.2626</v>
      </c>
      <c r="O12" s="23">
        <f t="shared" si="17"/>
        <v>0.30259999999999998</v>
      </c>
      <c r="P12" s="23">
        <f t="shared" si="9"/>
        <v>0.34260000000000002</v>
      </c>
      <c r="Q12" s="23">
        <f t="shared" si="9"/>
        <v>0.3826</v>
      </c>
      <c r="R12" s="23">
        <f>(scatterplots_LWG_grazdays_CS!$V$4*$A12+scatterplots_LWG_grazdays_CS!$W$4)/1000+R11</f>
        <v>2.7942999999999998</v>
      </c>
      <c r="S12" s="23">
        <f t="shared" si="29"/>
        <v>2.7942999999999998</v>
      </c>
      <c r="T12" s="23">
        <f t="shared" si="18"/>
        <v>2.7942999999999998</v>
      </c>
      <c r="U12" s="23">
        <f t="shared" si="19"/>
        <v>2.7942999999999998</v>
      </c>
      <c r="V12" s="23">
        <f>(scatterplots_LWG_grazdays_CS!$V$5*$A12+scatterplots_LWG_grazdays_CS!$W$5)/1000</f>
        <v>0.25719999999999998</v>
      </c>
      <c r="W12" s="23">
        <f t="shared" si="11"/>
        <v>0.29719999999999996</v>
      </c>
      <c r="X12" s="23">
        <f t="shared" si="12"/>
        <v>0.3372</v>
      </c>
      <c r="Y12" s="23">
        <f t="shared" si="2"/>
        <v>0.37719999999999998</v>
      </c>
      <c r="Z12" s="23">
        <f>(scatterplots_LWG_grazdays_CS!$V$5*$A12+scatterplots_LWG_grazdays_CS!$W$5)/1000+Z11</f>
        <v>2.7646000000000002</v>
      </c>
      <c r="AA12" s="23">
        <f t="shared" si="20"/>
        <v>2.7646000000000002</v>
      </c>
      <c r="AB12" s="23">
        <f t="shared" si="21"/>
        <v>2.7646000000000002</v>
      </c>
      <c r="AC12" s="23">
        <f t="shared" si="22"/>
        <v>2.7646000000000002</v>
      </c>
      <c r="AD12" s="23">
        <f>(scatterplots_LWG_grazdays_CS!$V$6*$A12+scatterplots_LWG_grazdays_CS!$W$6)/1000</f>
        <v>0.24859999999999999</v>
      </c>
      <c r="AE12" s="23">
        <f t="shared" si="14"/>
        <v>0.28859999999999997</v>
      </c>
      <c r="AF12" s="23">
        <f t="shared" si="4"/>
        <v>0.3286</v>
      </c>
      <c r="AG12" s="23">
        <f t="shared" si="4"/>
        <v>0.36859999999999998</v>
      </c>
      <c r="AH12" s="23">
        <f>(scatterplots_LWG_grazdays_CS!$V$6*$A12+scatterplots_LWG_grazdays_CS!$W$6)/1000+AH11</f>
        <v>2.7173000000000003</v>
      </c>
      <c r="AI12" s="23">
        <f t="shared" si="15"/>
        <v>2.7173000000000003</v>
      </c>
      <c r="AJ12" s="23">
        <f t="shared" si="5"/>
        <v>2.7173000000000003</v>
      </c>
      <c r="AK12" s="23">
        <f t="shared" si="5"/>
        <v>2.7173000000000003</v>
      </c>
      <c r="BY12">
        <v>45</v>
      </c>
      <c r="BZ12">
        <v>-1.76</v>
      </c>
      <c r="CA12" s="12">
        <f>CA$11/BZ$11*$BZ12</f>
        <v>-3.52</v>
      </c>
      <c r="CB12" s="12">
        <f>CB$11/BZ$11*$BZ12</f>
        <v>-5.28</v>
      </c>
    </row>
    <row r="13" spans="1:85">
      <c r="A13" s="12">
        <v>11</v>
      </c>
      <c r="B13" s="12">
        <v>11</v>
      </c>
      <c r="C13" s="23">
        <f>(scatterplots_LWG_grazdays_CS!$V$3*$A13+scatterplots_LWG_grazdays_CS!$W$3)/1000</f>
        <v>0.26876</v>
      </c>
      <c r="D13" s="23">
        <f t="shared" si="6"/>
        <v>0.30875999999999998</v>
      </c>
      <c r="E13" s="23">
        <f t="shared" si="0"/>
        <v>0.34876000000000001</v>
      </c>
      <c r="F13" s="23">
        <f t="shared" si="0"/>
        <v>0.38875999999999999</v>
      </c>
      <c r="G13" s="23">
        <f>(scatterplots_LWG_grazdays_CS!$V$3*$A13+scatterplots_LWG_grazdays_CS!$W$3)/1000+G12</f>
        <v>3.1125600000000002</v>
      </c>
      <c r="H13" s="23">
        <f t="shared" si="27"/>
        <v>3.1125600000000002</v>
      </c>
      <c r="I13" s="23">
        <f t="shared" si="28"/>
        <v>3.1125600000000002</v>
      </c>
      <c r="J13" s="23">
        <f t="shared" si="33"/>
        <v>3.1125600000000002</v>
      </c>
      <c r="K13" s="23">
        <f t="shared" ref="K13:K76" si="34">D13+K12</f>
        <v>3.1925600000000003</v>
      </c>
      <c r="L13" s="23">
        <f t="shared" si="7"/>
        <v>3.1125600000000002</v>
      </c>
      <c r="M13" s="23">
        <f t="shared" si="8"/>
        <v>3.1125600000000002</v>
      </c>
      <c r="N13" s="23">
        <f>(scatterplots_LWG_grazdays_CS!$V$4*$A13+scatterplots_LWG_grazdays_CS!$W$4)/1000</f>
        <v>0.25886000000000003</v>
      </c>
      <c r="O13" s="23">
        <f t="shared" si="17"/>
        <v>0.29886000000000001</v>
      </c>
      <c r="P13" s="23">
        <f t="shared" si="9"/>
        <v>0.33886000000000005</v>
      </c>
      <c r="Q13" s="23">
        <f t="shared" si="9"/>
        <v>0.37886000000000003</v>
      </c>
      <c r="R13" s="23">
        <f>(scatterplots_LWG_grazdays_CS!$V$4*$A13+scatterplots_LWG_grazdays_CS!$W$4)/1000+R12</f>
        <v>3.0531599999999997</v>
      </c>
      <c r="S13" s="23">
        <f t="shared" si="29"/>
        <v>3.0531599999999997</v>
      </c>
      <c r="T13" s="23">
        <f t="shared" si="18"/>
        <v>3.0531599999999997</v>
      </c>
      <c r="U13" s="23">
        <f t="shared" si="19"/>
        <v>3.0531599999999997</v>
      </c>
      <c r="V13" s="23">
        <f>(scatterplots_LWG_grazdays_CS!$V$5*$A13+scatterplots_LWG_grazdays_CS!$W$5)/1000</f>
        <v>0.25291999999999998</v>
      </c>
      <c r="W13" s="23">
        <f t="shared" si="11"/>
        <v>0.29291999999999996</v>
      </c>
      <c r="X13" s="23">
        <f t="shared" si="12"/>
        <v>0.33291999999999999</v>
      </c>
      <c r="Y13" s="23">
        <f t="shared" si="2"/>
        <v>0.37291999999999997</v>
      </c>
      <c r="Z13" s="23">
        <f>(scatterplots_LWG_grazdays_CS!$V$5*$A13+scatterplots_LWG_grazdays_CS!$W$5)/1000+Z12</f>
        <v>3.0175200000000002</v>
      </c>
      <c r="AA13" s="23">
        <f t="shared" si="20"/>
        <v>3.0175200000000002</v>
      </c>
      <c r="AB13" s="23">
        <f t="shared" si="21"/>
        <v>3.0175200000000002</v>
      </c>
      <c r="AC13" s="23">
        <f t="shared" si="22"/>
        <v>3.0175200000000002</v>
      </c>
      <c r="AD13" s="23">
        <f>(scatterplots_LWG_grazdays_CS!$V$6*$A13+scatterplots_LWG_grazdays_CS!$W$6)/1000</f>
        <v>0.24346000000000001</v>
      </c>
      <c r="AE13" s="23">
        <f t="shared" si="14"/>
        <v>0.28345999999999999</v>
      </c>
      <c r="AF13" s="23">
        <f t="shared" si="4"/>
        <v>0.32346000000000003</v>
      </c>
      <c r="AG13" s="23">
        <f t="shared" si="4"/>
        <v>0.36346000000000001</v>
      </c>
      <c r="AH13" s="23">
        <f>(scatterplots_LWG_grazdays_CS!$V$6*$A13+scatterplots_LWG_grazdays_CS!$W$6)/1000+AH12</f>
        <v>2.9607600000000005</v>
      </c>
      <c r="AI13" s="23">
        <f t="shared" si="15"/>
        <v>2.9607600000000005</v>
      </c>
      <c r="AJ13" s="23">
        <f t="shared" si="5"/>
        <v>2.9607600000000005</v>
      </c>
      <c r="AK13" s="23">
        <f t="shared" si="5"/>
        <v>2.9607600000000005</v>
      </c>
      <c r="BY13">
        <v>20</v>
      </c>
      <c r="BZ13">
        <v>-0.76</v>
      </c>
      <c r="CA13" s="12">
        <f t="shared" ref="CA13:CA14" si="35">CA$11/BZ$11*$BZ13</f>
        <v>-1.52</v>
      </c>
      <c r="CB13" s="12">
        <f t="shared" ref="CB13:CB14" si="36">CB$11/BZ$11*$BZ13</f>
        <v>-2.2800000000000002</v>
      </c>
    </row>
    <row r="14" spans="1:85">
      <c r="A14" s="12">
        <v>12</v>
      </c>
      <c r="B14" s="12">
        <v>12</v>
      </c>
      <c r="C14" s="23">
        <f>(scatterplots_LWG_grazdays_CS!$V$3*$A14+scatterplots_LWG_grazdays_CS!$W$3)/1000</f>
        <v>0.26591999999999999</v>
      </c>
      <c r="D14" s="23">
        <f t="shared" si="6"/>
        <v>0.30591999999999997</v>
      </c>
      <c r="E14" s="23">
        <f t="shared" si="0"/>
        <v>0.34592000000000001</v>
      </c>
      <c r="F14" s="23">
        <f t="shared" si="0"/>
        <v>0.38591999999999999</v>
      </c>
      <c r="G14" s="23">
        <f>(scatterplots_LWG_grazdays_CS!$V$3*$A14+scatterplots_LWG_grazdays_CS!$W$3)/1000+G13</f>
        <v>3.3784800000000001</v>
      </c>
      <c r="H14" s="23">
        <f t="shared" si="27"/>
        <v>3.3784800000000001</v>
      </c>
      <c r="I14" s="23">
        <f t="shared" si="28"/>
        <v>3.3784800000000001</v>
      </c>
      <c r="J14" s="23">
        <f t="shared" si="33"/>
        <v>3.3784800000000001</v>
      </c>
      <c r="K14" s="23">
        <f t="shared" si="34"/>
        <v>3.4984800000000003</v>
      </c>
      <c r="L14" s="23">
        <f t="shared" si="7"/>
        <v>3.3784800000000001</v>
      </c>
      <c r="M14" s="23">
        <f t="shared" si="8"/>
        <v>3.3784800000000001</v>
      </c>
      <c r="N14" s="23">
        <f>(scatterplots_LWG_grazdays_CS!$V$4*$A14+scatterplots_LWG_grazdays_CS!$W$4)/1000</f>
        <v>0.25512000000000001</v>
      </c>
      <c r="O14" s="23">
        <f t="shared" si="17"/>
        <v>0.29511999999999999</v>
      </c>
      <c r="P14" s="23">
        <f t="shared" si="9"/>
        <v>0.33512000000000003</v>
      </c>
      <c r="Q14" s="23">
        <f t="shared" si="9"/>
        <v>0.37512000000000001</v>
      </c>
      <c r="R14" s="23">
        <f>(scatterplots_LWG_grazdays_CS!$V$4*$A14+scatterplots_LWG_grazdays_CS!$W$4)/1000+R13</f>
        <v>3.3082799999999999</v>
      </c>
      <c r="S14" s="23">
        <f t="shared" si="29"/>
        <v>3.3082799999999999</v>
      </c>
      <c r="T14" s="23">
        <f t="shared" si="18"/>
        <v>3.3082799999999999</v>
      </c>
      <c r="U14" s="23">
        <f t="shared" si="19"/>
        <v>3.3082799999999999</v>
      </c>
      <c r="V14" s="23">
        <f>(scatterplots_LWG_grazdays_CS!$V$5*$A14+scatterplots_LWG_grazdays_CS!$W$5)/1000</f>
        <v>0.24864</v>
      </c>
      <c r="W14" s="23">
        <f t="shared" si="11"/>
        <v>0.28864000000000001</v>
      </c>
      <c r="X14" s="23">
        <f t="shared" si="12"/>
        <v>0.32863999999999999</v>
      </c>
      <c r="Y14" s="23">
        <f t="shared" si="2"/>
        <v>0.36863999999999997</v>
      </c>
      <c r="Z14" s="23">
        <f>(scatterplots_LWG_grazdays_CS!$V$5*$A14+scatterplots_LWG_grazdays_CS!$W$5)/1000+Z13</f>
        <v>3.2661600000000002</v>
      </c>
      <c r="AA14" s="23">
        <f t="shared" si="20"/>
        <v>3.2661600000000002</v>
      </c>
      <c r="AB14" s="23">
        <f t="shared" si="21"/>
        <v>3.2661600000000002</v>
      </c>
      <c r="AC14" s="23">
        <f t="shared" si="22"/>
        <v>3.2661600000000002</v>
      </c>
      <c r="AD14" s="23">
        <f>(scatterplots_LWG_grazdays_CS!$V$6*$A14+scatterplots_LWG_grazdays_CS!$W$6)/1000</f>
        <v>0.23832</v>
      </c>
      <c r="AE14" s="23">
        <f t="shared" si="14"/>
        <v>0.27832000000000001</v>
      </c>
      <c r="AF14" s="23">
        <f t="shared" si="4"/>
        <v>0.31831999999999999</v>
      </c>
      <c r="AG14" s="23">
        <f t="shared" si="4"/>
        <v>0.35831999999999997</v>
      </c>
      <c r="AH14" s="23">
        <f>(scatterplots_LWG_grazdays_CS!$V$6*$A14+scatterplots_LWG_grazdays_CS!$W$6)/1000+AH13</f>
        <v>3.1990800000000004</v>
      </c>
      <c r="AI14" s="23">
        <f t="shared" si="15"/>
        <v>3.1990800000000004</v>
      </c>
      <c r="AJ14" s="23">
        <f t="shared" si="5"/>
        <v>3.1990800000000004</v>
      </c>
      <c r="AK14" s="23">
        <f t="shared" si="5"/>
        <v>3.1990800000000004</v>
      </c>
      <c r="BY14">
        <v>10</v>
      </c>
      <c r="BZ14">
        <v>-0.36</v>
      </c>
      <c r="CA14" s="12">
        <f t="shared" si="35"/>
        <v>-0.72</v>
      </c>
      <c r="CB14" s="12">
        <f t="shared" si="36"/>
        <v>-1.08</v>
      </c>
    </row>
    <row r="15" spans="1:85">
      <c r="A15" s="12">
        <v>13</v>
      </c>
      <c r="B15" s="12">
        <v>13</v>
      </c>
      <c r="C15" s="23">
        <f>(scatterplots_LWG_grazdays_CS!$V$3*$A15+scatterplots_LWG_grazdays_CS!$W$3)/1000</f>
        <v>0.26307999999999998</v>
      </c>
      <c r="D15" s="23">
        <f t="shared" si="6"/>
        <v>0.30307999999999996</v>
      </c>
      <c r="E15" s="23">
        <f t="shared" si="0"/>
        <v>0.34308</v>
      </c>
      <c r="F15" s="23">
        <f t="shared" si="0"/>
        <v>0.38307999999999998</v>
      </c>
      <c r="G15" s="23">
        <f>(scatterplots_LWG_grazdays_CS!$V$3*$A15+scatterplots_LWG_grazdays_CS!$W$3)/1000+G14</f>
        <v>3.6415600000000001</v>
      </c>
      <c r="H15" s="23">
        <f t="shared" si="27"/>
        <v>3.6415600000000001</v>
      </c>
      <c r="I15" s="23">
        <f t="shared" si="28"/>
        <v>3.6415600000000001</v>
      </c>
      <c r="J15" s="23">
        <f t="shared" si="33"/>
        <v>3.6415600000000001</v>
      </c>
      <c r="K15" s="23">
        <f t="shared" si="34"/>
        <v>3.8015600000000003</v>
      </c>
      <c r="L15" s="23">
        <f t="shared" si="7"/>
        <v>3.6415600000000001</v>
      </c>
      <c r="M15" s="23">
        <f t="shared" si="8"/>
        <v>3.6415600000000001</v>
      </c>
      <c r="N15" s="23">
        <f>(scatterplots_LWG_grazdays_CS!$V$4*$A15+scatterplots_LWG_grazdays_CS!$W$4)/1000</f>
        <v>0.25137999999999999</v>
      </c>
      <c r="O15" s="23">
        <f t="shared" si="17"/>
        <v>0.29137999999999997</v>
      </c>
      <c r="P15" s="23">
        <f t="shared" si="9"/>
        <v>0.33138000000000001</v>
      </c>
      <c r="Q15" s="23">
        <f t="shared" si="9"/>
        <v>0.37137999999999999</v>
      </c>
      <c r="R15" s="23">
        <f>(scatterplots_LWG_grazdays_CS!$V$4*$A15+scatterplots_LWG_grazdays_CS!$W$4)/1000+R14</f>
        <v>3.55966</v>
      </c>
      <c r="S15" s="23">
        <f t="shared" si="29"/>
        <v>3.55966</v>
      </c>
      <c r="T15" s="23">
        <f t="shared" si="18"/>
        <v>3.55966</v>
      </c>
      <c r="U15" s="23">
        <f t="shared" si="19"/>
        <v>3.55966</v>
      </c>
      <c r="V15" s="23">
        <f>(scatterplots_LWG_grazdays_CS!$V$5*$A15+scatterplots_LWG_grazdays_CS!$W$5)/1000</f>
        <v>0.24436000000000002</v>
      </c>
      <c r="W15" s="23">
        <f t="shared" si="11"/>
        <v>0.28436</v>
      </c>
      <c r="X15" s="23">
        <f t="shared" si="12"/>
        <v>0.32436000000000004</v>
      </c>
      <c r="Y15" s="23">
        <f t="shared" si="2"/>
        <v>0.36436000000000002</v>
      </c>
      <c r="Z15" s="23">
        <f>(scatterplots_LWG_grazdays_CS!$V$5*$A15+scatterplots_LWG_grazdays_CS!$W$5)/1000+Z14</f>
        <v>3.5105200000000001</v>
      </c>
      <c r="AA15" s="23">
        <f t="shared" si="20"/>
        <v>3.5105200000000001</v>
      </c>
      <c r="AB15" s="23">
        <f t="shared" si="21"/>
        <v>3.5105200000000001</v>
      </c>
      <c r="AC15" s="23">
        <f t="shared" si="22"/>
        <v>3.5105200000000001</v>
      </c>
      <c r="AD15" s="23">
        <f>(scatterplots_LWG_grazdays_CS!$V$6*$A15+scatterplots_LWG_grazdays_CS!$W$6)/1000</f>
        <v>0.23318</v>
      </c>
      <c r="AE15" s="23">
        <f t="shared" si="14"/>
        <v>0.27317999999999998</v>
      </c>
      <c r="AF15" s="23">
        <f t="shared" si="4"/>
        <v>0.31318000000000001</v>
      </c>
      <c r="AG15" s="23">
        <f t="shared" si="4"/>
        <v>0.35317999999999999</v>
      </c>
      <c r="AH15" s="23">
        <f>(scatterplots_LWG_grazdays_CS!$V$6*$A15+scatterplots_LWG_grazdays_CS!$W$6)/1000+AH14</f>
        <v>3.4322600000000003</v>
      </c>
      <c r="AI15" s="23">
        <f t="shared" si="15"/>
        <v>3.4322600000000003</v>
      </c>
      <c r="AJ15" s="23">
        <f t="shared" si="5"/>
        <v>3.4322600000000003</v>
      </c>
      <c r="AK15" s="23">
        <f t="shared" si="5"/>
        <v>3.4322600000000003</v>
      </c>
    </row>
    <row r="16" spans="1:85">
      <c r="A16" s="12">
        <v>14</v>
      </c>
      <c r="B16" s="12">
        <v>14</v>
      </c>
      <c r="C16" s="23">
        <f>(scatterplots_LWG_grazdays_CS!$V$3*$A16+scatterplots_LWG_grazdays_CS!$W$3)/1000</f>
        <v>0.26024000000000003</v>
      </c>
      <c r="D16" s="23">
        <f t="shared" si="6"/>
        <v>0.30024000000000001</v>
      </c>
      <c r="E16" s="23">
        <f t="shared" si="0"/>
        <v>0.34024000000000004</v>
      </c>
      <c r="F16" s="23">
        <f t="shared" si="0"/>
        <v>0.38024000000000002</v>
      </c>
      <c r="G16" s="23">
        <f>(scatterplots_LWG_grazdays_CS!$V$3*$A16+scatterplots_LWG_grazdays_CS!$W$3)/1000+G15</f>
        <v>3.9018000000000002</v>
      </c>
      <c r="H16" s="23">
        <f t="shared" si="27"/>
        <v>3.9018000000000002</v>
      </c>
      <c r="I16" s="23">
        <f t="shared" si="28"/>
        <v>3.9018000000000002</v>
      </c>
      <c r="J16" s="23">
        <f t="shared" si="33"/>
        <v>3.9018000000000002</v>
      </c>
      <c r="K16" s="23">
        <f t="shared" si="34"/>
        <v>4.1017999999999999</v>
      </c>
      <c r="L16" s="23">
        <f t="shared" si="7"/>
        <v>3.9018000000000002</v>
      </c>
      <c r="M16" s="23">
        <f t="shared" si="8"/>
        <v>3.9018000000000002</v>
      </c>
      <c r="N16" s="23">
        <f>(scatterplots_LWG_grazdays_CS!$V$4*$A16+scatterplots_LWG_grazdays_CS!$W$4)/1000</f>
        <v>0.24764</v>
      </c>
      <c r="O16" s="23">
        <f t="shared" si="17"/>
        <v>0.28764000000000001</v>
      </c>
      <c r="P16" s="23">
        <f t="shared" si="9"/>
        <v>0.32763999999999999</v>
      </c>
      <c r="Q16" s="23">
        <f t="shared" si="9"/>
        <v>0.36763999999999997</v>
      </c>
      <c r="R16" s="23">
        <f>(scatterplots_LWG_grazdays_CS!$V$4*$A16+scatterplots_LWG_grazdays_CS!$W$4)/1000+R15</f>
        <v>3.8073000000000001</v>
      </c>
      <c r="S16" s="23">
        <f t="shared" si="29"/>
        <v>3.8073000000000001</v>
      </c>
      <c r="T16" s="23">
        <f t="shared" si="18"/>
        <v>3.8073000000000001</v>
      </c>
      <c r="U16" s="23">
        <f t="shared" si="19"/>
        <v>3.8073000000000001</v>
      </c>
      <c r="V16" s="23">
        <f>(scatterplots_LWG_grazdays_CS!$V$5*$A16+scatterplots_LWG_grazdays_CS!$W$5)/1000</f>
        <v>0.24007999999999999</v>
      </c>
      <c r="W16" s="23">
        <f t="shared" si="11"/>
        <v>0.28008</v>
      </c>
      <c r="X16" s="23">
        <f t="shared" si="12"/>
        <v>0.32007999999999998</v>
      </c>
      <c r="Y16" s="23">
        <f t="shared" si="2"/>
        <v>0.36007999999999996</v>
      </c>
      <c r="Z16" s="23">
        <f>(scatterplots_LWG_grazdays_CS!$V$5*$A16+scatterplots_LWG_grazdays_CS!$W$5)/1000+Z15</f>
        <v>3.7505999999999999</v>
      </c>
      <c r="AA16" s="23">
        <f t="shared" si="20"/>
        <v>3.7505999999999999</v>
      </c>
      <c r="AB16" s="23">
        <f t="shared" si="21"/>
        <v>3.7505999999999999</v>
      </c>
      <c r="AC16" s="23">
        <f t="shared" si="22"/>
        <v>3.7505999999999999</v>
      </c>
      <c r="AD16" s="23">
        <f>(scatterplots_LWG_grazdays_CS!$V$6*$A16+scatterplots_LWG_grazdays_CS!$W$6)/1000</f>
        <v>0.22804000000000002</v>
      </c>
      <c r="AE16" s="23">
        <f t="shared" si="14"/>
        <v>0.26804</v>
      </c>
      <c r="AF16" s="23">
        <f t="shared" si="4"/>
        <v>0.30804000000000004</v>
      </c>
      <c r="AG16" s="23">
        <f t="shared" si="4"/>
        <v>0.34804000000000002</v>
      </c>
      <c r="AH16" s="23">
        <f>(scatterplots_LWG_grazdays_CS!$V$6*$A16+scatterplots_LWG_grazdays_CS!$W$6)/1000+AH15</f>
        <v>3.6603000000000003</v>
      </c>
      <c r="AI16" s="23">
        <f t="shared" si="15"/>
        <v>3.6603000000000003</v>
      </c>
      <c r="AJ16" s="23">
        <f t="shared" si="5"/>
        <v>3.6603000000000003</v>
      </c>
      <c r="AK16" s="23">
        <f t="shared" si="5"/>
        <v>3.6603000000000003</v>
      </c>
    </row>
    <row r="17" spans="1:78">
      <c r="A17" s="12">
        <v>15</v>
      </c>
      <c r="B17" s="12">
        <v>15</v>
      </c>
      <c r="C17" s="23">
        <f>(scatterplots_LWG_grazdays_CS!$V$3*$A17+scatterplots_LWG_grazdays_CS!$W$3)/1000</f>
        <v>0.25739999999999996</v>
      </c>
      <c r="D17" s="23">
        <f t="shared" si="6"/>
        <v>0.29739999999999994</v>
      </c>
      <c r="E17" s="23">
        <f t="shared" si="0"/>
        <v>0.33739999999999998</v>
      </c>
      <c r="F17" s="23">
        <f t="shared" si="0"/>
        <v>0.37739999999999996</v>
      </c>
      <c r="G17" s="23">
        <f>(scatterplots_LWG_grazdays_CS!$V$3*$A17+scatterplots_LWG_grazdays_CS!$W$3)/1000+G16</f>
        <v>4.1592000000000002</v>
      </c>
      <c r="H17" s="23">
        <f t="shared" si="27"/>
        <v>4.1592000000000002</v>
      </c>
      <c r="I17" s="23">
        <f t="shared" si="28"/>
        <v>4.1592000000000002</v>
      </c>
      <c r="J17" s="23">
        <f>C17+J16</f>
        <v>4.1592000000000002</v>
      </c>
      <c r="K17" s="23">
        <f t="shared" si="34"/>
        <v>4.3991999999999996</v>
      </c>
      <c r="L17" s="23">
        <f t="shared" si="7"/>
        <v>4.1592000000000002</v>
      </c>
      <c r="M17" s="23">
        <f t="shared" si="8"/>
        <v>4.1592000000000002</v>
      </c>
      <c r="N17" s="23">
        <f>(scatterplots_LWG_grazdays_CS!$V$4*$A17+scatterplots_LWG_grazdays_CS!$W$4)/1000</f>
        <v>0.24390000000000001</v>
      </c>
      <c r="O17" s="23">
        <f t="shared" si="17"/>
        <v>0.28389999999999999</v>
      </c>
      <c r="P17" s="23">
        <f t="shared" si="9"/>
        <v>0.32390000000000002</v>
      </c>
      <c r="Q17" s="23">
        <f t="shared" si="9"/>
        <v>0.3639</v>
      </c>
      <c r="R17" s="23">
        <f>(scatterplots_LWG_grazdays_CS!$V$4*$A17+scatterplots_LWG_grazdays_CS!$W$4)/1000+R16</f>
        <v>4.0511999999999997</v>
      </c>
      <c r="S17" s="23">
        <f t="shared" si="29"/>
        <v>4.0511999999999997</v>
      </c>
      <c r="T17" s="23">
        <f t="shared" si="18"/>
        <v>4.0511999999999997</v>
      </c>
      <c r="U17" s="23">
        <f t="shared" si="19"/>
        <v>4.0511999999999997</v>
      </c>
      <c r="V17" s="23">
        <f>(scatterplots_LWG_grazdays_CS!$V$5*$A17+scatterplots_LWG_grazdays_CS!$W$5)/1000</f>
        <v>0.23580000000000001</v>
      </c>
      <c r="W17" s="23">
        <f t="shared" si="11"/>
        <v>0.27579999999999999</v>
      </c>
      <c r="X17" s="23">
        <f t="shared" si="12"/>
        <v>0.31580000000000003</v>
      </c>
      <c r="Y17" s="23">
        <f t="shared" si="2"/>
        <v>0.35580000000000001</v>
      </c>
      <c r="Z17" s="23">
        <f>(scatterplots_LWG_grazdays_CS!$V$5*$A17+scatterplots_LWG_grazdays_CS!$W$5)/1000+Z16</f>
        <v>3.9863999999999997</v>
      </c>
      <c r="AA17" s="23">
        <f t="shared" si="20"/>
        <v>3.9863999999999997</v>
      </c>
      <c r="AB17" s="23">
        <f t="shared" si="21"/>
        <v>3.9863999999999997</v>
      </c>
      <c r="AC17" s="23">
        <f t="shared" si="22"/>
        <v>3.9863999999999997</v>
      </c>
      <c r="AD17" s="23">
        <f>(scatterplots_LWG_grazdays_CS!$V$6*$A17+scatterplots_LWG_grazdays_CS!$W$6)/1000</f>
        <v>0.22290000000000001</v>
      </c>
      <c r="AE17" s="23">
        <f t="shared" si="14"/>
        <v>0.26290000000000002</v>
      </c>
      <c r="AF17" s="23">
        <f t="shared" si="4"/>
        <v>0.3029</v>
      </c>
      <c r="AG17" s="23">
        <f t="shared" si="4"/>
        <v>0.34289999999999998</v>
      </c>
      <c r="AH17" s="23">
        <f>(scatterplots_LWG_grazdays_CS!$V$6*$A17+scatterplots_LWG_grazdays_CS!$W$6)/1000+AH16</f>
        <v>3.8832000000000004</v>
      </c>
      <c r="AI17" s="23">
        <f t="shared" si="15"/>
        <v>3.8832000000000004</v>
      </c>
      <c r="AJ17" s="23">
        <f t="shared" si="5"/>
        <v>3.8832000000000004</v>
      </c>
      <c r="AK17" s="23">
        <f t="shared" si="5"/>
        <v>3.8832000000000004</v>
      </c>
    </row>
    <row r="18" spans="1:78">
      <c r="A18" s="12">
        <v>16</v>
      </c>
      <c r="B18" s="12">
        <v>16</v>
      </c>
      <c r="C18" s="23">
        <f>(scatterplots_LWG_grazdays_CS!$V$3*$A18+scatterplots_LWG_grazdays_CS!$W$3)/1000</f>
        <v>0.25456000000000001</v>
      </c>
      <c r="D18" s="23">
        <f t="shared" si="6"/>
        <v>0.29455999999999999</v>
      </c>
      <c r="E18" s="23">
        <f t="shared" si="0"/>
        <v>0.33456000000000002</v>
      </c>
      <c r="F18" s="23">
        <f t="shared" si="0"/>
        <v>0.37456</v>
      </c>
      <c r="G18" s="23">
        <f>(scatterplots_LWG_grazdays_CS!$V$3*$A18+scatterplots_LWG_grazdays_CS!$W$3)/1000+G17</f>
        <v>4.4137599999999999</v>
      </c>
      <c r="H18" s="23">
        <f t="shared" si="27"/>
        <v>4.4137599999999999</v>
      </c>
      <c r="I18" s="23">
        <f t="shared" si="28"/>
        <v>4.4137599999999999</v>
      </c>
      <c r="J18" s="23">
        <f>C18+J17</f>
        <v>4.4137599999999999</v>
      </c>
      <c r="K18" s="23">
        <f t="shared" si="34"/>
        <v>4.6937599999999993</v>
      </c>
      <c r="L18" s="23">
        <f t="shared" si="7"/>
        <v>4.4137599999999999</v>
      </c>
      <c r="M18" s="23">
        <f t="shared" si="8"/>
        <v>4.4137599999999999</v>
      </c>
      <c r="N18" s="23">
        <f>(scatterplots_LWG_grazdays_CS!$V$4*$A18+scatterplots_LWG_grazdays_CS!$W$4)/1000</f>
        <v>0.24015999999999998</v>
      </c>
      <c r="O18" s="23">
        <f t="shared" si="17"/>
        <v>0.28015999999999996</v>
      </c>
      <c r="P18" s="23">
        <f t="shared" si="9"/>
        <v>0.32016</v>
      </c>
      <c r="Q18" s="23">
        <f t="shared" si="9"/>
        <v>0.36015999999999998</v>
      </c>
      <c r="R18" s="23">
        <f>(scatterplots_LWG_grazdays_CS!$V$4*$A18+scatterplots_LWG_grazdays_CS!$W$4)/1000+R17</f>
        <v>4.2913600000000001</v>
      </c>
      <c r="S18" s="23">
        <f t="shared" si="29"/>
        <v>4.2913600000000001</v>
      </c>
      <c r="T18" s="23">
        <f t="shared" si="18"/>
        <v>4.2913600000000001</v>
      </c>
      <c r="U18" s="23">
        <f t="shared" si="19"/>
        <v>4.2913600000000001</v>
      </c>
      <c r="V18" s="23">
        <f>(scatterplots_LWG_grazdays_CS!$V$5*$A18+scatterplots_LWG_grazdays_CS!$W$5)/1000</f>
        <v>0.23151999999999998</v>
      </c>
      <c r="W18" s="23">
        <f t="shared" si="11"/>
        <v>0.27151999999999998</v>
      </c>
      <c r="X18" s="23">
        <f t="shared" si="12"/>
        <v>0.31151999999999996</v>
      </c>
      <c r="Y18" s="23">
        <f t="shared" si="2"/>
        <v>0.35151999999999994</v>
      </c>
      <c r="Z18" s="23">
        <f>(scatterplots_LWG_grazdays_CS!$V$5*$A18+scatterplots_LWG_grazdays_CS!$W$5)/1000+Z17</f>
        <v>4.2179199999999994</v>
      </c>
      <c r="AA18" s="23">
        <f t="shared" si="20"/>
        <v>4.2179199999999994</v>
      </c>
      <c r="AB18" s="23">
        <f t="shared" si="21"/>
        <v>4.2179199999999994</v>
      </c>
      <c r="AC18" s="23">
        <f t="shared" si="22"/>
        <v>4.2179199999999994</v>
      </c>
      <c r="AD18" s="23">
        <f>(scatterplots_LWG_grazdays_CS!$V$6*$A18+scatterplots_LWG_grazdays_CS!$W$6)/1000</f>
        <v>0.21775999999999998</v>
      </c>
      <c r="AE18" s="23">
        <f t="shared" si="14"/>
        <v>0.25775999999999999</v>
      </c>
      <c r="AF18" s="23">
        <f t="shared" si="4"/>
        <v>0.29775999999999997</v>
      </c>
      <c r="AG18" s="23">
        <f t="shared" si="4"/>
        <v>0.33775999999999995</v>
      </c>
      <c r="AH18" s="23">
        <f>(scatterplots_LWG_grazdays_CS!$V$6*$A18+scatterplots_LWG_grazdays_CS!$W$6)/1000+AH17</f>
        <v>4.1009600000000006</v>
      </c>
      <c r="AI18" s="23">
        <f t="shared" si="15"/>
        <v>4.1009600000000006</v>
      </c>
      <c r="AJ18" s="23">
        <f t="shared" si="5"/>
        <v>4.1009600000000006</v>
      </c>
      <c r="AK18" s="23">
        <f t="shared" si="5"/>
        <v>4.1009600000000006</v>
      </c>
    </row>
    <row r="19" spans="1:78">
      <c r="A19" s="12">
        <v>17</v>
      </c>
      <c r="B19" s="12">
        <v>17</v>
      </c>
      <c r="C19" s="23">
        <f>(scatterplots_LWG_grazdays_CS!$V$3*$A19+scatterplots_LWG_grazdays_CS!$W$3)/1000</f>
        <v>0.25172</v>
      </c>
      <c r="D19" s="23">
        <f t="shared" si="6"/>
        <v>0.29171999999999998</v>
      </c>
      <c r="E19" s="23">
        <f t="shared" si="6"/>
        <v>0.33172000000000001</v>
      </c>
      <c r="F19" s="23">
        <f t="shared" si="6"/>
        <v>0.37171999999999999</v>
      </c>
      <c r="G19" s="23">
        <f>(scatterplots_LWG_grazdays_CS!$V$3*$A19+scatterplots_LWG_grazdays_CS!$W$3)/1000+G18</f>
        <v>4.6654799999999996</v>
      </c>
      <c r="H19" s="23">
        <f t="shared" si="27"/>
        <v>4.6654799999999996</v>
      </c>
      <c r="I19" s="23">
        <f t="shared" si="28"/>
        <v>4.6654799999999996</v>
      </c>
      <c r="J19" s="23">
        <f>C19+J18</f>
        <v>4.6654799999999996</v>
      </c>
      <c r="K19" s="23">
        <f t="shared" si="34"/>
        <v>4.985479999999999</v>
      </c>
      <c r="L19" s="23">
        <f t="shared" si="7"/>
        <v>4.6654799999999996</v>
      </c>
      <c r="M19" s="23">
        <f t="shared" si="8"/>
        <v>4.6654799999999996</v>
      </c>
      <c r="N19" s="23">
        <f>(scatterplots_LWG_grazdays_CS!$V$4*$A19+scatterplots_LWG_grazdays_CS!$W$4)/1000</f>
        <v>0.23641999999999999</v>
      </c>
      <c r="O19" s="23">
        <f t="shared" si="17"/>
        <v>0.27642</v>
      </c>
      <c r="P19" s="23">
        <f t="shared" si="17"/>
        <v>0.31641999999999998</v>
      </c>
      <c r="Q19" s="23">
        <f t="shared" si="17"/>
        <v>0.35641999999999996</v>
      </c>
      <c r="R19" s="23">
        <f>(scatterplots_LWG_grazdays_CS!$V$4*$A19+scatterplots_LWG_grazdays_CS!$W$4)/1000+R18</f>
        <v>4.5277799999999999</v>
      </c>
      <c r="S19" s="23">
        <f t="shared" si="29"/>
        <v>4.5277799999999999</v>
      </c>
      <c r="T19" s="23">
        <f t="shared" si="18"/>
        <v>4.5277799999999999</v>
      </c>
      <c r="U19" s="23">
        <f t="shared" si="19"/>
        <v>4.5277799999999999</v>
      </c>
      <c r="V19" s="23">
        <f>(scatterplots_LWG_grazdays_CS!$V$5*$A19+scatterplots_LWG_grazdays_CS!$W$5)/1000</f>
        <v>0.22724</v>
      </c>
      <c r="W19" s="23">
        <f t="shared" si="11"/>
        <v>0.26723999999999998</v>
      </c>
      <c r="X19" s="23">
        <f t="shared" si="12"/>
        <v>0.30724000000000001</v>
      </c>
      <c r="Y19" s="23">
        <f t="shared" si="12"/>
        <v>0.34723999999999999</v>
      </c>
      <c r="Z19" s="23">
        <f>(scatterplots_LWG_grazdays_CS!$V$5*$A19+scatterplots_LWG_grazdays_CS!$W$5)/1000+Z18</f>
        <v>4.4451599999999996</v>
      </c>
      <c r="AA19" s="23">
        <f t="shared" si="20"/>
        <v>4.4451599999999996</v>
      </c>
      <c r="AB19" s="23">
        <f t="shared" si="21"/>
        <v>4.4451599999999996</v>
      </c>
      <c r="AC19" s="23">
        <f t="shared" si="22"/>
        <v>4.4451599999999996</v>
      </c>
      <c r="AD19" s="23">
        <f>(scatterplots_LWG_grazdays_CS!$V$6*$A19+scatterplots_LWG_grazdays_CS!$W$6)/1000</f>
        <v>0.21262</v>
      </c>
      <c r="AE19" s="23">
        <f t="shared" si="14"/>
        <v>0.25262000000000001</v>
      </c>
      <c r="AF19" s="23">
        <f t="shared" ref="AF19:AG82" si="37">$AD19+AF$1/1000</f>
        <v>0.29261999999999999</v>
      </c>
      <c r="AG19" s="23">
        <f t="shared" si="37"/>
        <v>0.33262000000000003</v>
      </c>
      <c r="AH19" s="23">
        <f>(scatterplots_LWG_grazdays_CS!$V$6*$A19+scatterplots_LWG_grazdays_CS!$W$6)/1000+AH18</f>
        <v>4.3135800000000009</v>
      </c>
      <c r="AI19" s="23">
        <f t="shared" si="15"/>
        <v>4.3135800000000009</v>
      </c>
      <c r="AJ19" s="23">
        <f t="shared" ref="AJ19:AK82" si="38">$AH19</f>
        <v>4.3135800000000009</v>
      </c>
      <c r="AK19" s="23">
        <f t="shared" si="38"/>
        <v>4.3135800000000009</v>
      </c>
    </row>
    <row r="20" spans="1:78">
      <c r="A20" s="12">
        <v>18</v>
      </c>
      <c r="B20" s="12">
        <v>18</v>
      </c>
      <c r="C20" s="23">
        <f>(scatterplots_LWG_grazdays_CS!$V$3*$A20+scatterplots_LWG_grazdays_CS!$W$3)/1000</f>
        <v>0.24887999999999999</v>
      </c>
      <c r="D20" s="23">
        <f t="shared" si="6"/>
        <v>0.28887999999999997</v>
      </c>
      <c r="E20" s="23">
        <f t="shared" si="6"/>
        <v>0.32888000000000001</v>
      </c>
      <c r="F20" s="23">
        <f t="shared" si="6"/>
        <v>0.36887999999999999</v>
      </c>
      <c r="G20" s="23">
        <f>(scatterplots_LWG_grazdays_CS!$V$3*$A20+scatterplots_LWG_grazdays_CS!$W$3)/1000+G19</f>
        <v>4.9143599999999994</v>
      </c>
      <c r="H20" s="23">
        <f t="shared" si="27"/>
        <v>4.9143599999999994</v>
      </c>
      <c r="I20" s="23">
        <f t="shared" si="28"/>
        <v>4.9143599999999994</v>
      </c>
      <c r="J20" s="23">
        <f>C20+J19</f>
        <v>4.9143599999999994</v>
      </c>
      <c r="K20" s="23">
        <f t="shared" si="34"/>
        <v>5.2743599999999988</v>
      </c>
      <c r="L20" s="23">
        <f t="shared" si="7"/>
        <v>4.9143599999999994</v>
      </c>
      <c r="M20" s="23">
        <f t="shared" si="8"/>
        <v>4.9143599999999994</v>
      </c>
      <c r="N20" s="23">
        <f>(scatterplots_LWG_grazdays_CS!$V$4*$A20+scatterplots_LWG_grazdays_CS!$W$4)/1000</f>
        <v>0.23268</v>
      </c>
      <c r="O20" s="23">
        <f t="shared" si="17"/>
        <v>0.27267999999999998</v>
      </c>
      <c r="P20" s="23">
        <f t="shared" si="17"/>
        <v>0.31268000000000001</v>
      </c>
      <c r="Q20" s="23">
        <f t="shared" si="17"/>
        <v>0.35267999999999999</v>
      </c>
      <c r="R20" s="23">
        <f>(scatterplots_LWG_grazdays_CS!$V$4*$A20+scatterplots_LWG_grazdays_CS!$W$4)/1000+R19</f>
        <v>4.7604600000000001</v>
      </c>
      <c r="S20" s="23">
        <f t="shared" si="29"/>
        <v>4.7604600000000001</v>
      </c>
      <c r="T20" s="23">
        <f t="shared" si="18"/>
        <v>4.7604600000000001</v>
      </c>
      <c r="U20" s="23">
        <f t="shared" si="19"/>
        <v>4.7604600000000001</v>
      </c>
      <c r="V20" s="23">
        <f>(scatterplots_LWG_grazdays_CS!$V$5*$A20+scatterplots_LWG_grazdays_CS!$W$5)/1000</f>
        <v>0.22295999999999999</v>
      </c>
      <c r="W20" s="23">
        <f t="shared" si="11"/>
        <v>0.26295999999999997</v>
      </c>
      <c r="X20" s="23">
        <f t="shared" si="12"/>
        <v>0.30296000000000001</v>
      </c>
      <c r="Y20" s="23">
        <f t="shared" si="12"/>
        <v>0.34295999999999999</v>
      </c>
      <c r="Z20" s="23">
        <f>(scatterplots_LWG_grazdays_CS!$V$5*$A20+scatterplots_LWG_grazdays_CS!$W$5)/1000+Z19</f>
        <v>4.6681199999999992</v>
      </c>
      <c r="AA20" s="23">
        <f t="shared" si="20"/>
        <v>4.6681199999999992</v>
      </c>
      <c r="AB20" s="23">
        <f t="shared" si="21"/>
        <v>4.6681199999999992</v>
      </c>
      <c r="AC20" s="23">
        <f t="shared" si="22"/>
        <v>4.6681199999999992</v>
      </c>
      <c r="AD20" s="23">
        <f>(scatterplots_LWG_grazdays_CS!$V$6*$A20+scatterplots_LWG_grazdays_CS!$W$6)/1000</f>
        <v>0.20748000000000003</v>
      </c>
      <c r="AE20" s="23">
        <f t="shared" si="14"/>
        <v>0.24748000000000003</v>
      </c>
      <c r="AF20" s="23">
        <f t="shared" si="37"/>
        <v>0.28748000000000001</v>
      </c>
      <c r="AG20" s="23">
        <f t="shared" si="37"/>
        <v>0.32747999999999999</v>
      </c>
      <c r="AH20" s="23">
        <f>(scatterplots_LWG_grazdays_CS!$V$6*$A20+scatterplots_LWG_grazdays_CS!$W$6)/1000+AH19</f>
        <v>4.5210600000000012</v>
      </c>
      <c r="AI20" s="23">
        <f t="shared" si="15"/>
        <v>4.5210600000000012</v>
      </c>
      <c r="AJ20" s="23">
        <f t="shared" si="38"/>
        <v>4.5210600000000012</v>
      </c>
      <c r="AK20" s="23">
        <f t="shared" si="38"/>
        <v>4.5210600000000012</v>
      </c>
    </row>
    <row r="21" spans="1:78">
      <c r="A21" s="12">
        <v>19</v>
      </c>
      <c r="B21" s="12">
        <v>19</v>
      </c>
      <c r="C21" s="23">
        <f>(scatterplots_LWG_grazdays_CS!$V$3*$A21+scatterplots_LWG_grazdays_CS!$W$3)/1000</f>
        <v>0.24604000000000001</v>
      </c>
      <c r="D21" s="23">
        <f t="shared" si="6"/>
        <v>0.28604000000000002</v>
      </c>
      <c r="E21" s="23">
        <f t="shared" si="6"/>
        <v>0.32604</v>
      </c>
      <c r="F21" s="23">
        <f t="shared" si="6"/>
        <v>0.36604000000000003</v>
      </c>
      <c r="G21" s="23">
        <f>(scatterplots_LWG_grazdays_CS!$V$3*$A21+scatterplots_LWG_grazdays_CS!$W$3)/1000+G20</f>
        <v>5.1603999999999992</v>
      </c>
      <c r="H21" s="23">
        <f t="shared" si="27"/>
        <v>5.1603999999999992</v>
      </c>
      <c r="I21" s="23">
        <f t="shared" si="28"/>
        <v>5.1603999999999992</v>
      </c>
      <c r="J21" s="23">
        <f>C21+J20</f>
        <v>5.1603999999999992</v>
      </c>
      <c r="K21" s="23">
        <f t="shared" si="34"/>
        <v>5.5603999999999987</v>
      </c>
      <c r="L21" s="23">
        <f t="shared" si="7"/>
        <v>5.1603999999999992</v>
      </c>
      <c r="M21" s="23">
        <f t="shared" si="8"/>
        <v>5.1603999999999992</v>
      </c>
      <c r="N21" s="23">
        <f>(scatterplots_LWG_grazdays_CS!$V$4*$A21+scatterplots_LWG_grazdays_CS!$W$4)/1000</f>
        <v>0.22894</v>
      </c>
      <c r="O21" s="23">
        <f t="shared" si="17"/>
        <v>0.26894000000000001</v>
      </c>
      <c r="P21" s="23">
        <f t="shared" si="17"/>
        <v>0.30893999999999999</v>
      </c>
      <c r="Q21" s="23">
        <f t="shared" si="17"/>
        <v>0.34894000000000003</v>
      </c>
      <c r="R21" s="23">
        <f>(scatterplots_LWG_grazdays_CS!$V$4*$A21+scatterplots_LWG_grazdays_CS!$W$4)/1000+R20</f>
        <v>4.9893999999999998</v>
      </c>
      <c r="S21" s="23">
        <f t="shared" si="29"/>
        <v>4.9893999999999998</v>
      </c>
      <c r="T21" s="23">
        <f t="shared" si="18"/>
        <v>4.9893999999999998</v>
      </c>
      <c r="U21" s="23">
        <f t="shared" si="19"/>
        <v>4.9893999999999998</v>
      </c>
      <c r="V21" s="23">
        <f>(scatterplots_LWG_grazdays_CS!$V$5*$A21+scatterplots_LWG_grazdays_CS!$W$5)/1000</f>
        <v>0.21868000000000001</v>
      </c>
      <c r="W21" s="23">
        <f t="shared" si="11"/>
        <v>0.25868000000000002</v>
      </c>
      <c r="X21" s="23">
        <f t="shared" si="12"/>
        <v>0.29868</v>
      </c>
      <c r="Y21" s="23">
        <f t="shared" si="12"/>
        <v>0.33867999999999998</v>
      </c>
      <c r="Z21" s="23">
        <f>(scatterplots_LWG_grazdays_CS!$V$5*$A21+scatterplots_LWG_grazdays_CS!$W$5)/1000+Z20</f>
        <v>4.8867999999999991</v>
      </c>
      <c r="AA21" s="23">
        <f t="shared" si="20"/>
        <v>4.8867999999999991</v>
      </c>
      <c r="AB21" s="23">
        <f t="shared" si="21"/>
        <v>4.8867999999999991</v>
      </c>
      <c r="AC21" s="23">
        <f t="shared" si="22"/>
        <v>4.8867999999999991</v>
      </c>
      <c r="AD21" s="23">
        <f>(scatterplots_LWG_grazdays_CS!$V$6*$A21+scatterplots_LWG_grazdays_CS!$W$6)/1000</f>
        <v>0.20233999999999999</v>
      </c>
      <c r="AE21" s="23">
        <f t="shared" si="14"/>
        <v>0.24234</v>
      </c>
      <c r="AF21" s="23">
        <f t="shared" si="37"/>
        <v>0.28233999999999998</v>
      </c>
      <c r="AG21" s="23">
        <f t="shared" si="37"/>
        <v>0.32233999999999996</v>
      </c>
      <c r="AH21" s="23">
        <f>(scatterplots_LWG_grazdays_CS!$V$6*$A21+scatterplots_LWG_grazdays_CS!$W$6)/1000+AH20</f>
        <v>4.7234000000000016</v>
      </c>
      <c r="AI21" s="23">
        <f t="shared" si="15"/>
        <v>4.7234000000000016</v>
      </c>
      <c r="AJ21" s="23">
        <f t="shared" si="38"/>
        <v>4.7234000000000016</v>
      </c>
      <c r="AK21" s="23">
        <f t="shared" si="38"/>
        <v>4.7234000000000016</v>
      </c>
    </row>
    <row r="22" spans="1:78">
      <c r="A22" s="12">
        <v>20</v>
      </c>
      <c r="B22" s="12">
        <v>20</v>
      </c>
      <c r="C22" s="23">
        <f>(scatterplots_LWG_grazdays_CS!$V$3*$A22+scatterplots_LWG_grazdays_CS!$W$3)/1000</f>
        <v>0.2432</v>
      </c>
      <c r="D22" s="23">
        <f t="shared" si="6"/>
        <v>0.28320000000000001</v>
      </c>
      <c r="E22" s="23">
        <f t="shared" si="6"/>
        <v>0.32319999999999999</v>
      </c>
      <c r="F22" s="23">
        <f t="shared" si="6"/>
        <v>0.36319999999999997</v>
      </c>
      <c r="G22" s="23">
        <f>(scatterplots_LWG_grazdays_CS!$V$3*$A22+scatterplots_LWG_grazdays_CS!$W$3)/1000+G21</f>
        <v>5.4035999999999991</v>
      </c>
      <c r="H22" s="23">
        <f t="shared" si="27"/>
        <v>5.4035999999999991</v>
      </c>
      <c r="I22" s="23">
        <f t="shared" si="28"/>
        <v>5.4035999999999991</v>
      </c>
      <c r="J22" s="23">
        <f>D22+J21</f>
        <v>5.4435999999999991</v>
      </c>
      <c r="K22" s="23">
        <f t="shared" si="34"/>
        <v>5.8435999999999986</v>
      </c>
      <c r="L22" s="23">
        <f t="shared" si="7"/>
        <v>5.4035999999999991</v>
      </c>
      <c r="M22" s="23">
        <f t="shared" si="8"/>
        <v>5.4035999999999991</v>
      </c>
      <c r="N22" s="23">
        <f>(scatterplots_LWG_grazdays_CS!$V$4*$A22+scatterplots_LWG_grazdays_CS!$W$4)/1000</f>
        <v>0.22519999999999998</v>
      </c>
      <c r="O22" s="23">
        <f t="shared" si="17"/>
        <v>0.26519999999999999</v>
      </c>
      <c r="P22" s="23">
        <f t="shared" si="17"/>
        <v>0.30519999999999997</v>
      </c>
      <c r="Q22" s="23">
        <f t="shared" si="17"/>
        <v>0.34519999999999995</v>
      </c>
      <c r="R22" s="23">
        <f>(scatterplots_LWG_grazdays_CS!$V$4*$A22+scatterplots_LWG_grazdays_CS!$W$4)/1000+R21</f>
        <v>5.2145999999999999</v>
      </c>
      <c r="S22" s="23">
        <f t="shared" si="29"/>
        <v>5.2145999999999999</v>
      </c>
      <c r="T22" s="23">
        <f t="shared" si="18"/>
        <v>5.2145999999999999</v>
      </c>
      <c r="U22" s="23">
        <f t="shared" si="19"/>
        <v>5.2145999999999999</v>
      </c>
      <c r="V22" s="23">
        <f>(scatterplots_LWG_grazdays_CS!$V$5*$A22+scatterplots_LWG_grazdays_CS!$W$5)/1000</f>
        <v>0.21439999999999998</v>
      </c>
      <c r="W22" s="23">
        <f t="shared" si="11"/>
        <v>0.25439999999999996</v>
      </c>
      <c r="X22" s="23">
        <f t="shared" si="12"/>
        <v>0.2944</v>
      </c>
      <c r="Y22" s="23">
        <f t="shared" si="12"/>
        <v>0.33439999999999998</v>
      </c>
      <c r="Z22" s="23">
        <f>(scatterplots_LWG_grazdays_CS!$V$5*$A22+scatterplots_LWG_grazdays_CS!$W$5)/1000+Z21</f>
        <v>5.1011999999999995</v>
      </c>
      <c r="AA22" s="23">
        <f t="shared" si="20"/>
        <v>5.1011999999999995</v>
      </c>
      <c r="AB22" s="23">
        <f t="shared" si="21"/>
        <v>5.1011999999999995</v>
      </c>
      <c r="AC22" s="23">
        <f t="shared" si="22"/>
        <v>5.1011999999999995</v>
      </c>
      <c r="AD22" s="23">
        <f>(scatterplots_LWG_grazdays_CS!$V$6*$A22+scatterplots_LWG_grazdays_CS!$W$6)/1000</f>
        <v>0.19719999999999999</v>
      </c>
      <c r="AE22" s="23">
        <f t="shared" si="14"/>
        <v>0.23719999999999999</v>
      </c>
      <c r="AF22" s="23">
        <f t="shared" si="37"/>
        <v>0.2772</v>
      </c>
      <c r="AG22" s="23">
        <f t="shared" si="37"/>
        <v>0.31719999999999998</v>
      </c>
      <c r="AH22" s="23">
        <f>(scatterplots_LWG_grazdays_CS!$V$6*$A22+scatterplots_LWG_grazdays_CS!$W$6)/1000+AH21</f>
        <v>4.9206000000000012</v>
      </c>
      <c r="AI22" s="23">
        <f t="shared" si="15"/>
        <v>4.9206000000000012</v>
      </c>
      <c r="AJ22" s="23">
        <f t="shared" si="38"/>
        <v>4.9206000000000012</v>
      </c>
      <c r="AK22" s="23">
        <f t="shared" si="38"/>
        <v>4.9206000000000012</v>
      </c>
    </row>
    <row r="23" spans="1:78">
      <c r="A23" s="12">
        <v>21</v>
      </c>
      <c r="B23" s="12">
        <v>21</v>
      </c>
      <c r="C23" s="23">
        <f>(scatterplots_LWG_grazdays_CS!$V$3*$A23+scatterplots_LWG_grazdays_CS!$W$3)/1000</f>
        <v>0.24036000000000002</v>
      </c>
      <c r="D23" s="23">
        <f t="shared" si="6"/>
        <v>0.28036</v>
      </c>
      <c r="E23" s="23">
        <f t="shared" si="6"/>
        <v>0.32036000000000003</v>
      </c>
      <c r="F23" s="23">
        <f t="shared" si="6"/>
        <v>0.36036000000000001</v>
      </c>
      <c r="G23" s="23">
        <f>(scatterplots_LWG_grazdays_CS!$V$3*$A23+scatterplots_LWG_grazdays_CS!$W$3)/1000+G22</f>
        <v>5.643959999999999</v>
      </c>
      <c r="H23" s="23">
        <f t="shared" si="27"/>
        <v>5.643959999999999</v>
      </c>
      <c r="I23" s="23">
        <f t="shared" si="28"/>
        <v>5.643959999999999</v>
      </c>
      <c r="J23" s="23">
        <f>D23+J22</f>
        <v>5.723959999999999</v>
      </c>
      <c r="K23" s="23">
        <f t="shared" si="34"/>
        <v>6.1239599999999985</v>
      </c>
      <c r="L23" s="23">
        <f t="shared" si="7"/>
        <v>5.643959999999999</v>
      </c>
      <c r="M23" s="23">
        <f t="shared" si="8"/>
        <v>5.643959999999999</v>
      </c>
      <c r="N23" s="23">
        <f>(scatterplots_LWG_grazdays_CS!$V$4*$A23+scatterplots_LWG_grazdays_CS!$W$4)/1000</f>
        <v>0.22145999999999999</v>
      </c>
      <c r="O23" s="23">
        <f t="shared" si="17"/>
        <v>0.26145999999999997</v>
      </c>
      <c r="P23" s="23">
        <f t="shared" si="17"/>
        <v>0.30146000000000001</v>
      </c>
      <c r="Q23" s="23">
        <f t="shared" si="17"/>
        <v>0.34145999999999999</v>
      </c>
      <c r="R23" s="23">
        <f>(scatterplots_LWG_grazdays_CS!$V$4*$A23+scatterplots_LWG_grazdays_CS!$W$4)/1000+R22</f>
        <v>5.4360599999999994</v>
      </c>
      <c r="S23" s="23">
        <f t="shared" si="29"/>
        <v>5.4360599999999994</v>
      </c>
      <c r="T23" s="23">
        <f t="shared" si="18"/>
        <v>5.4360599999999994</v>
      </c>
      <c r="U23" s="23">
        <f t="shared" si="19"/>
        <v>5.4360599999999994</v>
      </c>
      <c r="V23" s="23">
        <f>(scatterplots_LWG_grazdays_CS!$V$5*$A23+scatterplots_LWG_grazdays_CS!$W$5)/1000</f>
        <v>0.21012</v>
      </c>
      <c r="W23" s="23">
        <f t="shared" si="11"/>
        <v>0.25012000000000001</v>
      </c>
      <c r="X23" s="23">
        <f t="shared" si="12"/>
        <v>0.29011999999999999</v>
      </c>
      <c r="Y23" s="23">
        <f t="shared" si="12"/>
        <v>0.33011999999999997</v>
      </c>
      <c r="Z23" s="23">
        <f>(scatterplots_LWG_grazdays_CS!$V$5*$A23+scatterplots_LWG_grazdays_CS!$W$5)/1000+Z22</f>
        <v>5.3113199999999994</v>
      </c>
      <c r="AA23" s="23">
        <f t="shared" si="20"/>
        <v>5.3113199999999994</v>
      </c>
      <c r="AB23" s="23">
        <f t="shared" si="21"/>
        <v>5.3113199999999994</v>
      </c>
      <c r="AC23" s="23">
        <f t="shared" si="22"/>
        <v>5.3113199999999994</v>
      </c>
      <c r="AD23" s="23">
        <f>(scatterplots_LWG_grazdays_CS!$V$6*$A23+scatterplots_LWG_grazdays_CS!$W$6)/1000</f>
        <v>0.19206000000000001</v>
      </c>
      <c r="AE23" s="23">
        <f t="shared" si="14"/>
        <v>0.23206000000000002</v>
      </c>
      <c r="AF23" s="23">
        <f t="shared" si="37"/>
        <v>0.27206000000000002</v>
      </c>
      <c r="AG23" s="23">
        <f t="shared" si="37"/>
        <v>0.31206</v>
      </c>
      <c r="AH23" s="23">
        <f>(scatterplots_LWG_grazdays_CS!$V$6*$A23+scatterplots_LWG_grazdays_CS!$W$6)/1000+AH22</f>
        <v>5.1126600000000009</v>
      </c>
      <c r="AI23" s="23">
        <f t="shared" si="15"/>
        <v>5.1126600000000009</v>
      </c>
      <c r="AJ23" s="23">
        <f t="shared" si="38"/>
        <v>5.1126600000000009</v>
      </c>
      <c r="AK23" s="23">
        <f t="shared" si="38"/>
        <v>5.1126600000000009</v>
      </c>
    </row>
    <row r="24" spans="1:78">
      <c r="A24" s="12">
        <v>22</v>
      </c>
      <c r="B24" s="12">
        <v>22</v>
      </c>
      <c r="C24" s="23">
        <f>(scatterplots_LWG_grazdays_CS!$V$3*$A24+scatterplots_LWG_grazdays_CS!$W$3)/1000</f>
        <v>0.23752000000000001</v>
      </c>
      <c r="D24" s="23">
        <f t="shared" si="6"/>
        <v>0.27751999999999999</v>
      </c>
      <c r="E24" s="23">
        <f t="shared" si="6"/>
        <v>0.31752000000000002</v>
      </c>
      <c r="F24" s="23">
        <f t="shared" si="6"/>
        <v>0.35752</v>
      </c>
      <c r="G24" s="23">
        <f>(scatterplots_LWG_grazdays_CS!$V$3*$A24+scatterplots_LWG_grazdays_CS!$W$3)/1000+G23</f>
        <v>5.8814799999999989</v>
      </c>
      <c r="H24" s="23">
        <f t="shared" si="27"/>
        <v>5.8814799999999989</v>
      </c>
      <c r="I24" s="23">
        <f t="shared" si="28"/>
        <v>5.8814799999999989</v>
      </c>
      <c r="J24" s="23">
        <f t="shared" ref="J24:J80" si="39">D24+J23</f>
        <v>6.001479999999999</v>
      </c>
      <c r="K24" s="23">
        <f t="shared" si="34"/>
        <v>6.4014799999999985</v>
      </c>
      <c r="L24" s="23">
        <f t="shared" si="7"/>
        <v>5.8814799999999989</v>
      </c>
      <c r="M24" s="23">
        <f t="shared" si="8"/>
        <v>5.8814799999999989</v>
      </c>
      <c r="N24" s="23">
        <f>(scatterplots_LWG_grazdays_CS!$V$4*$A24+scatterplots_LWG_grazdays_CS!$W$4)/1000</f>
        <v>0.21772</v>
      </c>
      <c r="O24" s="23">
        <f t="shared" si="17"/>
        <v>0.25772</v>
      </c>
      <c r="P24" s="23">
        <f t="shared" si="17"/>
        <v>0.29771999999999998</v>
      </c>
      <c r="Q24" s="23">
        <f t="shared" si="17"/>
        <v>0.33772000000000002</v>
      </c>
      <c r="R24" s="23">
        <f>(scatterplots_LWG_grazdays_CS!$V$4*$A24+scatterplots_LWG_grazdays_CS!$W$4)/1000+R23</f>
        <v>5.6537799999999994</v>
      </c>
      <c r="S24" s="23">
        <f t="shared" si="29"/>
        <v>5.6537799999999994</v>
      </c>
      <c r="T24" s="23">
        <f t="shared" si="18"/>
        <v>5.6537799999999994</v>
      </c>
      <c r="U24" s="23">
        <f t="shared" si="19"/>
        <v>5.6537799999999994</v>
      </c>
      <c r="V24" s="23">
        <f>(scatterplots_LWG_grazdays_CS!$V$5*$A24+scatterplots_LWG_grazdays_CS!$W$5)/1000</f>
        <v>0.20583999999999997</v>
      </c>
      <c r="W24" s="23">
        <f t="shared" si="11"/>
        <v>0.24583999999999998</v>
      </c>
      <c r="X24" s="23">
        <f t="shared" si="12"/>
        <v>0.28583999999999998</v>
      </c>
      <c r="Y24" s="23">
        <f t="shared" si="12"/>
        <v>0.32583999999999996</v>
      </c>
      <c r="Z24" s="23">
        <f>(scatterplots_LWG_grazdays_CS!$V$5*$A24+scatterplots_LWG_grazdays_CS!$W$5)/1000+Z23</f>
        <v>5.5171599999999996</v>
      </c>
      <c r="AA24" s="23">
        <f t="shared" si="20"/>
        <v>5.5171599999999996</v>
      </c>
      <c r="AB24" s="23">
        <f t="shared" si="21"/>
        <v>5.5171599999999996</v>
      </c>
      <c r="AC24" s="23">
        <f t="shared" si="22"/>
        <v>5.5171599999999996</v>
      </c>
      <c r="AD24" s="23">
        <f>(scatterplots_LWG_grazdays_CS!$V$6*$A24+scatterplots_LWG_grazdays_CS!$W$6)/1000</f>
        <v>0.18692</v>
      </c>
      <c r="AE24" s="23">
        <f t="shared" si="14"/>
        <v>0.22692000000000001</v>
      </c>
      <c r="AF24" s="23">
        <f t="shared" si="37"/>
        <v>0.26691999999999999</v>
      </c>
      <c r="AG24" s="23">
        <f t="shared" si="37"/>
        <v>0.30691999999999997</v>
      </c>
      <c r="AH24" s="23">
        <f>(scatterplots_LWG_grazdays_CS!$V$6*$A24+scatterplots_LWG_grazdays_CS!$W$6)/1000+AH23</f>
        <v>5.2995800000000006</v>
      </c>
      <c r="AI24" s="23">
        <f t="shared" si="15"/>
        <v>5.2995800000000006</v>
      </c>
      <c r="AJ24" s="23">
        <f t="shared" si="38"/>
        <v>5.2995800000000006</v>
      </c>
      <c r="AK24" s="23">
        <f t="shared" si="38"/>
        <v>5.2995800000000006</v>
      </c>
      <c r="BY24" t="s">
        <v>626</v>
      </c>
      <c r="BZ24" s="12" t="s">
        <v>627</v>
      </c>
    </row>
    <row r="25" spans="1:78">
      <c r="A25" s="12">
        <v>23</v>
      </c>
      <c r="B25" s="12">
        <v>23</v>
      </c>
      <c r="C25" s="23">
        <f>(scatterplots_LWG_grazdays_CS!$V$3*$A25+scatterplots_LWG_grazdays_CS!$W$3)/1000</f>
        <v>0.23468</v>
      </c>
      <c r="D25" s="23">
        <f t="shared" si="6"/>
        <v>0.27467999999999998</v>
      </c>
      <c r="E25" s="23">
        <f t="shared" si="6"/>
        <v>0.31468000000000002</v>
      </c>
      <c r="F25" s="23">
        <f t="shared" si="6"/>
        <v>0.35468</v>
      </c>
      <c r="G25" s="23">
        <f>(scatterplots_LWG_grazdays_CS!$V$3*$A25+scatterplots_LWG_grazdays_CS!$W$3)/1000+G24</f>
        <v>6.1161599999999989</v>
      </c>
      <c r="H25" s="23">
        <f t="shared" si="27"/>
        <v>6.1161599999999989</v>
      </c>
      <c r="I25" s="23">
        <f t="shared" si="28"/>
        <v>6.1161599999999989</v>
      </c>
      <c r="J25" s="23">
        <f t="shared" si="39"/>
        <v>6.2761599999999991</v>
      </c>
      <c r="K25" s="23">
        <f t="shared" si="34"/>
        <v>6.6761599999999985</v>
      </c>
      <c r="L25" s="23">
        <f t="shared" si="7"/>
        <v>6.1161599999999989</v>
      </c>
      <c r="M25" s="23">
        <f t="shared" si="8"/>
        <v>6.1161599999999989</v>
      </c>
      <c r="N25" s="23">
        <f>(scatterplots_LWG_grazdays_CS!$V$4*$A25+scatterplots_LWG_grazdays_CS!$W$4)/1000</f>
        <v>0.21398</v>
      </c>
      <c r="O25" s="23">
        <f t="shared" si="17"/>
        <v>0.25397999999999998</v>
      </c>
      <c r="P25" s="23">
        <f t="shared" si="17"/>
        <v>0.29398000000000002</v>
      </c>
      <c r="Q25" s="23">
        <f t="shared" si="17"/>
        <v>0.33398</v>
      </c>
      <c r="R25" s="23">
        <f>(scatterplots_LWG_grazdays_CS!$V$4*$A25+scatterplots_LWG_grazdays_CS!$W$4)/1000+R24</f>
        <v>5.8677599999999996</v>
      </c>
      <c r="S25" s="23">
        <f t="shared" si="29"/>
        <v>5.8677599999999996</v>
      </c>
      <c r="T25" s="23">
        <f t="shared" si="18"/>
        <v>5.8677599999999996</v>
      </c>
      <c r="U25" s="23">
        <f t="shared" si="19"/>
        <v>5.8677599999999996</v>
      </c>
      <c r="V25" s="23">
        <f>(scatterplots_LWG_grazdays_CS!$V$5*$A25+scatterplots_LWG_grazdays_CS!$W$5)/1000</f>
        <v>0.20155999999999999</v>
      </c>
      <c r="W25" s="23">
        <f t="shared" si="11"/>
        <v>0.24156</v>
      </c>
      <c r="X25" s="23">
        <f t="shared" si="12"/>
        <v>0.28155999999999998</v>
      </c>
      <c r="Y25" s="23">
        <f t="shared" si="12"/>
        <v>0.32155999999999996</v>
      </c>
      <c r="Z25" s="23">
        <f>(scatterplots_LWG_grazdays_CS!$V$5*$A25+scatterplots_LWG_grazdays_CS!$W$5)/1000+Z24</f>
        <v>5.7187199999999994</v>
      </c>
      <c r="AA25" s="23">
        <f t="shared" si="20"/>
        <v>5.7187199999999994</v>
      </c>
      <c r="AB25" s="23">
        <f t="shared" si="21"/>
        <v>5.7187199999999994</v>
      </c>
      <c r="AC25" s="23">
        <f t="shared" si="22"/>
        <v>5.7187199999999994</v>
      </c>
      <c r="AD25" s="23">
        <f>(scatterplots_LWG_grazdays_CS!$V$6*$A25+scatterplots_LWG_grazdays_CS!$W$6)/1000</f>
        <v>0.18178</v>
      </c>
      <c r="AE25" s="23">
        <f t="shared" si="14"/>
        <v>0.22178</v>
      </c>
      <c r="AF25" s="23">
        <f t="shared" si="37"/>
        <v>0.26178000000000001</v>
      </c>
      <c r="AG25" s="23">
        <f t="shared" si="37"/>
        <v>0.30177999999999999</v>
      </c>
      <c r="AH25" s="23">
        <f>(scatterplots_LWG_grazdays_CS!$V$6*$A25+scatterplots_LWG_grazdays_CS!$W$6)/1000+AH24</f>
        <v>5.4813600000000005</v>
      </c>
      <c r="AI25" s="23">
        <f t="shared" si="15"/>
        <v>5.4813600000000005</v>
      </c>
      <c r="AJ25" s="23">
        <f t="shared" si="38"/>
        <v>5.4813600000000005</v>
      </c>
      <c r="AK25" s="23">
        <f t="shared" si="38"/>
        <v>5.4813600000000005</v>
      </c>
      <c r="BY25">
        <v>0</v>
      </c>
      <c r="BZ25" s="23">
        <f>(scatterplots_LWG_grazdays_CS!$V$3*$A178+scatterplots_LWG_grazdays_CS!$W$3)/1000</f>
        <v>-0.19983999999999996</v>
      </c>
    </row>
    <row r="26" spans="1:78">
      <c r="A26" s="12">
        <v>24</v>
      </c>
      <c r="B26" s="12">
        <v>24</v>
      </c>
      <c r="C26" s="23">
        <f>(scatterplots_LWG_grazdays_CS!$V$3*$A26+scatterplots_LWG_grazdays_CS!$W$3)/1000</f>
        <v>0.23183999999999999</v>
      </c>
      <c r="D26" s="23">
        <f t="shared" si="6"/>
        <v>0.27183999999999997</v>
      </c>
      <c r="E26" s="23">
        <f t="shared" si="6"/>
        <v>0.31184000000000001</v>
      </c>
      <c r="F26" s="23">
        <f t="shared" si="6"/>
        <v>0.35183999999999999</v>
      </c>
      <c r="G26" s="23">
        <f>(scatterplots_LWG_grazdays_CS!$V$3*$A26+scatterplots_LWG_grazdays_CS!$W$3)/1000+G25</f>
        <v>6.347999999999999</v>
      </c>
      <c r="H26" s="23">
        <f t="shared" si="27"/>
        <v>6.347999999999999</v>
      </c>
      <c r="I26" s="23">
        <f t="shared" si="28"/>
        <v>6.347999999999999</v>
      </c>
      <c r="J26" s="23">
        <f t="shared" si="39"/>
        <v>6.5479999999999992</v>
      </c>
      <c r="K26" s="23">
        <f t="shared" si="34"/>
        <v>6.9479999999999986</v>
      </c>
      <c r="L26" s="23">
        <f t="shared" si="7"/>
        <v>6.347999999999999</v>
      </c>
      <c r="M26" s="23">
        <f t="shared" si="8"/>
        <v>6.347999999999999</v>
      </c>
      <c r="N26" s="23">
        <f>(scatterplots_LWG_grazdays_CS!$V$4*$A26+scatterplots_LWG_grazdays_CS!$W$4)/1000</f>
        <v>0.21024000000000001</v>
      </c>
      <c r="O26" s="23">
        <f t="shared" si="17"/>
        <v>0.25024000000000002</v>
      </c>
      <c r="P26" s="23">
        <f t="shared" si="17"/>
        <v>0.29024</v>
      </c>
      <c r="Q26" s="23">
        <f t="shared" si="17"/>
        <v>0.33023999999999998</v>
      </c>
      <c r="R26" s="23">
        <f>(scatterplots_LWG_grazdays_CS!$V$4*$A26+scatterplots_LWG_grazdays_CS!$W$4)/1000+R25</f>
        <v>6.0779999999999994</v>
      </c>
      <c r="S26" s="23">
        <f t="shared" si="29"/>
        <v>6.0779999999999994</v>
      </c>
      <c r="T26" s="23">
        <f t="shared" si="18"/>
        <v>6.0779999999999994</v>
      </c>
      <c r="U26" s="23">
        <f t="shared" si="19"/>
        <v>6.0779999999999994</v>
      </c>
      <c r="V26" s="23">
        <f>(scatterplots_LWG_grazdays_CS!$V$5*$A26+scatterplots_LWG_grazdays_CS!$W$5)/1000</f>
        <v>0.19728000000000001</v>
      </c>
      <c r="W26" s="23">
        <f t="shared" si="11"/>
        <v>0.23728000000000002</v>
      </c>
      <c r="X26" s="23">
        <f t="shared" si="12"/>
        <v>0.27728000000000003</v>
      </c>
      <c r="Y26" s="23">
        <f t="shared" si="12"/>
        <v>0.31728000000000001</v>
      </c>
      <c r="Z26" s="23">
        <f>(scatterplots_LWG_grazdays_CS!$V$5*$A26+scatterplots_LWG_grazdays_CS!$W$5)/1000+Z25</f>
        <v>5.9159999999999995</v>
      </c>
      <c r="AA26" s="23">
        <f t="shared" si="20"/>
        <v>5.9159999999999995</v>
      </c>
      <c r="AB26" s="23">
        <f t="shared" si="21"/>
        <v>5.9159999999999995</v>
      </c>
      <c r="AC26" s="23">
        <f t="shared" si="22"/>
        <v>5.9159999999999995</v>
      </c>
      <c r="AD26" s="23">
        <f>(scatterplots_LWG_grazdays_CS!$V$6*$A26+scatterplots_LWG_grazdays_CS!$W$6)/1000</f>
        <v>0.17664000000000002</v>
      </c>
      <c r="AE26" s="23">
        <f t="shared" si="14"/>
        <v>0.21664000000000003</v>
      </c>
      <c r="AF26" s="23">
        <f t="shared" si="37"/>
        <v>0.25664000000000003</v>
      </c>
      <c r="AG26" s="23">
        <f t="shared" si="37"/>
        <v>0.29664000000000001</v>
      </c>
      <c r="AH26" s="23">
        <f>(scatterplots_LWG_grazdays_CS!$V$6*$A26+scatterplots_LWG_grazdays_CS!$W$6)/1000+AH25</f>
        <v>5.6580000000000004</v>
      </c>
      <c r="AI26" s="23">
        <f t="shared" si="15"/>
        <v>5.6580000000000004</v>
      </c>
      <c r="AJ26" s="23">
        <f t="shared" si="38"/>
        <v>5.6580000000000004</v>
      </c>
      <c r="AK26" s="23">
        <f t="shared" si="38"/>
        <v>5.6580000000000004</v>
      </c>
      <c r="BB26" s="12"/>
      <c r="BC26" s="12"/>
      <c r="BD26" s="12"/>
      <c r="BY26">
        <v>100</v>
      </c>
      <c r="BZ26" s="23">
        <f>BZ$25+D$1/1000</f>
        <v>-0.15983999999999995</v>
      </c>
    </row>
    <row r="27" spans="1:78">
      <c r="A27" s="12">
        <v>25</v>
      </c>
      <c r="B27" s="12">
        <v>25</v>
      </c>
      <c r="C27" s="23">
        <f>(scatterplots_LWG_grazdays_CS!$V$3*$A27+scatterplots_LWG_grazdays_CS!$W$3)/1000</f>
        <v>0.22900000000000001</v>
      </c>
      <c r="D27" s="23">
        <f t="shared" si="6"/>
        <v>0.26900000000000002</v>
      </c>
      <c r="E27" s="23">
        <f t="shared" si="6"/>
        <v>0.309</v>
      </c>
      <c r="F27" s="23">
        <f t="shared" si="6"/>
        <v>0.34899999999999998</v>
      </c>
      <c r="G27" s="23">
        <f>(scatterplots_LWG_grazdays_CS!$V$3*$A27+scatterplots_LWG_grazdays_CS!$W$3)/1000+G26</f>
        <v>6.5769999999999991</v>
      </c>
      <c r="H27" s="23">
        <f t="shared" si="27"/>
        <v>6.5769999999999991</v>
      </c>
      <c r="I27" s="23">
        <f t="shared" si="28"/>
        <v>6.5769999999999991</v>
      </c>
      <c r="J27" s="23">
        <f t="shared" si="39"/>
        <v>6.8169999999999993</v>
      </c>
      <c r="K27" s="23">
        <f t="shared" si="34"/>
        <v>7.2169999999999987</v>
      </c>
      <c r="L27" s="23">
        <f t="shared" si="7"/>
        <v>6.5769999999999991</v>
      </c>
      <c r="M27" s="23">
        <f t="shared" si="8"/>
        <v>6.5769999999999991</v>
      </c>
      <c r="N27" s="23">
        <f>(scatterplots_LWG_grazdays_CS!$V$4*$A27+scatterplots_LWG_grazdays_CS!$W$4)/1000</f>
        <v>0.20649999999999999</v>
      </c>
      <c r="O27" s="23">
        <f t="shared" si="17"/>
        <v>0.2465</v>
      </c>
      <c r="P27" s="23">
        <f t="shared" si="17"/>
        <v>0.28649999999999998</v>
      </c>
      <c r="Q27" s="23">
        <f t="shared" si="17"/>
        <v>0.32650000000000001</v>
      </c>
      <c r="R27" s="23">
        <f>(scatterplots_LWG_grazdays_CS!$V$4*$A27+scatterplots_LWG_grazdays_CS!$W$4)/1000+R26</f>
        <v>6.2844999999999995</v>
      </c>
      <c r="S27" s="23">
        <f t="shared" si="29"/>
        <v>6.2844999999999995</v>
      </c>
      <c r="T27" s="23">
        <f t="shared" si="18"/>
        <v>6.2844999999999995</v>
      </c>
      <c r="U27" s="23">
        <f t="shared" si="19"/>
        <v>6.2844999999999995</v>
      </c>
      <c r="V27" s="23">
        <f>(scatterplots_LWG_grazdays_CS!$V$5*$A27+scatterplots_LWG_grazdays_CS!$W$5)/1000</f>
        <v>0.193</v>
      </c>
      <c r="W27" s="23">
        <f t="shared" si="11"/>
        <v>0.23300000000000001</v>
      </c>
      <c r="X27" s="23">
        <f t="shared" si="12"/>
        <v>0.27300000000000002</v>
      </c>
      <c r="Y27" s="23">
        <f t="shared" si="12"/>
        <v>0.313</v>
      </c>
      <c r="Z27" s="23">
        <f>(scatterplots_LWG_grazdays_CS!$V$5*$A27+scatterplots_LWG_grazdays_CS!$W$5)/1000+Z26</f>
        <v>6.1089999999999991</v>
      </c>
      <c r="AA27" s="23">
        <f t="shared" si="20"/>
        <v>6.1089999999999991</v>
      </c>
      <c r="AB27" s="23">
        <f t="shared" si="21"/>
        <v>6.1089999999999991</v>
      </c>
      <c r="AC27" s="23">
        <f t="shared" si="22"/>
        <v>6.1089999999999991</v>
      </c>
      <c r="AD27" s="23">
        <f>(scatterplots_LWG_grazdays_CS!$V$6*$A27+scatterplots_LWG_grazdays_CS!$W$6)/1000</f>
        <v>0.17150000000000001</v>
      </c>
      <c r="AE27" s="23">
        <f t="shared" si="14"/>
        <v>0.21150000000000002</v>
      </c>
      <c r="AF27" s="23">
        <f t="shared" si="37"/>
        <v>0.2515</v>
      </c>
      <c r="AG27" s="23">
        <f t="shared" si="37"/>
        <v>0.29149999999999998</v>
      </c>
      <c r="AH27" s="23">
        <f>(scatterplots_LWG_grazdays_CS!$V$6*$A27+scatterplots_LWG_grazdays_CS!$W$6)/1000+AH26</f>
        <v>5.8295000000000003</v>
      </c>
      <c r="AI27" s="23">
        <f t="shared" si="15"/>
        <v>5.8295000000000003</v>
      </c>
      <c r="AJ27" s="23">
        <f t="shared" si="38"/>
        <v>5.8295000000000003</v>
      </c>
      <c r="AK27" s="23">
        <f t="shared" si="38"/>
        <v>5.8295000000000003</v>
      </c>
      <c r="BB27" s="12"/>
      <c r="BC27" s="12"/>
      <c r="BD27" s="12"/>
      <c r="BY27">
        <v>200</v>
      </c>
      <c r="BZ27" s="23">
        <f>BZ$25+E$1/1000</f>
        <v>-0.11983999999999996</v>
      </c>
    </row>
    <row r="28" spans="1:78">
      <c r="A28" s="12">
        <v>26</v>
      </c>
      <c r="B28" s="12">
        <v>26</v>
      </c>
      <c r="C28" s="23">
        <f>(scatterplots_LWG_grazdays_CS!$V$3*$A28+scatterplots_LWG_grazdays_CS!$W$3)/1000</f>
        <v>0.22616</v>
      </c>
      <c r="D28" s="23">
        <f t="shared" si="6"/>
        <v>0.26616000000000001</v>
      </c>
      <c r="E28" s="23">
        <f t="shared" si="6"/>
        <v>0.30615999999999999</v>
      </c>
      <c r="F28" s="23">
        <f t="shared" si="6"/>
        <v>0.34616000000000002</v>
      </c>
      <c r="G28" s="23">
        <f>(scatterplots_LWG_grazdays_CS!$V$3*$A28+scatterplots_LWG_grazdays_CS!$W$3)/1000+G27</f>
        <v>6.8031599999999992</v>
      </c>
      <c r="H28" s="23">
        <f t="shared" si="27"/>
        <v>6.8031599999999992</v>
      </c>
      <c r="I28" s="23">
        <f t="shared" si="28"/>
        <v>6.8031599999999992</v>
      </c>
      <c r="J28" s="23">
        <f t="shared" si="39"/>
        <v>7.0831599999999995</v>
      </c>
      <c r="K28" s="23">
        <f t="shared" si="34"/>
        <v>7.4831599999999989</v>
      </c>
      <c r="L28" s="23">
        <f t="shared" si="7"/>
        <v>6.8031599999999992</v>
      </c>
      <c r="M28" s="23">
        <f t="shared" si="8"/>
        <v>6.8031599999999992</v>
      </c>
      <c r="N28" s="23">
        <f>(scatterplots_LWG_grazdays_CS!$V$4*$A28+scatterplots_LWG_grazdays_CS!$W$4)/1000</f>
        <v>0.20276</v>
      </c>
      <c r="O28" s="23">
        <f t="shared" si="17"/>
        <v>0.24276</v>
      </c>
      <c r="P28" s="23">
        <f t="shared" si="17"/>
        <v>0.28276000000000001</v>
      </c>
      <c r="Q28" s="23">
        <f t="shared" si="17"/>
        <v>0.32275999999999999</v>
      </c>
      <c r="R28" s="23">
        <f>(scatterplots_LWG_grazdays_CS!$V$4*$A28+scatterplots_LWG_grazdays_CS!$W$4)/1000+R27</f>
        <v>6.4872599999999991</v>
      </c>
      <c r="S28" s="23">
        <f t="shared" si="29"/>
        <v>6.4872599999999991</v>
      </c>
      <c r="T28" s="23">
        <f t="shared" si="18"/>
        <v>6.4872599999999991</v>
      </c>
      <c r="U28" s="23">
        <f t="shared" si="19"/>
        <v>6.4872599999999991</v>
      </c>
      <c r="V28" s="23">
        <f>(scatterplots_LWG_grazdays_CS!$V$5*$A28+scatterplots_LWG_grazdays_CS!$W$5)/1000</f>
        <v>0.18872</v>
      </c>
      <c r="W28" s="23">
        <f t="shared" si="11"/>
        <v>0.22872000000000001</v>
      </c>
      <c r="X28" s="23">
        <f t="shared" si="12"/>
        <v>0.26872000000000001</v>
      </c>
      <c r="Y28" s="23">
        <f t="shared" si="12"/>
        <v>0.30871999999999999</v>
      </c>
      <c r="Z28" s="23">
        <f>(scatterplots_LWG_grazdays_CS!$V$5*$A28+scatterplots_LWG_grazdays_CS!$W$5)/1000+Z27</f>
        <v>6.2977199999999991</v>
      </c>
      <c r="AA28" s="23">
        <f t="shared" si="20"/>
        <v>6.2977199999999991</v>
      </c>
      <c r="AB28" s="23">
        <f t="shared" si="21"/>
        <v>6.2977199999999991</v>
      </c>
      <c r="AC28" s="23">
        <f t="shared" si="22"/>
        <v>6.2977199999999991</v>
      </c>
      <c r="AD28" s="23">
        <f>(scatterplots_LWG_grazdays_CS!$V$6*$A28+scatterplots_LWG_grazdays_CS!$W$6)/1000</f>
        <v>0.16636000000000001</v>
      </c>
      <c r="AE28" s="23">
        <f t="shared" si="14"/>
        <v>0.20636000000000002</v>
      </c>
      <c r="AF28" s="23">
        <f t="shared" si="37"/>
        <v>0.24636000000000002</v>
      </c>
      <c r="AG28" s="23">
        <f t="shared" si="37"/>
        <v>0.28636</v>
      </c>
      <c r="AH28" s="23">
        <f>(scatterplots_LWG_grazdays_CS!$V$6*$A28+scatterplots_LWG_grazdays_CS!$W$6)/1000+AH27</f>
        <v>5.9958600000000004</v>
      </c>
      <c r="AI28" s="23">
        <f t="shared" si="15"/>
        <v>5.9958600000000004</v>
      </c>
      <c r="AJ28" s="23">
        <f t="shared" si="38"/>
        <v>5.9958600000000004</v>
      </c>
      <c r="AK28" s="23">
        <f t="shared" si="38"/>
        <v>5.9958600000000004</v>
      </c>
      <c r="BB28" s="12"/>
      <c r="BC28" s="12"/>
      <c r="BD28" s="12"/>
      <c r="BY28">
        <v>300</v>
      </c>
      <c r="BZ28" s="23">
        <f>BZ$25+F$1/1000</f>
        <v>-7.9839999999999967E-2</v>
      </c>
    </row>
    <row r="29" spans="1:78">
      <c r="A29" s="12">
        <v>27</v>
      </c>
      <c r="B29" s="12">
        <v>27</v>
      </c>
      <c r="C29" s="23">
        <f>(scatterplots_LWG_grazdays_CS!$V$3*$A29+scatterplots_LWG_grazdays_CS!$W$3)/1000</f>
        <v>0.22331999999999999</v>
      </c>
      <c r="D29" s="23">
        <f t="shared" si="6"/>
        <v>0.26332</v>
      </c>
      <c r="E29" s="23">
        <f t="shared" si="6"/>
        <v>0.30331999999999998</v>
      </c>
      <c r="F29" s="23">
        <f t="shared" si="6"/>
        <v>0.34331999999999996</v>
      </c>
      <c r="G29" s="23">
        <f>(scatterplots_LWG_grazdays_CS!$V$3*$A29+scatterplots_LWG_grazdays_CS!$W$3)/1000+G28</f>
        <v>7.0264799999999994</v>
      </c>
      <c r="H29" s="23">
        <f t="shared" si="27"/>
        <v>7.0264799999999994</v>
      </c>
      <c r="I29" s="23">
        <f t="shared" si="28"/>
        <v>7.0264799999999994</v>
      </c>
      <c r="J29" s="23">
        <f t="shared" si="39"/>
        <v>7.3464799999999997</v>
      </c>
      <c r="K29" s="23">
        <f t="shared" si="34"/>
        <v>7.7464799999999991</v>
      </c>
      <c r="L29" s="23">
        <f t="shared" si="7"/>
        <v>7.0264799999999994</v>
      </c>
      <c r="M29" s="23">
        <f t="shared" si="8"/>
        <v>7.0264799999999994</v>
      </c>
      <c r="N29" s="23">
        <f>(scatterplots_LWG_grazdays_CS!$V$4*$A29+scatterplots_LWG_grazdays_CS!$W$4)/1000</f>
        <v>0.19901999999999997</v>
      </c>
      <c r="O29" s="23">
        <f t="shared" si="17"/>
        <v>0.23901999999999998</v>
      </c>
      <c r="P29" s="23">
        <f t="shared" si="17"/>
        <v>0.27901999999999999</v>
      </c>
      <c r="Q29" s="23">
        <f t="shared" si="17"/>
        <v>0.31901999999999997</v>
      </c>
      <c r="R29" s="23">
        <f>(scatterplots_LWG_grazdays_CS!$V$4*$A29+scatterplots_LWG_grazdays_CS!$W$4)/1000+R28</f>
        <v>6.6862799999999991</v>
      </c>
      <c r="S29" s="23">
        <f t="shared" si="29"/>
        <v>6.6862799999999991</v>
      </c>
      <c r="T29" s="23">
        <f t="shared" si="18"/>
        <v>6.6862799999999991</v>
      </c>
      <c r="U29" s="23">
        <f t="shared" si="19"/>
        <v>6.6862799999999991</v>
      </c>
      <c r="V29" s="23">
        <f>(scatterplots_LWG_grazdays_CS!$V$5*$A29+scatterplots_LWG_grazdays_CS!$W$5)/1000</f>
        <v>0.18443999999999999</v>
      </c>
      <c r="W29" s="23">
        <f t="shared" si="11"/>
        <v>0.22444</v>
      </c>
      <c r="X29" s="23">
        <f t="shared" si="12"/>
        <v>0.26444000000000001</v>
      </c>
      <c r="Y29" s="23">
        <f t="shared" si="12"/>
        <v>0.30443999999999999</v>
      </c>
      <c r="Z29" s="23">
        <f>(scatterplots_LWG_grazdays_CS!$V$5*$A29+scatterplots_LWG_grazdays_CS!$W$5)/1000+Z28</f>
        <v>6.4821599999999995</v>
      </c>
      <c r="AA29" s="23">
        <f t="shared" si="20"/>
        <v>6.4821599999999995</v>
      </c>
      <c r="AB29" s="23">
        <f t="shared" si="21"/>
        <v>6.4821599999999995</v>
      </c>
      <c r="AC29" s="23">
        <f t="shared" si="22"/>
        <v>6.4821599999999995</v>
      </c>
      <c r="AD29" s="23">
        <f>(scatterplots_LWG_grazdays_CS!$V$6*$A29+scatterplots_LWG_grazdays_CS!$W$6)/1000</f>
        <v>0.16122</v>
      </c>
      <c r="AE29" s="23">
        <f t="shared" si="14"/>
        <v>0.20122000000000001</v>
      </c>
      <c r="AF29" s="23">
        <f t="shared" si="37"/>
        <v>0.24121999999999999</v>
      </c>
      <c r="AG29" s="23">
        <f t="shared" si="37"/>
        <v>0.28122000000000003</v>
      </c>
      <c r="AH29" s="23">
        <f>(scatterplots_LWG_grazdays_CS!$V$6*$A29+scatterplots_LWG_grazdays_CS!$W$6)/1000+AH28</f>
        <v>6.1570800000000006</v>
      </c>
      <c r="AI29" s="23">
        <f t="shared" si="15"/>
        <v>6.1570800000000006</v>
      </c>
      <c r="AJ29" s="23">
        <f t="shared" si="38"/>
        <v>6.1570800000000006</v>
      </c>
      <c r="AK29" s="23">
        <f t="shared" si="38"/>
        <v>6.1570800000000006</v>
      </c>
      <c r="BB29" s="12"/>
      <c r="BC29" s="12"/>
      <c r="BD29" s="12"/>
    </row>
    <row r="30" spans="1:78">
      <c r="A30" s="12">
        <v>28</v>
      </c>
      <c r="B30" s="12">
        <v>28</v>
      </c>
      <c r="C30" s="23">
        <f>(scatterplots_LWG_grazdays_CS!$V$3*$A30+scatterplots_LWG_grazdays_CS!$W$3)/1000</f>
        <v>0.22048000000000001</v>
      </c>
      <c r="D30" s="23">
        <f t="shared" si="6"/>
        <v>0.26047999999999999</v>
      </c>
      <c r="E30" s="23">
        <f t="shared" si="6"/>
        <v>0.30048000000000002</v>
      </c>
      <c r="F30" s="23">
        <f t="shared" si="6"/>
        <v>0.34048</v>
      </c>
      <c r="G30" s="23">
        <f>(scatterplots_LWG_grazdays_CS!$V$3*$A30+scatterplots_LWG_grazdays_CS!$W$3)/1000+G29</f>
        <v>7.2469599999999996</v>
      </c>
      <c r="H30" s="23">
        <f t="shared" si="27"/>
        <v>7.2469599999999996</v>
      </c>
      <c r="I30" s="23">
        <f t="shared" si="28"/>
        <v>7.2469599999999996</v>
      </c>
      <c r="J30" s="23">
        <f t="shared" si="39"/>
        <v>7.6069599999999999</v>
      </c>
      <c r="K30" s="23">
        <f t="shared" si="34"/>
        <v>8.0069599999999994</v>
      </c>
      <c r="L30" s="23">
        <f t="shared" si="7"/>
        <v>7.2469599999999996</v>
      </c>
      <c r="M30" s="23">
        <f t="shared" si="8"/>
        <v>7.2469599999999996</v>
      </c>
      <c r="N30" s="23">
        <f>(scatterplots_LWG_grazdays_CS!$V$4*$A30+scatterplots_LWG_grazdays_CS!$W$4)/1000</f>
        <v>0.19528000000000001</v>
      </c>
      <c r="O30" s="23">
        <f t="shared" si="17"/>
        <v>0.23528000000000002</v>
      </c>
      <c r="P30" s="23">
        <f t="shared" si="17"/>
        <v>0.27528000000000002</v>
      </c>
      <c r="Q30" s="23">
        <f t="shared" si="17"/>
        <v>0.31528</v>
      </c>
      <c r="R30" s="23">
        <f>(scatterplots_LWG_grazdays_CS!$V$4*$A30+scatterplots_LWG_grazdays_CS!$W$4)/1000+R29</f>
        <v>6.8815599999999995</v>
      </c>
      <c r="S30" s="23">
        <f t="shared" si="29"/>
        <v>6.8815599999999995</v>
      </c>
      <c r="T30" s="23">
        <f t="shared" si="18"/>
        <v>6.8815599999999995</v>
      </c>
      <c r="U30" s="23">
        <f t="shared" si="19"/>
        <v>6.8815599999999995</v>
      </c>
      <c r="V30" s="23">
        <f>(scatterplots_LWG_grazdays_CS!$V$5*$A30+scatterplots_LWG_grazdays_CS!$W$5)/1000</f>
        <v>0.18015999999999999</v>
      </c>
      <c r="W30" s="23">
        <f t="shared" si="11"/>
        <v>0.22015999999999999</v>
      </c>
      <c r="X30" s="23">
        <f t="shared" si="12"/>
        <v>0.26016</v>
      </c>
      <c r="Y30" s="23">
        <f t="shared" si="12"/>
        <v>0.30015999999999998</v>
      </c>
      <c r="Z30" s="23">
        <f>(scatterplots_LWG_grazdays_CS!$V$5*$A30+scatterplots_LWG_grazdays_CS!$W$5)/1000+Z29</f>
        <v>6.6623199999999994</v>
      </c>
      <c r="AA30" s="23">
        <f t="shared" si="20"/>
        <v>6.6623199999999994</v>
      </c>
      <c r="AB30" s="23">
        <f t="shared" si="21"/>
        <v>6.6623199999999994</v>
      </c>
      <c r="AC30" s="23">
        <f t="shared" si="22"/>
        <v>6.6623199999999994</v>
      </c>
      <c r="AD30" s="23">
        <f>(scatterplots_LWG_grazdays_CS!$V$6*$A30+scatterplots_LWG_grazdays_CS!$W$6)/1000</f>
        <v>0.15608000000000002</v>
      </c>
      <c r="AE30" s="23">
        <f t="shared" si="14"/>
        <v>0.19608000000000003</v>
      </c>
      <c r="AF30" s="23">
        <f t="shared" si="37"/>
        <v>0.23608000000000001</v>
      </c>
      <c r="AG30" s="23">
        <f t="shared" si="37"/>
        <v>0.27607999999999999</v>
      </c>
      <c r="AH30" s="23">
        <f>(scatterplots_LWG_grazdays_CS!$V$6*$A30+scatterplots_LWG_grazdays_CS!$W$6)/1000+AH29</f>
        <v>6.3131600000000008</v>
      </c>
      <c r="AI30" s="23">
        <f t="shared" si="15"/>
        <v>6.3131600000000008</v>
      </c>
      <c r="AJ30" s="23">
        <f t="shared" si="38"/>
        <v>6.3131600000000008</v>
      </c>
      <c r="AK30" s="23">
        <f t="shared" si="38"/>
        <v>6.3131600000000008</v>
      </c>
      <c r="BB30" s="12"/>
      <c r="BC30" s="12"/>
      <c r="BD30" s="12"/>
    </row>
    <row r="31" spans="1:78">
      <c r="A31" s="12">
        <v>29</v>
      </c>
      <c r="B31" s="12">
        <v>29</v>
      </c>
      <c r="C31" s="23">
        <f>(scatterplots_LWG_grazdays_CS!$V$3*$A31+scatterplots_LWG_grazdays_CS!$W$3)/1000</f>
        <v>0.21764</v>
      </c>
      <c r="D31" s="23">
        <f t="shared" si="6"/>
        <v>0.25763999999999998</v>
      </c>
      <c r="E31" s="23">
        <f t="shared" si="6"/>
        <v>0.29764000000000002</v>
      </c>
      <c r="F31" s="23">
        <f t="shared" si="6"/>
        <v>0.33764</v>
      </c>
      <c r="G31" s="23">
        <f>(scatterplots_LWG_grazdays_CS!$V$3*$A31+scatterplots_LWG_grazdays_CS!$W$3)/1000+G30</f>
        <v>7.4645999999999999</v>
      </c>
      <c r="H31" s="23">
        <f t="shared" si="27"/>
        <v>7.4645999999999999</v>
      </c>
      <c r="I31" s="23">
        <f t="shared" si="28"/>
        <v>7.4645999999999999</v>
      </c>
      <c r="J31" s="23">
        <f t="shared" si="39"/>
        <v>7.8646000000000003</v>
      </c>
      <c r="K31" s="23">
        <f t="shared" si="34"/>
        <v>8.2645999999999997</v>
      </c>
      <c r="L31" s="23">
        <f t="shared" si="7"/>
        <v>7.4645999999999999</v>
      </c>
      <c r="M31" s="23">
        <f t="shared" si="8"/>
        <v>7.4645999999999999</v>
      </c>
      <c r="N31" s="23">
        <f>(scatterplots_LWG_grazdays_CS!$V$4*$A31+scatterplots_LWG_grazdays_CS!$W$4)/1000</f>
        <v>0.19153999999999999</v>
      </c>
      <c r="O31" s="23">
        <f t="shared" si="17"/>
        <v>0.23154</v>
      </c>
      <c r="P31" s="23">
        <f t="shared" si="17"/>
        <v>0.27154</v>
      </c>
      <c r="Q31" s="23">
        <f t="shared" si="17"/>
        <v>0.31153999999999998</v>
      </c>
      <c r="R31" s="23">
        <f>(scatterplots_LWG_grazdays_CS!$V$4*$A31+scatterplots_LWG_grazdays_CS!$W$4)/1000+R30</f>
        <v>7.0730999999999993</v>
      </c>
      <c r="S31" s="23">
        <f t="shared" si="29"/>
        <v>7.0730999999999993</v>
      </c>
      <c r="T31" s="23">
        <f t="shared" si="18"/>
        <v>7.0730999999999993</v>
      </c>
      <c r="U31" s="23">
        <f t="shared" si="19"/>
        <v>7.0730999999999993</v>
      </c>
      <c r="V31" s="23">
        <f>(scatterplots_LWG_grazdays_CS!$V$5*$A31+scatterplots_LWG_grazdays_CS!$W$5)/1000</f>
        <v>0.17588000000000001</v>
      </c>
      <c r="W31" s="23">
        <f t="shared" si="11"/>
        <v>0.21588000000000002</v>
      </c>
      <c r="X31" s="23">
        <f t="shared" si="12"/>
        <v>0.25588</v>
      </c>
      <c r="Y31" s="23">
        <f t="shared" si="12"/>
        <v>0.29588000000000003</v>
      </c>
      <c r="Z31" s="23">
        <f>(scatterplots_LWG_grazdays_CS!$V$5*$A31+scatterplots_LWG_grazdays_CS!$W$5)/1000+Z30</f>
        <v>6.8381999999999996</v>
      </c>
      <c r="AA31" s="23">
        <f t="shared" si="20"/>
        <v>6.8381999999999996</v>
      </c>
      <c r="AB31" s="23">
        <f t="shared" si="21"/>
        <v>6.8381999999999996</v>
      </c>
      <c r="AC31" s="23">
        <f t="shared" si="22"/>
        <v>6.8381999999999996</v>
      </c>
      <c r="AD31" s="23">
        <f>(scatterplots_LWG_grazdays_CS!$V$6*$A31+scatterplots_LWG_grazdays_CS!$W$6)/1000</f>
        <v>0.15093999999999999</v>
      </c>
      <c r="AE31" s="23">
        <f t="shared" si="14"/>
        <v>0.19094</v>
      </c>
      <c r="AF31" s="23">
        <f t="shared" si="37"/>
        <v>0.23093999999999998</v>
      </c>
      <c r="AG31" s="23">
        <f t="shared" si="37"/>
        <v>0.27093999999999996</v>
      </c>
      <c r="AH31" s="23">
        <f>(scatterplots_LWG_grazdays_CS!$V$6*$A31+scatterplots_LWG_grazdays_CS!$W$6)/1000+AH30</f>
        <v>6.4641000000000011</v>
      </c>
      <c r="AI31" s="23">
        <f t="shared" si="15"/>
        <v>6.4641000000000011</v>
      </c>
      <c r="AJ31" s="23">
        <f t="shared" si="38"/>
        <v>6.4641000000000011</v>
      </c>
      <c r="AK31" s="23">
        <f t="shared" si="38"/>
        <v>6.4641000000000011</v>
      </c>
    </row>
    <row r="32" spans="1:78">
      <c r="A32" s="12">
        <v>30</v>
      </c>
      <c r="B32" s="12">
        <v>30</v>
      </c>
      <c r="C32" s="23">
        <f>(scatterplots_LWG_grazdays_CS!$V$3*$A32+scatterplots_LWG_grazdays_CS!$W$3)/1000</f>
        <v>0.21480000000000002</v>
      </c>
      <c r="D32" s="23">
        <f t="shared" si="6"/>
        <v>0.25480000000000003</v>
      </c>
      <c r="E32" s="23">
        <f t="shared" si="6"/>
        <v>0.29480000000000001</v>
      </c>
      <c r="F32" s="23">
        <f t="shared" si="6"/>
        <v>0.33479999999999999</v>
      </c>
      <c r="G32" s="23">
        <f>(scatterplots_LWG_grazdays_CS!$V$3*$A32+scatterplots_LWG_grazdays_CS!$W$3)/1000+G31</f>
        <v>7.6794000000000002</v>
      </c>
      <c r="H32" s="23">
        <f t="shared" si="27"/>
        <v>7.6794000000000002</v>
      </c>
      <c r="I32" s="23">
        <f t="shared" si="28"/>
        <v>7.6794000000000002</v>
      </c>
      <c r="J32" s="23">
        <f t="shared" si="39"/>
        <v>8.1194000000000006</v>
      </c>
      <c r="K32" s="23">
        <f t="shared" si="34"/>
        <v>8.5193999999999992</v>
      </c>
      <c r="L32" s="23">
        <f t="shared" si="7"/>
        <v>7.6794000000000002</v>
      </c>
      <c r="M32" s="23">
        <f t="shared" si="8"/>
        <v>7.6794000000000002</v>
      </c>
      <c r="N32" s="23">
        <f>(scatterplots_LWG_grazdays_CS!$V$4*$A32+scatterplots_LWG_grazdays_CS!$W$4)/1000</f>
        <v>0.18780000000000002</v>
      </c>
      <c r="O32" s="23">
        <f t="shared" si="17"/>
        <v>0.22780000000000003</v>
      </c>
      <c r="P32" s="23">
        <f t="shared" si="17"/>
        <v>0.26780000000000004</v>
      </c>
      <c r="Q32" s="23">
        <f t="shared" si="17"/>
        <v>0.30780000000000002</v>
      </c>
      <c r="R32" s="23">
        <f>(scatterplots_LWG_grazdays_CS!$V$4*$A32+scatterplots_LWG_grazdays_CS!$W$4)/1000+R31</f>
        <v>7.2608999999999995</v>
      </c>
      <c r="S32" s="23">
        <f t="shared" si="29"/>
        <v>7.2608999999999995</v>
      </c>
      <c r="T32" s="23">
        <f t="shared" si="18"/>
        <v>7.2608999999999995</v>
      </c>
      <c r="U32" s="23">
        <f t="shared" si="19"/>
        <v>7.2608999999999995</v>
      </c>
      <c r="V32" s="23">
        <f>(scatterplots_LWG_grazdays_CS!$V$5*$A32+scatterplots_LWG_grazdays_CS!$W$5)/1000</f>
        <v>0.1716</v>
      </c>
      <c r="W32" s="23">
        <f t="shared" si="11"/>
        <v>0.21160000000000001</v>
      </c>
      <c r="X32" s="23">
        <f t="shared" si="12"/>
        <v>0.25159999999999999</v>
      </c>
      <c r="Y32" s="23">
        <f t="shared" si="12"/>
        <v>0.29159999999999997</v>
      </c>
      <c r="Z32" s="23">
        <f>(scatterplots_LWG_grazdays_CS!$V$5*$A32+scatterplots_LWG_grazdays_CS!$W$5)/1000+Z31</f>
        <v>7.0097999999999994</v>
      </c>
      <c r="AA32" s="23">
        <f t="shared" si="20"/>
        <v>7.0097999999999994</v>
      </c>
      <c r="AB32" s="23">
        <f t="shared" si="21"/>
        <v>7.0097999999999994</v>
      </c>
      <c r="AC32" s="23">
        <f t="shared" si="22"/>
        <v>7.0097999999999994</v>
      </c>
      <c r="AD32" s="23">
        <f>(scatterplots_LWG_grazdays_CS!$V$6*$A32+scatterplots_LWG_grazdays_CS!$W$6)/1000</f>
        <v>0.14580000000000001</v>
      </c>
      <c r="AE32" s="23">
        <f t="shared" si="14"/>
        <v>0.18580000000000002</v>
      </c>
      <c r="AF32" s="23">
        <f t="shared" si="37"/>
        <v>0.2258</v>
      </c>
      <c r="AG32" s="23">
        <f t="shared" si="37"/>
        <v>0.26580000000000004</v>
      </c>
      <c r="AH32" s="23">
        <f>(scatterplots_LWG_grazdays_CS!$V$6*$A32+scatterplots_LWG_grazdays_CS!$W$6)/1000+AH31</f>
        <v>6.6099000000000014</v>
      </c>
      <c r="AI32" s="23">
        <f t="shared" si="15"/>
        <v>6.6099000000000014</v>
      </c>
      <c r="AJ32" s="23">
        <f t="shared" si="38"/>
        <v>6.6099000000000014</v>
      </c>
      <c r="AK32" s="23">
        <f t="shared" si="38"/>
        <v>6.6099000000000014</v>
      </c>
    </row>
    <row r="33" spans="1:37">
      <c r="A33" s="12">
        <v>31</v>
      </c>
      <c r="B33" s="12">
        <v>31</v>
      </c>
      <c r="C33" s="23">
        <f>(scatterplots_LWG_grazdays_CS!$V$3*$A33+scatterplots_LWG_grazdays_CS!$W$3)/1000</f>
        <v>0.21196000000000001</v>
      </c>
      <c r="D33" s="23">
        <f t="shared" si="6"/>
        <v>0.25196000000000002</v>
      </c>
      <c r="E33" s="23">
        <f t="shared" si="6"/>
        <v>0.29196</v>
      </c>
      <c r="F33" s="23">
        <f t="shared" si="6"/>
        <v>0.33196000000000003</v>
      </c>
      <c r="G33" s="23">
        <f>(scatterplots_LWG_grazdays_CS!$V$3*$A33+scatterplots_LWG_grazdays_CS!$W$3)/1000+G32</f>
        <v>7.8913600000000006</v>
      </c>
      <c r="H33" s="23">
        <f t="shared" si="27"/>
        <v>7.8913600000000006</v>
      </c>
      <c r="I33" s="23">
        <f t="shared" si="28"/>
        <v>7.8913600000000006</v>
      </c>
      <c r="J33" s="23">
        <f t="shared" si="39"/>
        <v>8.371360000000001</v>
      </c>
      <c r="K33" s="23">
        <f t="shared" si="34"/>
        <v>8.7713599999999996</v>
      </c>
      <c r="L33" s="23">
        <f t="shared" si="7"/>
        <v>7.8913600000000006</v>
      </c>
      <c r="M33" s="23">
        <f t="shared" si="8"/>
        <v>7.8913600000000006</v>
      </c>
      <c r="N33" s="23">
        <f>(scatterplots_LWG_grazdays_CS!$V$4*$A33+scatterplots_LWG_grazdays_CS!$W$4)/1000</f>
        <v>0.18406</v>
      </c>
      <c r="O33" s="23">
        <f t="shared" si="17"/>
        <v>0.22406000000000001</v>
      </c>
      <c r="P33" s="23">
        <f t="shared" si="17"/>
        <v>0.26406000000000002</v>
      </c>
      <c r="Q33" s="23">
        <f t="shared" si="17"/>
        <v>0.30406</v>
      </c>
      <c r="R33" s="23">
        <f>(scatterplots_LWG_grazdays_CS!$V$4*$A33+scatterplots_LWG_grazdays_CS!$W$4)/1000+R32</f>
        <v>7.4449599999999991</v>
      </c>
      <c r="S33" s="23">
        <f t="shared" si="29"/>
        <v>7.4449599999999991</v>
      </c>
      <c r="T33" s="23">
        <f t="shared" si="18"/>
        <v>7.4449599999999991</v>
      </c>
      <c r="U33" s="23">
        <f t="shared" si="19"/>
        <v>7.4449599999999991</v>
      </c>
      <c r="V33" s="23">
        <f>(scatterplots_LWG_grazdays_CS!$V$5*$A33+scatterplots_LWG_grazdays_CS!$W$5)/1000</f>
        <v>0.16732</v>
      </c>
      <c r="W33" s="23">
        <f t="shared" si="11"/>
        <v>0.20732</v>
      </c>
      <c r="X33" s="23">
        <f t="shared" si="12"/>
        <v>0.24731999999999998</v>
      </c>
      <c r="Y33" s="23">
        <f t="shared" si="12"/>
        <v>0.28732000000000002</v>
      </c>
      <c r="Z33" s="23">
        <f>(scatterplots_LWG_grazdays_CS!$V$5*$A33+scatterplots_LWG_grazdays_CS!$W$5)/1000+Z32</f>
        <v>7.1771199999999995</v>
      </c>
      <c r="AA33" s="23">
        <f t="shared" si="20"/>
        <v>7.1771199999999995</v>
      </c>
      <c r="AB33" s="23">
        <f t="shared" si="21"/>
        <v>7.1771199999999995</v>
      </c>
      <c r="AC33" s="23">
        <f t="shared" si="22"/>
        <v>7.1771199999999995</v>
      </c>
      <c r="AD33" s="23">
        <f>(scatterplots_LWG_grazdays_CS!$V$6*$A33+scatterplots_LWG_grazdays_CS!$W$6)/1000</f>
        <v>0.14066000000000001</v>
      </c>
      <c r="AE33" s="23">
        <f t="shared" si="14"/>
        <v>0.18066000000000002</v>
      </c>
      <c r="AF33" s="23">
        <f t="shared" si="37"/>
        <v>0.22066000000000002</v>
      </c>
      <c r="AG33" s="23">
        <f t="shared" si="37"/>
        <v>0.26066</v>
      </c>
      <c r="AH33" s="23">
        <f>(scatterplots_LWG_grazdays_CS!$V$6*$A33+scatterplots_LWG_grazdays_CS!$W$6)/1000+AH32</f>
        <v>6.7505600000000019</v>
      </c>
      <c r="AI33" s="23">
        <f t="shared" si="15"/>
        <v>6.7505600000000019</v>
      </c>
      <c r="AJ33" s="23">
        <f t="shared" si="38"/>
        <v>6.7505600000000019</v>
      </c>
      <c r="AK33" s="23">
        <f t="shared" si="38"/>
        <v>6.7505600000000019</v>
      </c>
    </row>
    <row r="34" spans="1:37">
      <c r="A34" s="12">
        <v>32</v>
      </c>
      <c r="B34" s="12">
        <v>32</v>
      </c>
      <c r="C34" s="23">
        <f>(scatterplots_LWG_grazdays_CS!$V$3*$A34+scatterplots_LWG_grazdays_CS!$W$3)/1000</f>
        <v>0.20912</v>
      </c>
      <c r="D34" s="23">
        <f t="shared" si="6"/>
        <v>0.24912000000000001</v>
      </c>
      <c r="E34" s="23">
        <f t="shared" si="6"/>
        <v>0.28911999999999999</v>
      </c>
      <c r="F34" s="23">
        <f t="shared" si="6"/>
        <v>0.32911999999999997</v>
      </c>
      <c r="G34" s="23">
        <f>(scatterplots_LWG_grazdays_CS!$V$3*$A34+scatterplots_LWG_grazdays_CS!$W$3)/1000+G33</f>
        <v>8.100480000000001</v>
      </c>
      <c r="H34" s="23">
        <f t="shared" si="27"/>
        <v>8.100480000000001</v>
      </c>
      <c r="I34" s="23">
        <f t="shared" si="28"/>
        <v>8.100480000000001</v>
      </c>
      <c r="J34" s="23">
        <f t="shared" si="39"/>
        <v>8.6204800000000006</v>
      </c>
      <c r="K34" s="23">
        <f t="shared" si="34"/>
        <v>9.0204799999999992</v>
      </c>
      <c r="L34" s="23">
        <f t="shared" si="7"/>
        <v>8.100480000000001</v>
      </c>
      <c r="M34" s="23">
        <f t="shared" si="8"/>
        <v>8.100480000000001</v>
      </c>
      <c r="N34" s="23">
        <f>(scatterplots_LWG_grazdays_CS!$V$4*$A34+scatterplots_LWG_grazdays_CS!$W$4)/1000</f>
        <v>0.18031999999999998</v>
      </c>
      <c r="O34" s="23">
        <f t="shared" si="17"/>
        <v>0.22031999999999999</v>
      </c>
      <c r="P34" s="23">
        <f t="shared" si="17"/>
        <v>0.26032</v>
      </c>
      <c r="Q34" s="23">
        <f t="shared" si="17"/>
        <v>0.30031999999999998</v>
      </c>
      <c r="R34" s="23">
        <f>(scatterplots_LWG_grazdays_CS!$V$4*$A34+scatterplots_LWG_grazdays_CS!$W$4)/1000+R33</f>
        <v>7.6252799999999992</v>
      </c>
      <c r="S34" s="23">
        <f t="shared" si="29"/>
        <v>7.6252799999999992</v>
      </c>
      <c r="T34" s="23">
        <f t="shared" si="18"/>
        <v>7.6252799999999992</v>
      </c>
      <c r="U34" s="23">
        <f t="shared" si="19"/>
        <v>7.6252799999999992</v>
      </c>
      <c r="V34" s="23">
        <f>(scatterplots_LWG_grazdays_CS!$V$5*$A34+scatterplots_LWG_grazdays_CS!$W$5)/1000</f>
        <v>0.16303999999999999</v>
      </c>
      <c r="W34" s="23">
        <f t="shared" si="11"/>
        <v>0.20304</v>
      </c>
      <c r="X34" s="23">
        <f t="shared" si="12"/>
        <v>0.24303999999999998</v>
      </c>
      <c r="Y34" s="23">
        <f t="shared" si="12"/>
        <v>0.28303999999999996</v>
      </c>
      <c r="Z34" s="23">
        <f>(scatterplots_LWG_grazdays_CS!$V$5*$A34+scatterplots_LWG_grazdays_CS!$W$5)/1000+Z33</f>
        <v>7.3401599999999991</v>
      </c>
      <c r="AA34" s="23">
        <f t="shared" si="20"/>
        <v>7.3401599999999991</v>
      </c>
      <c r="AB34" s="23">
        <f t="shared" si="21"/>
        <v>7.3401599999999991</v>
      </c>
      <c r="AC34" s="23">
        <f t="shared" si="22"/>
        <v>7.3401599999999991</v>
      </c>
      <c r="AD34" s="23">
        <f>(scatterplots_LWG_grazdays_CS!$V$6*$A34+scatterplots_LWG_grazdays_CS!$W$6)/1000</f>
        <v>0.13552</v>
      </c>
      <c r="AE34" s="23">
        <f t="shared" si="14"/>
        <v>0.17552000000000001</v>
      </c>
      <c r="AF34" s="23">
        <f t="shared" si="37"/>
        <v>0.21551999999999999</v>
      </c>
      <c r="AG34" s="23">
        <f t="shared" si="37"/>
        <v>0.25551999999999997</v>
      </c>
      <c r="AH34" s="23">
        <f>(scatterplots_LWG_grazdays_CS!$V$6*$A34+scatterplots_LWG_grazdays_CS!$W$6)/1000+AH33</f>
        <v>6.8860800000000015</v>
      </c>
      <c r="AI34" s="23">
        <f t="shared" si="15"/>
        <v>6.8860800000000015</v>
      </c>
      <c r="AJ34" s="23">
        <f t="shared" si="38"/>
        <v>6.8860800000000015</v>
      </c>
      <c r="AK34" s="23">
        <f t="shared" si="38"/>
        <v>6.8860800000000015</v>
      </c>
    </row>
    <row r="35" spans="1:37">
      <c r="A35" s="12">
        <v>33</v>
      </c>
      <c r="B35" s="12">
        <v>33</v>
      </c>
      <c r="C35" s="23">
        <f>(scatterplots_LWG_grazdays_CS!$V$3*$A35+scatterplots_LWG_grazdays_CS!$W$3)/1000</f>
        <v>0.20627999999999999</v>
      </c>
      <c r="D35" s="23">
        <f t="shared" si="6"/>
        <v>0.24628</v>
      </c>
      <c r="E35" s="23">
        <f t="shared" si="6"/>
        <v>0.28627999999999998</v>
      </c>
      <c r="F35" s="23">
        <f t="shared" si="6"/>
        <v>0.32628000000000001</v>
      </c>
      <c r="G35" s="23">
        <f>(scatterplots_LWG_grazdays_CS!$V$3*$A35+scatterplots_LWG_grazdays_CS!$W$3)/1000+G34</f>
        <v>8.3067600000000006</v>
      </c>
      <c r="H35" s="23">
        <f t="shared" si="27"/>
        <v>8.3067600000000006</v>
      </c>
      <c r="I35" s="23">
        <f t="shared" si="28"/>
        <v>8.3067600000000006</v>
      </c>
      <c r="J35" s="23">
        <f t="shared" si="39"/>
        <v>8.8667600000000011</v>
      </c>
      <c r="K35" s="23">
        <f t="shared" si="34"/>
        <v>9.2667599999999997</v>
      </c>
      <c r="L35" s="23">
        <f t="shared" si="7"/>
        <v>8.3067600000000006</v>
      </c>
      <c r="M35" s="23">
        <f t="shared" si="8"/>
        <v>8.3067600000000006</v>
      </c>
      <c r="N35" s="23">
        <f>(scatterplots_LWG_grazdays_CS!$V$4*$A35+scatterplots_LWG_grazdays_CS!$W$4)/1000</f>
        <v>0.17657999999999999</v>
      </c>
      <c r="O35" s="23">
        <f t="shared" si="17"/>
        <v>0.21657999999999999</v>
      </c>
      <c r="P35" s="23">
        <f t="shared" si="17"/>
        <v>0.25657999999999997</v>
      </c>
      <c r="Q35" s="23">
        <f t="shared" si="17"/>
        <v>0.29657999999999995</v>
      </c>
      <c r="R35" s="23">
        <f>(scatterplots_LWG_grazdays_CS!$V$4*$A35+scatterplots_LWG_grazdays_CS!$W$4)/1000+R34</f>
        <v>7.8018599999999996</v>
      </c>
      <c r="S35" s="23">
        <f t="shared" si="29"/>
        <v>7.8018599999999996</v>
      </c>
      <c r="T35" s="23">
        <f t="shared" si="18"/>
        <v>7.8018599999999996</v>
      </c>
      <c r="U35" s="23">
        <f t="shared" si="19"/>
        <v>7.8018599999999996</v>
      </c>
      <c r="V35" s="23">
        <f>(scatterplots_LWG_grazdays_CS!$V$5*$A35+scatterplots_LWG_grazdays_CS!$W$5)/1000</f>
        <v>0.15875999999999998</v>
      </c>
      <c r="W35" s="23">
        <f t="shared" si="11"/>
        <v>0.19875999999999999</v>
      </c>
      <c r="X35" s="23">
        <f t="shared" si="12"/>
        <v>0.23875999999999997</v>
      </c>
      <c r="Y35" s="23">
        <f t="shared" si="12"/>
        <v>0.27876000000000001</v>
      </c>
      <c r="Z35" s="23">
        <f>(scatterplots_LWG_grazdays_CS!$V$5*$A35+scatterplots_LWG_grazdays_CS!$W$5)/1000+Z34</f>
        <v>7.4989199999999991</v>
      </c>
      <c r="AA35" s="23">
        <f t="shared" si="20"/>
        <v>7.4989199999999991</v>
      </c>
      <c r="AB35" s="23">
        <f t="shared" si="21"/>
        <v>7.4989199999999991</v>
      </c>
      <c r="AC35" s="23">
        <f t="shared" si="22"/>
        <v>7.4989199999999991</v>
      </c>
      <c r="AD35" s="23">
        <f>(scatterplots_LWG_grazdays_CS!$V$6*$A35+scatterplots_LWG_grazdays_CS!$W$6)/1000</f>
        <v>0.13038000000000002</v>
      </c>
      <c r="AE35" s="23">
        <f t="shared" si="14"/>
        <v>0.17038000000000003</v>
      </c>
      <c r="AF35" s="23">
        <f t="shared" si="37"/>
        <v>0.21038000000000001</v>
      </c>
      <c r="AG35" s="23">
        <f t="shared" si="37"/>
        <v>0.25038000000000005</v>
      </c>
      <c r="AH35" s="23">
        <f>(scatterplots_LWG_grazdays_CS!$V$6*$A35+scatterplots_LWG_grazdays_CS!$W$6)/1000+AH34</f>
        <v>7.0164600000000013</v>
      </c>
      <c r="AI35" s="23">
        <f t="shared" si="15"/>
        <v>7.0164600000000013</v>
      </c>
      <c r="AJ35" s="23">
        <f t="shared" si="38"/>
        <v>7.0164600000000013</v>
      </c>
      <c r="AK35" s="23">
        <f t="shared" si="38"/>
        <v>7.0164600000000013</v>
      </c>
    </row>
    <row r="36" spans="1:37">
      <c r="A36" s="12">
        <v>34</v>
      </c>
      <c r="B36" s="12">
        <v>34</v>
      </c>
      <c r="C36" s="23">
        <f>(scatterplots_LWG_grazdays_CS!$V$3*$A36+scatterplots_LWG_grazdays_CS!$W$3)/1000</f>
        <v>0.20344000000000001</v>
      </c>
      <c r="D36" s="23">
        <f t="shared" ref="D36:F67" si="40">$C36+D$1/1000</f>
        <v>0.24344000000000002</v>
      </c>
      <c r="E36" s="23">
        <f t="shared" si="40"/>
        <v>0.28344000000000003</v>
      </c>
      <c r="F36" s="23">
        <f t="shared" si="40"/>
        <v>0.32344000000000001</v>
      </c>
      <c r="G36" s="23">
        <f>(scatterplots_LWG_grazdays_CS!$V$3*$A36+scatterplots_LWG_grazdays_CS!$W$3)/1000+G35</f>
        <v>8.5102000000000011</v>
      </c>
      <c r="H36" s="23">
        <f t="shared" ref="H36:H67" si="41">C36+H35</f>
        <v>8.5102000000000011</v>
      </c>
      <c r="I36" s="23">
        <f t="shared" si="28"/>
        <v>8.5102000000000011</v>
      </c>
      <c r="J36" s="23">
        <f t="shared" si="39"/>
        <v>9.1102000000000007</v>
      </c>
      <c r="K36" s="23">
        <f t="shared" si="34"/>
        <v>9.5101999999999993</v>
      </c>
      <c r="L36" s="23">
        <f t="shared" ref="L36:L67" si="42">C36+L35</f>
        <v>8.5102000000000011</v>
      </c>
      <c r="M36" s="23">
        <f t="shared" ref="M36:M67" si="43">C36+M35</f>
        <v>8.5102000000000011</v>
      </c>
      <c r="N36" s="23">
        <f>(scatterplots_LWG_grazdays_CS!$V$4*$A36+scatterplots_LWG_grazdays_CS!$W$4)/1000</f>
        <v>0.17283999999999997</v>
      </c>
      <c r="O36" s="23">
        <f t="shared" si="17"/>
        <v>0.21283999999999997</v>
      </c>
      <c r="P36" s="23">
        <f t="shared" si="17"/>
        <v>0.25283999999999995</v>
      </c>
      <c r="Q36" s="23">
        <f t="shared" si="17"/>
        <v>0.29283999999999999</v>
      </c>
      <c r="R36" s="23">
        <f>(scatterplots_LWG_grazdays_CS!$V$4*$A36+scatterplots_LWG_grazdays_CS!$W$4)/1000+R35</f>
        <v>7.9746999999999995</v>
      </c>
      <c r="S36" s="23">
        <f t="shared" si="29"/>
        <v>7.9746999999999995</v>
      </c>
      <c r="T36" s="23">
        <f t="shared" si="18"/>
        <v>7.9746999999999995</v>
      </c>
      <c r="U36" s="23">
        <f t="shared" si="19"/>
        <v>7.9746999999999995</v>
      </c>
      <c r="V36" s="23">
        <f>(scatterplots_LWG_grazdays_CS!$V$5*$A36+scatterplots_LWG_grazdays_CS!$W$5)/1000</f>
        <v>0.15447999999999998</v>
      </c>
      <c r="W36" s="23">
        <f t="shared" si="11"/>
        <v>0.19447999999999999</v>
      </c>
      <c r="X36" s="23">
        <f t="shared" ref="X36:Y67" si="44">$V36+X$1/1000</f>
        <v>0.23447999999999997</v>
      </c>
      <c r="Y36" s="23">
        <f t="shared" si="44"/>
        <v>0.27447999999999995</v>
      </c>
      <c r="Z36" s="23">
        <f>(scatterplots_LWG_grazdays_CS!$V$5*$A36+scatterplots_LWG_grazdays_CS!$W$5)/1000+Z35</f>
        <v>7.6533999999999995</v>
      </c>
      <c r="AA36" s="23">
        <f t="shared" si="20"/>
        <v>7.6533999999999995</v>
      </c>
      <c r="AB36" s="23">
        <f t="shared" si="21"/>
        <v>7.6533999999999995</v>
      </c>
      <c r="AC36" s="23">
        <f t="shared" si="22"/>
        <v>7.6533999999999995</v>
      </c>
      <c r="AD36" s="23">
        <f>(scatterplots_LWG_grazdays_CS!$V$6*$A36+scatterplots_LWG_grazdays_CS!$W$6)/1000</f>
        <v>0.12524000000000002</v>
      </c>
      <c r="AE36" s="23">
        <f t="shared" si="14"/>
        <v>0.16524000000000003</v>
      </c>
      <c r="AF36" s="23">
        <f t="shared" si="37"/>
        <v>0.20524000000000003</v>
      </c>
      <c r="AG36" s="23">
        <f t="shared" si="37"/>
        <v>0.24524000000000001</v>
      </c>
      <c r="AH36" s="23">
        <f>(scatterplots_LWG_grazdays_CS!$V$6*$A36+scatterplots_LWG_grazdays_CS!$W$6)/1000+AH35</f>
        <v>7.141700000000001</v>
      </c>
      <c r="AI36" s="23">
        <f t="shared" ref="AI36:AI67" si="45">AD36+AI35</f>
        <v>7.141700000000001</v>
      </c>
      <c r="AJ36" s="23">
        <f t="shared" si="38"/>
        <v>7.141700000000001</v>
      </c>
      <c r="AK36" s="23">
        <f t="shared" si="38"/>
        <v>7.141700000000001</v>
      </c>
    </row>
    <row r="37" spans="1:37">
      <c r="A37" s="12">
        <v>35</v>
      </c>
      <c r="B37" s="12">
        <v>35</v>
      </c>
      <c r="C37" s="23">
        <f>(scatterplots_LWG_grazdays_CS!$V$3*$A37+scatterplots_LWG_grazdays_CS!$W$3)/1000</f>
        <v>0.20060000000000003</v>
      </c>
      <c r="D37" s="23">
        <f t="shared" si="40"/>
        <v>0.24060000000000004</v>
      </c>
      <c r="E37" s="23">
        <f t="shared" si="40"/>
        <v>0.28060000000000002</v>
      </c>
      <c r="F37" s="23">
        <f t="shared" si="40"/>
        <v>0.3206</v>
      </c>
      <c r="G37" s="23">
        <f>(scatterplots_LWG_grazdays_CS!$V$3*$A37+scatterplots_LWG_grazdays_CS!$W$3)/1000+G36</f>
        <v>8.7108000000000008</v>
      </c>
      <c r="H37" s="23">
        <f t="shared" si="41"/>
        <v>8.7108000000000008</v>
      </c>
      <c r="I37" s="23">
        <f t="shared" si="28"/>
        <v>8.7108000000000008</v>
      </c>
      <c r="J37" s="23">
        <f t="shared" si="39"/>
        <v>9.3508000000000013</v>
      </c>
      <c r="K37" s="23">
        <f t="shared" si="34"/>
        <v>9.7507999999999999</v>
      </c>
      <c r="L37" s="23">
        <f t="shared" si="42"/>
        <v>8.7108000000000008</v>
      </c>
      <c r="M37" s="23">
        <f t="shared" si="43"/>
        <v>8.7108000000000008</v>
      </c>
      <c r="N37" s="23">
        <f>(scatterplots_LWG_grazdays_CS!$V$4*$A37+scatterplots_LWG_grazdays_CS!$W$4)/1000</f>
        <v>0.1691</v>
      </c>
      <c r="O37" s="23">
        <f t="shared" si="17"/>
        <v>0.20910000000000001</v>
      </c>
      <c r="P37" s="23">
        <f t="shared" si="17"/>
        <v>0.24909999999999999</v>
      </c>
      <c r="Q37" s="23">
        <f t="shared" si="17"/>
        <v>0.28910000000000002</v>
      </c>
      <c r="R37" s="23">
        <f>(scatterplots_LWG_grazdays_CS!$V$4*$A37+scatterplots_LWG_grazdays_CS!$W$4)/1000+R36</f>
        <v>8.1437999999999988</v>
      </c>
      <c r="S37" s="23">
        <f t="shared" si="29"/>
        <v>8.1437999999999988</v>
      </c>
      <c r="T37" s="23">
        <f t="shared" si="18"/>
        <v>8.1437999999999988</v>
      </c>
      <c r="U37" s="23">
        <f t="shared" si="19"/>
        <v>8.1437999999999988</v>
      </c>
      <c r="V37" s="23">
        <f>(scatterplots_LWG_grazdays_CS!$V$5*$A37+scatterplots_LWG_grazdays_CS!$W$5)/1000</f>
        <v>0.1502</v>
      </c>
      <c r="W37" s="23">
        <f t="shared" si="11"/>
        <v>0.19020000000000001</v>
      </c>
      <c r="X37" s="23">
        <f t="shared" si="44"/>
        <v>0.23020000000000002</v>
      </c>
      <c r="Y37" s="23">
        <f t="shared" si="44"/>
        <v>0.2702</v>
      </c>
      <c r="Z37" s="23">
        <f>(scatterplots_LWG_grazdays_CS!$V$5*$A37+scatterplots_LWG_grazdays_CS!$W$5)/1000+Z36</f>
        <v>7.8035999999999994</v>
      </c>
      <c r="AA37" s="23">
        <f t="shared" ref="AA37:AA68" si="46">AA36+V37</f>
        <v>7.8035999999999994</v>
      </c>
      <c r="AB37" s="23">
        <f t="shared" si="21"/>
        <v>7.8035999999999994</v>
      </c>
      <c r="AC37" s="23">
        <f t="shared" si="22"/>
        <v>7.8035999999999994</v>
      </c>
      <c r="AD37" s="23">
        <f>(scatterplots_LWG_grazdays_CS!$V$6*$A37+scatterplots_LWG_grazdays_CS!$W$6)/1000</f>
        <v>0.12010000000000003</v>
      </c>
      <c r="AE37" s="23">
        <f t="shared" si="14"/>
        <v>0.16010000000000002</v>
      </c>
      <c r="AF37" s="23">
        <f t="shared" si="37"/>
        <v>0.20010000000000003</v>
      </c>
      <c r="AG37" s="23">
        <f t="shared" si="37"/>
        <v>0.24010000000000004</v>
      </c>
      <c r="AH37" s="23">
        <f>(scatterplots_LWG_grazdays_CS!$V$6*$A37+scatterplots_LWG_grazdays_CS!$W$6)/1000+AH36</f>
        <v>7.2618000000000009</v>
      </c>
      <c r="AI37" s="23">
        <f t="shared" si="45"/>
        <v>7.2618000000000009</v>
      </c>
      <c r="AJ37" s="23">
        <f t="shared" si="38"/>
        <v>7.2618000000000009</v>
      </c>
      <c r="AK37" s="23">
        <f t="shared" si="38"/>
        <v>7.2618000000000009</v>
      </c>
    </row>
    <row r="38" spans="1:37">
      <c r="A38" s="12">
        <v>36</v>
      </c>
      <c r="B38" s="12">
        <v>36</v>
      </c>
      <c r="C38" s="23">
        <f>(scatterplots_LWG_grazdays_CS!$V$3*$A38+scatterplots_LWG_grazdays_CS!$W$3)/1000</f>
        <v>0.19775999999999999</v>
      </c>
      <c r="D38" s="23">
        <f t="shared" si="40"/>
        <v>0.23776</v>
      </c>
      <c r="E38" s="23">
        <f t="shared" si="40"/>
        <v>0.27776000000000001</v>
      </c>
      <c r="F38" s="23">
        <f t="shared" si="40"/>
        <v>0.31775999999999999</v>
      </c>
      <c r="G38" s="23">
        <f>(scatterplots_LWG_grazdays_CS!$V$3*$A38+scatterplots_LWG_grazdays_CS!$W$3)/1000+G37</f>
        <v>8.9085600000000014</v>
      </c>
      <c r="H38" s="23">
        <f t="shared" si="41"/>
        <v>8.9085600000000014</v>
      </c>
      <c r="I38" s="23">
        <f t="shared" si="28"/>
        <v>8.9085600000000014</v>
      </c>
      <c r="J38" s="23">
        <f t="shared" si="39"/>
        <v>9.5885600000000011</v>
      </c>
      <c r="K38" s="23">
        <f t="shared" si="34"/>
        <v>9.9885599999999997</v>
      </c>
      <c r="L38" s="23">
        <f t="shared" si="42"/>
        <v>8.9085600000000014</v>
      </c>
      <c r="M38" s="23">
        <f t="shared" si="43"/>
        <v>8.9085600000000014</v>
      </c>
      <c r="N38" s="23">
        <f>(scatterplots_LWG_grazdays_CS!$V$4*$A38+scatterplots_LWG_grazdays_CS!$W$4)/1000</f>
        <v>0.16535999999999998</v>
      </c>
      <c r="O38" s="23">
        <f t="shared" si="17"/>
        <v>0.20535999999999999</v>
      </c>
      <c r="P38" s="23">
        <f t="shared" si="17"/>
        <v>0.24535999999999997</v>
      </c>
      <c r="Q38" s="23">
        <f t="shared" si="17"/>
        <v>0.28535999999999995</v>
      </c>
      <c r="R38" s="23">
        <f>(scatterplots_LWG_grazdays_CS!$V$4*$A38+scatterplots_LWG_grazdays_CS!$W$4)/1000+R37</f>
        <v>8.3091599999999985</v>
      </c>
      <c r="S38" s="23">
        <f t="shared" si="29"/>
        <v>8.3091599999999985</v>
      </c>
      <c r="T38" s="23">
        <f t="shared" si="18"/>
        <v>8.3091599999999985</v>
      </c>
      <c r="U38" s="23">
        <f t="shared" si="19"/>
        <v>8.3091599999999985</v>
      </c>
      <c r="V38" s="23">
        <f>(scatterplots_LWG_grazdays_CS!$V$5*$A38+scatterplots_LWG_grazdays_CS!$W$5)/1000</f>
        <v>0.14591999999999999</v>
      </c>
      <c r="W38" s="23">
        <f t="shared" si="11"/>
        <v>0.18592</v>
      </c>
      <c r="X38" s="23">
        <f t="shared" si="44"/>
        <v>0.22592000000000001</v>
      </c>
      <c r="Y38" s="23">
        <f t="shared" si="44"/>
        <v>0.26591999999999999</v>
      </c>
      <c r="Z38" s="23">
        <f>(scatterplots_LWG_grazdays_CS!$V$5*$A38+scatterplots_LWG_grazdays_CS!$W$5)/1000+Z37</f>
        <v>7.9495199999999997</v>
      </c>
      <c r="AA38" s="23">
        <f t="shared" si="46"/>
        <v>7.9495199999999997</v>
      </c>
      <c r="AB38" s="23">
        <f t="shared" si="21"/>
        <v>7.9495199999999997</v>
      </c>
      <c r="AC38" s="23">
        <f t="shared" si="22"/>
        <v>7.9495199999999997</v>
      </c>
      <c r="AD38" s="23">
        <f>(scatterplots_LWG_grazdays_CS!$V$6*$A38+scatterplots_LWG_grazdays_CS!$W$6)/1000</f>
        <v>0.11496000000000001</v>
      </c>
      <c r="AE38" s="23">
        <f t="shared" si="14"/>
        <v>0.15496000000000001</v>
      </c>
      <c r="AF38" s="23">
        <f t="shared" si="37"/>
        <v>0.19496000000000002</v>
      </c>
      <c r="AG38" s="23">
        <f t="shared" si="37"/>
        <v>0.23496</v>
      </c>
      <c r="AH38" s="23">
        <f>(scatterplots_LWG_grazdays_CS!$V$6*$A38+scatterplots_LWG_grazdays_CS!$W$6)/1000+AH37</f>
        <v>7.3767600000000009</v>
      </c>
      <c r="AI38" s="23">
        <f t="shared" si="45"/>
        <v>7.3767600000000009</v>
      </c>
      <c r="AJ38" s="23">
        <f t="shared" si="38"/>
        <v>7.3767600000000009</v>
      </c>
      <c r="AK38" s="23">
        <f t="shared" si="38"/>
        <v>7.3767600000000009</v>
      </c>
    </row>
    <row r="39" spans="1:37">
      <c r="A39" s="12">
        <v>37</v>
      </c>
      <c r="B39" s="12">
        <v>37</v>
      </c>
      <c r="C39" s="23">
        <f>(scatterplots_LWG_grazdays_CS!$V$3*$A39+scatterplots_LWG_grazdays_CS!$W$3)/1000</f>
        <v>0.19492000000000001</v>
      </c>
      <c r="D39" s="23">
        <f t="shared" si="40"/>
        <v>0.23492000000000002</v>
      </c>
      <c r="E39" s="23">
        <f t="shared" si="40"/>
        <v>0.27492</v>
      </c>
      <c r="F39" s="23">
        <f t="shared" si="40"/>
        <v>0.31491999999999998</v>
      </c>
      <c r="G39" s="23">
        <f>(scatterplots_LWG_grazdays_CS!$V$3*$A39+scatterplots_LWG_grazdays_CS!$W$3)/1000+G38</f>
        <v>9.1034800000000011</v>
      </c>
      <c r="H39" s="23">
        <f t="shared" si="41"/>
        <v>9.1034800000000011</v>
      </c>
      <c r="I39" s="23">
        <f t="shared" si="28"/>
        <v>9.1034800000000011</v>
      </c>
      <c r="J39" s="23">
        <f t="shared" si="39"/>
        <v>9.8234800000000018</v>
      </c>
      <c r="K39" s="23">
        <f t="shared" si="34"/>
        <v>10.22348</v>
      </c>
      <c r="L39" s="23">
        <f t="shared" si="42"/>
        <v>9.1034800000000011</v>
      </c>
      <c r="M39" s="23">
        <f t="shared" si="43"/>
        <v>9.1034800000000011</v>
      </c>
      <c r="N39" s="23">
        <f>(scatterplots_LWG_grazdays_CS!$V$4*$A39+scatterplots_LWG_grazdays_CS!$W$4)/1000</f>
        <v>0.16162000000000001</v>
      </c>
      <c r="O39" s="23">
        <f t="shared" si="17"/>
        <v>0.20162000000000002</v>
      </c>
      <c r="P39" s="23">
        <f t="shared" si="17"/>
        <v>0.24162</v>
      </c>
      <c r="Q39" s="23">
        <f t="shared" si="17"/>
        <v>0.28161999999999998</v>
      </c>
      <c r="R39" s="23">
        <f>(scatterplots_LWG_grazdays_CS!$V$4*$A39+scatterplots_LWG_grazdays_CS!$W$4)/1000+R38</f>
        <v>8.4707799999999978</v>
      </c>
      <c r="S39" s="23">
        <f t="shared" si="29"/>
        <v>8.4707799999999978</v>
      </c>
      <c r="T39" s="23">
        <f t="shared" si="18"/>
        <v>8.4707799999999978</v>
      </c>
      <c r="U39" s="23">
        <f t="shared" si="19"/>
        <v>8.4707799999999978</v>
      </c>
      <c r="V39" s="23">
        <f>(scatterplots_LWG_grazdays_CS!$V$5*$A39+scatterplots_LWG_grazdays_CS!$W$5)/1000</f>
        <v>0.14163999999999999</v>
      </c>
      <c r="W39" s="23">
        <f t="shared" si="11"/>
        <v>0.18164</v>
      </c>
      <c r="X39" s="23">
        <f t="shared" si="44"/>
        <v>0.22164</v>
      </c>
      <c r="Y39" s="23">
        <f t="shared" si="44"/>
        <v>0.26163999999999998</v>
      </c>
      <c r="Z39" s="23">
        <f>(scatterplots_LWG_grazdays_CS!$V$5*$A39+scatterplots_LWG_grazdays_CS!$W$5)/1000+Z38</f>
        <v>8.0911600000000004</v>
      </c>
      <c r="AA39" s="23">
        <f t="shared" si="46"/>
        <v>8.0911600000000004</v>
      </c>
      <c r="AB39" s="23">
        <f t="shared" si="21"/>
        <v>8.0911600000000004</v>
      </c>
      <c r="AC39" s="23">
        <f t="shared" si="22"/>
        <v>8.0911600000000004</v>
      </c>
      <c r="AD39" s="23">
        <f>(scatterplots_LWG_grazdays_CS!$V$6*$A39+scatterplots_LWG_grazdays_CS!$W$6)/1000</f>
        <v>0.10982000000000001</v>
      </c>
      <c r="AE39" s="23">
        <f t="shared" si="14"/>
        <v>0.14982000000000001</v>
      </c>
      <c r="AF39" s="23">
        <f t="shared" si="37"/>
        <v>0.18982000000000002</v>
      </c>
      <c r="AG39" s="23">
        <f t="shared" si="37"/>
        <v>0.22982000000000002</v>
      </c>
      <c r="AH39" s="23">
        <f>(scatterplots_LWG_grazdays_CS!$V$6*$A39+scatterplots_LWG_grazdays_CS!$W$6)/1000+AH38</f>
        <v>7.4865800000000009</v>
      </c>
      <c r="AI39" s="23">
        <f t="shared" si="45"/>
        <v>7.4865800000000009</v>
      </c>
      <c r="AJ39" s="23">
        <f t="shared" si="38"/>
        <v>7.4865800000000009</v>
      </c>
      <c r="AK39" s="23">
        <f t="shared" si="38"/>
        <v>7.4865800000000009</v>
      </c>
    </row>
    <row r="40" spans="1:37">
      <c r="A40" s="12">
        <v>38</v>
      </c>
      <c r="B40" s="12">
        <v>38</v>
      </c>
      <c r="C40" s="23">
        <f>(scatterplots_LWG_grazdays_CS!$V$3*$A40+scatterplots_LWG_grazdays_CS!$W$3)/1000</f>
        <v>0.19208</v>
      </c>
      <c r="D40" s="23">
        <f t="shared" si="40"/>
        <v>0.23208000000000001</v>
      </c>
      <c r="E40" s="23">
        <f t="shared" si="40"/>
        <v>0.27207999999999999</v>
      </c>
      <c r="F40" s="23">
        <f t="shared" si="40"/>
        <v>0.31208000000000002</v>
      </c>
      <c r="G40" s="23">
        <f>(scatterplots_LWG_grazdays_CS!$V$3*$A40+scatterplots_LWG_grazdays_CS!$W$3)/1000+G39</f>
        <v>9.2955600000000018</v>
      </c>
      <c r="H40" s="23">
        <f t="shared" si="41"/>
        <v>9.2955600000000018</v>
      </c>
      <c r="I40" s="23">
        <f t="shared" si="28"/>
        <v>9.2955600000000018</v>
      </c>
      <c r="J40" s="23">
        <f t="shared" si="39"/>
        <v>10.055560000000002</v>
      </c>
      <c r="K40" s="23">
        <f t="shared" si="34"/>
        <v>10.45556</v>
      </c>
      <c r="L40" s="23">
        <f t="shared" si="42"/>
        <v>9.2955600000000018</v>
      </c>
      <c r="M40" s="23">
        <f t="shared" si="43"/>
        <v>9.2955600000000018</v>
      </c>
      <c r="N40" s="23">
        <f>(scatterplots_LWG_grazdays_CS!$V$4*$A40+scatterplots_LWG_grazdays_CS!$W$4)/1000</f>
        <v>0.15787999999999999</v>
      </c>
      <c r="O40" s="23">
        <f t="shared" si="17"/>
        <v>0.19788</v>
      </c>
      <c r="P40" s="23">
        <f t="shared" si="17"/>
        <v>0.23787999999999998</v>
      </c>
      <c r="Q40" s="23">
        <f t="shared" si="17"/>
        <v>0.27788000000000002</v>
      </c>
      <c r="R40" s="23">
        <f>(scatterplots_LWG_grazdays_CS!$V$4*$A40+scatterplots_LWG_grazdays_CS!$W$4)/1000+R39</f>
        <v>8.6286599999999982</v>
      </c>
      <c r="S40" s="23">
        <f t="shared" si="29"/>
        <v>8.6286599999999982</v>
      </c>
      <c r="T40" s="23">
        <f t="shared" si="18"/>
        <v>8.6286599999999982</v>
      </c>
      <c r="U40" s="23">
        <f t="shared" si="19"/>
        <v>8.6286599999999982</v>
      </c>
      <c r="V40" s="23">
        <f>(scatterplots_LWG_grazdays_CS!$V$5*$A40+scatterplots_LWG_grazdays_CS!$W$5)/1000</f>
        <v>0.13735999999999998</v>
      </c>
      <c r="W40" s="23">
        <f t="shared" si="11"/>
        <v>0.17735999999999999</v>
      </c>
      <c r="X40" s="23">
        <f t="shared" si="44"/>
        <v>0.21736</v>
      </c>
      <c r="Y40" s="23">
        <f t="shared" si="44"/>
        <v>0.25735999999999998</v>
      </c>
      <c r="Z40" s="23">
        <f>(scatterplots_LWG_grazdays_CS!$V$5*$A40+scatterplots_LWG_grazdays_CS!$W$5)/1000+Z39</f>
        <v>8.2285199999999996</v>
      </c>
      <c r="AA40" s="23">
        <f t="shared" si="46"/>
        <v>8.2285199999999996</v>
      </c>
      <c r="AB40" s="23">
        <f t="shared" si="21"/>
        <v>8.2285199999999996</v>
      </c>
      <c r="AC40" s="23">
        <f t="shared" si="22"/>
        <v>8.2285199999999996</v>
      </c>
      <c r="AD40" s="23">
        <f>(scatterplots_LWG_grazdays_CS!$V$6*$A40+scatterplots_LWG_grazdays_CS!$W$6)/1000</f>
        <v>0.10468000000000001</v>
      </c>
      <c r="AE40" s="23">
        <f t="shared" si="14"/>
        <v>0.14468</v>
      </c>
      <c r="AF40" s="23">
        <f t="shared" si="37"/>
        <v>0.18468000000000001</v>
      </c>
      <c r="AG40" s="23">
        <f t="shared" si="37"/>
        <v>0.22467999999999999</v>
      </c>
      <c r="AH40" s="23">
        <f>(scatterplots_LWG_grazdays_CS!$V$6*$A40+scatterplots_LWG_grazdays_CS!$W$6)/1000+AH39</f>
        <v>7.591260000000001</v>
      </c>
      <c r="AI40" s="23">
        <f t="shared" si="45"/>
        <v>7.591260000000001</v>
      </c>
      <c r="AJ40" s="23">
        <f t="shared" si="38"/>
        <v>7.591260000000001</v>
      </c>
      <c r="AK40" s="23">
        <f t="shared" si="38"/>
        <v>7.591260000000001</v>
      </c>
    </row>
    <row r="41" spans="1:37">
      <c r="A41" s="12">
        <v>39</v>
      </c>
      <c r="B41" s="12">
        <v>39</v>
      </c>
      <c r="C41" s="23">
        <f>(scatterplots_LWG_grazdays_CS!$V$3*$A41+scatterplots_LWG_grazdays_CS!$W$3)/1000</f>
        <v>0.18924000000000002</v>
      </c>
      <c r="D41" s="23">
        <f t="shared" si="40"/>
        <v>0.22924000000000003</v>
      </c>
      <c r="E41" s="23">
        <f t="shared" si="40"/>
        <v>0.26924000000000003</v>
      </c>
      <c r="F41" s="23">
        <f t="shared" si="40"/>
        <v>0.30924000000000001</v>
      </c>
      <c r="G41" s="23">
        <f>(scatterplots_LWG_grazdays_CS!$V$3*$A41+scatterplots_LWG_grazdays_CS!$W$3)/1000+G40</f>
        <v>9.4848000000000017</v>
      </c>
      <c r="H41" s="23">
        <f t="shared" si="41"/>
        <v>9.4848000000000017</v>
      </c>
      <c r="I41" s="23">
        <f t="shared" ref="I41:I46" si="47">C41+I40</f>
        <v>9.4848000000000017</v>
      </c>
      <c r="J41" s="23">
        <f t="shared" si="39"/>
        <v>10.284800000000002</v>
      </c>
      <c r="K41" s="23">
        <f t="shared" si="34"/>
        <v>10.684800000000001</v>
      </c>
      <c r="L41" s="23">
        <f t="shared" si="42"/>
        <v>9.4848000000000017</v>
      </c>
      <c r="M41" s="23">
        <f t="shared" si="43"/>
        <v>9.4848000000000017</v>
      </c>
      <c r="N41" s="23">
        <f>(scatterplots_LWG_grazdays_CS!$V$4*$A41+scatterplots_LWG_grazdays_CS!$W$4)/1000</f>
        <v>0.15414</v>
      </c>
      <c r="O41" s="23">
        <f t="shared" si="17"/>
        <v>0.19414000000000001</v>
      </c>
      <c r="P41" s="23">
        <f t="shared" si="17"/>
        <v>0.23414000000000001</v>
      </c>
      <c r="Q41" s="23">
        <f t="shared" si="17"/>
        <v>0.27413999999999999</v>
      </c>
      <c r="R41" s="23">
        <f>(scatterplots_LWG_grazdays_CS!$V$4*$A41+scatterplots_LWG_grazdays_CS!$W$4)/1000+R40</f>
        <v>8.7827999999999982</v>
      </c>
      <c r="S41" s="23">
        <f t="shared" si="29"/>
        <v>8.7827999999999982</v>
      </c>
      <c r="T41" s="23">
        <f t="shared" si="18"/>
        <v>8.7827999999999982</v>
      </c>
      <c r="U41" s="23">
        <f t="shared" si="19"/>
        <v>8.7827999999999982</v>
      </c>
      <c r="V41" s="23">
        <f>(scatterplots_LWG_grazdays_CS!$V$5*$A41+scatterplots_LWG_grazdays_CS!$W$5)/1000</f>
        <v>0.13307999999999998</v>
      </c>
      <c r="W41" s="23">
        <f t="shared" si="11"/>
        <v>0.17307999999999998</v>
      </c>
      <c r="X41" s="23">
        <f t="shared" si="44"/>
        <v>0.21307999999999999</v>
      </c>
      <c r="Y41" s="23">
        <f t="shared" si="44"/>
        <v>0.25307999999999997</v>
      </c>
      <c r="Z41" s="23">
        <f>(scatterplots_LWG_grazdays_CS!$V$5*$A41+scatterplots_LWG_grazdays_CS!$W$5)/1000+Z40</f>
        <v>8.3615999999999993</v>
      </c>
      <c r="AA41" s="23">
        <f t="shared" si="46"/>
        <v>8.3615999999999993</v>
      </c>
      <c r="AB41" s="23">
        <f t="shared" si="21"/>
        <v>8.3615999999999993</v>
      </c>
      <c r="AC41" s="23">
        <f t="shared" si="22"/>
        <v>8.3615999999999993</v>
      </c>
      <c r="AD41" s="23">
        <f>(scatterplots_LWG_grazdays_CS!$V$6*$A41+scatterplots_LWG_grazdays_CS!$W$6)/1000</f>
        <v>9.9540000000000017E-2</v>
      </c>
      <c r="AE41" s="23">
        <f t="shared" si="14"/>
        <v>0.13954000000000003</v>
      </c>
      <c r="AF41" s="23">
        <f t="shared" si="37"/>
        <v>0.17954000000000003</v>
      </c>
      <c r="AG41" s="23">
        <f t="shared" si="37"/>
        <v>0.21954000000000001</v>
      </c>
      <c r="AH41" s="23">
        <f>(scatterplots_LWG_grazdays_CS!$V$6*$A41+scatterplots_LWG_grazdays_CS!$W$6)/1000+AH40</f>
        <v>7.6908000000000012</v>
      </c>
      <c r="AI41" s="23">
        <f t="shared" si="45"/>
        <v>7.6908000000000012</v>
      </c>
      <c r="AJ41" s="23">
        <f t="shared" si="38"/>
        <v>7.6908000000000012</v>
      </c>
      <c r="AK41" s="23">
        <f t="shared" si="38"/>
        <v>7.6908000000000012</v>
      </c>
    </row>
    <row r="42" spans="1:37">
      <c r="A42" s="12">
        <v>40</v>
      </c>
      <c r="B42" s="12">
        <v>40</v>
      </c>
      <c r="C42" s="23">
        <f>(scatterplots_LWG_grazdays_CS!$V$3*$A42+scatterplots_LWG_grazdays_CS!$W$3)/1000</f>
        <v>0.18640000000000001</v>
      </c>
      <c r="D42" s="23">
        <f t="shared" si="40"/>
        <v>0.22640000000000002</v>
      </c>
      <c r="E42" s="23">
        <f t="shared" si="40"/>
        <v>0.26640000000000003</v>
      </c>
      <c r="F42" s="23">
        <f t="shared" si="40"/>
        <v>0.30640000000000001</v>
      </c>
      <c r="G42" s="23">
        <f>(scatterplots_LWG_grazdays_CS!$V$3*$A42+scatterplots_LWG_grazdays_CS!$W$3)/1000+G41</f>
        <v>9.6712000000000025</v>
      </c>
      <c r="H42" s="23">
        <f t="shared" si="41"/>
        <v>9.6712000000000025</v>
      </c>
      <c r="I42" s="23">
        <f t="shared" si="47"/>
        <v>9.6712000000000025</v>
      </c>
      <c r="J42" s="23">
        <f t="shared" si="39"/>
        <v>10.511200000000002</v>
      </c>
      <c r="K42" s="23">
        <f t="shared" si="34"/>
        <v>10.911200000000001</v>
      </c>
      <c r="L42" s="23">
        <f t="shared" si="42"/>
        <v>9.6712000000000025</v>
      </c>
      <c r="M42" s="23">
        <f t="shared" si="43"/>
        <v>9.6712000000000025</v>
      </c>
      <c r="N42" s="23">
        <f>(scatterplots_LWG_grazdays_CS!$V$4*$A42+scatterplots_LWG_grazdays_CS!$W$4)/1000</f>
        <v>0.15039999999999998</v>
      </c>
      <c r="O42" s="23">
        <f t="shared" si="17"/>
        <v>0.19039999999999999</v>
      </c>
      <c r="P42" s="23">
        <f t="shared" si="17"/>
        <v>0.23039999999999999</v>
      </c>
      <c r="Q42" s="23">
        <f t="shared" si="17"/>
        <v>0.27039999999999997</v>
      </c>
      <c r="R42" s="23">
        <f>(scatterplots_LWG_grazdays_CS!$V$4*$A42+scatterplots_LWG_grazdays_CS!$W$4)/1000+R41</f>
        <v>8.9331999999999976</v>
      </c>
      <c r="S42" s="23">
        <f t="shared" si="29"/>
        <v>8.9331999999999976</v>
      </c>
      <c r="T42" s="23">
        <f t="shared" si="18"/>
        <v>8.9331999999999976</v>
      </c>
      <c r="U42" s="23">
        <f t="shared" si="19"/>
        <v>8.9331999999999976</v>
      </c>
      <c r="V42" s="23">
        <f>(scatterplots_LWG_grazdays_CS!$V$5*$A42+scatterplots_LWG_grazdays_CS!$W$5)/1000</f>
        <v>0.12879999999999997</v>
      </c>
      <c r="W42" s="23">
        <f t="shared" si="11"/>
        <v>0.16879999999999998</v>
      </c>
      <c r="X42" s="23">
        <f t="shared" si="44"/>
        <v>0.20879999999999999</v>
      </c>
      <c r="Y42" s="23">
        <f t="shared" si="44"/>
        <v>0.24879999999999997</v>
      </c>
      <c r="Z42" s="23">
        <f>(scatterplots_LWG_grazdays_CS!$V$5*$A42+scatterplots_LWG_grazdays_CS!$W$5)/1000+Z41</f>
        <v>8.4903999999999993</v>
      </c>
      <c r="AA42" s="23">
        <f t="shared" si="46"/>
        <v>8.4903999999999993</v>
      </c>
      <c r="AB42" s="23">
        <f t="shared" si="21"/>
        <v>8.4903999999999993</v>
      </c>
      <c r="AC42" s="23">
        <f t="shared" si="22"/>
        <v>8.4903999999999993</v>
      </c>
      <c r="AD42" s="23">
        <f>(scatterplots_LWG_grazdays_CS!$V$6*$A42+scatterplots_LWG_grazdays_CS!$W$6)/1000</f>
        <v>9.4400000000000012E-2</v>
      </c>
      <c r="AE42" s="23">
        <f t="shared" si="14"/>
        <v>0.13440000000000002</v>
      </c>
      <c r="AF42" s="23">
        <f t="shared" si="37"/>
        <v>0.1744</v>
      </c>
      <c r="AG42" s="23">
        <f t="shared" si="37"/>
        <v>0.21440000000000001</v>
      </c>
      <c r="AH42" s="23">
        <f>(scatterplots_LWG_grazdays_CS!$V$6*$A42+scatterplots_LWG_grazdays_CS!$W$6)/1000+AH41</f>
        <v>7.7852000000000015</v>
      </c>
      <c r="AI42" s="23">
        <f t="shared" si="45"/>
        <v>7.7852000000000015</v>
      </c>
      <c r="AJ42" s="23">
        <f t="shared" si="38"/>
        <v>7.7852000000000015</v>
      </c>
      <c r="AK42" s="23">
        <f t="shared" si="38"/>
        <v>7.7852000000000015</v>
      </c>
    </row>
    <row r="43" spans="1:37">
      <c r="A43" s="12">
        <v>41</v>
      </c>
      <c r="B43" s="12">
        <v>41</v>
      </c>
      <c r="C43" s="23">
        <f>(scatterplots_LWG_grazdays_CS!$V$3*$A43+scatterplots_LWG_grazdays_CS!$W$3)/1000</f>
        <v>0.18356</v>
      </c>
      <c r="D43" s="23">
        <f t="shared" si="40"/>
        <v>0.22356000000000001</v>
      </c>
      <c r="E43" s="23">
        <f t="shared" si="40"/>
        <v>0.26356000000000002</v>
      </c>
      <c r="F43" s="23">
        <f t="shared" si="40"/>
        <v>0.30356</v>
      </c>
      <c r="G43" s="23">
        <f>(scatterplots_LWG_grazdays_CS!$V$3*$A43+scatterplots_LWG_grazdays_CS!$W$3)/1000+G42</f>
        <v>9.8547600000000024</v>
      </c>
      <c r="H43" s="23">
        <f t="shared" si="41"/>
        <v>9.8547600000000024</v>
      </c>
      <c r="I43" s="23">
        <f t="shared" si="47"/>
        <v>9.8547600000000024</v>
      </c>
      <c r="J43" s="23">
        <f t="shared" si="39"/>
        <v>10.734760000000003</v>
      </c>
      <c r="K43" s="23">
        <f t="shared" si="34"/>
        <v>11.134760000000002</v>
      </c>
      <c r="L43" s="23">
        <f t="shared" si="42"/>
        <v>9.8547600000000024</v>
      </c>
      <c r="M43" s="23">
        <f t="shared" si="43"/>
        <v>9.8547600000000024</v>
      </c>
      <c r="N43" s="23">
        <f>(scatterplots_LWG_grazdays_CS!$V$4*$A43+scatterplots_LWG_grazdays_CS!$W$4)/1000</f>
        <v>0.14665999999999998</v>
      </c>
      <c r="O43" s="23">
        <f t="shared" si="17"/>
        <v>0.18665999999999999</v>
      </c>
      <c r="P43" s="23">
        <f t="shared" si="17"/>
        <v>0.22665999999999997</v>
      </c>
      <c r="Q43" s="23">
        <f t="shared" si="17"/>
        <v>0.26666000000000001</v>
      </c>
      <c r="R43" s="23">
        <f>(scatterplots_LWG_grazdays_CS!$V$4*$A43+scatterplots_LWG_grazdays_CS!$W$4)/1000+R42</f>
        <v>9.0798599999999983</v>
      </c>
      <c r="S43" s="23">
        <f t="shared" si="29"/>
        <v>9.0798599999999983</v>
      </c>
      <c r="T43" s="23">
        <f t="shared" si="18"/>
        <v>9.0798599999999983</v>
      </c>
      <c r="U43" s="23">
        <f t="shared" si="19"/>
        <v>9.0798599999999983</v>
      </c>
      <c r="V43" s="23">
        <f>(scatterplots_LWG_grazdays_CS!$V$5*$A43+scatterplots_LWG_grazdays_CS!$W$5)/1000</f>
        <v>0.12451999999999998</v>
      </c>
      <c r="W43" s="23">
        <f t="shared" si="11"/>
        <v>0.16451999999999997</v>
      </c>
      <c r="X43" s="23">
        <f t="shared" si="44"/>
        <v>0.20451999999999998</v>
      </c>
      <c r="Y43" s="23">
        <f t="shared" si="44"/>
        <v>0.24451999999999996</v>
      </c>
      <c r="Z43" s="23">
        <f>(scatterplots_LWG_grazdays_CS!$V$5*$A43+scatterplots_LWG_grazdays_CS!$W$5)/1000+Z42</f>
        <v>8.6149199999999997</v>
      </c>
      <c r="AA43" s="23">
        <f t="shared" si="46"/>
        <v>8.6149199999999997</v>
      </c>
      <c r="AB43" s="23">
        <f t="shared" si="21"/>
        <v>8.6149199999999997</v>
      </c>
      <c r="AC43" s="23">
        <f t="shared" si="22"/>
        <v>8.6149199999999997</v>
      </c>
      <c r="AD43" s="23">
        <f>(scatterplots_LWG_grazdays_CS!$V$6*$A43+scatterplots_LWG_grazdays_CS!$W$6)/1000</f>
        <v>8.926000000000002E-2</v>
      </c>
      <c r="AE43" s="23">
        <f t="shared" si="14"/>
        <v>0.12926000000000001</v>
      </c>
      <c r="AF43" s="23">
        <f t="shared" si="37"/>
        <v>0.16926000000000002</v>
      </c>
      <c r="AG43" s="23">
        <f t="shared" si="37"/>
        <v>0.20926</v>
      </c>
      <c r="AH43" s="23">
        <f>(scatterplots_LWG_grazdays_CS!$V$6*$A43+scatterplots_LWG_grazdays_CS!$W$6)/1000+AH42</f>
        <v>7.8744600000000018</v>
      </c>
      <c r="AI43" s="23">
        <f t="shared" si="45"/>
        <v>7.8744600000000018</v>
      </c>
      <c r="AJ43" s="23">
        <f t="shared" si="38"/>
        <v>7.8744600000000018</v>
      </c>
      <c r="AK43" s="23">
        <f t="shared" si="38"/>
        <v>7.8744600000000018</v>
      </c>
    </row>
    <row r="44" spans="1:37">
      <c r="A44" s="12">
        <v>42</v>
      </c>
      <c r="B44" s="12">
        <v>42</v>
      </c>
      <c r="C44" s="23">
        <f>(scatterplots_LWG_grazdays_CS!$V$3*$A44+scatterplots_LWG_grazdays_CS!$W$3)/1000</f>
        <v>0.18071999999999999</v>
      </c>
      <c r="D44" s="23">
        <f t="shared" si="40"/>
        <v>0.22072</v>
      </c>
      <c r="E44" s="23">
        <f t="shared" si="40"/>
        <v>0.26072000000000001</v>
      </c>
      <c r="F44" s="23">
        <f t="shared" si="40"/>
        <v>0.30071999999999999</v>
      </c>
      <c r="G44" s="23">
        <f>(scatterplots_LWG_grazdays_CS!$V$3*$A44+scatterplots_LWG_grazdays_CS!$W$3)/1000+G43</f>
        <v>10.035480000000003</v>
      </c>
      <c r="H44" s="23">
        <f t="shared" si="41"/>
        <v>10.035480000000003</v>
      </c>
      <c r="I44" s="23">
        <f t="shared" si="47"/>
        <v>10.035480000000003</v>
      </c>
      <c r="J44" s="23">
        <f>D44+J43</f>
        <v>10.955480000000003</v>
      </c>
      <c r="K44" s="23">
        <f t="shared" si="34"/>
        <v>11.355480000000002</v>
      </c>
      <c r="L44" s="23">
        <f t="shared" si="42"/>
        <v>10.035480000000003</v>
      </c>
      <c r="M44" s="23">
        <f t="shared" si="43"/>
        <v>10.035480000000003</v>
      </c>
      <c r="N44" s="23">
        <f>(scatterplots_LWG_grazdays_CS!$V$4*$A44+scatterplots_LWG_grazdays_CS!$W$4)/1000</f>
        <v>0.14291999999999999</v>
      </c>
      <c r="O44" s="23">
        <f t="shared" si="17"/>
        <v>0.18292</v>
      </c>
      <c r="P44" s="23">
        <f t="shared" si="17"/>
        <v>0.22292000000000001</v>
      </c>
      <c r="Q44" s="23">
        <f t="shared" si="17"/>
        <v>0.26291999999999999</v>
      </c>
      <c r="R44" s="23">
        <f>(scatterplots_LWG_grazdays_CS!$V$4*$A44+scatterplots_LWG_grazdays_CS!$W$4)/1000+R43</f>
        <v>9.2227799999999984</v>
      </c>
      <c r="S44" s="23">
        <f t="shared" si="29"/>
        <v>9.2227799999999984</v>
      </c>
      <c r="T44" s="23">
        <f t="shared" si="18"/>
        <v>9.2227799999999984</v>
      </c>
      <c r="U44" s="23">
        <f t="shared" si="19"/>
        <v>9.2227799999999984</v>
      </c>
      <c r="V44" s="23">
        <f>(scatterplots_LWG_grazdays_CS!$V$5*$A44+scatterplots_LWG_grazdays_CS!$W$5)/1000</f>
        <v>0.12023999999999999</v>
      </c>
      <c r="W44" s="23">
        <f t="shared" si="11"/>
        <v>0.16023999999999999</v>
      </c>
      <c r="X44" s="23">
        <f t="shared" si="44"/>
        <v>0.20023999999999997</v>
      </c>
      <c r="Y44" s="23">
        <f t="shared" si="44"/>
        <v>0.24023999999999998</v>
      </c>
      <c r="Z44" s="23">
        <f>(scatterplots_LWG_grazdays_CS!$V$5*$A44+scatterplots_LWG_grazdays_CS!$W$5)/1000+Z43</f>
        <v>8.7351600000000005</v>
      </c>
      <c r="AA44" s="23">
        <f t="shared" si="46"/>
        <v>8.7351600000000005</v>
      </c>
      <c r="AB44" s="23">
        <f t="shared" si="21"/>
        <v>8.7351600000000005</v>
      </c>
      <c r="AC44" s="23">
        <f t="shared" si="22"/>
        <v>8.7351600000000005</v>
      </c>
      <c r="AD44" s="23">
        <f>(scatterplots_LWG_grazdays_CS!$V$6*$A44+scatterplots_LWG_grazdays_CS!$W$6)/1000</f>
        <v>8.412E-2</v>
      </c>
      <c r="AE44" s="23">
        <f t="shared" si="14"/>
        <v>0.12412000000000001</v>
      </c>
      <c r="AF44" s="23">
        <f t="shared" si="37"/>
        <v>0.16411999999999999</v>
      </c>
      <c r="AG44" s="23">
        <f t="shared" si="37"/>
        <v>0.20412</v>
      </c>
      <c r="AH44" s="23">
        <f>(scatterplots_LWG_grazdays_CS!$V$6*$A44+scatterplots_LWG_grazdays_CS!$W$6)/1000+AH43</f>
        <v>7.9585800000000022</v>
      </c>
      <c r="AI44" s="23">
        <f t="shared" si="45"/>
        <v>7.9585800000000022</v>
      </c>
      <c r="AJ44" s="23">
        <f t="shared" si="38"/>
        <v>7.9585800000000022</v>
      </c>
      <c r="AK44" s="23">
        <f t="shared" si="38"/>
        <v>7.9585800000000022</v>
      </c>
    </row>
    <row r="45" spans="1:37">
      <c r="A45" s="12">
        <v>43</v>
      </c>
      <c r="B45" s="12">
        <v>43</v>
      </c>
      <c r="C45" s="23">
        <f>(scatterplots_LWG_grazdays_CS!$V$3*$A45+scatterplots_LWG_grazdays_CS!$W$3)/1000</f>
        <v>0.17787999999999998</v>
      </c>
      <c r="D45" s="23">
        <f t="shared" si="40"/>
        <v>0.21787999999999999</v>
      </c>
      <c r="E45" s="23">
        <f t="shared" si="40"/>
        <v>0.25788</v>
      </c>
      <c r="F45" s="23">
        <f t="shared" si="40"/>
        <v>0.29787999999999998</v>
      </c>
      <c r="G45" s="23">
        <f>(scatterplots_LWG_grazdays_CS!$V$3*$A45+scatterplots_LWG_grazdays_CS!$W$3)/1000+G44</f>
        <v>10.213360000000003</v>
      </c>
      <c r="H45" s="23">
        <f t="shared" si="41"/>
        <v>10.213360000000003</v>
      </c>
      <c r="I45" s="23">
        <f t="shared" si="47"/>
        <v>10.213360000000003</v>
      </c>
      <c r="J45" s="23">
        <f t="shared" si="39"/>
        <v>11.173360000000002</v>
      </c>
      <c r="K45" s="23">
        <f t="shared" si="34"/>
        <v>11.573360000000001</v>
      </c>
      <c r="L45" s="23">
        <f t="shared" si="42"/>
        <v>10.213360000000003</v>
      </c>
      <c r="M45" s="23">
        <f t="shared" si="43"/>
        <v>10.213360000000003</v>
      </c>
      <c r="N45" s="23">
        <f>(scatterplots_LWG_grazdays_CS!$V$4*$A45+scatterplots_LWG_grazdays_CS!$W$4)/1000</f>
        <v>0.13917999999999997</v>
      </c>
      <c r="O45" s="23">
        <f t="shared" si="17"/>
        <v>0.17917999999999998</v>
      </c>
      <c r="P45" s="23">
        <f t="shared" si="17"/>
        <v>0.21917999999999999</v>
      </c>
      <c r="Q45" s="23">
        <f t="shared" si="17"/>
        <v>0.25917999999999997</v>
      </c>
      <c r="R45" s="23">
        <f>(scatterplots_LWG_grazdays_CS!$V$4*$A45+scatterplots_LWG_grazdays_CS!$W$4)/1000+R44</f>
        <v>9.3619599999999981</v>
      </c>
      <c r="S45" s="23">
        <f t="shared" si="29"/>
        <v>9.3619599999999981</v>
      </c>
      <c r="T45" s="23">
        <f t="shared" si="18"/>
        <v>9.3619599999999981</v>
      </c>
      <c r="U45" s="23">
        <f t="shared" si="19"/>
        <v>9.3619599999999981</v>
      </c>
      <c r="V45" s="23">
        <f>(scatterplots_LWG_grazdays_CS!$V$5*$A45+scatterplots_LWG_grazdays_CS!$W$5)/1000</f>
        <v>0.11595999999999998</v>
      </c>
      <c r="W45" s="23">
        <f t="shared" si="11"/>
        <v>0.15595999999999999</v>
      </c>
      <c r="X45" s="23">
        <f t="shared" si="44"/>
        <v>0.19595999999999997</v>
      </c>
      <c r="Y45" s="23">
        <f t="shared" si="44"/>
        <v>0.23595999999999998</v>
      </c>
      <c r="Z45" s="23">
        <f>(scatterplots_LWG_grazdays_CS!$V$5*$A45+scatterplots_LWG_grazdays_CS!$W$5)/1000+Z44</f>
        <v>8.8511199999999999</v>
      </c>
      <c r="AA45" s="23">
        <f t="shared" si="46"/>
        <v>8.8511199999999999</v>
      </c>
      <c r="AB45" s="23">
        <f t="shared" si="21"/>
        <v>8.8511199999999999</v>
      </c>
      <c r="AC45" s="23">
        <f t="shared" si="22"/>
        <v>8.8511199999999999</v>
      </c>
      <c r="AD45" s="23">
        <f>(scatterplots_LWG_grazdays_CS!$V$6*$A45+scatterplots_LWG_grazdays_CS!$W$6)/1000</f>
        <v>7.8980000000000022E-2</v>
      </c>
      <c r="AE45" s="23">
        <f t="shared" si="14"/>
        <v>0.11898000000000003</v>
      </c>
      <c r="AF45" s="23">
        <f t="shared" si="37"/>
        <v>0.15898000000000001</v>
      </c>
      <c r="AG45" s="23">
        <f t="shared" si="37"/>
        <v>0.19898000000000002</v>
      </c>
      <c r="AH45" s="23">
        <f>(scatterplots_LWG_grazdays_CS!$V$6*$A45+scatterplots_LWG_grazdays_CS!$W$6)/1000+AH44</f>
        <v>8.0375600000000027</v>
      </c>
      <c r="AI45" s="23">
        <f t="shared" si="45"/>
        <v>8.0375600000000027</v>
      </c>
      <c r="AJ45" s="23">
        <f t="shared" si="38"/>
        <v>8.0375600000000027</v>
      </c>
      <c r="AK45" s="23">
        <f t="shared" si="38"/>
        <v>8.0375600000000027</v>
      </c>
    </row>
    <row r="46" spans="1:37">
      <c r="A46" s="12">
        <v>44</v>
      </c>
      <c r="B46" s="12">
        <v>44</v>
      </c>
      <c r="C46" s="23">
        <f>(scatterplots_LWG_grazdays_CS!$V$3*$A46+scatterplots_LWG_grazdays_CS!$W$3)/1000</f>
        <v>0.17504000000000003</v>
      </c>
      <c r="D46" s="23">
        <f t="shared" si="40"/>
        <v>0.21504000000000004</v>
      </c>
      <c r="E46" s="23">
        <f t="shared" si="40"/>
        <v>0.25504000000000004</v>
      </c>
      <c r="F46" s="23">
        <f t="shared" si="40"/>
        <v>0.29504000000000002</v>
      </c>
      <c r="G46" s="23">
        <f>(scatterplots_LWG_grazdays_CS!$V$3*$A46+scatterplots_LWG_grazdays_CS!$W$3)/1000+G45</f>
        <v>10.388400000000003</v>
      </c>
      <c r="H46" s="23">
        <f t="shared" si="41"/>
        <v>10.388400000000003</v>
      </c>
      <c r="I46" s="23">
        <f t="shared" si="47"/>
        <v>10.388400000000003</v>
      </c>
      <c r="J46" s="23">
        <f t="shared" si="39"/>
        <v>11.388400000000003</v>
      </c>
      <c r="K46" s="23">
        <f t="shared" si="34"/>
        <v>11.788400000000001</v>
      </c>
      <c r="L46" s="23">
        <f t="shared" si="42"/>
        <v>10.388400000000003</v>
      </c>
      <c r="M46" s="23">
        <f t="shared" si="43"/>
        <v>10.388400000000003</v>
      </c>
      <c r="N46" s="23">
        <f>(scatterplots_LWG_grazdays_CS!$V$4*$A46+scatterplots_LWG_grazdays_CS!$W$4)/1000</f>
        <v>0.13544</v>
      </c>
      <c r="O46" s="23">
        <f t="shared" si="17"/>
        <v>0.17544000000000001</v>
      </c>
      <c r="P46" s="23">
        <f t="shared" si="17"/>
        <v>0.21544000000000002</v>
      </c>
      <c r="Q46" s="23">
        <f t="shared" si="17"/>
        <v>0.25544</v>
      </c>
      <c r="R46" s="23">
        <f>(scatterplots_LWG_grazdays_CS!$V$4*$A46+scatterplots_LWG_grazdays_CS!$W$4)/1000+R45</f>
        <v>9.497399999999999</v>
      </c>
      <c r="S46" s="23">
        <f t="shared" si="29"/>
        <v>9.497399999999999</v>
      </c>
      <c r="T46" s="23">
        <f t="shared" si="18"/>
        <v>9.497399999999999</v>
      </c>
      <c r="U46" s="23">
        <f t="shared" si="19"/>
        <v>9.497399999999999</v>
      </c>
      <c r="V46" s="23">
        <f>(scatterplots_LWG_grazdays_CS!$V$5*$A46+scatterplots_LWG_grazdays_CS!$W$5)/1000</f>
        <v>0.11167999999999997</v>
      </c>
      <c r="W46" s="23">
        <f t="shared" si="11"/>
        <v>0.15167999999999998</v>
      </c>
      <c r="X46" s="23">
        <f t="shared" si="44"/>
        <v>0.19167999999999996</v>
      </c>
      <c r="Y46" s="23">
        <f t="shared" si="44"/>
        <v>0.23167999999999997</v>
      </c>
      <c r="Z46" s="23">
        <f>(scatterplots_LWG_grazdays_CS!$V$5*$A46+scatterplots_LWG_grazdays_CS!$W$5)/1000+Z45</f>
        <v>8.9627999999999997</v>
      </c>
      <c r="AA46" s="23">
        <f t="shared" si="46"/>
        <v>8.9627999999999997</v>
      </c>
      <c r="AB46" s="23">
        <f t="shared" si="21"/>
        <v>8.9627999999999997</v>
      </c>
      <c r="AC46" s="23">
        <f t="shared" si="22"/>
        <v>8.9627999999999997</v>
      </c>
      <c r="AD46" s="23">
        <f>(scatterplots_LWG_grazdays_CS!$V$6*$A46+scatterplots_LWG_grazdays_CS!$W$6)/1000</f>
        <v>7.3840000000000003E-2</v>
      </c>
      <c r="AE46" s="23">
        <f t="shared" si="14"/>
        <v>0.11384</v>
      </c>
      <c r="AF46" s="23">
        <f t="shared" si="37"/>
        <v>0.15384</v>
      </c>
      <c r="AG46" s="23">
        <f t="shared" si="37"/>
        <v>0.19384000000000001</v>
      </c>
      <c r="AH46" s="23">
        <f>(scatterplots_LWG_grazdays_CS!$V$6*$A46+scatterplots_LWG_grazdays_CS!$W$6)/1000+AH45</f>
        <v>8.1114000000000033</v>
      </c>
      <c r="AI46" s="23">
        <f t="shared" si="45"/>
        <v>8.1114000000000033</v>
      </c>
      <c r="AJ46" s="23">
        <f t="shared" si="38"/>
        <v>8.1114000000000033</v>
      </c>
      <c r="AK46" s="23">
        <f t="shared" si="38"/>
        <v>8.1114000000000033</v>
      </c>
    </row>
    <row r="47" spans="1:37">
      <c r="A47" s="12">
        <v>45</v>
      </c>
      <c r="B47" s="12">
        <v>45</v>
      </c>
      <c r="C47" s="23">
        <f>(scatterplots_LWG_grazdays_CS!$V$3*$A47+scatterplots_LWG_grazdays_CS!$W$3)/1000</f>
        <v>0.17219999999999999</v>
      </c>
      <c r="D47" s="23">
        <f t="shared" si="40"/>
        <v>0.2122</v>
      </c>
      <c r="E47" s="23">
        <f t="shared" si="40"/>
        <v>0.25219999999999998</v>
      </c>
      <c r="F47" s="23">
        <f t="shared" si="40"/>
        <v>0.29220000000000002</v>
      </c>
      <c r="G47" s="23">
        <f>(scatterplots_LWG_grazdays_CS!$V$3*$A47+scatterplots_LWG_grazdays_CS!$W$3)/1000+G46</f>
        <v>10.560600000000003</v>
      </c>
      <c r="H47" s="23">
        <f>C47+H46</f>
        <v>10.560600000000003</v>
      </c>
      <c r="I47" s="23">
        <f>D47+I46</f>
        <v>10.600600000000002</v>
      </c>
      <c r="J47" s="23">
        <f t="shared" si="39"/>
        <v>11.600600000000002</v>
      </c>
      <c r="K47" s="23">
        <f t="shared" si="34"/>
        <v>12.0006</v>
      </c>
      <c r="L47" s="23">
        <f t="shared" si="42"/>
        <v>10.560600000000003</v>
      </c>
      <c r="M47" s="23">
        <f t="shared" si="43"/>
        <v>10.560600000000003</v>
      </c>
      <c r="N47" s="23">
        <f>(scatterplots_LWG_grazdays_CS!$V$4*$A47+scatterplots_LWG_grazdays_CS!$W$4)/1000</f>
        <v>0.13169999999999998</v>
      </c>
      <c r="O47" s="23">
        <f t="shared" si="17"/>
        <v>0.17169999999999999</v>
      </c>
      <c r="P47" s="23">
        <f t="shared" si="17"/>
        <v>0.2117</v>
      </c>
      <c r="Q47" s="23">
        <f t="shared" si="17"/>
        <v>0.25169999999999998</v>
      </c>
      <c r="R47" s="23">
        <f>(scatterplots_LWG_grazdays_CS!$V$4*$A47+scatterplots_LWG_grazdays_CS!$W$4)/1000+R46</f>
        <v>9.6290999999999993</v>
      </c>
      <c r="S47" s="23">
        <f t="shared" si="29"/>
        <v>9.6290999999999993</v>
      </c>
      <c r="T47" s="23">
        <f t="shared" si="18"/>
        <v>9.6290999999999993</v>
      </c>
      <c r="U47" s="23">
        <f t="shared" si="19"/>
        <v>9.6290999999999993</v>
      </c>
      <c r="V47" s="23">
        <f>(scatterplots_LWG_grazdays_CS!$V$5*$A47+scatterplots_LWG_grazdays_CS!$W$5)/1000</f>
        <v>0.10739999999999998</v>
      </c>
      <c r="W47" s="23">
        <f t="shared" si="11"/>
        <v>0.14739999999999998</v>
      </c>
      <c r="X47" s="23">
        <f t="shared" si="44"/>
        <v>0.18739999999999998</v>
      </c>
      <c r="Y47" s="23">
        <f t="shared" si="44"/>
        <v>0.22739999999999999</v>
      </c>
      <c r="Z47" s="23">
        <f>(scatterplots_LWG_grazdays_CS!$V$5*$A47+scatterplots_LWG_grazdays_CS!$W$5)/1000+Z46</f>
        <v>9.0701999999999998</v>
      </c>
      <c r="AA47" s="23">
        <f t="shared" si="46"/>
        <v>9.0701999999999998</v>
      </c>
      <c r="AB47" s="23">
        <f t="shared" si="21"/>
        <v>9.0701999999999998</v>
      </c>
      <c r="AC47" s="23">
        <f t="shared" si="22"/>
        <v>9.0701999999999998</v>
      </c>
      <c r="AD47" s="23">
        <f>(scatterplots_LWG_grazdays_CS!$V$6*$A47+scatterplots_LWG_grazdays_CS!$W$6)/1000</f>
        <v>6.8700000000000011E-2</v>
      </c>
      <c r="AE47" s="23">
        <f t="shared" si="14"/>
        <v>0.10870000000000002</v>
      </c>
      <c r="AF47" s="23">
        <f t="shared" si="37"/>
        <v>0.1487</v>
      </c>
      <c r="AG47" s="23">
        <f t="shared" si="37"/>
        <v>0.18870000000000001</v>
      </c>
      <c r="AH47" s="23">
        <f>(scatterplots_LWG_grazdays_CS!$V$6*$A47+scatterplots_LWG_grazdays_CS!$W$6)/1000+AH46</f>
        <v>8.180100000000003</v>
      </c>
      <c r="AI47" s="23">
        <f t="shared" si="45"/>
        <v>8.180100000000003</v>
      </c>
      <c r="AJ47" s="23">
        <f t="shared" si="38"/>
        <v>8.180100000000003</v>
      </c>
      <c r="AK47" s="23">
        <f t="shared" si="38"/>
        <v>8.180100000000003</v>
      </c>
    </row>
    <row r="48" spans="1:37">
      <c r="A48" s="12">
        <v>46</v>
      </c>
      <c r="B48" s="12">
        <v>46</v>
      </c>
      <c r="C48" s="23">
        <f>(scatterplots_LWG_grazdays_CS!$V$3*$A48+scatterplots_LWG_grazdays_CS!$W$3)/1000</f>
        <v>0.16936000000000001</v>
      </c>
      <c r="D48" s="23">
        <f t="shared" si="40"/>
        <v>0.20936000000000002</v>
      </c>
      <c r="E48" s="23">
        <f t="shared" si="40"/>
        <v>0.24936000000000003</v>
      </c>
      <c r="F48" s="23">
        <f t="shared" si="40"/>
        <v>0.28936000000000001</v>
      </c>
      <c r="G48" s="23">
        <f>(scatterplots_LWG_grazdays_CS!$V$3*$A48+scatterplots_LWG_grazdays_CS!$W$3)/1000+G47</f>
        <v>10.729960000000002</v>
      </c>
      <c r="H48" s="23">
        <f t="shared" si="41"/>
        <v>10.729960000000002</v>
      </c>
      <c r="I48" s="23">
        <f t="shared" ref="I48:I58" si="48">D48+I47</f>
        <v>10.809960000000002</v>
      </c>
      <c r="J48" s="23">
        <f t="shared" si="39"/>
        <v>11.809960000000002</v>
      </c>
      <c r="K48" s="23">
        <f t="shared" si="34"/>
        <v>12.209960000000001</v>
      </c>
      <c r="L48" s="23">
        <f t="shared" si="42"/>
        <v>10.729960000000002</v>
      </c>
      <c r="M48" s="23">
        <f t="shared" si="43"/>
        <v>10.729960000000002</v>
      </c>
      <c r="N48" s="23">
        <f>(scatterplots_LWG_grazdays_CS!$V$4*$A48+scatterplots_LWG_grazdays_CS!$W$4)/1000</f>
        <v>0.12795999999999999</v>
      </c>
      <c r="O48" s="23">
        <f t="shared" si="17"/>
        <v>0.16796</v>
      </c>
      <c r="P48" s="23">
        <f t="shared" si="17"/>
        <v>0.20795999999999998</v>
      </c>
      <c r="Q48" s="23">
        <f t="shared" si="17"/>
        <v>0.24795999999999999</v>
      </c>
      <c r="R48" s="23">
        <f>(scatterplots_LWG_grazdays_CS!$V$4*$A48+scatterplots_LWG_grazdays_CS!$W$4)/1000+R47</f>
        <v>9.7570599999999992</v>
      </c>
      <c r="S48" s="23">
        <f t="shared" si="29"/>
        <v>9.7570599999999992</v>
      </c>
      <c r="T48" s="23">
        <f t="shared" si="18"/>
        <v>9.7570599999999992</v>
      </c>
      <c r="U48" s="23">
        <f t="shared" si="19"/>
        <v>9.7570599999999992</v>
      </c>
      <c r="V48" s="23">
        <f>(scatterplots_LWG_grazdays_CS!$V$5*$A48+scatterplots_LWG_grazdays_CS!$W$5)/1000</f>
        <v>0.10311999999999998</v>
      </c>
      <c r="W48" s="23">
        <f t="shared" si="11"/>
        <v>0.14311999999999997</v>
      </c>
      <c r="X48" s="23">
        <f t="shared" si="44"/>
        <v>0.18311999999999998</v>
      </c>
      <c r="Y48" s="23">
        <f t="shared" si="44"/>
        <v>0.22311999999999999</v>
      </c>
      <c r="Z48" s="23">
        <f>(scatterplots_LWG_grazdays_CS!$V$5*$A48+scatterplots_LWG_grazdays_CS!$W$5)/1000+Z47</f>
        <v>9.1733200000000004</v>
      </c>
      <c r="AA48" s="23">
        <f t="shared" si="46"/>
        <v>9.1733200000000004</v>
      </c>
      <c r="AB48" s="23">
        <f t="shared" si="21"/>
        <v>9.1733200000000004</v>
      </c>
      <c r="AC48" s="23">
        <f t="shared" si="22"/>
        <v>9.1733200000000004</v>
      </c>
      <c r="AD48" s="23">
        <f>(scatterplots_LWG_grazdays_CS!$V$6*$A48+scatterplots_LWG_grazdays_CS!$W$6)/1000</f>
        <v>6.3560000000000005E-2</v>
      </c>
      <c r="AE48" s="23">
        <f t="shared" si="14"/>
        <v>0.10356000000000001</v>
      </c>
      <c r="AF48" s="23">
        <f t="shared" si="37"/>
        <v>0.14356000000000002</v>
      </c>
      <c r="AG48" s="23">
        <f t="shared" si="37"/>
        <v>0.18356</v>
      </c>
      <c r="AH48" s="23">
        <f>(scatterplots_LWG_grazdays_CS!$V$6*$A48+scatterplots_LWG_grazdays_CS!$W$6)/1000+AH47</f>
        <v>8.2436600000000038</v>
      </c>
      <c r="AI48" s="23">
        <f t="shared" si="45"/>
        <v>8.2436600000000038</v>
      </c>
      <c r="AJ48" s="23">
        <f t="shared" si="38"/>
        <v>8.2436600000000038</v>
      </c>
      <c r="AK48" s="23">
        <f t="shared" si="38"/>
        <v>8.2436600000000038</v>
      </c>
    </row>
    <row r="49" spans="1:37">
      <c r="A49" s="12">
        <v>47</v>
      </c>
      <c r="B49" s="12">
        <v>47</v>
      </c>
      <c r="C49" s="23">
        <f>(scatterplots_LWG_grazdays_CS!$V$3*$A49+scatterplots_LWG_grazdays_CS!$W$3)/1000</f>
        <v>0.16652</v>
      </c>
      <c r="D49" s="23">
        <f t="shared" si="40"/>
        <v>0.20652000000000001</v>
      </c>
      <c r="E49" s="23">
        <f t="shared" si="40"/>
        <v>0.24652000000000002</v>
      </c>
      <c r="F49" s="23">
        <f t="shared" si="40"/>
        <v>0.28652</v>
      </c>
      <c r="G49" s="23">
        <f>(scatterplots_LWG_grazdays_CS!$V$3*$A49+scatterplots_LWG_grazdays_CS!$W$3)/1000+G48</f>
        <v>10.896480000000002</v>
      </c>
      <c r="H49" s="23">
        <f t="shared" si="41"/>
        <v>10.896480000000002</v>
      </c>
      <c r="I49" s="23">
        <f t="shared" si="48"/>
        <v>11.016480000000001</v>
      </c>
      <c r="J49" s="23">
        <f t="shared" si="39"/>
        <v>12.016480000000001</v>
      </c>
      <c r="K49" s="23">
        <f t="shared" si="34"/>
        <v>12.41648</v>
      </c>
      <c r="L49" s="23">
        <f t="shared" si="42"/>
        <v>10.896480000000002</v>
      </c>
      <c r="M49" s="23">
        <f t="shared" si="43"/>
        <v>10.896480000000002</v>
      </c>
      <c r="N49" s="23">
        <f>(scatterplots_LWG_grazdays_CS!$V$4*$A49+scatterplots_LWG_grazdays_CS!$W$4)/1000</f>
        <v>0.12422</v>
      </c>
      <c r="O49" s="23">
        <f t="shared" si="17"/>
        <v>0.16422</v>
      </c>
      <c r="P49" s="23">
        <f t="shared" si="17"/>
        <v>0.20422000000000001</v>
      </c>
      <c r="Q49" s="23">
        <f t="shared" si="17"/>
        <v>0.24421999999999999</v>
      </c>
      <c r="R49" s="23">
        <f>(scatterplots_LWG_grazdays_CS!$V$4*$A49+scatterplots_LWG_grazdays_CS!$W$4)/1000+R48</f>
        <v>9.8812799999999985</v>
      </c>
      <c r="S49" s="23">
        <f t="shared" si="29"/>
        <v>9.8812799999999985</v>
      </c>
      <c r="T49" s="23">
        <f t="shared" si="18"/>
        <v>9.8812799999999985</v>
      </c>
      <c r="U49" s="23">
        <f t="shared" si="19"/>
        <v>9.8812799999999985</v>
      </c>
      <c r="V49" s="23">
        <f>(scatterplots_LWG_grazdays_CS!$V$5*$A49+scatterplots_LWG_grazdays_CS!$W$5)/1000</f>
        <v>9.883999999999997E-2</v>
      </c>
      <c r="W49" s="23">
        <f t="shared" si="11"/>
        <v>0.13883999999999996</v>
      </c>
      <c r="X49" s="23">
        <f t="shared" si="44"/>
        <v>0.17883999999999997</v>
      </c>
      <c r="Y49" s="23">
        <f t="shared" si="44"/>
        <v>0.21883999999999998</v>
      </c>
      <c r="Z49" s="23">
        <f>(scatterplots_LWG_grazdays_CS!$V$5*$A49+scatterplots_LWG_grazdays_CS!$W$5)/1000+Z48</f>
        <v>9.2721599999999995</v>
      </c>
      <c r="AA49" s="23">
        <f t="shared" si="46"/>
        <v>9.2721599999999995</v>
      </c>
      <c r="AB49" s="23">
        <f t="shared" si="21"/>
        <v>9.2721599999999995</v>
      </c>
      <c r="AC49" s="23">
        <f t="shared" si="22"/>
        <v>9.2721599999999995</v>
      </c>
      <c r="AD49" s="23">
        <f>(scatterplots_LWG_grazdays_CS!$V$6*$A49+scatterplots_LWG_grazdays_CS!$W$6)/1000</f>
        <v>5.8420000000000014E-2</v>
      </c>
      <c r="AE49" s="23">
        <f t="shared" si="14"/>
        <v>9.8420000000000007E-2</v>
      </c>
      <c r="AF49" s="23">
        <f t="shared" si="37"/>
        <v>0.13842000000000002</v>
      </c>
      <c r="AG49" s="23">
        <f t="shared" si="37"/>
        <v>0.17842000000000002</v>
      </c>
      <c r="AH49" s="23">
        <f>(scatterplots_LWG_grazdays_CS!$V$6*$A49+scatterplots_LWG_grazdays_CS!$W$6)/1000+AH48</f>
        <v>8.3020800000000037</v>
      </c>
      <c r="AI49" s="23">
        <f t="shared" si="45"/>
        <v>8.3020800000000037</v>
      </c>
      <c r="AJ49" s="23">
        <f t="shared" si="38"/>
        <v>8.3020800000000037</v>
      </c>
      <c r="AK49" s="23">
        <f t="shared" si="38"/>
        <v>8.3020800000000037</v>
      </c>
    </row>
    <row r="50" spans="1:37">
      <c r="A50" s="12">
        <v>48</v>
      </c>
      <c r="B50" s="12">
        <v>48</v>
      </c>
      <c r="C50" s="23">
        <f>(scatterplots_LWG_grazdays_CS!$V$3*$A50+scatterplots_LWG_grazdays_CS!$W$3)/1000</f>
        <v>0.16368000000000002</v>
      </c>
      <c r="D50" s="23">
        <f t="shared" si="40"/>
        <v>0.20368000000000003</v>
      </c>
      <c r="E50" s="23">
        <f t="shared" si="40"/>
        <v>0.24368000000000001</v>
      </c>
      <c r="F50" s="23">
        <f t="shared" si="40"/>
        <v>0.28368000000000004</v>
      </c>
      <c r="G50" s="23">
        <f>(scatterplots_LWG_grazdays_CS!$V$3*$A50+scatterplots_LWG_grazdays_CS!$W$3)/1000+G49</f>
        <v>11.060160000000002</v>
      </c>
      <c r="H50" s="23">
        <f t="shared" si="41"/>
        <v>11.060160000000002</v>
      </c>
      <c r="I50" s="23">
        <f t="shared" si="48"/>
        <v>11.220160000000002</v>
      </c>
      <c r="J50" s="23">
        <f t="shared" si="39"/>
        <v>12.220160000000002</v>
      </c>
      <c r="K50" s="23">
        <f t="shared" si="34"/>
        <v>12.62016</v>
      </c>
      <c r="L50" s="23">
        <f t="shared" si="42"/>
        <v>11.060160000000002</v>
      </c>
      <c r="M50" s="23">
        <f t="shared" si="43"/>
        <v>11.060160000000002</v>
      </c>
      <c r="N50" s="23">
        <f>(scatterplots_LWG_grazdays_CS!$V$4*$A50+scatterplots_LWG_grazdays_CS!$W$4)/1000</f>
        <v>0.12047999999999999</v>
      </c>
      <c r="O50" s="23">
        <f t="shared" si="17"/>
        <v>0.16047999999999998</v>
      </c>
      <c r="P50" s="23">
        <f t="shared" si="17"/>
        <v>0.20047999999999999</v>
      </c>
      <c r="Q50" s="23">
        <f t="shared" si="17"/>
        <v>0.24047999999999997</v>
      </c>
      <c r="R50" s="23">
        <f>(scatterplots_LWG_grazdays_CS!$V$4*$A50+scatterplots_LWG_grazdays_CS!$W$4)/1000+R49</f>
        <v>10.001759999999999</v>
      </c>
      <c r="S50" s="23">
        <f t="shared" si="29"/>
        <v>10.001759999999999</v>
      </c>
      <c r="T50" s="23">
        <f t="shared" si="18"/>
        <v>10.001759999999999</v>
      </c>
      <c r="U50" s="23">
        <f t="shared" si="19"/>
        <v>10.001759999999999</v>
      </c>
      <c r="V50" s="23">
        <f>(scatterplots_LWG_grazdays_CS!$V$5*$A50+scatterplots_LWG_grazdays_CS!$W$5)/1000</f>
        <v>9.4560000000000005E-2</v>
      </c>
      <c r="W50" s="23">
        <f t="shared" si="11"/>
        <v>0.13456000000000001</v>
      </c>
      <c r="X50" s="23">
        <f t="shared" si="44"/>
        <v>0.17455999999999999</v>
      </c>
      <c r="Y50" s="23">
        <f t="shared" si="44"/>
        <v>0.21456</v>
      </c>
      <c r="Z50" s="23">
        <f>(scatterplots_LWG_grazdays_CS!$V$5*$A50+scatterplots_LWG_grazdays_CS!$W$5)/1000+Z49</f>
        <v>9.366719999999999</v>
      </c>
      <c r="AA50" s="23">
        <f t="shared" si="46"/>
        <v>9.366719999999999</v>
      </c>
      <c r="AB50" s="23">
        <f t="shared" si="21"/>
        <v>9.366719999999999</v>
      </c>
      <c r="AC50" s="23">
        <f t="shared" si="22"/>
        <v>9.366719999999999</v>
      </c>
      <c r="AD50" s="23">
        <f>(scatterplots_LWG_grazdays_CS!$V$6*$A50+scatterplots_LWG_grazdays_CS!$W$6)/1000</f>
        <v>5.3280000000000029E-2</v>
      </c>
      <c r="AE50" s="23">
        <f t="shared" si="14"/>
        <v>9.328000000000003E-2</v>
      </c>
      <c r="AF50" s="23">
        <f t="shared" si="37"/>
        <v>0.13328000000000004</v>
      </c>
      <c r="AG50" s="23">
        <f t="shared" si="37"/>
        <v>0.17328000000000002</v>
      </c>
      <c r="AH50" s="23">
        <f>(scatterplots_LWG_grazdays_CS!$V$6*$A50+scatterplots_LWG_grazdays_CS!$W$6)/1000+AH49</f>
        <v>8.3553600000000046</v>
      </c>
      <c r="AI50" s="23">
        <f t="shared" si="45"/>
        <v>8.3553600000000046</v>
      </c>
      <c r="AJ50" s="23">
        <f t="shared" si="38"/>
        <v>8.3553600000000046</v>
      </c>
      <c r="AK50" s="23">
        <f t="shared" si="38"/>
        <v>8.3553600000000046</v>
      </c>
    </row>
    <row r="51" spans="1:37">
      <c r="A51" s="12">
        <v>49</v>
      </c>
      <c r="B51" s="12">
        <v>49</v>
      </c>
      <c r="C51" s="23">
        <f>(scatterplots_LWG_grazdays_CS!$V$3*$A51+scatterplots_LWG_grazdays_CS!$W$3)/1000</f>
        <v>0.16084000000000001</v>
      </c>
      <c r="D51" s="23">
        <f t="shared" si="40"/>
        <v>0.20084000000000002</v>
      </c>
      <c r="E51" s="23">
        <f t="shared" si="40"/>
        <v>0.24084</v>
      </c>
      <c r="F51" s="23">
        <f t="shared" si="40"/>
        <v>0.28083999999999998</v>
      </c>
      <c r="G51" s="23">
        <f>(scatterplots_LWG_grazdays_CS!$V$3*$A51+scatterplots_LWG_grazdays_CS!$W$3)/1000+G50</f>
        <v>11.221000000000002</v>
      </c>
      <c r="H51" s="23">
        <f t="shared" si="41"/>
        <v>11.221000000000002</v>
      </c>
      <c r="I51" s="23">
        <f t="shared" si="48"/>
        <v>11.421000000000001</v>
      </c>
      <c r="J51" s="23">
        <f t="shared" si="39"/>
        <v>12.421000000000001</v>
      </c>
      <c r="K51" s="23">
        <f t="shared" si="34"/>
        <v>12.821</v>
      </c>
      <c r="L51" s="23">
        <f t="shared" si="42"/>
        <v>11.221000000000002</v>
      </c>
      <c r="M51" s="23">
        <f t="shared" si="43"/>
        <v>11.221000000000002</v>
      </c>
      <c r="N51" s="23">
        <f>(scatterplots_LWG_grazdays_CS!$V$4*$A51+scatterplots_LWG_grazdays_CS!$W$4)/1000</f>
        <v>0.11673999999999998</v>
      </c>
      <c r="O51" s="23">
        <f t="shared" si="17"/>
        <v>0.15673999999999999</v>
      </c>
      <c r="P51" s="23">
        <f t="shared" si="17"/>
        <v>0.19673999999999997</v>
      </c>
      <c r="Q51" s="23">
        <f t="shared" si="17"/>
        <v>0.23673999999999998</v>
      </c>
      <c r="R51" s="23">
        <f>(scatterplots_LWG_grazdays_CS!$V$4*$A51+scatterplots_LWG_grazdays_CS!$W$4)/1000+R50</f>
        <v>10.118499999999999</v>
      </c>
      <c r="S51" s="23">
        <f t="shared" si="29"/>
        <v>10.118499999999999</v>
      </c>
      <c r="T51" s="23">
        <f t="shared" si="18"/>
        <v>10.118499999999999</v>
      </c>
      <c r="U51" s="23">
        <f t="shared" si="19"/>
        <v>10.118499999999999</v>
      </c>
      <c r="V51" s="23">
        <f>(scatterplots_LWG_grazdays_CS!$V$5*$A51+scatterplots_LWG_grazdays_CS!$W$5)/1000</f>
        <v>9.0279999999999999E-2</v>
      </c>
      <c r="W51" s="23">
        <f t="shared" si="11"/>
        <v>0.13028000000000001</v>
      </c>
      <c r="X51" s="23">
        <f t="shared" si="44"/>
        <v>0.17027999999999999</v>
      </c>
      <c r="Y51" s="23">
        <f t="shared" si="44"/>
        <v>0.21027999999999999</v>
      </c>
      <c r="Z51" s="23">
        <f>(scatterplots_LWG_grazdays_CS!$V$5*$A51+scatterplots_LWG_grazdays_CS!$W$5)/1000+Z50</f>
        <v>9.456999999999999</v>
      </c>
      <c r="AA51" s="23">
        <f t="shared" si="46"/>
        <v>9.456999999999999</v>
      </c>
      <c r="AB51" s="23">
        <f t="shared" si="21"/>
        <v>9.456999999999999</v>
      </c>
      <c r="AC51" s="23">
        <f t="shared" si="22"/>
        <v>9.456999999999999</v>
      </c>
      <c r="AD51" s="23">
        <f>(scatterplots_LWG_grazdays_CS!$V$6*$A51+scatterplots_LWG_grazdays_CS!$W$6)/1000</f>
        <v>4.8140000000000016E-2</v>
      </c>
      <c r="AE51" s="23">
        <f t="shared" si="14"/>
        <v>8.8140000000000024E-2</v>
      </c>
      <c r="AF51" s="23">
        <f t="shared" si="37"/>
        <v>0.12814000000000003</v>
      </c>
      <c r="AG51" s="23">
        <f t="shared" si="37"/>
        <v>0.16814000000000001</v>
      </c>
      <c r="AH51" s="23">
        <f>(scatterplots_LWG_grazdays_CS!$V$6*$A51+scatterplots_LWG_grazdays_CS!$W$6)/1000+AH50</f>
        <v>8.4035000000000046</v>
      </c>
      <c r="AI51" s="23">
        <f t="shared" si="45"/>
        <v>8.4035000000000046</v>
      </c>
      <c r="AJ51" s="23">
        <f t="shared" si="38"/>
        <v>8.4035000000000046</v>
      </c>
      <c r="AK51" s="23">
        <f t="shared" si="38"/>
        <v>8.4035000000000046</v>
      </c>
    </row>
    <row r="52" spans="1:37">
      <c r="A52" s="12">
        <v>50</v>
      </c>
      <c r="B52" s="12">
        <v>50</v>
      </c>
      <c r="C52" s="23">
        <f>(scatterplots_LWG_grazdays_CS!$V$3*$A52+scatterplots_LWG_grazdays_CS!$W$3)/1000</f>
        <v>0.158</v>
      </c>
      <c r="D52" s="23">
        <f t="shared" si="40"/>
        <v>0.19800000000000001</v>
      </c>
      <c r="E52" s="23">
        <f t="shared" si="40"/>
        <v>0.23799999999999999</v>
      </c>
      <c r="F52" s="23">
        <f t="shared" si="40"/>
        <v>0.27800000000000002</v>
      </c>
      <c r="G52" s="23">
        <f>(scatterplots_LWG_grazdays_CS!$V$3*$A52+scatterplots_LWG_grazdays_CS!$W$3)/1000+G51</f>
        <v>11.379000000000001</v>
      </c>
      <c r="H52" s="23">
        <f t="shared" si="41"/>
        <v>11.379000000000001</v>
      </c>
      <c r="I52" s="23">
        <f t="shared" si="48"/>
        <v>11.619000000000002</v>
      </c>
      <c r="J52" s="23">
        <f t="shared" si="39"/>
        <v>12.619000000000002</v>
      </c>
      <c r="K52" s="23">
        <f t="shared" si="34"/>
        <v>13.019</v>
      </c>
      <c r="L52" s="23">
        <f t="shared" si="42"/>
        <v>11.379000000000001</v>
      </c>
      <c r="M52" s="23">
        <f t="shared" si="43"/>
        <v>11.379000000000001</v>
      </c>
      <c r="N52" s="23">
        <f>(scatterplots_LWG_grazdays_CS!$V$4*$A52+scatterplots_LWG_grazdays_CS!$W$4)/1000</f>
        <v>0.113</v>
      </c>
      <c r="O52" s="23">
        <f t="shared" si="17"/>
        <v>0.153</v>
      </c>
      <c r="P52" s="23">
        <f t="shared" si="17"/>
        <v>0.193</v>
      </c>
      <c r="Q52" s="23">
        <f t="shared" si="17"/>
        <v>0.23299999999999998</v>
      </c>
      <c r="R52" s="23">
        <f>(scatterplots_LWG_grazdays_CS!$V$4*$A52+scatterplots_LWG_grazdays_CS!$W$4)/1000+R51</f>
        <v>10.231499999999999</v>
      </c>
      <c r="S52" s="23">
        <f t="shared" si="29"/>
        <v>10.231499999999999</v>
      </c>
      <c r="T52" s="23">
        <f t="shared" si="18"/>
        <v>10.231499999999999</v>
      </c>
      <c r="U52" s="23">
        <f t="shared" si="19"/>
        <v>10.231499999999999</v>
      </c>
      <c r="V52" s="23">
        <f>(scatterplots_LWG_grazdays_CS!$V$5*$A52+scatterplots_LWG_grazdays_CS!$W$5)/1000</f>
        <v>8.5999999999999993E-2</v>
      </c>
      <c r="W52" s="23">
        <f t="shared" si="11"/>
        <v>0.126</v>
      </c>
      <c r="X52" s="23">
        <f t="shared" si="44"/>
        <v>0.16599999999999998</v>
      </c>
      <c r="Y52" s="23">
        <f t="shared" si="44"/>
        <v>0.20599999999999999</v>
      </c>
      <c r="Z52" s="23">
        <f>(scatterplots_LWG_grazdays_CS!$V$5*$A52+scatterplots_LWG_grazdays_CS!$W$5)/1000+Z51</f>
        <v>9.5429999999999993</v>
      </c>
      <c r="AA52" s="23">
        <f t="shared" si="46"/>
        <v>9.5429999999999993</v>
      </c>
      <c r="AB52" s="23">
        <f t="shared" si="21"/>
        <v>9.5429999999999993</v>
      </c>
      <c r="AC52" s="23">
        <f t="shared" si="22"/>
        <v>9.5429999999999993</v>
      </c>
      <c r="AD52" s="23">
        <f>(scatterplots_LWG_grazdays_CS!$V$6*$A52+scatterplots_LWG_grazdays_CS!$W$6)/1000</f>
        <v>4.2999999999999997E-2</v>
      </c>
      <c r="AE52" s="23">
        <f t="shared" si="14"/>
        <v>8.299999999999999E-2</v>
      </c>
      <c r="AF52" s="23">
        <f t="shared" si="37"/>
        <v>0.123</v>
      </c>
      <c r="AG52" s="23">
        <f t="shared" si="37"/>
        <v>0.16299999999999998</v>
      </c>
      <c r="AH52" s="23">
        <f>(scatterplots_LWG_grazdays_CS!$V$6*$A52+scatterplots_LWG_grazdays_CS!$W$6)/1000+AH51</f>
        <v>8.4465000000000039</v>
      </c>
      <c r="AI52" s="23">
        <f t="shared" si="45"/>
        <v>8.4465000000000039</v>
      </c>
      <c r="AJ52" s="23">
        <f t="shared" si="38"/>
        <v>8.4465000000000039</v>
      </c>
      <c r="AK52" s="23">
        <f t="shared" si="38"/>
        <v>8.4465000000000039</v>
      </c>
    </row>
    <row r="53" spans="1:37">
      <c r="A53" s="12">
        <v>51</v>
      </c>
      <c r="B53" s="12">
        <v>51</v>
      </c>
      <c r="C53" s="23">
        <f>(scatterplots_LWG_grazdays_CS!$V$3*$A53+scatterplots_LWG_grazdays_CS!$W$3)/1000</f>
        <v>0.15515999999999999</v>
      </c>
      <c r="D53" s="23">
        <f t="shared" si="40"/>
        <v>0.19516</v>
      </c>
      <c r="E53" s="23">
        <f t="shared" si="40"/>
        <v>0.23515999999999998</v>
      </c>
      <c r="F53" s="23">
        <f t="shared" si="40"/>
        <v>0.27515999999999996</v>
      </c>
      <c r="G53" s="23">
        <f>(scatterplots_LWG_grazdays_CS!$V$3*$A53+scatterplots_LWG_grazdays_CS!$W$3)/1000+G52</f>
        <v>11.534160000000002</v>
      </c>
      <c r="H53" s="23">
        <f t="shared" si="41"/>
        <v>11.534160000000002</v>
      </c>
      <c r="I53" s="23">
        <f t="shared" si="48"/>
        <v>11.814160000000001</v>
      </c>
      <c r="J53" s="23">
        <f t="shared" si="39"/>
        <v>12.814160000000001</v>
      </c>
      <c r="K53" s="23">
        <f t="shared" si="34"/>
        <v>13.21416</v>
      </c>
      <c r="L53" s="23">
        <f t="shared" si="42"/>
        <v>11.534160000000002</v>
      </c>
      <c r="M53" s="23">
        <f t="shared" si="43"/>
        <v>11.534160000000002</v>
      </c>
      <c r="N53" s="23">
        <f>(scatterplots_LWG_grazdays_CS!$V$4*$A53+scatterplots_LWG_grazdays_CS!$W$4)/1000</f>
        <v>0.10926</v>
      </c>
      <c r="O53" s="23">
        <f t="shared" si="17"/>
        <v>0.14926</v>
      </c>
      <c r="P53" s="23">
        <f t="shared" si="17"/>
        <v>0.18925999999999998</v>
      </c>
      <c r="Q53" s="23">
        <f t="shared" si="17"/>
        <v>0.22925999999999999</v>
      </c>
      <c r="R53" s="23">
        <f>(scatterplots_LWG_grazdays_CS!$V$4*$A53+scatterplots_LWG_grazdays_CS!$W$4)/1000+R52</f>
        <v>10.34076</v>
      </c>
      <c r="S53" s="23">
        <f t="shared" si="29"/>
        <v>10.34076</v>
      </c>
      <c r="T53" s="23">
        <f t="shared" si="18"/>
        <v>10.34076</v>
      </c>
      <c r="U53" s="23">
        <f t="shared" si="19"/>
        <v>10.34076</v>
      </c>
      <c r="V53" s="23">
        <f>(scatterplots_LWG_grazdays_CS!$V$5*$A53+scatterplots_LWG_grazdays_CS!$W$5)/1000</f>
        <v>8.1720000000000001E-2</v>
      </c>
      <c r="W53" s="23">
        <f t="shared" si="11"/>
        <v>0.12171999999999999</v>
      </c>
      <c r="X53" s="23">
        <f t="shared" si="44"/>
        <v>0.16172</v>
      </c>
      <c r="Y53" s="23">
        <f t="shared" si="44"/>
        <v>0.20172000000000001</v>
      </c>
      <c r="Z53" s="23">
        <f>(scatterplots_LWG_grazdays_CS!$V$5*$A53+scatterplots_LWG_grazdays_CS!$W$5)/1000+Z52</f>
        <v>9.6247199999999999</v>
      </c>
      <c r="AA53" s="23">
        <f t="shared" si="46"/>
        <v>9.6247199999999999</v>
      </c>
      <c r="AB53" s="23">
        <f t="shared" si="21"/>
        <v>9.6247199999999999</v>
      </c>
      <c r="AC53" s="23">
        <f t="shared" si="22"/>
        <v>9.6247199999999999</v>
      </c>
      <c r="AD53" s="23">
        <f>(scatterplots_LWG_grazdays_CS!$V$6*$A53+scatterplots_LWG_grazdays_CS!$W$6)/1000</f>
        <v>3.7860000000000012E-2</v>
      </c>
      <c r="AE53" s="23">
        <f t="shared" si="14"/>
        <v>7.7860000000000013E-2</v>
      </c>
      <c r="AF53" s="23">
        <f t="shared" si="37"/>
        <v>0.11786000000000002</v>
      </c>
      <c r="AG53" s="23">
        <f t="shared" si="37"/>
        <v>0.15786</v>
      </c>
      <c r="AH53" s="23">
        <f>(scatterplots_LWG_grazdays_CS!$V$6*$A53+scatterplots_LWG_grazdays_CS!$W$6)/1000+AH52</f>
        <v>8.4843600000000041</v>
      </c>
      <c r="AI53" s="23">
        <f t="shared" si="45"/>
        <v>8.4843600000000041</v>
      </c>
      <c r="AJ53" s="23">
        <f t="shared" si="38"/>
        <v>8.4843600000000041</v>
      </c>
      <c r="AK53" s="23">
        <f t="shared" si="38"/>
        <v>8.4843600000000041</v>
      </c>
    </row>
    <row r="54" spans="1:37">
      <c r="A54" s="12">
        <v>52</v>
      </c>
      <c r="B54" s="12">
        <v>52</v>
      </c>
      <c r="C54" s="23">
        <f>(scatterplots_LWG_grazdays_CS!$V$3*$A54+scatterplots_LWG_grazdays_CS!$W$3)/1000</f>
        <v>0.15231999999999998</v>
      </c>
      <c r="D54" s="23">
        <f t="shared" si="40"/>
        <v>0.19231999999999999</v>
      </c>
      <c r="E54" s="23">
        <f t="shared" si="40"/>
        <v>0.23231999999999997</v>
      </c>
      <c r="F54" s="23">
        <f t="shared" si="40"/>
        <v>0.27232000000000001</v>
      </c>
      <c r="G54" s="23">
        <f>(scatterplots_LWG_grazdays_CS!$V$3*$A54+scatterplots_LWG_grazdays_CS!$W$3)/1000+G53</f>
        <v>11.686480000000001</v>
      </c>
      <c r="H54" s="23">
        <f t="shared" si="41"/>
        <v>11.686480000000001</v>
      </c>
      <c r="I54" s="23">
        <f t="shared" si="48"/>
        <v>12.006480000000002</v>
      </c>
      <c r="J54" s="23">
        <f t="shared" si="39"/>
        <v>13.006480000000002</v>
      </c>
      <c r="K54" s="23">
        <f t="shared" si="34"/>
        <v>13.40648</v>
      </c>
      <c r="L54" s="23">
        <f t="shared" si="42"/>
        <v>11.686480000000001</v>
      </c>
      <c r="M54" s="23">
        <f t="shared" si="43"/>
        <v>11.686480000000001</v>
      </c>
      <c r="N54" s="23">
        <f>(scatterplots_LWG_grazdays_CS!$V$4*$A54+scatterplots_LWG_grazdays_CS!$W$4)/1000</f>
        <v>0.10551999999999997</v>
      </c>
      <c r="O54" s="23">
        <f t="shared" si="17"/>
        <v>0.14551999999999998</v>
      </c>
      <c r="P54" s="23">
        <f t="shared" si="17"/>
        <v>0.18551999999999996</v>
      </c>
      <c r="Q54" s="23">
        <f t="shared" si="17"/>
        <v>0.22551999999999997</v>
      </c>
      <c r="R54" s="23">
        <f>(scatterplots_LWG_grazdays_CS!$V$4*$A54+scatterplots_LWG_grazdays_CS!$W$4)/1000+R53</f>
        <v>10.44628</v>
      </c>
      <c r="S54" s="23">
        <f t="shared" si="29"/>
        <v>10.44628</v>
      </c>
      <c r="T54" s="23">
        <f t="shared" si="18"/>
        <v>10.44628</v>
      </c>
      <c r="U54" s="23">
        <f t="shared" si="19"/>
        <v>10.44628</v>
      </c>
      <c r="V54" s="23">
        <f>(scatterplots_LWG_grazdays_CS!$V$5*$A54+scatterplots_LWG_grazdays_CS!$W$5)/1000</f>
        <v>7.7439999999999995E-2</v>
      </c>
      <c r="W54" s="23">
        <f t="shared" si="11"/>
        <v>0.11743999999999999</v>
      </c>
      <c r="X54" s="23">
        <f t="shared" si="44"/>
        <v>0.15744</v>
      </c>
      <c r="Y54" s="23">
        <f t="shared" si="44"/>
        <v>0.19744</v>
      </c>
      <c r="Z54" s="23">
        <f>(scatterplots_LWG_grazdays_CS!$V$5*$A54+scatterplots_LWG_grazdays_CS!$W$5)/1000+Z53</f>
        <v>9.7021599999999992</v>
      </c>
      <c r="AA54" s="23">
        <f t="shared" si="46"/>
        <v>9.7021599999999992</v>
      </c>
      <c r="AB54" s="23">
        <f t="shared" si="21"/>
        <v>9.7021599999999992</v>
      </c>
      <c r="AC54" s="23">
        <f t="shared" si="22"/>
        <v>9.7021599999999992</v>
      </c>
      <c r="AD54" s="23">
        <f>(scatterplots_LWG_grazdays_CS!$V$6*$A54+scatterplots_LWG_grazdays_CS!$W$6)/1000</f>
        <v>3.2720000000000027E-2</v>
      </c>
      <c r="AE54" s="23">
        <f t="shared" si="14"/>
        <v>7.2720000000000035E-2</v>
      </c>
      <c r="AF54" s="23">
        <f t="shared" si="37"/>
        <v>0.11272000000000003</v>
      </c>
      <c r="AG54" s="23">
        <f t="shared" si="37"/>
        <v>0.15272000000000002</v>
      </c>
      <c r="AH54" s="23">
        <f>(scatterplots_LWG_grazdays_CS!$V$6*$A54+scatterplots_LWG_grazdays_CS!$W$6)/1000+AH53</f>
        <v>8.5170800000000035</v>
      </c>
      <c r="AI54" s="23">
        <f t="shared" si="45"/>
        <v>8.5170800000000035</v>
      </c>
      <c r="AJ54" s="23">
        <f t="shared" si="38"/>
        <v>8.5170800000000035</v>
      </c>
      <c r="AK54" s="23">
        <f t="shared" si="38"/>
        <v>8.5170800000000035</v>
      </c>
    </row>
    <row r="55" spans="1:37">
      <c r="A55" s="12">
        <v>53</v>
      </c>
      <c r="B55" s="12">
        <v>53</v>
      </c>
      <c r="C55" s="23">
        <f>(scatterplots_LWG_grazdays_CS!$V$3*$A55+scatterplots_LWG_grazdays_CS!$W$3)/1000</f>
        <v>0.14948000000000003</v>
      </c>
      <c r="D55" s="23">
        <f t="shared" si="40"/>
        <v>0.18948000000000004</v>
      </c>
      <c r="E55" s="23">
        <f t="shared" si="40"/>
        <v>0.22948000000000002</v>
      </c>
      <c r="F55" s="23">
        <f t="shared" si="40"/>
        <v>0.26948000000000005</v>
      </c>
      <c r="G55" s="23">
        <f>(scatterplots_LWG_grazdays_CS!$V$3*$A55+scatterplots_LWG_grazdays_CS!$W$3)/1000+G54</f>
        <v>11.835960000000002</v>
      </c>
      <c r="H55" s="23">
        <f t="shared" si="41"/>
        <v>11.835960000000002</v>
      </c>
      <c r="I55" s="23">
        <f t="shared" si="48"/>
        <v>12.195960000000001</v>
      </c>
      <c r="J55" s="23">
        <f t="shared" si="39"/>
        <v>13.195960000000001</v>
      </c>
      <c r="K55" s="23">
        <f t="shared" si="34"/>
        <v>13.59596</v>
      </c>
      <c r="L55" s="23">
        <f t="shared" si="42"/>
        <v>11.835960000000002</v>
      </c>
      <c r="M55" s="23">
        <f t="shared" si="43"/>
        <v>11.835960000000002</v>
      </c>
      <c r="N55" s="23">
        <f>(scatterplots_LWG_grazdays_CS!$V$4*$A55+scatterplots_LWG_grazdays_CS!$W$4)/1000</f>
        <v>0.10178</v>
      </c>
      <c r="O55" s="23">
        <f t="shared" si="17"/>
        <v>0.14177999999999999</v>
      </c>
      <c r="P55" s="23">
        <f t="shared" si="17"/>
        <v>0.18178</v>
      </c>
      <c r="Q55" s="23">
        <f t="shared" si="17"/>
        <v>0.22177999999999998</v>
      </c>
      <c r="R55" s="23">
        <f>(scatterplots_LWG_grazdays_CS!$V$4*$A55+scatterplots_LWG_grazdays_CS!$W$4)/1000+R54</f>
        <v>10.54806</v>
      </c>
      <c r="S55" s="23">
        <f>N55+S54</f>
        <v>10.54806</v>
      </c>
      <c r="T55" s="23">
        <f t="shared" si="18"/>
        <v>10.54806</v>
      </c>
      <c r="U55" s="23">
        <f t="shared" si="19"/>
        <v>10.54806</v>
      </c>
      <c r="V55" s="23">
        <f>(scatterplots_LWG_grazdays_CS!$V$5*$A55+scatterplots_LWG_grazdays_CS!$W$5)/1000</f>
        <v>7.3160000000000003E-2</v>
      </c>
      <c r="W55" s="23">
        <f t="shared" si="11"/>
        <v>0.11316000000000001</v>
      </c>
      <c r="X55" s="23">
        <f t="shared" si="44"/>
        <v>0.15316000000000002</v>
      </c>
      <c r="Y55" s="23">
        <f t="shared" si="44"/>
        <v>0.19316</v>
      </c>
      <c r="Z55" s="23">
        <f>(scatterplots_LWG_grazdays_CS!$V$5*$A55+scatterplots_LWG_grazdays_CS!$W$5)/1000+Z54</f>
        <v>9.7753199999999989</v>
      </c>
      <c r="AA55" s="23">
        <f t="shared" si="46"/>
        <v>9.7753199999999989</v>
      </c>
      <c r="AB55" s="23">
        <f t="shared" si="21"/>
        <v>9.7753199999999989</v>
      </c>
      <c r="AC55" s="23">
        <f t="shared" si="22"/>
        <v>9.7753199999999989</v>
      </c>
      <c r="AD55" s="23">
        <f>(scatterplots_LWG_grazdays_CS!$V$6*$A55+scatterplots_LWG_grazdays_CS!$W$6)/1000</f>
        <v>2.7580000000000042E-2</v>
      </c>
      <c r="AE55" s="23">
        <f t="shared" si="14"/>
        <v>6.7580000000000043E-2</v>
      </c>
      <c r="AF55" s="23">
        <f t="shared" si="37"/>
        <v>0.10758000000000004</v>
      </c>
      <c r="AG55" s="23">
        <f t="shared" si="37"/>
        <v>0.14758000000000004</v>
      </c>
      <c r="AH55" s="23">
        <f>(scatterplots_LWG_grazdays_CS!$V$6*$A55+scatterplots_LWG_grazdays_CS!$W$6)/1000+AH54</f>
        <v>8.5446600000000039</v>
      </c>
      <c r="AI55" s="23">
        <f t="shared" si="45"/>
        <v>8.5446600000000039</v>
      </c>
      <c r="AJ55" s="23">
        <f t="shared" si="38"/>
        <v>8.5446600000000039</v>
      </c>
      <c r="AK55" s="23">
        <f t="shared" si="38"/>
        <v>8.5446600000000039</v>
      </c>
    </row>
    <row r="56" spans="1:37">
      <c r="A56" s="12">
        <v>54</v>
      </c>
      <c r="B56" s="12">
        <v>54</v>
      </c>
      <c r="C56" s="23">
        <f>(scatterplots_LWG_grazdays_CS!$V$3*$A56+scatterplots_LWG_grazdays_CS!$W$3)/1000</f>
        <v>0.14664000000000002</v>
      </c>
      <c r="D56" s="23">
        <f t="shared" si="40"/>
        <v>0.18664000000000003</v>
      </c>
      <c r="E56" s="23">
        <f t="shared" si="40"/>
        <v>0.22664000000000001</v>
      </c>
      <c r="F56" s="23">
        <f t="shared" si="40"/>
        <v>0.26663999999999999</v>
      </c>
      <c r="G56" s="23">
        <f>(scatterplots_LWG_grazdays_CS!$V$3*$A56+scatterplots_LWG_grazdays_CS!$W$3)/1000+G55</f>
        <v>11.982600000000001</v>
      </c>
      <c r="H56" s="23">
        <f t="shared" si="41"/>
        <v>11.982600000000001</v>
      </c>
      <c r="I56" s="23">
        <f t="shared" si="48"/>
        <v>12.382600000000002</v>
      </c>
      <c r="J56" s="23">
        <f t="shared" si="39"/>
        <v>13.382600000000002</v>
      </c>
      <c r="K56" s="23">
        <f t="shared" si="34"/>
        <v>13.7826</v>
      </c>
      <c r="L56" s="23">
        <f t="shared" si="42"/>
        <v>11.982600000000001</v>
      </c>
      <c r="M56" s="23">
        <f t="shared" si="43"/>
        <v>11.982600000000001</v>
      </c>
      <c r="N56" s="23">
        <f>(scatterplots_LWG_grazdays_CS!$V$4*$A56+scatterplots_LWG_grazdays_CS!$W$4)/1000</f>
        <v>9.8039999999999988E-2</v>
      </c>
      <c r="O56" s="23">
        <f t="shared" si="17"/>
        <v>0.13804</v>
      </c>
      <c r="P56" s="23">
        <f t="shared" si="17"/>
        <v>0.17803999999999998</v>
      </c>
      <c r="Q56" s="23">
        <f t="shared" si="17"/>
        <v>0.21803999999999998</v>
      </c>
      <c r="R56" s="23">
        <f>(scatterplots_LWG_grazdays_CS!$V$4*$A56+scatterplots_LWG_grazdays_CS!$W$4)/1000+R55</f>
        <v>10.646099999999999</v>
      </c>
      <c r="S56" s="23">
        <f t="shared" ref="S56:S91" si="49">N56+S55</f>
        <v>10.646099999999999</v>
      </c>
      <c r="T56" s="23">
        <f t="shared" si="18"/>
        <v>10.646099999999999</v>
      </c>
      <c r="U56" s="23">
        <f t="shared" si="19"/>
        <v>10.646099999999999</v>
      </c>
      <c r="V56" s="23">
        <f>(scatterplots_LWG_grazdays_CS!$V$5*$A56+scatterplots_LWG_grazdays_CS!$W$5)/1000</f>
        <v>6.8879999999999997E-2</v>
      </c>
      <c r="W56" s="23">
        <f t="shared" si="11"/>
        <v>0.10888</v>
      </c>
      <c r="X56" s="23">
        <f t="shared" si="44"/>
        <v>0.14888000000000001</v>
      </c>
      <c r="Y56" s="23">
        <f t="shared" si="44"/>
        <v>0.18887999999999999</v>
      </c>
      <c r="Z56" s="23">
        <f>(scatterplots_LWG_grazdays_CS!$V$5*$A56+scatterplots_LWG_grazdays_CS!$W$5)/1000+Z55</f>
        <v>9.844199999999999</v>
      </c>
      <c r="AA56" s="23">
        <f t="shared" si="46"/>
        <v>9.844199999999999</v>
      </c>
      <c r="AB56" s="23">
        <f t="shared" si="21"/>
        <v>9.844199999999999</v>
      </c>
      <c r="AC56" s="23">
        <f t="shared" si="22"/>
        <v>9.844199999999999</v>
      </c>
      <c r="AD56" s="23">
        <f>(scatterplots_LWG_grazdays_CS!$V$6*$A56+scatterplots_LWG_grazdays_CS!$W$6)/1000</f>
        <v>2.2439999999999998E-2</v>
      </c>
      <c r="AE56" s="23">
        <f t="shared" si="14"/>
        <v>6.2439999999999996E-2</v>
      </c>
      <c r="AF56" s="23">
        <f t="shared" si="37"/>
        <v>0.10244</v>
      </c>
      <c r="AG56" s="23">
        <f t="shared" si="37"/>
        <v>0.14243999999999998</v>
      </c>
      <c r="AH56" s="23">
        <f>(scatterplots_LWG_grazdays_CS!$V$6*$A56+scatterplots_LWG_grazdays_CS!$W$6)/1000+AH55</f>
        <v>8.5671000000000035</v>
      </c>
      <c r="AI56" s="23">
        <f t="shared" si="45"/>
        <v>8.5671000000000035</v>
      </c>
      <c r="AJ56" s="23">
        <f t="shared" si="38"/>
        <v>8.5671000000000035</v>
      </c>
      <c r="AK56" s="23">
        <f t="shared" si="38"/>
        <v>8.5671000000000035</v>
      </c>
    </row>
    <row r="57" spans="1:37">
      <c r="A57" s="12">
        <v>55</v>
      </c>
      <c r="B57" s="12">
        <v>55</v>
      </c>
      <c r="C57" s="23">
        <f>(scatterplots_LWG_grazdays_CS!$V$3*$A57+scatterplots_LWG_grazdays_CS!$W$3)/1000</f>
        <v>0.14380000000000001</v>
      </c>
      <c r="D57" s="23">
        <f t="shared" si="40"/>
        <v>0.18380000000000002</v>
      </c>
      <c r="E57" s="23">
        <f t="shared" si="40"/>
        <v>0.2238</v>
      </c>
      <c r="F57" s="23">
        <f t="shared" si="40"/>
        <v>0.26380000000000003</v>
      </c>
      <c r="G57" s="23">
        <f>(scatterplots_LWG_grazdays_CS!$V$3*$A57+scatterplots_LWG_grazdays_CS!$W$3)/1000+G56</f>
        <v>12.126400000000002</v>
      </c>
      <c r="H57" s="23">
        <f t="shared" si="41"/>
        <v>12.126400000000002</v>
      </c>
      <c r="I57" s="23">
        <f t="shared" si="48"/>
        <v>12.566400000000002</v>
      </c>
      <c r="J57" s="23">
        <f t="shared" si="39"/>
        <v>13.566400000000002</v>
      </c>
      <c r="K57" s="23">
        <f t="shared" si="34"/>
        <v>13.9664</v>
      </c>
      <c r="L57" s="23">
        <f t="shared" si="42"/>
        <v>12.126400000000002</v>
      </c>
      <c r="M57" s="23">
        <f t="shared" si="43"/>
        <v>12.126400000000002</v>
      </c>
      <c r="N57" s="23">
        <f>(scatterplots_LWG_grazdays_CS!$V$4*$A57+scatterplots_LWG_grazdays_CS!$W$4)/1000</f>
        <v>9.4299999999999981E-2</v>
      </c>
      <c r="O57" s="23">
        <f t="shared" si="17"/>
        <v>0.13429999999999997</v>
      </c>
      <c r="P57" s="23">
        <f t="shared" si="17"/>
        <v>0.17429999999999998</v>
      </c>
      <c r="Q57" s="23">
        <f t="shared" si="17"/>
        <v>0.21429999999999999</v>
      </c>
      <c r="R57" s="23">
        <f>(scatterplots_LWG_grazdays_CS!$V$4*$A57+scatterplots_LWG_grazdays_CS!$W$4)/1000+R56</f>
        <v>10.740399999999999</v>
      </c>
      <c r="S57" s="23">
        <f t="shared" si="49"/>
        <v>10.740399999999999</v>
      </c>
      <c r="T57" s="23">
        <f t="shared" si="18"/>
        <v>10.740399999999999</v>
      </c>
      <c r="U57" s="23">
        <f t="shared" si="19"/>
        <v>10.740399999999999</v>
      </c>
      <c r="V57" s="23">
        <f>(scatterplots_LWG_grazdays_CS!$V$5*$A57+scatterplots_LWG_grazdays_CS!$W$5)/1000</f>
        <v>6.4599999999999991E-2</v>
      </c>
      <c r="W57" s="23">
        <f t="shared" si="11"/>
        <v>0.1046</v>
      </c>
      <c r="X57" s="23">
        <f t="shared" si="44"/>
        <v>0.14460000000000001</v>
      </c>
      <c r="Y57" s="23">
        <f t="shared" si="44"/>
        <v>0.18459999999999999</v>
      </c>
      <c r="Z57" s="23">
        <f>(scatterplots_LWG_grazdays_CS!$V$5*$A57+scatterplots_LWG_grazdays_CS!$W$5)/1000+Z56</f>
        <v>9.9087999999999994</v>
      </c>
      <c r="AA57" s="23">
        <f t="shared" si="46"/>
        <v>9.9087999999999994</v>
      </c>
      <c r="AB57" s="23">
        <f t="shared" si="21"/>
        <v>9.9087999999999994</v>
      </c>
      <c r="AC57" s="23">
        <f t="shared" si="22"/>
        <v>9.9087999999999994</v>
      </c>
      <c r="AD57" s="23">
        <f>(scatterplots_LWG_grazdays_CS!$V$6*$A57+scatterplots_LWG_grazdays_CS!$W$6)/1000</f>
        <v>1.730000000000001E-2</v>
      </c>
      <c r="AE57" s="23">
        <f t="shared" si="14"/>
        <v>5.7300000000000011E-2</v>
      </c>
      <c r="AF57" s="23">
        <f t="shared" si="37"/>
        <v>9.7300000000000011E-2</v>
      </c>
      <c r="AG57" s="23">
        <f t="shared" si="37"/>
        <v>0.13730000000000001</v>
      </c>
      <c r="AH57" s="23">
        <f>(scatterplots_LWG_grazdays_CS!$V$6*$A57+scatterplots_LWG_grazdays_CS!$W$6)/1000+AH56</f>
        <v>8.584400000000004</v>
      </c>
      <c r="AI57" s="23">
        <f t="shared" si="45"/>
        <v>8.584400000000004</v>
      </c>
      <c r="AJ57" s="23">
        <f t="shared" si="38"/>
        <v>8.584400000000004</v>
      </c>
      <c r="AK57" s="23">
        <f t="shared" si="38"/>
        <v>8.584400000000004</v>
      </c>
    </row>
    <row r="58" spans="1:37">
      <c r="A58" s="12">
        <v>56</v>
      </c>
      <c r="B58" s="12">
        <v>56</v>
      </c>
      <c r="C58" s="23">
        <f>(scatterplots_LWG_grazdays_CS!$V$3*$A58+scatterplots_LWG_grazdays_CS!$W$3)/1000</f>
        <v>0.14096</v>
      </c>
      <c r="D58" s="23">
        <f t="shared" si="40"/>
        <v>0.18096000000000001</v>
      </c>
      <c r="E58" s="23">
        <f t="shared" si="40"/>
        <v>0.22095999999999999</v>
      </c>
      <c r="F58" s="23">
        <f t="shared" si="40"/>
        <v>0.26095999999999997</v>
      </c>
      <c r="G58" s="23">
        <f>(scatterplots_LWG_grazdays_CS!$V$3*$A58+scatterplots_LWG_grazdays_CS!$W$3)/1000+G57</f>
        <v>12.267360000000002</v>
      </c>
      <c r="H58" s="23">
        <f t="shared" si="41"/>
        <v>12.267360000000002</v>
      </c>
      <c r="I58" s="23">
        <f t="shared" si="48"/>
        <v>12.747360000000002</v>
      </c>
      <c r="J58" s="23">
        <f t="shared" si="39"/>
        <v>13.747360000000002</v>
      </c>
      <c r="K58" s="23">
        <f t="shared" si="34"/>
        <v>14.147360000000001</v>
      </c>
      <c r="L58" s="23">
        <f t="shared" si="42"/>
        <v>12.267360000000002</v>
      </c>
      <c r="M58" s="23">
        <f t="shared" si="43"/>
        <v>12.267360000000002</v>
      </c>
      <c r="N58" s="23">
        <f>(scatterplots_LWG_grazdays_CS!$V$4*$A58+scatterplots_LWG_grazdays_CS!$W$4)/1000</f>
        <v>9.0560000000000002E-2</v>
      </c>
      <c r="O58" s="23">
        <f t="shared" si="17"/>
        <v>0.13056000000000001</v>
      </c>
      <c r="P58" s="23">
        <f t="shared" si="17"/>
        <v>0.17055999999999999</v>
      </c>
      <c r="Q58" s="23">
        <f t="shared" si="17"/>
        <v>0.21056</v>
      </c>
      <c r="R58" s="23">
        <f>(scatterplots_LWG_grazdays_CS!$V$4*$A58+scatterplots_LWG_grazdays_CS!$W$4)/1000+R57</f>
        <v>10.830959999999999</v>
      </c>
      <c r="S58" s="23">
        <f t="shared" si="49"/>
        <v>10.830959999999999</v>
      </c>
      <c r="T58" s="23">
        <f t="shared" si="18"/>
        <v>10.830959999999999</v>
      </c>
      <c r="U58" s="23">
        <f t="shared" si="19"/>
        <v>10.830959999999999</v>
      </c>
      <c r="V58" s="23">
        <f>(scatterplots_LWG_grazdays_CS!$V$5*$A58+scatterplots_LWG_grazdays_CS!$W$5)/1000</f>
        <v>6.0319999999999992E-2</v>
      </c>
      <c r="W58" s="23">
        <f t="shared" si="11"/>
        <v>0.10031999999999999</v>
      </c>
      <c r="X58" s="23">
        <f t="shared" si="44"/>
        <v>0.14032</v>
      </c>
      <c r="Y58" s="23">
        <f t="shared" si="44"/>
        <v>0.18031999999999998</v>
      </c>
      <c r="Z58" s="23">
        <f>(scatterplots_LWG_grazdays_CS!$V$5*$A58+scatterplots_LWG_grazdays_CS!$W$5)/1000+Z57</f>
        <v>9.9691200000000002</v>
      </c>
      <c r="AA58" s="23">
        <f t="shared" si="46"/>
        <v>9.9691200000000002</v>
      </c>
      <c r="AB58" s="23">
        <f t="shared" si="21"/>
        <v>9.9691200000000002</v>
      </c>
      <c r="AC58" s="23">
        <f t="shared" si="22"/>
        <v>9.9691200000000002</v>
      </c>
      <c r="AD58" s="23">
        <f>(scatterplots_LWG_grazdays_CS!$V$6*$A58+scatterplots_LWG_grazdays_CS!$W$6)/1000</f>
        <v>1.2160000000000025E-2</v>
      </c>
      <c r="AE58" s="23">
        <f t="shared" si="14"/>
        <v>5.2160000000000026E-2</v>
      </c>
      <c r="AF58" s="23">
        <f t="shared" si="37"/>
        <v>9.216000000000002E-2</v>
      </c>
      <c r="AG58" s="23">
        <f t="shared" si="37"/>
        <v>0.13216000000000003</v>
      </c>
      <c r="AH58" s="23">
        <f>(scatterplots_LWG_grazdays_CS!$V$6*$A58+scatterplots_LWG_grazdays_CS!$W$6)/1000+AH57</f>
        <v>8.5965600000000038</v>
      </c>
      <c r="AI58" s="23">
        <f t="shared" si="45"/>
        <v>8.5965600000000038</v>
      </c>
      <c r="AJ58" s="23">
        <f t="shared" si="38"/>
        <v>8.5965600000000038</v>
      </c>
      <c r="AK58" s="23">
        <f t="shared" si="38"/>
        <v>8.5965600000000038</v>
      </c>
    </row>
    <row r="59" spans="1:37">
      <c r="A59" s="12">
        <v>57</v>
      </c>
      <c r="B59" s="12">
        <v>57</v>
      </c>
      <c r="C59" s="23">
        <f>(scatterplots_LWG_grazdays_CS!$V$3*$A59+scatterplots_LWG_grazdays_CS!$W$3)/1000</f>
        <v>0.13811999999999999</v>
      </c>
      <c r="D59" s="23">
        <f t="shared" si="40"/>
        <v>0.17812</v>
      </c>
      <c r="E59" s="23">
        <f t="shared" si="40"/>
        <v>0.21811999999999998</v>
      </c>
      <c r="F59" s="23">
        <f t="shared" si="40"/>
        <v>0.25812000000000002</v>
      </c>
      <c r="G59" s="23">
        <f>(scatterplots_LWG_grazdays_CS!$V$3*$A59+scatterplots_LWG_grazdays_CS!$W$3)/1000+G58</f>
        <v>12.405480000000003</v>
      </c>
      <c r="H59" s="23">
        <f t="shared" si="41"/>
        <v>12.405480000000003</v>
      </c>
      <c r="I59" s="23">
        <f t="shared" ref="I59:I113" si="50">D59+I58</f>
        <v>12.925480000000002</v>
      </c>
      <c r="J59" s="23">
        <f t="shared" si="39"/>
        <v>13.925480000000002</v>
      </c>
      <c r="K59" s="23">
        <f t="shared" si="34"/>
        <v>14.325480000000001</v>
      </c>
      <c r="L59" s="23">
        <f t="shared" si="42"/>
        <v>12.405480000000003</v>
      </c>
      <c r="M59" s="23">
        <f t="shared" si="43"/>
        <v>12.405480000000003</v>
      </c>
      <c r="N59" s="23">
        <f>(scatterplots_LWG_grazdays_CS!$V$4*$A59+scatterplots_LWG_grazdays_CS!$W$4)/1000</f>
        <v>8.6819999999999994E-2</v>
      </c>
      <c r="O59" s="23">
        <f t="shared" si="17"/>
        <v>0.12681999999999999</v>
      </c>
      <c r="P59" s="23">
        <f t="shared" si="17"/>
        <v>0.16682</v>
      </c>
      <c r="Q59" s="23">
        <f t="shared" si="17"/>
        <v>0.20682</v>
      </c>
      <c r="R59" s="23">
        <f>(scatterplots_LWG_grazdays_CS!$V$4*$A59+scatterplots_LWG_grazdays_CS!$W$4)/1000+R58</f>
        <v>10.917779999999999</v>
      </c>
      <c r="S59" s="23">
        <f t="shared" si="49"/>
        <v>10.917779999999999</v>
      </c>
      <c r="T59" s="23">
        <f t="shared" si="18"/>
        <v>10.917779999999999</v>
      </c>
      <c r="U59" s="23">
        <f t="shared" si="19"/>
        <v>10.917779999999999</v>
      </c>
      <c r="V59" s="23">
        <f>(scatterplots_LWG_grazdays_CS!$V$5*$A59+scatterplots_LWG_grazdays_CS!$W$5)/1000</f>
        <v>5.6039999999999993E-2</v>
      </c>
      <c r="W59" s="23">
        <f t="shared" si="11"/>
        <v>9.6039999999999986E-2</v>
      </c>
      <c r="X59" s="23">
        <f t="shared" si="44"/>
        <v>0.13603999999999999</v>
      </c>
      <c r="Y59" s="23">
        <f t="shared" si="44"/>
        <v>0.17603999999999997</v>
      </c>
      <c r="Z59" s="23">
        <f>(scatterplots_LWG_grazdays_CS!$V$5*$A59+scatterplots_LWG_grazdays_CS!$W$5)/1000+Z58</f>
        <v>10.02516</v>
      </c>
      <c r="AA59" s="23">
        <f t="shared" si="46"/>
        <v>10.02516</v>
      </c>
      <c r="AB59" s="23">
        <f t="shared" si="21"/>
        <v>10.02516</v>
      </c>
      <c r="AC59" s="23">
        <f t="shared" si="22"/>
        <v>10.02516</v>
      </c>
      <c r="AD59" s="23">
        <f>(scatterplots_LWG_grazdays_CS!$V$6*$A59+scatterplots_LWG_grazdays_CS!$W$6)/1000</f>
        <v>7.0200000000000384E-3</v>
      </c>
      <c r="AE59" s="23">
        <f t="shared" si="14"/>
        <v>4.7020000000000041E-2</v>
      </c>
      <c r="AF59" s="23">
        <f t="shared" si="37"/>
        <v>8.7020000000000042E-2</v>
      </c>
      <c r="AG59" s="23">
        <f t="shared" si="37"/>
        <v>0.12702000000000002</v>
      </c>
      <c r="AH59" s="23">
        <f>(scatterplots_LWG_grazdays_CS!$V$6*$A59+scatterplots_LWG_grazdays_CS!$W$6)/1000+AH58</f>
        <v>8.6035800000000044</v>
      </c>
      <c r="AI59" s="23">
        <f t="shared" si="45"/>
        <v>8.6035800000000044</v>
      </c>
      <c r="AJ59" s="23">
        <f t="shared" si="38"/>
        <v>8.6035800000000044</v>
      </c>
      <c r="AK59" s="23">
        <f t="shared" si="38"/>
        <v>8.6035800000000044</v>
      </c>
    </row>
    <row r="60" spans="1:37">
      <c r="A60" s="12">
        <v>58</v>
      </c>
      <c r="B60" s="12">
        <v>58</v>
      </c>
      <c r="C60" s="23">
        <f>(scatterplots_LWG_grazdays_CS!$V$3*$A60+scatterplots_LWG_grazdays_CS!$W$3)/1000</f>
        <v>0.13528000000000001</v>
      </c>
      <c r="D60" s="23">
        <f t="shared" si="40"/>
        <v>0.17528000000000002</v>
      </c>
      <c r="E60" s="23">
        <f t="shared" si="40"/>
        <v>0.21528000000000003</v>
      </c>
      <c r="F60" s="23">
        <f t="shared" si="40"/>
        <v>0.25528000000000001</v>
      </c>
      <c r="G60" s="23">
        <f>(scatterplots_LWG_grazdays_CS!$V$3*$A60+scatterplots_LWG_grazdays_CS!$W$3)/1000+G59</f>
        <v>12.540760000000002</v>
      </c>
      <c r="H60" s="23">
        <f t="shared" si="41"/>
        <v>12.540760000000002</v>
      </c>
      <c r="I60" s="23">
        <f t="shared" si="50"/>
        <v>13.100760000000003</v>
      </c>
      <c r="J60" s="23">
        <f t="shared" si="39"/>
        <v>14.100760000000003</v>
      </c>
      <c r="K60" s="23">
        <f t="shared" si="34"/>
        <v>14.500760000000001</v>
      </c>
      <c r="L60" s="23">
        <f t="shared" si="42"/>
        <v>12.540760000000002</v>
      </c>
      <c r="M60" s="23">
        <f t="shared" si="43"/>
        <v>12.540760000000002</v>
      </c>
      <c r="N60" s="23">
        <f>(scatterplots_LWG_grazdays_CS!$V$4*$A60+scatterplots_LWG_grazdays_CS!$W$4)/1000</f>
        <v>8.3079999999999987E-2</v>
      </c>
      <c r="O60" s="23">
        <f t="shared" si="17"/>
        <v>0.12307999999999999</v>
      </c>
      <c r="P60" s="23">
        <f t="shared" si="17"/>
        <v>0.16308</v>
      </c>
      <c r="Q60" s="23">
        <f t="shared" si="17"/>
        <v>0.20307999999999998</v>
      </c>
      <c r="R60" s="23">
        <f>(scatterplots_LWG_grazdays_CS!$V$4*$A60+scatterplots_LWG_grazdays_CS!$W$4)/1000+R59</f>
        <v>11.000859999999999</v>
      </c>
      <c r="S60" s="23">
        <f t="shared" si="49"/>
        <v>11.000859999999999</v>
      </c>
      <c r="T60" s="23">
        <f t="shared" si="18"/>
        <v>11.000859999999999</v>
      </c>
      <c r="U60" s="23">
        <f t="shared" si="19"/>
        <v>11.000859999999999</v>
      </c>
      <c r="V60" s="23">
        <f>(scatterplots_LWG_grazdays_CS!$V$5*$A60+scatterplots_LWG_grazdays_CS!$W$5)/1000</f>
        <v>5.1759999999999994E-2</v>
      </c>
      <c r="W60" s="23">
        <f t="shared" si="11"/>
        <v>9.1759999999999994E-2</v>
      </c>
      <c r="X60" s="23">
        <f t="shared" si="44"/>
        <v>0.13175999999999999</v>
      </c>
      <c r="Y60" s="23">
        <f t="shared" si="44"/>
        <v>0.17176</v>
      </c>
      <c r="Z60" s="23">
        <f>(scatterplots_LWG_grazdays_CS!$V$5*$A60+scatterplots_LWG_grazdays_CS!$W$5)/1000+Z59</f>
        <v>10.076919999999999</v>
      </c>
      <c r="AA60" s="23">
        <f t="shared" si="46"/>
        <v>10.076919999999999</v>
      </c>
      <c r="AB60" s="23">
        <f t="shared" si="21"/>
        <v>10.076919999999999</v>
      </c>
      <c r="AC60" s="23">
        <f t="shared" si="22"/>
        <v>10.076919999999999</v>
      </c>
      <c r="AD60" s="23">
        <f>(scatterplots_LWG_grazdays_CS!$V$6*$A60+scatterplots_LWG_grazdays_CS!$W$6)/1000</f>
        <v>1.8799999999999954E-3</v>
      </c>
      <c r="AE60" s="23">
        <f t="shared" si="14"/>
        <v>4.1879999999999994E-2</v>
      </c>
      <c r="AF60" s="23">
        <f t="shared" si="37"/>
        <v>8.1879999999999994E-2</v>
      </c>
      <c r="AG60" s="23">
        <f t="shared" si="37"/>
        <v>0.12187999999999999</v>
      </c>
      <c r="AH60" s="23">
        <f>(scatterplots_LWG_grazdays_CS!$V$6*$A60+scatterplots_LWG_grazdays_CS!$W$6)/1000+AH59</f>
        <v>8.6054600000000043</v>
      </c>
      <c r="AI60" s="23">
        <f t="shared" si="45"/>
        <v>8.6054600000000043</v>
      </c>
      <c r="AJ60" s="23">
        <f t="shared" si="38"/>
        <v>8.6054600000000043</v>
      </c>
      <c r="AK60" s="23">
        <f t="shared" si="38"/>
        <v>8.6054600000000043</v>
      </c>
    </row>
    <row r="61" spans="1:37">
      <c r="A61" s="12">
        <v>59</v>
      </c>
      <c r="B61" s="12">
        <v>59</v>
      </c>
      <c r="C61" s="23">
        <f>(scatterplots_LWG_grazdays_CS!$V$3*$A61+scatterplots_LWG_grazdays_CS!$W$3)/1000</f>
        <v>0.13244</v>
      </c>
      <c r="D61" s="23">
        <f t="shared" si="40"/>
        <v>0.17244000000000001</v>
      </c>
      <c r="E61" s="23">
        <f t="shared" si="40"/>
        <v>0.21244000000000002</v>
      </c>
      <c r="F61" s="23">
        <f t="shared" si="40"/>
        <v>0.25244</v>
      </c>
      <c r="G61" s="23">
        <f>(scatterplots_LWG_grazdays_CS!$V$3*$A61+scatterplots_LWG_grazdays_CS!$W$3)/1000+G60</f>
        <v>12.673200000000003</v>
      </c>
      <c r="H61" s="23">
        <f t="shared" si="41"/>
        <v>12.673200000000003</v>
      </c>
      <c r="I61" s="23">
        <f t="shared" si="50"/>
        <v>13.273200000000003</v>
      </c>
      <c r="J61" s="23">
        <f t="shared" si="39"/>
        <v>14.273200000000003</v>
      </c>
      <c r="K61" s="23">
        <f t="shared" si="34"/>
        <v>14.673200000000001</v>
      </c>
      <c r="L61" s="23">
        <f t="shared" si="42"/>
        <v>12.673200000000003</v>
      </c>
      <c r="M61" s="23">
        <f t="shared" si="43"/>
        <v>12.673200000000003</v>
      </c>
      <c r="N61" s="23">
        <f>(scatterplots_LWG_grazdays_CS!$V$4*$A61+scatterplots_LWG_grazdays_CS!$W$4)/1000</f>
        <v>7.933999999999998E-2</v>
      </c>
      <c r="O61" s="23">
        <f t="shared" si="17"/>
        <v>0.11933999999999997</v>
      </c>
      <c r="P61" s="23">
        <f t="shared" si="17"/>
        <v>0.15933999999999998</v>
      </c>
      <c r="Q61" s="23">
        <f t="shared" si="17"/>
        <v>0.19933999999999996</v>
      </c>
      <c r="R61" s="23">
        <f>(scatterplots_LWG_grazdays_CS!$V$4*$A61+scatterplots_LWG_grazdays_CS!$W$4)/1000+R60</f>
        <v>11.0802</v>
      </c>
      <c r="S61" s="23">
        <f t="shared" si="49"/>
        <v>11.0802</v>
      </c>
      <c r="T61" s="23">
        <f t="shared" si="18"/>
        <v>11.0802</v>
      </c>
      <c r="U61" s="23">
        <f t="shared" si="19"/>
        <v>11.0802</v>
      </c>
      <c r="V61" s="23">
        <f>(scatterplots_LWG_grazdays_CS!$V$5*$A61+scatterplots_LWG_grazdays_CS!$W$5)/1000</f>
        <v>4.7479999999999987E-2</v>
      </c>
      <c r="W61" s="23">
        <f t="shared" si="11"/>
        <v>8.7479999999999988E-2</v>
      </c>
      <c r="X61" s="23">
        <f t="shared" si="44"/>
        <v>0.12747999999999998</v>
      </c>
      <c r="Y61" s="23">
        <f t="shared" si="44"/>
        <v>0.16747999999999999</v>
      </c>
      <c r="Z61" s="23">
        <f>(scatterplots_LWG_grazdays_CS!$V$5*$A61+scatterplots_LWG_grazdays_CS!$W$5)/1000+Z60</f>
        <v>10.1244</v>
      </c>
      <c r="AA61" s="23">
        <f t="shared" si="46"/>
        <v>10.1244</v>
      </c>
      <c r="AB61" s="23">
        <f t="shared" si="21"/>
        <v>10.1244</v>
      </c>
      <c r="AC61" s="23">
        <f t="shared" si="22"/>
        <v>10.1244</v>
      </c>
      <c r="AD61" s="23">
        <f>(scatterplots_LWG_grazdays_CS!$V$6*$A61+scatterplots_LWG_grazdays_CS!$W$6)/1000</f>
        <v>-3.2599999999999908E-3</v>
      </c>
      <c r="AE61" s="23">
        <f t="shared" si="14"/>
        <v>3.6740000000000009E-2</v>
      </c>
      <c r="AF61" s="23">
        <f t="shared" si="37"/>
        <v>7.6740000000000017E-2</v>
      </c>
      <c r="AG61" s="23">
        <f t="shared" si="37"/>
        <v>0.11674000000000001</v>
      </c>
      <c r="AH61" s="23">
        <f>(scatterplots_LWG_grazdays_CS!$V$6*$A61+scatterplots_LWG_grazdays_CS!$W$6)/1000+AH60</f>
        <v>8.6022000000000052</v>
      </c>
      <c r="AI61" s="23">
        <f t="shared" si="45"/>
        <v>8.6022000000000052</v>
      </c>
      <c r="AJ61" s="23">
        <f t="shared" si="38"/>
        <v>8.6022000000000052</v>
      </c>
      <c r="AK61" s="23">
        <f t="shared" si="38"/>
        <v>8.6022000000000052</v>
      </c>
    </row>
    <row r="62" spans="1:37">
      <c r="A62" s="12">
        <v>60</v>
      </c>
      <c r="B62" s="12">
        <v>60</v>
      </c>
      <c r="C62" s="23">
        <f>(scatterplots_LWG_grazdays_CS!$V$3*$A62+scatterplots_LWG_grazdays_CS!$W$3)/1000</f>
        <v>0.12960000000000002</v>
      </c>
      <c r="D62" s="23">
        <f t="shared" si="40"/>
        <v>0.16960000000000003</v>
      </c>
      <c r="E62" s="23">
        <f t="shared" si="40"/>
        <v>0.20960000000000001</v>
      </c>
      <c r="F62" s="23">
        <f t="shared" si="40"/>
        <v>0.24960000000000002</v>
      </c>
      <c r="G62" s="23">
        <f>(scatterplots_LWG_grazdays_CS!$V$3*$A62+scatterplots_LWG_grazdays_CS!$W$3)/1000+G61</f>
        <v>12.802800000000003</v>
      </c>
      <c r="H62" s="23">
        <f t="shared" si="41"/>
        <v>12.802800000000003</v>
      </c>
      <c r="I62" s="23">
        <f t="shared" si="50"/>
        <v>13.442800000000004</v>
      </c>
      <c r="J62" s="23">
        <f t="shared" si="39"/>
        <v>14.442800000000004</v>
      </c>
      <c r="K62" s="23">
        <f t="shared" si="34"/>
        <v>14.842800000000002</v>
      </c>
      <c r="L62" s="23">
        <f t="shared" si="42"/>
        <v>12.802800000000003</v>
      </c>
      <c r="M62" s="23">
        <f t="shared" si="43"/>
        <v>12.802800000000003</v>
      </c>
      <c r="N62" s="23">
        <f>(scatterplots_LWG_grazdays_CS!$V$4*$A62+scatterplots_LWG_grazdays_CS!$W$4)/1000</f>
        <v>7.5600000000000001E-2</v>
      </c>
      <c r="O62" s="23">
        <f t="shared" si="17"/>
        <v>0.11560000000000001</v>
      </c>
      <c r="P62" s="23">
        <f t="shared" si="17"/>
        <v>0.15560000000000002</v>
      </c>
      <c r="Q62" s="23">
        <f t="shared" si="17"/>
        <v>0.1956</v>
      </c>
      <c r="R62" s="23">
        <f>(scatterplots_LWG_grazdays_CS!$V$4*$A62+scatterplots_LWG_grazdays_CS!$W$4)/1000+R61</f>
        <v>11.155799999999999</v>
      </c>
      <c r="S62" s="23">
        <f t="shared" si="49"/>
        <v>11.155799999999999</v>
      </c>
      <c r="T62" s="23">
        <f t="shared" si="18"/>
        <v>11.155799999999999</v>
      </c>
      <c r="U62" s="23">
        <f t="shared" si="19"/>
        <v>11.155799999999999</v>
      </c>
      <c r="V62" s="23">
        <f>(scatterplots_LWG_grazdays_CS!$V$5*$A62+scatterplots_LWG_grazdays_CS!$W$5)/1000</f>
        <v>4.3199999999999988E-2</v>
      </c>
      <c r="W62" s="23">
        <f t="shared" si="11"/>
        <v>8.3199999999999996E-2</v>
      </c>
      <c r="X62" s="23">
        <f t="shared" si="44"/>
        <v>0.12319999999999999</v>
      </c>
      <c r="Y62" s="23">
        <f t="shared" si="44"/>
        <v>0.16319999999999998</v>
      </c>
      <c r="Z62" s="23">
        <f>(scatterplots_LWG_grazdays_CS!$V$5*$A62+scatterplots_LWG_grazdays_CS!$W$5)/1000+Z61</f>
        <v>10.1676</v>
      </c>
      <c r="AA62" s="23">
        <f t="shared" si="46"/>
        <v>10.1676</v>
      </c>
      <c r="AB62" s="23">
        <f t="shared" si="21"/>
        <v>10.1676</v>
      </c>
      <c r="AC62" s="23">
        <f t="shared" si="22"/>
        <v>10.1676</v>
      </c>
      <c r="AD62" s="23">
        <f>(scatterplots_LWG_grazdays_CS!$V$6*$A62+scatterplots_LWG_grazdays_CS!$W$6)/1000</f>
        <v>-8.3999999999999769E-3</v>
      </c>
      <c r="AE62" s="23">
        <f t="shared" si="14"/>
        <v>3.1600000000000024E-2</v>
      </c>
      <c r="AF62" s="23">
        <f t="shared" si="37"/>
        <v>7.1600000000000025E-2</v>
      </c>
      <c r="AG62" s="23">
        <f t="shared" si="37"/>
        <v>0.11160000000000002</v>
      </c>
      <c r="AH62" s="23">
        <f>(scatterplots_LWG_grazdays_CS!$V$6*$A62+scatterplots_LWG_grazdays_CS!$W$6)/1000+AH61</f>
        <v>8.5938000000000052</v>
      </c>
      <c r="AI62" s="23">
        <f t="shared" si="45"/>
        <v>8.5938000000000052</v>
      </c>
      <c r="AJ62" s="23">
        <f t="shared" si="38"/>
        <v>8.5938000000000052</v>
      </c>
      <c r="AK62" s="23">
        <f t="shared" si="38"/>
        <v>8.5938000000000052</v>
      </c>
    </row>
    <row r="63" spans="1:37">
      <c r="A63" s="12">
        <v>61</v>
      </c>
      <c r="B63" s="12">
        <v>61</v>
      </c>
      <c r="C63" s="23">
        <f>(scatterplots_LWG_grazdays_CS!$V$3*$A63+scatterplots_LWG_grazdays_CS!$W$3)/1000</f>
        <v>0.12676000000000001</v>
      </c>
      <c r="D63" s="23">
        <f t="shared" si="40"/>
        <v>0.16676000000000002</v>
      </c>
      <c r="E63" s="23">
        <f t="shared" si="40"/>
        <v>0.20676</v>
      </c>
      <c r="F63" s="23">
        <f t="shared" si="40"/>
        <v>0.24676000000000001</v>
      </c>
      <c r="G63" s="23">
        <f>(scatterplots_LWG_grazdays_CS!$V$3*$A63+scatterplots_LWG_grazdays_CS!$W$3)/1000+G62</f>
        <v>12.929560000000004</v>
      </c>
      <c r="H63" s="23">
        <f t="shared" si="41"/>
        <v>12.929560000000004</v>
      </c>
      <c r="I63" s="23">
        <f t="shared" si="50"/>
        <v>13.609560000000004</v>
      </c>
      <c r="J63" s="23">
        <f t="shared" si="39"/>
        <v>14.609560000000004</v>
      </c>
      <c r="K63" s="23">
        <f t="shared" si="34"/>
        <v>15.009560000000002</v>
      </c>
      <c r="L63" s="23">
        <f t="shared" si="42"/>
        <v>12.929560000000004</v>
      </c>
      <c r="M63" s="23">
        <f t="shared" si="43"/>
        <v>12.929560000000004</v>
      </c>
      <c r="N63" s="23">
        <f>(scatterplots_LWG_grazdays_CS!$V$4*$A63+scatterplots_LWG_grazdays_CS!$W$4)/1000</f>
        <v>7.1859999999999979E-2</v>
      </c>
      <c r="O63" s="23">
        <f t="shared" si="17"/>
        <v>0.11185999999999999</v>
      </c>
      <c r="P63" s="23">
        <f t="shared" si="17"/>
        <v>0.15185999999999999</v>
      </c>
      <c r="Q63" s="23">
        <f t="shared" si="17"/>
        <v>0.19185999999999998</v>
      </c>
      <c r="R63" s="23">
        <f>(scatterplots_LWG_grazdays_CS!$V$4*$A63+scatterplots_LWG_grazdays_CS!$W$4)/1000+R62</f>
        <v>11.227659999999998</v>
      </c>
      <c r="S63" s="23">
        <f t="shared" si="49"/>
        <v>11.227659999999998</v>
      </c>
      <c r="T63" s="23">
        <f t="shared" si="18"/>
        <v>11.227659999999998</v>
      </c>
      <c r="U63" s="23">
        <f t="shared" si="19"/>
        <v>11.227659999999998</v>
      </c>
      <c r="V63" s="23">
        <f>(scatterplots_LWG_grazdays_CS!$V$5*$A63+scatterplots_LWG_grazdays_CS!$W$5)/1000</f>
        <v>3.8919999999999962E-2</v>
      </c>
      <c r="W63" s="23">
        <f t="shared" si="11"/>
        <v>7.8919999999999962E-2</v>
      </c>
      <c r="X63" s="23">
        <f t="shared" si="44"/>
        <v>0.11891999999999997</v>
      </c>
      <c r="Y63" s="23">
        <f t="shared" si="44"/>
        <v>0.15891999999999995</v>
      </c>
      <c r="Z63" s="23">
        <f>(scatterplots_LWG_grazdays_CS!$V$5*$A63+scatterplots_LWG_grazdays_CS!$W$5)/1000+Z62</f>
        <v>10.206519999999999</v>
      </c>
      <c r="AA63" s="23">
        <f t="shared" si="46"/>
        <v>10.206519999999999</v>
      </c>
      <c r="AB63" s="23">
        <f t="shared" si="21"/>
        <v>10.206519999999999</v>
      </c>
      <c r="AC63" s="23">
        <f t="shared" si="22"/>
        <v>10.206519999999999</v>
      </c>
      <c r="AD63" s="23">
        <f>(scatterplots_LWG_grazdays_CS!$V$6*$A63+scatterplots_LWG_grazdays_CS!$W$6)/1000</f>
        <v>-1.3539999999999964E-2</v>
      </c>
      <c r="AE63" s="23">
        <f t="shared" si="14"/>
        <v>2.6460000000000039E-2</v>
      </c>
      <c r="AF63" s="23">
        <f t="shared" si="37"/>
        <v>6.6460000000000033E-2</v>
      </c>
      <c r="AG63" s="23">
        <f t="shared" si="37"/>
        <v>0.10646000000000003</v>
      </c>
      <c r="AH63" s="23">
        <f>(scatterplots_LWG_grazdays_CS!$V$6*$A63+scatterplots_LWG_grazdays_CS!$W$6)/1000+AH62</f>
        <v>8.5802600000000044</v>
      </c>
      <c r="AI63" s="23">
        <f t="shared" si="45"/>
        <v>8.5802600000000044</v>
      </c>
      <c r="AJ63" s="23">
        <f t="shared" si="38"/>
        <v>8.5802600000000044</v>
      </c>
      <c r="AK63" s="23">
        <f t="shared" si="38"/>
        <v>8.5802600000000044</v>
      </c>
    </row>
    <row r="64" spans="1:37">
      <c r="A64" s="12">
        <v>62</v>
      </c>
      <c r="B64" s="12">
        <v>62</v>
      </c>
      <c r="C64" s="23">
        <f>(scatterplots_LWG_grazdays_CS!$V$3*$A64+scatterplots_LWG_grazdays_CS!$W$3)/1000</f>
        <v>0.12392000000000002</v>
      </c>
      <c r="D64" s="23">
        <f t="shared" si="40"/>
        <v>0.16392000000000001</v>
      </c>
      <c r="E64" s="23">
        <f t="shared" si="40"/>
        <v>0.20392000000000002</v>
      </c>
      <c r="F64" s="23">
        <f t="shared" si="40"/>
        <v>0.24392000000000003</v>
      </c>
      <c r="G64" s="23">
        <f>(scatterplots_LWG_grazdays_CS!$V$3*$A64+scatterplots_LWG_grazdays_CS!$W$3)/1000+G63</f>
        <v>13.053480000000004</v>
      </c>
      <c r="H64" s="23">
        <f t="shared" si="41"/>
        <v>13.053480000000004</v>
      </c>
      <c r="I64" s="23">
        <f t="shared" si="50"/>
        <v>13.773480000000003</v>
      </c>
      <c r="J64" s="23">
        <f t="shared" si="39"/>
        <v>14.773480000000003</v>
      </c>
      <c r="K64" s="23">
        <f t="shared" si="34"/>
        <v>15.173480000000001</v>
      </c>
      <c r="L64" s="23">
        <f t="shared" si="42"/>
        <v>13.053480000000004</v>
      </c>
      <c r="M64" s="23">
        <f t="shared" si="43"/>
        <v>13.053480000000004</v>
      </c>
      <c r="N64" s="23">
        <f>(scatterplots_LWG_grazdays_CS!$V$4*$A64+scatterplots_LWG_grazdays_CS!$W$4)/1000</f>
        <v>6.8119999999999972E-2</v>
      </c>
      <c r="O64" s="23">
        <f t="shared" si="17"/>
        <v>0.10811999999999997</v>
      </c>
      <c r="P64" s="23">
        <f t="shared" si="17"/>
        <v>0.14811999999999997</v>
      </c>
      <c r="Q64" s="23">
        <f t="shared" si="17"/>
        <v>0.18811999999999995</v>
      </c>
      <c r="R64" s="23">
        <f>(scatterplots_LWG_grazdays_CS!$V$4*$A64+scatterplots_LWG_grazdays_CS!$W$4)/1000+R63</f>
        <v>11.295779999999999</v>
      </c>
      <c r="S64" s="23">
        <f t="shared" si="49"/>
        <v>11.295779999999999</v>
      </c>
      <c r="T64" s="23">
        <f t="shared" si="18"/>
        <v>11.295779999999999</v>
      </c>
      <c r="U64" s="23">
        <f t="shared" si="19"/>
        <v>11.295779999999999</v>
      </c>
      <c r="V64" s="23">
        <f>(scatterplots_LWG_grazdays_CS!$V$5*$A64+scatterplots_LWG_grazdays_CS!$W$5)/1000</f>
        <v>3.4639999999999983E-2</v>
      </c>
      <c r="W64" s="23">
        <f t="shared" si="11"/>
        <v>7.4639999999999984E-2</v>
      </c>
      <c r="X64" s="23">
        <f t="shared" si="44"/>
        <v>0.11463999999999999</v>
      </c>
      <c r="Y64" s="23">
        <f t="shared" si="44"/>
        <v>0.15463999999999997</v>
      </c>
      <c r="Z64" s="23">
        <f>(scatterplots_LWG_grazdays_CS!$V$5*$A64+scatterplots_LWG_grazdays_CS!$W$5)/1000+Z63</f>
        <v>10.241159999999999</v>
      </c>
      <c r="AA64" s="23">
        <f t="shared" si="46"/>
        <v>10.241159999999999</v>
      </c>
      <c r="AB64" s="23">
        <f t="shared" si="21"/>
        <v>10.241159999999999</v>
      </c>
      <c r="AC64" s="23">
        <f t="shared" si="22"/>
        <v>10.241159999999999</v>
      </c>
      <c r="AD64" s="23">
        <f>(scatterplots_LWG_grazdays_CS!$V$6*$A64+scatterplots_LWG_grazdays_CS!$W$6)/1000</f>
        <v>-1.8680000000000006E-2</v>
      </c>
      <c r="AE64" s="23">
        <f t="shared" si="14"/>
        <v>2.1319999999999995E-2</v>
      </c>
      <c r="AF64" s="23">
        <f t="shared" si="37"/>
        <v>6.132E-2</v>
      </c>
      <c r="AG64" s="23">
        <f t="shared" si="37"/>
        <v>0.10131999999999999</v>
      </c>
      <c r="AH64" s="23">
        <f>(scatterplots_LWG_grazdays_CS!$V$6*$A64+scatterplots_LWG_grazdays_CS!$W$6)/1000+AH63</f>
        <v>8.5615800000000046</v>
      </c>
      <c r="AI64" s="23">
        <f t="shared" si="45"/>
        <v>8.5615800000000046</v>
      </c>
      <c r="AJ64" s="23">
        <f t="shared" si="38"/>
        <v>8.5615800000000046</v>
      </c>
      <c r="AK64" s="23">
        <f t="shared" si="38"/>
        <v>8.5615800000000046</v>
      </c>
    </row>
    <row r="65" spans="1:37">
      <c r="A65" s="12">
        <v>63</v>
      </c>
      <c r="B65" s="12">
        <v>63</v>
      </c>
      <c r="C65" s="23">
        <f>(scatterplots_LWG_grazdays_CS!$V$3*$A65+scatterplots_LWG_grazdays_CS!$W$3)/1000</f>
        <v>0.12108000000000001</v>
      </c>
      <c r="D65" s="23">
        <f t="shared" si="40"/>
        <v>0.16108</v>
      </c>
      <c r="E65" s="23">
        <f t="shared" si="40"/>
        <v>0.20108000000000001</v>
      </c>
      <c r="F65" s="23">
        <f t="shared" si="40"/>
        <v>0.24108000000000002</v>
      </c>
      <c r="G65" s="23">
        <f>(scatterplots_LWG_grazdays_CS!$V$3*$A65+scatterplots_LWG_grazdays_CS!$W$3)/1000+G64</f>
        <v>13.174560000000003</v>
      </c>
      <c r="H65" s="23">
        <f t="shared" si="41"/>
        <v>13.174560000000003</v>
      </c>
      <c r="I65" s="23">
        <f t="shared" si="50"/>
        <v>13.934560000000003</v>
      </c>
      <c r="J65" s="23">
        <f t="shared" si="39"/>
        <v>14.934560000000003</v>
      </c>
      <c r="K65" s="23">
        <f t="shared" si="34"/>
        <v>15.334560000000002</v>
      </c>
      <c r="L65" s="23">
        <f t="shared" si="42"/>
        <v>13.174560000000003</v>
      </c>
      <c r="M65" s="23">
        <f t="shared" si="43"/>
        <v>13.174560000000003</v>
      </c>
      <c r="N65" s="23">
        <f>(scatterplots_LWG_grazdays_CS!$V$4*$A65+scatterplots_LWG_grazdays_CS!$W$4)/1000</f>
        <v>6.4379999999999993E-2</v>
      </c>
      <c r="O65" s="23">
        <f t="shared" si="17"/>
        <v>0.10438</v>
      </c>
      <c r="P65" s="23">
        <f t="shared" si="17"/>
        <v>0.14438000000000001</v>
      </c>
      <c r="Q65" s="23">
        <f t="shared" si="17"/>
        <v>0.18437999999999999</v>
      </c>
      <c r="R65" s="23">
        <f>(scatterplots_LWG_grazdays_CS!$V$4*$A65+scatterplots_LWG_grazdays_CS!$W$4)/1000+R64</f>
        <v>11.360159999999999</v>
      </c>
      <c r="S65" s="23">
        <f t="shared" si="49"/>
        <v>11.360159999999999</v>
      </c>
      <c r="T65" s="23">
        <f t="shared" si="18"/>
        <v>11.360159999999999</v>
      </c>
      <c r="U65" s="23">
        <f t="shared" si="19"/>
        <v>11.360159999999999</v>
      </c>
      <c r="V65" s="23">
        <f>(scatterplots_LWG_grazdays_CS!$V$5*$A65+scatterplots_LWG_grazdays_CS!$W$5)/1000</f>
        <v>3.0359999999999956E-2</v>
      </c>
      <c r="W65" s="23">
        <f t="shared" si="11"/>
        <v>7.035999999999995E-2</v>
      </c>
      <c r="X65" s="23">
        <f t="shared" si="44"/>
        <v>0.11035999999999996</v>
      </c>
      <c r="Y65" s="23">
        <f t="shared" si="44"/>
        <v>0.15035999999999994</v>
      </c>
      <c r="Z65" s="23">
        <f>(scatterplots_LWG_grazdays_CS!$V$5*$A65+scatterplots_LWG_grazdays_CS!$W$5)/1000+Z64</f>
        <v>10.271519999999999</v>
      </c>
      <c r="AA65" s="23">
        <f t="shared" si="46"/>
        <v>10.271519999999999</v>
      </c>
      <c r="AB65" s="23">
        <f t="shared" si="21"/>
        <v>10.271519999999999</v>
      </c>
      <c r="AC65" s="23">
        <f t="shared" si="22"/>
        <v>10.271519999999999</v>
      </c>
      <c r="AD65" s="23">
        <f>(scatterplots_LWG_grazdays_CS!$V$6*$A65+scatterplots_LWG_grazdays_CS!$W$6)/1000</f>
        <v>-2.3819999999999994E-2</v>
      </c>
      <c r="AE65" s="23">
        <f t="shared" si="14"/>
        <v>1.6180000000000007E-2</v>
      </c>
      <c r="AF65" s="23">
        <f t="shared" si="37"/>
        <v>5.6180000000000008E-2</v>
      </c>
      <c r="AG65" s="23">
        <f t="shared" si="37"/>
        <v>9.6180000000000002E-2</v>
      </c>
      <c r="AH65" s="23">
        <f>(scatterplots_LWG_grazdays_CS!$V$6*$A65+scatterplots_LWG_grazdays_CS!$W$6)/1000+AH64</f>
        <v>8.537760000000004</v>
      </c>
      <c r="AI65" s="23">
        <f t="shared" si="45"/>
        <v>8.537760000000004</v>
      </c>
      <c r="AJ65" s="23">
        <f t="shared" si="38"/>
        <v>8.537760000000004</v>
      </c>
      <c r="AK65" s="23">
        <f t="shared" si="38"/>
        <v>8.537760000000004</v>
      </c>
    </row>
    <row r="66" spans="1:37">
      <c r="A66" s="12">
        <v>64</v>
      </c>
      <c r="B66" s="12">
        <v>64</v>
      </c>
      <c r="C66" s="23">
        <f>(scatterplots_LWG_grazdays_CS!$V$3*$A66+scatterplots_LWG_grazdays_CS!$W$3)/1000</f>
        <v>0.11824000000000001</v>
      </c>
      <c r="D66" s="23">
        <f t="shared" si="40"/>
        <v>0.15824000000000002</v>
      </c>
      <c r="E66" s="23">
        <f t="shared" si="40"/>
        <v>0.19824000000000003</v>
      </c>
      <c r="F66" s="23">
        <f t="shared" si="40"/>
        <v>0.23824000000000001</v>
      </c>
      <c r="G66" s="23">
        <f>(scatterplots_LWG_grazdays_CS!$V$3*$A66+scatterplots_LWG_grazdays_CS!$W$3)/1000+G65</f>
        <v>13.292800000000003</v>
      </c>
      <c r="H66" s="23">
        <f t="shared" si="41"/>
        <v>13.292800000000003</v>
      </c>
      <c r="I66" s="23">
        <f t="shared" si="50"/>
        <v>14.092800000000002</v>
      </c>
      <c r="J66" s="23">
        <f t="shared" si="39"/>
        <v>15.092800000000002</v>
      </c>
      <c r="K66" s="23">
        <f t="shared" si="34"/>
        <v>15.492800000000001</v>
      </c>
      <c r="L66" s="23">
        <f t="shared" si="42"/>
        <v>13.292800000000003</v>
      </c>
      <c r="M66" s="23">
        <f t="shared" si="43"/>
        <v>13.292800000000003</v>
      </c>
      <c r="N66" s="23">
        <f>(scatterplots_LWG_grazdays_CS!$V$4*$A66+scatterplots_LWG_grazdays_CS!$W$4)/1000</f>
        <v>6.0639999999999986E-2</v>
      </c>
      <c r="O66" s="23">
        <f t="shared" si="17"/>
        <v>0.10063999999999998</v>
      </c>
      <c r="P66" s="23">
        <f t="shared" si="17"/>
        <v>0.14063999999999999</v>
      </c>
      <c r="Q66" s="23">
        <f t="shared" si="17"/>
        <v>0.18063999999999997</v>
      </c>
      <c r="R66" s="23">
        <f>(scatterplots_LWG_grazdays_CS!$V$4*$A66+scatterplots_LWG_grazdays_CS!$W$4)/1000+R65</f>
        <v>11.420799999999998</v>
      </c>
      <c r="S66" s="23">
        <f t="shared" si="49"/>
        <v>11.420799999999998</v>
      </c>
      <c r="T66" s="23">
        <f t="shared" si="18"/>
        <v>11.420799999999998</v>
      </c>
      <c r="U66" s="23">
        <f t="shared" si="19"/>
        <v>11.420799999999998</v>
      </c>
      <c r="V66" s="23">
        <f>(scatterplots_LWG_grazdays_CS!$V$5*$A66+scatterplots_LWG_grazdays_CS!$W$5)/1000</f>
        <v>2.6079999999999985E-2</v>
      </c>
      <c r="W66" s="23">
        <f t="shared" si="11"/>
        <v>6.6079999999999986E-2</v>
      </c>
      <c r="X66" s="23">
        <f t="shared" si="44"/>
        <v>0.10607999999999998</v>
      </c>
      <c r="Y66" s="23">
        <f t="shared" si="44"/>
        <v>0.14607999999999999</v>
      </c>
      <c r="Z66" s="23">
        <f>(scatterplots_LWG_grazdays_CS!$V$5*$A66+scatterplots_LWG_grazdays_CS!$W$5)/1000+Z65</f>
        <v>10.297599999999999</v>
      </c>
      <c r="AA66" s="23">
        <f t="shared" si="46"/>
        <v>10.297599999999999</v>
      </c>
      <c r="AB66" s="23">
        <f t="shared" si="21"/>
        <v>10.297599999999999</v>
      </c>
      <c r="AC66" s="23">
        <f t="shared" si="22"/>
        <v>10.297599999999999</v>
      </c>
      <c r="AD66" s="23">
        <f>(scatterplots_LWG_grazdays_CS!$V$6*$A66+scatterplots_LWG_grazdays_CS!$W$6)/1000</f>
        <v>-2.8959999999999979E-2</v>
      </c>
      <c r="AE66" s="23">
        <f t="shared" si="14"/>
        <v>1.1040000000000022E-2</v>
      </c>
      <c r="AF66" s="23">
        <f t="shared" si="37"/>
        <v>5.1040000000000023E-2</v>
      </c>
      <c r="AG66" s="23">
        <f t="shared" si="37"/>
        <v>9.104000000000001E-2</v>
      </c>
      <c r="AH66" s="23">
        <f>(scatterplots_LWG_grazdays_CS!$V$6*$A66+scatterplots_LWG_grazdays_CS!$W$6)/1000+AH65</f>
        <v>8.5088000000000044</v>
      </c>
      <c r="AI66" s="23">
        <f t="shared" si="45"/>
        <v>8.5088000000000044</v>
      </c>
      <c r="AJ66" s="23">
        <f t="shared" si="38"/>
        <v>8.5088000000000044</v>
      </c>
      <c r="AK66" s="23">
        <f t="shared" si="38"/>
        <v>8.5088000000000044</v>
      </c>
    </row>
    <row r="67" spans="1:37">
      <c r="A67" s="12">
        <v>65</v>
      </c>
      <c r="B67" s="12">
        <v>65</v>
      </c>
      <c r="C67" s="23">
        <f>(scatterplots_LWG_grazdays_CS!$V$3*$A67+scatterplots_LWG_grazdays_CS!$W$3)/1000</f>
        <v>0.1154</v>
      </c>
      <c r="D67" s="23">
        <f t="shared" si="40"/>
        <v>0.15540000000000001</v>
      </c>
      <c r="E67" s="23">
        <f t="shared" si="40"/>
        <v>0.19540000000000002</v>
      </c>
      <c r="F67" s="23">
        <f t="shared" si="40"/>
        <v>0.2354</v>
      </c>
      <c r="G67" s="23">
        <f>(scatterplots_LWG_grazdays_CS!$V$3*$A67+scatterplots_LWG_grazdays_CS!$W$3)/1000+G66</f>
        <v>13.408200000000003</v>
      </c>
      <c r="H67" s="23">
        <f t="shared" si="41"/>
        <v>13.408200000000003</v>
      </c>
      <c r="I67" s="23">
        <f t="shared" si="50"/>
        <v>14.248200000000002</v>
      </c>
      <c r="J67" s="23">
        <f t="shared" si="39"/>
        <v>15.248200000000002</v>
      </c>
      <c r="K67" s="23">
        <f t="shared" si="34"/>
        <v>15.648200000000001</v>
      </c>
      <c r="L67" s="23">
        <f t="shared" si="42"/>
        <v>13.408200000000003</v>
      </c>
      <c r="M67" s="23">
        <f t="shared" si="43"/>
        <v>13.408200000000003</v>
      </c>
      <c r="N67" s="23">
        <f>(scatterplots_LWG_grazdays_CS!$V$4*$A67+scatterplots_LWG_grazdays_CS!$W$4)/1000</f>
        <v>5.6899999999999978E-2</v>
      </c>
      <c r="O67" s="23">
        <f t="shared" si="17"/>
        <v>9.6899999999999986E-2</v>
      </c>
      <c r="P67" s="23">
        <f t="shared" si="17"/>
        <v>0.13689999999999997</v>
      </c>
      <c r="Q67" s="23">
        <f t="shared" si="17"/>
        <v>0.17689999999999997</v>
      </c>
      <c r="R67" s="23">
        <f>(scatterplots_LWG_grazdays_CS!$V$4*$A67+scatterplots_LWG_grazdays_CS!$W$4)/1000+R66</f>
        <v>11.477699999999999</v>
      </c>
      <c r="S67" s="23">
        <f t="shared" si="49"/>
        <v>11.477699999999999</v>
      </c>
      <c r="T67" s="23">
        <f t="shared" si="18"/>
        <v>11.477699999999999</v>
      </c>
      <c r="U67" s="23">
        <f t="shared" si="19"/>
        <v>11.477699999999999</v>
      </c>
      <c r="V67" s="23">
        <f>(scatterplots_LWG_grazdays_CS!$V$5*$A67+scatterplots_LWG_grazdays_CS!$W$5)/1000</f>
        <v>2.180000000000001E-2</v>
      </c>
      <c r="W67" s="23">
        <f t="shared" si="11"/>
        <v>6.1800000000000008E-2</v>
      </c>
      <c r="X67" s="23">
        <f t="shared" si="44"/>
        <v>0.10180000000000002</v>
      </c>
      <c r="Y67" s="23">
        <f t="shared" si="44"/>
        <v>0.14180000000000001</v>
      </c>
      <c r="Z67" s="23">
        <f>(scatterplots_LWG_grazdays_CS!$V$5*$A67+scatterplots_LWG_grazdays_CS!$W$5)/1000+Z66</f>
        <v>10.3194</v>
      </c>
      <c r="AA67" s="23">
        <f t="shared" si="46"/>
        <v>10.3194</v>
      </c>
      <c r="AB67" s="23">
        <f t="shared" si="21"/>
        <v>10.3194</v>
      </c>
      <c r="AC67" s="23">
        <f t="shared" si="22"/>
        <v>10.3194</v>
      </c>
      <c r="AD67" s="23">
        <f>(scatterplots_LWG_grazdays_CS!$V$6*$A67+scatterplots_LWG_grazdays_CS!$W$6)/1000</f>
        <v>-3.4099999999999964E-2</v>
      </c>
      <c r="AE67" s="23">
        <f t="shared" si="14"/>
        <v>5.9000000000000372E-3</v>
      </c>
      <c r="AF67" s="23">
        <f t="shared" si="37"/>
        <v>4.5900000000000038E-2</v>
      </c>
      <c r="AG67" s="23">
        <f t="shared" si="37"/>
        <v>8.5900000000000032E-2</v>
      </c>
      <c r="AH67" s="23">
        <f>(scatterplots_LWG_grazdays_CS!$V$6*$A67+scatterplots_LWG_grazdays_CS!$W$6)/1000+AH66</f>
        <v>8.4747000000000039</v>
      </c>
      <c r="AI67" s="23">
        <f t="shared" si="45"/>
        <v>8.4747000000000039</v>
      </c>
      <c r="AJ67" s="23">
        <f t="shared" si="38"/>
        <v>8.4747000000000039</v>
      </c>
      <c r="AK67" s="23">
        <f t="shared" si="38"/>
        <v>8.4747000000000039</v>
      </c>
    </row>
    <row r="68" spans="1:37">
      <c r="A68" s="12">
        <v>66</v>
      </c>
      <c r="B68" s="12">
        <v>66</v>
      </c>
      <c r="C68" s="23">
        <f>(scatterplots_LWG_grazdays_CS!$V$3*$A68+scatterplots_LWG_grazdays_CS!$W$3)/1000</f>
        <v>0.11256000000000001</v>
      </c>
      <c r="D68" s="23">
        <f t="shared" ref="D68:F99" si="51">$C68+D$1/1000</f>
        <v>0.15256</v>
      </c>
      <c r="E68" s="23">
        <f t="shared" si="51"/>
        <v>0.19256000000000001</v>
      </c>
      <c r="F68" s="23">
        <f t="shared" si="51"/>
        <v>0.23255999999999999</v>
      </c>
      <c r="G68" s="23">
        <f>(scatterplots_LWG_grazdays_CS!$V$3*$A68+scatterplots_LWG_grazdays_CS!$W$3)/1000+G67</f>
        <v>13.520760000000003</v>
      </c>
      <c r="H68" s="23">
        <f t="shared" ref="H68:H89" si="52">C68+H67</f>
        <v>13.520760000000003</v>
      </c>
      <c r="I68" s="23">
        <f t="shared" si="50"/>
        <v>14.400760000000002</v>
      </c>
      <c r="J68" s="23">
        <f t="shared" si="39"/>
        <v>15.400760000000002</v>
      </c>
      <c r="K68" s="23">
        <f t="shared" si="34"/>
        <v>15.80076</v>
      </c>
      <c r="L68" s="23">
        <f t="shared" ref="L68:L91" si="53">C68+L67</f>
        <v>13.520760000000003</v>
      </c>
      <c r="M68" s="23">
        <f t="shared" ref="M68:M91" si="54">C68+M67</f>
        <v>13.520760000000003</v>
      </c>
      <c r="N68" s="23">
        <f>(scatterplots_LWG_grazdays_CS!$V$4*$A68+scatterplots_LWG_grazdays_CS!$W$4)/1000</f>
        <v>5.3159999999999999E-2</v>
      </c>
      <c r="O68" s="23">
        <f t="shared" ref="O68:Q131" si="55">$N68+O$1/1000</f>
        <v>9.3159999999999993E-2</v>
      </c>
      <c r="P68" s="23">
        <f t="shared" si="55"/>
        <v>0.13316</v>
      </c>
      <c r="Q68" s="23">
        <f t="shared" si="55"/>
        <v>0.17315999999999998</v>
      </c>
      <c r="R68" s="23">
        <f>(scatterplots_LWG_grazdays_CS!$V$4*$A68+scatterplots_LWG_grazdays_CS!$W$4)/1000+R67</f>
        <v>11.530859999999999</v>
      </c>
      <c r="S68" s="23">
        <f t="shared" si="49"/>
        <v>11.530859999999999</v>
      </c>
      <c r="T68" s="23">
        <f t="shared" si="18"/>
        <v>11.530859999999999</v>
      </c>
      <c r="U68" s="23">
        <f t="shared" si="19"/>
        <v>11.530859999999999</v>
      </c>
      <c r="V68" s="23">
        <f>(scatterplots_LWG_grazdays_CS!$V$5*$A68+scatterplots_LWG_grazdays_CS!$W$5)/1000</f>
        <v>1.7519999999999984E-2</v>
      </c>
      <c r="W68" s="23">
        <f t="shared" ref="W68:W131" si="56">V68+W$1/1000</f>
        <v>5.7519999999999988E-2</v>
      </c>
      <c r="X68" s="23">
        <f t="shared" ref="X68:Y99" si="57">$V68+X$1/1000</f>
        <v>9.7519999999999982E-2</v>
      </c>
      <c r="Y68" s="23">
        <f t="shared" si="57"/>
        <v>0.13751999999999998</v>
      </c>
      <c r="Z68" s="23">
        <f>(scatterplots_LWG_grazdays_CS!$V$5*$A68+scatterplots_LWG_grazdays_CS!$W$5)/1000+Z67</f>
        <v>10.336919999999999</v>
      </c>
      <c r="AA68" s="23">
        <f t="shared" si="46"/>
        <v>10.336919999999999</v>
      </c>
      <c r="AB68" s="23">
        <f t="shared" si="21"/>
        <v>10.336919999999999</v>
      </c>
      <c r="AC68" s="23">
        <f t="shared" si="22"/>
        <v>10.336919999999999</v>
      </c>
      <c r="AD68" s="23">
        <f>(scatterplots_LWG_grazdays_CS!$V$6*$A68+scatterplots_LWG_grazdays_CS!$W$6)/1000</f>
        <v>-3.9239999999999955E-2</v>
      </c>
      <c r="AE68" s="23">
        <f t="shared" ref="AE68:AE131" si="58">AD68+AE$1/1000</f>
        <v>7.6000000000004536E-4</v>
      </c>
      <c r="AF68" s="23">
        <f t="shared" si="37"/>
        <v>4.0760000000000046E-2</v>
      </c>
      <c r="AG68" s="23">
        <f t="shared" si="37"/>
        <v>8.076000000000004E-2</v>
      </c>
      <c r="AH68" s="23">
        <f>(scatterplots_LWG_grazdays_CS!$V$6*$A68+scatterplots_LWG_grazdays_CS!$W$6)/1000+AH67</f>
        <v>8.4354600000000044</v>
      </c>
      <c r="AI68" s="23">
        <f t="shared" ref="AI68:AI92" si="59">AD68+AI67</f>
        <v>8.4354600000000044</v>
      </c>
      <c r="AJ68" s="23">
        <f t="shared" si="38"/>
        <v>8.4354600000000044</v>
      </c>
      <c r="AK68" s="23">
        <f t="shared" si="38"/>
        <v>8.4354600000000044</v>
      </c>
    </row>
    <row r="69" spans="1:37">
      <c r="A69" s="12">
        <v>67</v>
      </c>
      <c r="B69" s="12">
        <v>67</v>
      </c>
      <c r="C69" s="23">
        <f>(scatterplots_LWG_grazdays_CS!$V$3*$A69+scatterplots_LWG_grazdays_CS!$W$3)/1000</f>
        <v>0.10972</v>
      </c>
      <c r="D69" s="23">
        <f t="shared" si="51"/>
        <v>0.14971999999999999</v>
      </c>
      <c r="E69" s="23">
        <f t="shared" si="51"/>
        <v>0.18972</v>
      </c>
      <c r="F69" s="23">
        <f t="shared" si="51"/>
        <v>0.22971999999999998</v>
      </c>
      <c r="G69" s="23">
        <f>(scatterplots_LWG_grazdays_CS!$V$3*$A69+scatterplots_LWG_grazdays_CS!$W$3)/1000+G68</f>
        <v>13.630480000000002</v>
      </c>
      <c r="H69" s="23">
        <f t="shared" si="52"/>
        <v>13.630480000000002</v>
      </c>
      <c r="I69" s="23">
        <f t="shared" si="50"/>
        <v>14.550480000000002</v>
      </c>
      <c r="J69" s="23">
        <f t="shared" si="39"/>
        <v>15.550480000000002</v>
      </c>
      <c r="K69" s="23">
        <f t="shared" si="34"/>
        <v>15.950480000000001</v>
      </c>
      <c r="L69" s="23">
        <f t="shared" si="53"/>
        <v>13.630480000000002</v>
      </c>
      <c r="M69" s="23">
        <f t="shared" si="54"/>
        <v>13.630480000000002</v>
      </c>
      <c r="N69" s="23">
        <f>(scatterplots_LWG_grazdays_CS!$V$4*$A69+scatterplots_LWG_grazdays_CS!$W$4)/1000</f>
        <v>4.9419999999999985E-2</v>
      </c>
      <c r="O69" s="23">
        <f t="shared" si="55"/>
        <v>8.9419999999999986E-2</v>
      </c>
      <c r="P69" s="23">
        <f t="shared" si="55"/>
        <v>0.12941999999999998</v>
      </c>
      <c r="Q69" s="23">
        <f t="shared" si="55"/>
        <v>0.16941999999999999</v>
      </c>
      <c r="R69" s="23">
        <f>(scatterplots_LWG_grazdays_CS!$V$4*$A69+scatterplots_LWG_grazdays_CS!$W$4)/1000+R68</f>
        <v>11.580279999999998</v>
      </c>
      <c r="S69" s="23">
        <f t="shared" si="49"/>
        <v>11.580279999999998</v>
      </c>
      <c r="T69" s="23">
        <f t="shared" ref="T69:T92" si="60">$N69+T68</f>
        <v>11.580279999999998</v>
      </c>
      <c r="U69" s="23">
        <f t="shared" ref="U69:U92" si="61">$N69+U68</f>
        <v>11.580279999999998</v>
      </c>
      <c r="V69" s="23">
        <f>(scatterplots_LWG_grazdays_CS!$V$5*$A69+scatterplots_LWG_grazdays_CS!$W$5)/1000</f>
        <v>1.3240000000000009E-2</v>
      </c>
      <c r="W69" s="23">
        <f t="shared" si="56"/>
        <v>5.324000000000001E-2</v>
      </c>
      <c r="X69" s="23">
        <f t="shared" si="57"/>
        <v>9.3240000000000017E-2</v>
      </c>
      <c r="Y69" s="23">
        <f t="shared" si="57"/>
        <v>0.13324</v>
      </c>
      <c r="Z69" s="23">
        <f>(scatterplots_LWG_grazdays_CS!$V$5*$A69+scatterplots_LWG_grazdays_CS!$W$5)/1000+Z68</f>
        <v>10.350159999999999</v>
      </c>
      <c r="AA69" s="23">
        <f t="shared" ref="AA69:AA92" si="62">AA68+V69</f>
        <v>10.350159999999999</v>
      </c>
      <c r="AB69" s="23">
        <f t="shared" ref="AB69:AB90" si="63">AB68+$V69</f>
        <v>10.350159999999999</v>
      </c>
      <c r="AC69" s="23">
        <f t="shared" ref="AC69:AC90" si="64">AC68+$V69</f>
        <v>10.350159999999999</v>
      </c>
      <c r="AD69" s="23">
        <f>(scatterplots_LWG_grazdays_CS!$V$6*$A69+scatterplots_LWG_grazdays_CS!$W$6)/1000</f>
        <v>-4.4379999999999996E-2</v>
      </c>
      <c r="AE69" s="23">
        <f t="shared" si="58"/>
        <v>-4.379999999999995E-3</v>
      </c>
      <c r="AF69" s="23">
        <f t="shared" si="37"/>
        <v>3.5620000000000006E-2</v>
      </c>
      <c r="AG69" s="23">
        <f t="shared" si="37"/>
        <v>7.5619999999999993E-2</v>
      </c>
      <c r="AH69" s="23">
        <f>(scatterplots_LWG_grazdays_CS!$V$6*$A69+scatterplots_LWG_grazdays_CS!$W$6)/1000+AH68</f>
        <v>8.3910800000000041</v>
      </c>
      <c r="AI69" s="23">
        <f t="shared" si="59"/>
        <v>8.3910800000000041</v>
      </c>
      <c r="AJ69" s="23">
        <f t="shared" si="38"/>
        <v>8.3910800000000041</v>
      </c>
      <c r="AK69" s="23">
        <f t="shared" si="38"/>
        <v>8.3910800000000041</v>
      </c>
    </row>
    <row r="70" spans="1:37">
      <c r="A70" s="12">
        <v>68</v>
      </c>
      <c r="B70" s="12">
        <v>68</v>
      </c>
      <c r="C70" s="23">
        <f>(scatterplots_LWG_grazdays_CS!$V$3*$A70+scatterplots_LWG_grazdays_CS!$W$3)/1000</f>
        <v>0.10687999999999999</v>
      </c>
      <c r="D70" s="23">
        <f t="shared" si="51"/>
        <v>0.14687999999999998</v>
      </c>
      <c r="E70" s="23">
        <f t="shared" si="51"/>
        <v>0.18687999999999999</v>
      </c>
      <c r="F70" s="23">
        <f t="shared" si="51"/>
        <v>0.22687999999999997</v>
      </c>
      <c r="G70" s="23">
        <f>(scatterplots_LWG_grazdays_CS!$V$3*$A70+scatterplots_LWG_grazdays_CS!$W$3)/1000+G69</f>
        <v>13.737360000000002</v>
      </c>
      <c r="H70" s="23">
        <f t="shared" si="52"/>
        <v>13.737360000000002</v>
      </c>
      <c r="I70" s="23">
        <f t="shared" si="50"/>
        <v>14.697360000000002</v>
      </c>
      <c r="J70" s="23">
        <f t="shared" si="39"/>
        <v>15.697360000000002</v>
      </c>
      <c r="K70" s="23">
        <f t="shared" si="34"/>
        <v>16.097360000000002</v>
      </c>
      <c r="L70" s="23">
        <f t="shared" si="53"/>
        <v>13.737360000000002</v>
      </c>
      <c r="M70" s="23">
        <f t="shared" si="54"/>
        <v>13.737360000000002</v>
      </c>
      <c r="N70" s="23">
        <f>(scatterplots_LWG_grazdays_CS!$V$4*$A70+scatterplots_LWG_grazdays_CS!$W$4)/1000</f>
        <v>4.5679999999999978E-2</v>
      </c>
      <c r="O70" s="23">
        <f t="shared" si="55"/>
        <v>8.5679999999999978E-2</v>
      </c>
      <c r="P70" s="23">
        <f t="shared" si="55"/>
        <v>0.12567999999999999</v>
      </c>
      <c r="Q70" s="23">
        <f t="shared" si="55"/>
        <v>0.16567999999999997</v>
      </c>
      <c r="R70" s="23">
        <f>(scatterplots_LWG_grazdays_CS!$V$4*$A70+scatterplots_LWG_grazdays_CS!$W$4)/1000+R69</f>
        <v>11.625959999999999</v>
      </c>
      <c r="S70" s="23">
        <f t="shared" si="49"/>
        <v>11.625959999999999</v>
      </c>
      <c r="T70" s="23">
        <f t="shared" si="60"/>
        <v>11.625959999999999</v>
      </c>
      <c r="U70" s="23">
        <f t="shared" si="61"/>
        <v>11.625959999999999</v>
      </c>
      <c r="V70" s="23">
        <f>(scatterplots_LWG_grazdays_CS!$V$5*$A70+scatterplots_LWG_grazdays_CS!$W$5)/1000</f>
        <v>8.9599999999999801E-3</v>
      </c>
      <c r="W70" s="23">
        <f t="shared" si="56"/>
        <v>4.8959999999999983E-2</v>
      </c>
      <c r="X70" s="23">
        <f t="shared" si="57"/>
        <v>8.8959999999999984E-2</v>
      </c>
      <c r="Y70" s="23">
        <f t="shared" si="57"/>
        <v>0.12895999999999996</v>
      </c>
      <c r="Z70" s="23">
        <f>(scatterplots_LWG_grazdays_CS!$V$5*$A70+scatterplots_LWG_grazdays_CS!$W$5)/1000+Z69</f>
        <v>10.359119999999999</v>
      </c>
      <c r="AA70" s="23">
        <f t="shared" si="62"/>
        <v>10.359119999999999</v>
      </c>
      <c r="AB70" s="23">
        <f t="shared" si="63"/>
        <v>10.359119999999999</v>
      </c>
      <c r="AC70" s="23">
        <f t="shared" si="64"/>
        <v>10.359119999999999</v>
      </c>
      <c r="AD70" s="23">
        <f>(scatterplots_LWG_grazdays_CS!$V$6*$A70+scatterplots_LWG_grazdays_CS!$W$6)/1000</f>
        <v>-4.9519999999999981E-2</v>
      </c>
      <c r="AE70" s="23">
        <f t="shared" si="58"/>
        <v>-9.5199999999999799E-3</v>
      </c>
      <c r="AF70" s="23">
        <f t="shared" si="37"/>
        <v>3.0480000000000021E-2</v>
      </c>
      <c r="AG70" s="23">
        <f t="shared" si="37"/>
        <v>7.0480000000000015E-2</v>
      </c>
      <c r="AH70" s="23">
        <f>(scatterplots_LWG_grazdays_CS!$V$6*$A70+scatterplots_LWG_grazdays_CS!$W$6)/1000+AH69</f>
        <v>8.3415600000000047</v>
      </c>
      <c r="AI70" s="23">
        <f t="shared" si="59"/>
        <v>8.3415600000000047</v>
      </c>
      <c r="AJ70" s="23">
        <f t="shared" si="38"/>
        <v>8.3415600000000047</v>
      </c>
      <c r="AK70" s="23">
        <f t="shared" si="38"/>
        <v>8.3415600000000047</v>
      </c>
    </row>
    <row r="71" spans="1:37">
      <c r="A71" s="12">
        <v>69</v>
      </c>
      <c r="B71" s="12">
        <v>69</v>
      </c>
      <c r="C71" s="23">
        <f>(scatterplots_LWG_grazdays_CS!$V$3*$A71+scatterplots_LWG_grazdays_CS!$W$3)/1000</f>
        <v>0.10404000000000002</v>
      </c>
      <c r="D71" s="23">
        <f t="shared" si="51"/>
        <v>0.14404000000000003</v>
      </c>
      <c r="E71" s="23">
        <f t="shared" si="51"/>
        <v>0.18404000000000004</v>
      </c>
      <c r="F71" s="23">
        <f t="shared" si="51"/>
        <v>0.22404000000000002</v>
      </c>
      <c r="G71" s="23">
        <f>(scatterplots_LWG_grazdays_CS!$V$3*$A71+scatterplots_LWG_grazdays_CS!$W$3)/1000+G70</f>
        <v>13.841400000000002</v>
      </c>
      <c r="H71" s="23">
        <f t="shared" si="52"/>
        <v>13.841400000000002</v>
      </c>
      <c r="I71" s="23">
        <f t="shared" si="50"/>
        <v>14.841400000000002</v>
      </c>
      <c r="J71" s="23">
        <f t="shared" si="39"/>
        <v>15.841400000000002</v>
      </c>
      <c r="K71" s="23">
        <f t="shared" si="34"/>
        <v>16.241400000000002</v>
      </c>
      <c r="L71" s="23">
        <f t="shared" si="53"/>
        <v>13.841400000000002</v>
      </c>
      <c r="M71" s="23">
        <f t="shared" si="54"/>
        <v>13.841400000000002</v>
      </c>
      <c r="N71" s="23">
        <f>(scatterplots_LWG_grazdays_CS!$V$4*$A71+scatterplots_LWG_grazdays_CS!$W$4)/1000</f>
        <v>4.1939999999999998E-2</v>
      </c>
      <c r="O71" s="23">
        <f t="shared" si="55"/>
        <v>8.1939999999999999E-2</v>
      </c>
      <c r="P71" s="23">
        <f t="shared" si="55"/>
        <v>0.12193999999999999</v>
      </c>
      <c r="Q71" s="23">
        <f t="shared" si="55"/>
        <v>0.16194</v>
      </c>
      <c r="R71" s="23">
        <f>(scatterplots_LWG_grazdays_CS!$V$4*$A71+scatterplots_LWG_grazdays_CS!$W$4)/1000+R70</f>
        <v>11.667899999999999</v>
      </c>
      <c r="S71" s="23">
        <f t="shared" si="49"/>
        <v>11.667899999999999</v>
      </c>
      <c r="T71" s="23">
        <f t="shared" si="60"/>
        <v>11.667899999999999</v>
      </c>
      <c r="U71" s="23">
        <f t="shared" si="61"/>
        <v>11.667899999999999</v>
      </c>
      <c r="V71" s="23">
        <f>(scatterplots_LWG_grazdays_CS!$V$5*$A71+scatterplots_LWG_grazdays_CS!$W$5)/1000</f>
        <v>4.6800000000000071E-3</v>
      </c>
      <c r="W71" s="23">
        <f t="shared" si="56"/>
        <v>4.4680000000000011E-2</v>
      </c>
      <c r="X71" s="23">
        <f t="shared" si="57"/>
        <v>8.4680000000000005E-2</v>
      </c>
      <c r="Y71" s="23">
        <f t="shared" si="57"/>
        <v>0.12468</v>
      </c>
      <c r="Z71" s="23">
        <f>(scatterplots_LWG_grazdays_CS!$V$5*$A71+scatterplots_LWG_grazdays_CS!$W$5)/1000+Z70</f>
        <v>10.363799999999999</v>
      </c>
      <c r="AA71" s="23">
        <f t="shared" si="62"/>
        <v>10.363799999999999</v>
      </c>
      <c r="AB71" s="23">
        <f t="shared" si="63"/>
        <v>10.363799999999999</v>
      </c>
      <c r="AC71" s="23">
        <f t="shared" si="64"/>
        <v>10.363799999999999</v>
      </c>
      <c r="AD71" s="23">
        <f>(scatterplots_LWG_grazdays_CS!$V$6*$A71+scatterplots_LWG_grazdays_CS!$W$6)/1000</f>
        <v>-5.4659999999999966E-2</v>
      </c>
      <c r="AE71" s="23">
        <f t="shared" si="58"/>
        <v>-1.4659999999999965E-2</v>
      </c>
      <c r="AF71" s="23">
        <f t="shared" si="37"/>
        <v>2.5340000000000036E-2</v>
      </c>
      <c r="AG71" s="23">
        <f t="shared" si="37"/>
        <v>6.5340000000000037E-2</v>
      </c>
      <c r="AH71" s="23">
        <f>(scatterplots_LWG_grazdays_CS!$V$6*$A71+scatterplots_LWG_grazdays_CS!$W$6)/1000+AH70</f>
        <v>8.2869000000000046</v>
      </c>
      <c r="AI71" s="23">
        <f t="shared" si="59"/>
        <v>8.2869000000000046</v>
      </c>
      <c r="AJ71" s="23">
        <f t="shared" si="38"/>
        <v>8.2869000000000046</v>
      </c>
      <c r="AK71" s="23">
        <f t="shared" si="38"/>
        <v>8.2869000000000046</v>
      </c>
    </row>
    <row r="72" spans="1:37">
      <c r="A72" s="12">
        <v>70</v>
      </c>
      <c r="B72" s="12">
        <v>70</v>
      </c>
      <c r="C72" s="23">
        <f>(scatterplots_LWG_grazdays_CS!$V$3*$A72+scatterplots_LWG_grazdays_CS!$W$3)/1000</f>
        <v>0.10120000000000001</v>
      </c>
      <c r="D72" s="23">
        <f t="shared" si="51"/>
        <v>0.14120000000000002</v>
      </c>
      <c r="E72" s="23">
        <f t="shared" si="51"/>
        <v>0.18120000000000003</v>
      </c>
      <c r="F72" s="23">
        <f t="shared" si="51"/>
        <v>0.22120000000000001</v>
      </c>
      <c r="G72" s="23">
        <f>(scatterplots_LWG_grazdays_CS!$V$3*$A72+scatterplots_LWG_grazdays_CS!$W$3)/1000+G71</f>
        <v>13.942600000000002</v>
      </c>
      <c r="H72" s="23">
        <f t="shared" si="52"/>
        <v>13.942600000000002</v>
      </c>
      <c r="I72" s="23">
        <f t="shared" si="50"/>
        <v>14.982600000000001</v>
      </c>
      <c r="J72" s="23">
        <f t="shared" si="39"/>
        <v>15.982600000000001</v>
      </c>
      <c r="K72" s="23">
        <f t="shared" si="34"/>
        <v>16.382600000000004</v>
      </c>
      <c r="L72" s="23">
        <f t="shared" si="53"/>
        <v>13.942600000000002</v>
      </c>
      <c r="M72" s="23">
        <f t="shared" si="54"/>
        <v>13.942600000000002</v>
      </c>
      <c r="N72" s="23">
        <f>(scatterplots_LWG_grazdays_CS!$V$4*$A72+scatterplots_LWG_grazdays_CS!$W$4)/1000</f>
        <v>3.8199999999999991E-2</v>
      </c>
      <c r="O72" s="23">
        <f t="shared" si="55"/>
        <v>7.8199999999999992E-2</v>
      </c>
      <c r="P72" s="23">
        <f t="shared" si="55"/>
        <v>0.1182</v>
      </c>
      <c r="Q72" s="23">
        <f t="shared" si="55"/>
        <v>0.15819999999999998</v>
      </c>
      <c r="R72" s="23">
        <f>(scatterplots_LWG_grazdays_CS!$V$4*$A72+scatterplots_LWG_grazdays_CS!$W$4)/1000+R71</f>
        <v>11.706099999999999</v>
      </c>
      <c r="S72" s="23">
        <f t="shared" si="49"/>
        <v>11.706099999999999</v>
      </c>
      <c r="T72" s="23">
        <f t="shared" si="60"/>
        <v>11.706099999999999</v>
      </c>
      <c r="U72" s="23">
        <f t="shared" si="61"/>
        <v>11.706099999999999</v>
      </c>
      <c r="V72" s="23">
        <f>(scatterplots_LWG_grazdays_CS!$V$5*$A72+scatterplots_LWG_grazdays_CS!$W$5)/1000</f>
        <v>3.9999999999997725E-4</v>
      </c>
      <c r="W72" s="23">
        <f t="shared" si="56"/>
        <v>4.0399999999999978E-2</v>
      </c>
      <c r="X72" s="23">
        <f t="shared" si="57"/>
        <v>8.0399999999999985E-2</v>
      </c>
      <c r="Y72" s="23">
        <f t="shared" si="57"/>
        <v>0.12039999999999998</v>
      </c>
      <c r="Z72" s="23">
        <f>(scatterplots_LWG_grazdays_CS!$V$5*$A72+scatterplots_LWG_grazdays_CS!$W$5)/1000+Z71</f>
        <v>10.3642</v>
      </c>
      <c r="AA72" s="23">
        <f t="shared" si="62"/>
        <v>10.3642</v>
      </c>
      <c r="AB72" s="23">
        <f t="shared" si="63"/>
        <v>10.3642</v>
      </c>
      <c r="AC72" s="23">
        <f t="shared" si="64"/>
        <v>10.3642</v>
      </c>
      <c r="AD72" s="23">
        <f>(scatterplots_LWG_grazdays_CS!$V$6*$A72+scatterplots_LWG_grazdays_CS!$W$6)/1000</f>
        <v>-5.9799999999999957E-2</v>
      </c>
      <c r="AE72" s="23">
        <f t="shared" si="58"/>
        <v>-1.9799999999999957E-2</v>
      </c>
      <c r="AF72" s="23">
        <f t="shared" si="37"/>
        <v>2.0200000000000044E-2</v>
      </c>
      <c r="AG72" s="23">
        <f t="shared" si="37"/>
        <v>6.0200000000000038E-2</v>
      </c>
      <c r="AH72" s="23">
        <f>(scatterplots_LWG_grazdays_CS!$V$6*$A72+scatterplots_LWG_grazdays_CS!$W$6)/1000+AH71</f>
        <v>8.2271000000000054</v>
      </c>
      <c r="AI72" s="23">
        <f t="shared" si="59"/>
        <v>8.2271000000000054</v>
      </c>
      <c r="AJ72" s="23">
        <f t="shared" si="38"/>
        <v>8.2271000000000054</v>
      </c>
      <c r="AK72" s="23">
        <f t="shared" si="38"/>
        <v>8.2271000000000054</v>
      </c>
    </row>
    <row r="73" spans="1:37">
      <c r="A73" s="12">
        <v>71</v>
      </c>
      <c r="B73" s="12">
        <v>71</v>
      </c>
      <c r="C73" s="23">
        <f>(scatterplots_LWG_grazdays_CS!$V$3*$A73+scatterplots_LWG_grazdays_CS!$W$3)/1000</f>
        <v>9.8360000000000017E-2</v>
      </c>
      <c r="D73" s="23">
        <f t="shared" si="51"/>
        <v>0.13836000000000001</v>
      </c>
      <c r="E73" s="23">
        <f t="shared" si="51"/>
        <v>0.17836000000000002</v>
      </c>
      <c r="F73" s="23">
        <f t="shared" si="51"/>
        <v>0.21836</v>
      </c>
      <c r="G73" s="23">
        <f>(scatterplots_LWG_grazdays_CS!$V$3*$A73+scatterplots_LWG_grazdays_CS!$W$3)/1000+G72</f>
        <v>14.040960000000002</v>
      </c>
      <c r="H73" s="23">
        <f t="shared" si="52"/>
        <v>14.040960000000002</v>
      </c>
      <c r="I73" s="23">
        <f t="shared" si="50"/>
        <v>15.120960000000002</v>
      </c>
      <c r="J73" s="23">
        <f t="shared" si="39"/>
        <v>16.12096</v>
      </c>
      <c r="K73" s="23">
        <f t="shared" si="34"/>
        <v>16.520960000000002</v>
      </c>
      <c r="L73" s="23">
        <f t="shared" si="53"/>
        <v>14.040960000000002</v>
      </c>
      <c r="M73" s="23">
        <f t="shared" si="54"/>
        <v>14.040960000000002</v>
      </c>
      <c r="N73" s="23">
        <f>(scatterplots_LWG_grazdays_CS!$V$4*$A73+scatterplots_LWG_grazdays_CS!$W$4)/1000</f>
        <v>3.4459999999999977E-2</v>
      </c>
      <c r="O73" s="23">
        <f t="shared" si="55"/>
        <v>7.4459999999999971E-2</v>
      </c>
      <c r="P73" s="23">
        <f t="shared" si="55"/>
        <v>0.11445999999999998</v>
      </c>
      <c r="Q73" s="23">
        <f t="shared" si="55"/>
        <v>0.15445999999999999</v>
      </c>
      <c r="R73" s="23">
        <f>(scatterplots_LWG_grazdays_CS!$V$4*$A73+scatterplots_LWG_grazdays_CS!$W$4)/1000+R72</f>
        <v>11.740559999999999</v>
      </c>
      <c r="S73" s="23">
        <f t="shared" si="49"/>
        <v>11.740559999999999</v>
      </c>
      <c r="T73" s="23">
        <f t="shared" si="60"/>
        <v>11.740559999999999</v>
      </c>
      <c r="U73" s="23">
        <f t="shared" si="61"/>
        <v>11.740559999999999</v>
      </c>
      <c r="V73" s="23">
        <f>(scatterplots_LWG_grazdays_CS!$V$5*$A73+scatterplots_LWG_grazdays_CS!$W$5)/1000</f>
        <v>-3.8799999999999954E-3</v>
      </c>
      <c r="W73" s="23">
        <f t="shared" si="56"/>
        <v>3.6120000000000006E-2</v>
      </c>
      <c r="X73" s="23">
        <f t="shared" si="57"/>
        <v>7.6120000000000007E-2</v>
      </c>
      <c r="Y73" s="23">
        <f t="shared" si="57"/>
        <v>0.11612</v>
      </c>
      <c r="Z73" s="23">
        <f>(scatterplots_LWG_grazdays_CS!$V$5*$A73+scatterplots_LWG_grazdays_CS!$W$5)/1000+Z72</f>
        <v>10.36032</v>
      </c>
      <c r="AA73" s="23">
        <f t="shared" si="62"/>
        <v>10.36032</v>
      </c>
      <c r="AB73" s="23">
        <f t="shared" si="63"/>
        <v>10.36032</v>
      </c>
      <c r="AC73" s="23">
        <f t="shared" si="64"/>
        <v>10.36032</v>
      </c>
      <c r="AD73" s="23">
        <f>(scatterplots_LWG_grazdays_CS!$V$6*$A73+scatterplots_LWG_grazdays_CS!$W$6)/1000</f>
        <v>-6.4939999999999998E-2</v>
      </c>
      <c r="AE73" s="23">
        <f t="shared" si="58"/>
        <v>-2.4939999999999997E-2</v>
      </c>
      <c r="AF73" s="23">
        <f t="shared" si="37"/>
        <v>1.5060000000000004E-2</v>
      </c>
      <c r="AG73" s="23">
        <f t="shared" si="37"/>
        <v>5.5059999999999998E-2</v>
      </c>
      <c r="AH73" s="23">
        <f>(scatterplots_LWG_grazdays_CS!$V$6*$A73+scatterplots_LWG_grazdays_CS!$W$6)/1000+AH72</f>
        <v>8.1621600000000054</v>
      </c>
      <c r="AI73" s="23">
        <f t="shared" si="59"/>
        <v>8.1621600000000054</v>
      </c>
      <c r="AJ73" s="23">
        <f t="shared" si="38"/>
        <v>8.1621600000000054</v>
      </c>
      <c r="AK73" s="23">
        <f t="shared" si="38"/>
        <v>8.1621600000000054</v>
      </c>
    </row>
    <row r="74" spans="1:37">
      <c r="A74" s="12">
        <v>72</v>
      </c>
      <c r="B74" s="12">
        <v>72</v>
      </c>
      <c r="C74" s="23">
        <f>(scatterplots_LWG_grazdays_CS!$V$3*$A74+scatterplots_LWG_grazdays_CS!$W$3)/1000</f>
        <v>9.5520000000000008E-2</v>
      </c>
      <c r="D74" s="23">
        <f t="shared" si="51"/>
        <v>0.13552</v>
      </c>
      <c r="E74" s="23">
        <f t="shared" si="51"/>
        <v>0.17552000000000001</v>
      </c>
      <c r="F74" s="23">
        <f t="shared" si="51"/>
        <v>0.21551999999999999</v>
      </c>
      <c r="G74" s="23">
        <f>(scatterplots_LWG_grazdays_CS!$V$3*$A74+scatterplots_LWG_grazdays_CS!$W$3)/1000+G73</f>
        <v>14.136480000000002</v>
      </c>
      <c r="H74" s="23">
        <f t="shared" si="52"/>
        <v>14.136480000000002</v>
      </c>
      <c r="I74" s="23">
        <f t="shared" si="50"/>
        <v>15.256480000000002</v>
      </c>
      <c r="J74" s="23">
        <f t="shared" si="39"/>
        <v>16.25648</v>
      </c>
      <c r="K74" s="23">
        <f t="shared" si="34"/>
        <v>16.656480000000002</v>
      </c>
      <c r="L74" s="23">
        <f t="shared" si="53"/>
        <v>14.136480000000002</v>
      </c>
      <c r="M74" s="23">
        <f t="shared" si="54"/>
        <v>14.136480000000002</v>
      </c>
      <c r="N74" s="23">
        <f>(scatterplots_LWG_grazdays_CS!$V$4*$A74+scatterplots_LWG_grazdays_CS!$W$4)/1000</f>
        <v>3.071999999999997E-2</v>
      </c>
      <c r="O74" s="23">
        <f t="shared" si="55"/>
        <v>7.0719999999999977E-2</v>
      </c>
      <c r="P74" s="23">
        <f t="shared" si="55"/>
        <v>0.11071999999999997</v>
      </c>
      <c r="Q74" s="23">
        <f t="shared" si="55"/>
        <v>0.15071999999999997</v>
      </c>
      <c r="R74" s="23">
        <f>(scatterplots_LWG_grazdays_CS!$V$4*$A74+scatterplots_LWG_grazdays_CS!$W$4)/1000+R73</f>
        <v>11.771279999999999</v>
      </c>
      <c r="S74" s="23">
        <f t="shared" si="49"/>
        <v>11.771279999999999</v>
      </c>
      <c r="T74" s="23">
        <f t="shared" si="60"/>
        <v>11.771279999999999</v>
      </c>
      <c r="U74" s="23">
        <f t="shared" si="61"/>
        <v>11.771279999999999</v>
      </c>
      <c r="V74" s="23">
        <f>(scatterplots_LWG_grazdays_CS!$V$5*$A74+scatterplots_LWG_grazdays_CS!$W$5)/1000</f>
        <v>-8.1600000000000249E-3</v>
      </c>
      <c r="W74" s="23">
        <f t="shared" si="56"/>
        <v>3.1839999999999979E-2</v>
      </c>
      <c r="X74" s="23">
        <f t="shared" si="57"/>
        <v>7.1839999999999973E-2</v>
      </c>
      <c r="Y74" s="23">
        <f t="shared" si="57"/>
        <v>0.11183999999999997</v>
      </c>
      <c r="Z74" s="23">
        <f>(scatterplots_LWG_grazdays_CS!$V$5*$A74+scatterplots_LWG_grazdays_CS!$W$5)/1000+Z73</f>
        <v>10.35216</v>
      </c>
      <c r="AA74" s="23">
        <f t="shared" si="62"/>
        <v>10.35216</v>
      </c>
      <c r="AB74" s="23">
        <f t="shared" si="63"/>
        <v>10.35216</v>
      </c>
      <c r="AC74" s="23">
        <f t="shared" si="64"/>
        <v>10.35216</v>
      </c>
      <c r="AD74" s="23">
        <f>(scatterplots_LWG_grazdays_CS!$V$6*$A74+scatterplots_LWG_grazdays_CS!$W$6)/1000</f>
        <v>-7.007999999999999E-2</v>
      </c>
      <c r="AE74" s="23">
        <f t="shared" si="58"/>
        <v>-3.0079999999999989E-2</v>
      </c>
      <c r="AF74" s="23">
        <f t="shared" si="37"/>
        <v>9.9200000000000121E-3</v>
      </c>
      <c r="AG74" s="23">
        <f t="shared" si="37"/>
        <v>4.9920000000000006E-2</v>
      </c>
      <c r="AH74" s="23">
        <f>(scatterplots_LWG_grazdays_CS!$V$6*$A74+scatterplots_LWG_grazdays_CS!$W$6)/1000+AH73</f>
        <v>8.0920800000000046</v>
      </c>
      <c r="AI74" s="23">
        <f t="shared" si="59"/>
        <v>8.0920800000000046</v>
      </c>
      <c r="AJ74" s="23">
        <f t="shared" si="38"/>
        <v>8.0920800000000046</v>
      </c>
      <c r="AK74" s="23">
        <f t="shared" si="38"/>
        <v>8.0920800000000046</v>
      </c>
    </row>
    <row r="75" spans="1:37">
      <c r="A75" s="12">
        <v>73</v>
      </c>
      <c r="B75" s="12">
        <v>73</v>
      </c>
      <c r="C75" s="23">
        <f>(scatterplots_LWG_grazdays_CS!$V$3*$A75+scatterplots_LWG_grazdays_CS!$W$3)/1000</f>
        <v>9.2680000000000012E-2</v>
      </c>
      <c r="D75" s="23">
        <f t="shared" si="51"/>
        <v>0.13268000000000002</v>
      </c>
      <c r="E75" s="23">
        <f t="shared" si="51"/>
        <v>0.17268</v>
      </c>
      <c r="F75" s="23">
        <f t="shared" si="51"/>
        <v>0.21268000000000001</v>
      </c>
      <c r="G75" s="23">
        <f>(scatterplots_LWG_grazdays_CS!$V$3*$A75+scatterplots_LWG_grazdays_CS!$W$3)/1000+G74</f>
        <v>14.229160000000002</v>
      </c>
      <c r="H75" s="23">
        <f t="shared" si="52"/>
        <v>14.229160000000002</v>
      </c>
      <c r="I75" s="23">
        <f t="shared" si="50"/>
        <v>15.389160000000002</v>
      </c>
      <c r="J75" s="23">
        <f t="shared" si="39"/>
        <v>16.38916</v>
      </c>
      <c r="K75" s="23">
        <f t="shared" si="34"/>
        <v>16.789160000000003</v>
      </c>
      <c r="L75" s="23">
        <f t="shared" si="53"/>
        <v>14.229160000000002</v>
      </c>
      <c r="M75" s="23">
        <f t="shared" si="54"/>
        <v>14.229160000000002</v>
      </c>
      <c r="N75" s="23">
        <f>(scatterplots_LWG_grazdays_CS!$V$4*$A75+scatterplots_LWG_grazdays_CS!$W$4)/1000</f>
        <v>2.6979999999999962E-2</v>
      </c>
      <c r="O75" s="23">
        <f t="shared" si="55"/>
        <v>6.6979999999999956E-2</v>
      </c>
      <c r="P75" s="23">
        <f t="shared" si="55"/>
        <v>0.10697999999999996</v>
      </c>
      <c r="Q75" s="23">
        <f t="shared" si="55"/>
        <v>0.14697999999999994</v>
      </c>
      <c r="R75" s="23">
        <f>(scatterplots_LWG_grazdays_CS!$V$4*$A75+scatterplots_LWG_grazdays_CS!$W$4)/1000+R74</f>
        <v>11.798259999999999</v>
      </c>
      <c r="S75" s="23">
        <f t="shared" si="49"/>
        <v>11.798259999999999</v>
      </c>
      <c r="T75" s="23">
        <f t="shared" si="60"/>
        <v>11.798259999999999</v>
      </c>
      <c r="U75" s="23">
        <f t="shared" si="61"/>
        <v>11.798259999999999</v>
      </c>
      <c r="V75" s="23">
        <f>(scatterplots_LWG_grazdays_CS!$V$5*$A75+scatterplots_LWG_grazdays_CS!$W$5)/1000</f>
        <v>-1.2439999999999998E-2</v>
      </c>
      <c r="W75" s="23">
        <f t="shared" si="56"/>
        <v>2.7560000000000001E-2</v>
      </c>
      <c r="X75" s="23">
        <f t="shared" si="57"/>
        <v>6.7560000000000009E-2</v>
      </c>
      <c r="Y75" s="23">
        <f t="shared" si="57"/>
        <v>0.10756</v>
      </c>
      <c r="Z75" s="23">
        <f>(scatterplots_LWG_grazdays_CS!$V$5*$A75+scatterplots_LWG_grazdays_CS!$W$5)/1000+Z74</f>
        <v>10.33972</v>
      </c>
      <c r="AA75" s="23">
        <f t="shared" si="62"/>
        <v>10.33972</v>
      </c>
      <c r="AB75" s="23">
        <f t="shared" si="63"/>
        <v>10.33972</v>
      </c>
      <c r="AC75" s="23">
        <f t="shared" si="64"/>
        <v>10.33972</v>
      </c>
      <c r="AD75" s="23">
        <f>(scatterplots_LWG_grazdays_CS!$V$6*$A75+scatterplots_LWG_grazdays_CS!$W$6)/1000</f>
        <v>-7.5219999999999967E-2</v>
      </c>
      <c r="AE75" s="23">
        <f t="shared" si="58"/>
        <v>-3.5219999999999967E-2</v>
      </c>
      <c r="AF75" s="23">
        <f t="shared" si="37"/>
        <v>4.7800000000000342E-3</v>
      </c>
      <c r="AG75" s="23">
        <f t="shared" si="37"/>
        <v>4.4780000000000028E-2</v>
      </c>
      <c r="AH75" s="23">
        <f>(scatterplots_LWG_grazdays_CS!$V$6*$A75+scatterplots_LWG_grazdays_CS!$W$6)/1000+AH74</f>
        <v>8.0168600000000048</v>
      </c>
      <c r="AI75" s="23">
        <f t="shared" si="59"/>
        <v>8.0168600000000048</v>
      </c>
      <c r="AJ75" s="23">
        <f t="shared" si="38"/>
        <v>8.0168600000000048</v>
      </c>
      <c r="AK75" s="23">
        <f t="shared" si="38"/>
        <v>8.0168600000000048</v>
      </c>
    </row>
    <row r="76" spans="1:37">
      <c r="A76" s="12">
        <v>74</v>
      </c>
      <c r="B76" s="12">
        <v>74</v>
      </c>
      <c r="C76" s="23">
        <f>(scatterplots_LWG_grazdays_CS!$V$3*$A76+scatterplots_LWG_grazdays_CS!$W$3)/1000</f>
        <v>8.9840000000000003E-2</v>
      </c>
      <c r="D76" s="23">
        <f t="shared" si="51"/>
        <v>0.12984000000000001</v>
      </c>
      <c r="E76" s="23">
        <f t="shared" si="51"/>
        <v>0.16983999999999999</v>
      </c>
      <c r="F76" s="23">
        <f t="shared" si="51"/>
        <v>0.20984</v>
      </c>
      <c r="G76" s="23">
        <f>(scatterplots_LWG_grazdays_CS!$V$3*$A76+scatterplots_LWG_grazdays_CS!$W$3)/1000+G75</f>
        <v>14.319000000000003</v>
      </c>
      <c r="H76" s="23">
        <f t="shared" si="52"/>
        <v>14.319000000000003</v>
      </c>
      <c r="I76" s="23">
        <f t="shared" si="50"/>
        <v>15.519000000000002</v>
      </c>
      <c r="J76" s="23">
        <f t="shared" si="39"/>
        <v>16.519000000000002</v>
      </c>
      <c r="K76" s="23">
        <f t="shared" si="34"/>
        <v>16.919000000000004</v>
      </c>
      <c r="L76" s="23">
        <f t="shared" si="53"/>
        <v>14.319000000000003</v>
      </c>
      <c r="M76" s="23">
        <f t="shared" si="54"/>
        <v>14.319000000000003</v>
      </c>
      <c r="N76" s="23">
        <f>(scatterplots_LWG_grazdays_CS!$V$4*$A76+scatterplots_LWG_grazdays_CS!$W$4)/1000</f>
        <v>2.3240000000000011E-2</v>
      </c>
      <c r="O76" s="23">
        <f t="shared" si="55"/>
        <v>6.3240000000000018E-2</v>
      </c>
      <c r="P76" s="23">
        <f t="shared" si="55"/>
        <v>0.10324000000000001</v>
      </c>
      <c r="Q76" s="23">
        <f t="shared" si="55"/>
        <v>0.14324000000000001</v>
      </c>
      <c r="R76" s="23">
        <f>(scatterplots_LWG_grazdays_CS!$V$4*$A76+scatterplots_LWG_grazdays_CS!$W$4)/1000+R75</f>
        <v>11.821499999999999</v>
      </c>
      <c r="S76" s="23">
        <f t="shared" si="49"/>
        <v>11.821499999999999</v>
      </c>
      <c r="T76" s="23">
        <f t="shared" si="60"/>
        <v>11.821499999999999</v>
      </c>
      <c r="U76" s="23">
        <f t="shared" si="61"/>
        <v>11.821499999999999</v>
      </c>
      <c r="V76" s="23">
        <f>(scatterplots_LWG_grazdays_CS!$V$5*$A76+scatterplots_LWG_grazdays_CS!$W$5)/1000</f>
        <v>-1.6720000000000027E-2</v>
      </c>
      <c r="W76" s="23">
        <f t="shared" si="56"/>
        <v>2.3279999999999974E-2</v>
      </c>
      <c r="X76" s="23">
        <f t="shared" si="57"/>
        <v>6.3279999999999975E-2</v>
      </c>
      <c r="Y76" s="23">
        <f t="shared" si="57"/>
        <v>0.10327999999999997</v>
      </c>
      <c r="Z76" s="23">
        <f>(scatterplots_LWG_grazdays_CS!$V$5*$A76+scatterplots_LWG_grazdays_CS!$W$5)/1000+Z75</f>
        <v>10.323</v>
      </c>
      <c r="AA76" s="23">
        <f t="shared" si="62"/>
        <v>10.323</v>
      </c>
      <c r="AB76" s="23">
        <f t="shared" si="63"/>
        <v>10.323</v>
      </c>
      <c r="AC76" s="23">
        <f t="shared" si="64"/>
        <v>10.323</v>
      </c>
      <c r="AD76" s="23">
        <f>(scatterplots_LWG_grazdays_CS!$V$6*$A76+scatterplots_LWG_grazdays_CS!$W$6)/1000</f>
        <v>-8.0359999999999959E-2</v>
      </c>
      <c r="AE76" s="23">
        <f t="shared" si="58"/>
        <v>-4.0359999999999958E-2</v>
      </c>
      <c r="AF76" s="23">
        <f t="shared" si="37"/>
        <v>-3.5999999999995758E-4</v>
      </c>
      <c r="AG76" s="23">
        <f t="shared" si="37"/>
        <v>3.9640000000000036E-2</v>
      </c>
      <c r="AH76" s="23">
        <f>(scatterplots_LWG_grazdays_CS!$V$6*$A76+scatterplots_LWG_grazdays_CS!$W$6)/1000+AH75</f>
        <v>7.936500000000005</v>
      </c>
      <c r="AI76" s="23">
        <f t="shared" si="59"/>
        <v>7.936500000000005</v>
      </c>
      <c r="AJ76" s="23">
        <f t="shared" si="38"/>
        <v>7.936500000000005</v>
      </c>
      <c r="AK76" s="23">
        <f t="shared" si="38"/>
        <v>7.936500000000005</v>
      </c>
    </row>
    <row r="77" spans="1:37">
      <c r="A77" s="12">
        <v>75</v>
      </c>
      <c r="B77" s="12">
        <v>75</v>
      </c>
      <c r="C77" s="23">
        <f>(scatterplots_LWG_grazdays_CS!$V$3*$A77+scatterplots_LWG_grazdays_CS!$W$3)/1000</f>
        <v>8.6999999999999994E-2</v>
      </c>
      <c r="D77" s="23">
        <f t="shared" si="51"/>
        <v>0.127</v>
      </c>
      <c r="E77" s="23">
        <f t="shared" si="51"/>
        <v>0.16699999999999998</v>
      </c>
      <c r="F77" s="23">
        <f t="shared" si="51"/>
        <v>0.20699999999999999</v>
      </c>
      <c r="G77" s="23">
        <f>(scatterplots_LWG_grazdays_CS!$V$3*$A77+scatterplots_LWG_grazdays_CS!$W$3)/1000+G76</f>
        <v>14.406000000000002</v>
      </c>
      <c r="H77" s="23">
        <f t="shared" si="52"/>
        <v>14.406000000000002</v>
      </c>
      <c r="I77" s="23">
        <f t="shared" si="50"/>
        <v>15.646000000000003</v>
      </c>
      <c r="J77" s="23">
        <f t="shared" si="39"/>
        <v>16.646000000000001</v>
      </c>
      <c r="K77" s="23">
        <f t="shared" ref="K77:K140" si="65">D77+K76</f>
        <v>17.046000000000003</v>
      </c>
      <c r="L77" s="23">
        <f t="shared" si="53"/>
        <v>14.406000000000002</v>
      </c>
      <c r="M77" s="23">
        <f t="shared" si="54"/>
        <v>14.406000000000002</v>
      </c>
      <c r="N77" s="23">
        <f>(scatterplots_LWG_grazdays_CS!$V$4*$A77+scatterplots_LWG_grazdays_CS!$W$4)/1000</f>
        <v>1.95E-2</v>
      </c>
      <c r="O77" s="23">
        <f t="shared" si="55"/>
        <v>5.9499999999999997E-2</v>
      </c>
      <c r="P77" s="23">
        <f t="shared" si="55"/>
        <v>9.9500000000000005E-2</v>
      </c>
      <c r="Q77" s="23">
        <f t="shared" si="55"/>
        <v>0.13949999999999999</v>
      </c>
      <c r="R77" s="23">
        <f>(scatterplots_LWG_grazdays_CS!$V$4*$A77+scatterplots_LWG_grazdays_CS!$W$4)/1000+R76</f>
        <v>11.840999999999999</v>
      </c>
      <c r="S77" s="23">
        <f t="shared" si="49"/>
        <v>11.840999999999999</v>
      </c>
      <c r="T77" s="23">
        <f t="shared" si="60"/>
        <v>11.840999999999999</v>
      </c>
      <c r="U77" s="23">
        <f t="shared" si="61"/>
        <v>11.840999999999999</v>
      </c>
      <c r="V77" s="23">
        <f>(scatterplots_LWG_grazdays_CS!$V$5*$A77+scatterplots_LWG_grazdays_CS!$W$5)/1000</f>
        <v>-2.1000000000000001E-2</v>
      </c>
      <c r="W77" s="23">
        <f t="shared" si="56"/>
        <v>1.9E-2</v>
      </c>
      <c r="X77" s="23">
        <f t="shared" si="57"/>
        <v>5.8999999999999997E-2</v>
      </c>
      <c r="Y77" s="23">
        <f t="shared" si="57"/>
        <v>9.8999999999999991E-2</v>
      </c>
      <c r="Z77" s="23">
        <f>(scatterplots_LWG_grazdays_CS!$V$5*$A77+scatterplots_LWG_grazdays_CS!$W$5)/1000+Z76</f>
        <v>10.302</v>
      </c>
      <c r="AA77" s="23">
        <f t="shared" si="62"/>
        <v>10.302</v>
      </c>
      <c r="AB77" s="23">
        <f t="shared" si="63"/>
        <v>10.302</v>
      </c>
      <c r="AC77" s="23">
        <f t="shared" si="64"/>
        <v>10.302</v>
      </c>
      <c r="AD77" s="23">
        <f>(scatterplots_LWG_grazdays_CS!$V$6*$A77+scatterplots_LWG_grazdays_CS!$W$6)/1000</f>
        <v>-8.5500000000000007E-2</v>
      </c>
      <c r="AE77" s="23">
        <f t="shared" si="58"/>
        <v>-4.5500000000000006E-2</v>
      </c>
      <c r="AF77" s="23">
        <f t="shared" si="37"/>
        <v>-5.5000000000000049E-3</v>
      </c>
      <c r="AG77" s="23">
        <f t="shared" si="37"/>
        <v>3.4499999999999989E-2</v>
      </c>
      <c r="AH77" s="23">
        <f>(scatterplots_LWG_grazdays_CS!$V$6*$A77+scatterplots_LWG_grazdays_CS!$W$6)/1000+AH76</f>
        <v>7.8510000000000053</v>
      </c>
      <c r="AI77" s="23">
        <f t="shared" si="59"/>
        <v>7.8510000000000053</v>
      </c>
      <c r="AJ77" s="23">
        <f t="shared" si="38"/>
        <v>7.8510000000000053</v>
      </c>
      <c r="AK77" s="23">
        <f t="shared" si="38"/>
        <v>7.8510000000000053</v>
      </c>
    </row>
    <row r="78" spans="1:37">
      <c r="A78" s="12">
        <v>76</v>
      </c>
      <c r="B78" s="12">
        <v>76</v>
      </c>
      <c r="C78" s="23">
        <f>(scatterplots_LWG_grazdays_CS!$V$3*$A78+scatterplots_LWG_grazdays_CS!$W$3)/1000</f>
        <v>8.4160000000000026E-2</v>
      </c>
      <c r="D78" s="23">
        <f t="shared" si="51"/>
        <v>0.12416000000000002</v>
      </c>
      <c r="E78" s="23">
        <f t="shared" si="51"/>
        <v>0.16416000000000003</v>
      </c>
      <c r="F78" s="23">
        <f t="shared" si="51"/>
        <v>0.20416000000000001</v>
      </c>
      <c r="G78" s="23">
        <f>(scatterplots_LWG_grazdays_CS!$V$3*$A78+scatterplots_LWG_grazdays_CS!$W$3)/1000+G77</f>
        <v>14.490160000000003</v>
      </c>
      <c r="H78" s="23">
        <f t="shared" si="52"/>
        <v>14.490160000000003</v>
      </c>
      <c r="I78" s="23">
        <f t="shared" si="50"/>
        <v>15.770160000000002</v>
      </c>
      <c r="J78" s="23">
        <f t="shared" si="39"/>
        <v>16.770160000000001</v>
      </c>
      <c r="K78" s="23">
        <f t="shared" si="65"/>
        <v>17.170160000000003</v>
      </c>
      <c r="L78" s="23">
        <f t="shared" si="53"/>
        <v>14.490160000000003</v>
      </c>
      <c r="M78" s="23">
        <f t="shared" si="54"/>
        <v>14.490160000000003</v>
      </c>
      <c r="N78" s="23">
        <f>(scatterplots_LWG_grazdays_CS!$V$4*$A78+scatterplots_LWG_grazdays_CS!$W$4)/1000</f>
        <v>1.5759999999999989E-2</v>
      </c>
      <c r="O78" s="23">
        <f t="shared" si="55"/>
        <v>5.575999999999999E-2</v>
      </c>
      <c r="P78" s="23">
        <f t="shared" si="55"/>
        <v>9.5759999999999984E-2</v>
      </c>
      <c r="Q78" s="23">
        <f t="shared" si="55"/>
        <v>0.13575999999999999</v>
      </c>
      <c r="R78" s="23">
        <f>(scatterplots_LWG_grazdays_CS!$V$4*$A78+scatterplots_LWG_grazdays_CS!$W$4)/1000+R77</f>
        <v>11.85676</v>
      </c>
      <c r="S78" s="23">
        <f t="shared" si="49"/>
        <v>11.85676</v>
      </c>
      <c r="T78" s="23">
        <f t="shared" si="60"/>
        <v>11.85676</v>
      </c>
      <c r="U78" s="23">
        <f t="shared" si="61"/>
        <v>11.85676</v>
      </c>
      <c r="V78" s="23">
        <f>(scatterplots_LWG_grazdays_CS!$V$5*$A78+scatterplots_LWG_grazdays_CS!$W$5)/1000</f>
        <v>-2.5280000000000028E-2</v>
      </c>
      <c r="W78" s="23">
        <f t="shared" si="56"/>
        <v>1.4719999999999973E-2</v>
      </c>
      <c r="X78" s="23">
        <f t="shared" si="57"/>
        <v>5.4719999999999977E-2</v>
      </c>
      <c r="Y78" s="23">
        <f t="shared" si="57"/>
        <v>9.4719999999999971E-2</v>
      </c>
      <c r="Z78" s="23">
        <f>(scatterplots_LWG_grazdays_CS!$V$5*$A78+scatterplots_LWG_grazdays_CS!$W$5)/1000+Z77</f>
        <v>10.276719999999999</v>
      </c>
      <c r="AA78" s="23">
        <f t="shared" si="62"/>
        <v>10.276719999999999</v>
      </c>
      <c r="AB78" s="23">
        <f t="shared" si="63"/>
        <v>10.276719999999999</v>
      </c>
      <c r="AC78" s="23">
        <f t="shared" si="64"/>
        <v>10.276719999999999</v>
      </c>
      <c r="AD78" s="23">
        <f>(scatterplots_LWG_grazdays_CS!$V$6*$A78+scatterplots_LWG_grazdays_CS!$W$6)/1000</f>
        <v>-9.0639999999999984E-2</v>
      </c>
      <c r="AE78" s="23">
        <f t="shared" si="58"/>
        <v>-5.0639999999999984E-2</v>
      </c>
      <c r="AF78" s="23">
        <f t="shared" si="37"/>
        <v>-1.0639999999999983E-2</v>
      </c>
      <c r="AG78" s="23">
        <f t="shared" si="37"/>
        <v>2.9360000000000011E-2</v>
      </c>
      <c r="AH78" s="23">
        <f>(scatterplots_LWG_grazdays_CS!$V$6*$A78+scatterplots_LWG_grazdays_CS!$W$6)/1000+AH77</f>
        <v>7.7603600000000057</v>
      </c>
      <c r="AI78" s="23">
        <f t="shared" si="59"/>
        <v>7.7603600000000057</v>
      </c>
      <c r="AJ78" s="23">
        <f t="shared" si="38"/>
        <v>7.7603600000000057</v>
      </c>
      <c r="AK78" s="23">
        <f t="shared" si="38"/>
        <v>7.7603600000000057</v>
      </c>
    </row>
    <row r="79" spans="1:37">
      <c r="A79" s="12">
        <v>77</v>
      </c>
      <c r="B79" s="12">
        <v>77</v>
      </c>
      <c r="C79" s="23">
        <f>(scatterplots_LWG_grazdays_CS!$V$3*$A79+scatterplots_LWG_grazdays_CS!$W$3)/1000</f>
        <v>8.1320000000000017E-2</v>
      </c>
      <c r="D79" s="23">
        <f t="shared" si="51"/>
        <v>0.12132000000000001</v>
      </c>
      <c r="E79" s="23">
        <f t="shared" si="51"/>
        <v>0.16132000000000002</v>
      </c>
      <c r="F79" s="23">
        <f t="shared" si="51"/>
        <v>0.20132</v>
      </c>
      <c r="G79" s="23">
        <f>(scatterplots_LWG_grazdays_CS!$V$3*$A79+scatterplots_LWG_grazdays_CS!$W$3)/1000+G78</f>
        <v>14.571480000000003</v>
      </c>
      <c r="H79" s="23">
        <f t="shared" si="52"/>
        <v>14.571480000000003</v>
      </c>
      <c r="I79" s="23">
        <f t="shared" si="50"/>
        <v>15.891480000000003</v>
      </c>
      <c r="J79" s="23">
        <f t="shared" si="39"/>
        <v>16.891480000000001</v>
      </c>
      <c r="K79" s="23">
        <f t="shared" si="65"/>
        <v>17.291480000000004</v>
      </c>
      <c r="L79" s="23">
        <f t="shared" si="53"/>
        <v>14.571480000000003</v>
      </c>
      <c r="M79" s="23">
        <f t="shared" si="54"/>
        <v>14.571480000000003</v>
      </c>
      <c r="N79" s="23">
        <f>(scatterplots_LWG_grazdays_CS!$V$4*$A79+scatterplots_LWG_grazdays_CS!$W$4)/1000</f>
        <v>1.2019999999999982E-2</v>
      </c>
      <c r="O79" s="23">
        <f t="shared" si="55"/>
        <v>5.2019999999999983E-2</v>
      </c>
      <c r="P79" s="23">
        <f t="shared" si="55"/>
        <v>9.2019999999999991E-2</v>
      </c>
      <c r="Q79" s="23">
        <f t="shared" si="55"/>
        <v>0.13201999999999997</v>
      </c>
      <c r="R79" s="23">
        <f>(scatterplots_LWG_grazdays_CS!$V$4*$A79+scatterplots_LWG_grazdays_CS!$W$4)/1000+R78</f>
        <v>11.868779999999999</v>
      </c>
      <c r="S79" s="23">
        <f t="shared" si="49"/>
        <v>11.868779999999999</v>
      </c>
      <c r="T79" s="23">
        <f t="shared" si="60"/>
        <v>11.868779999999999</v>
      </c>
      <c r="U79" s="23">
        <f t="shared" si="61"/>
        <v>11.868779999999999</v>
      </c>
      <c r="V79" s="23">
        <f>(scatterplots_LWG_grazdays_CS!$V$5*$A79+scatterplots_LWG_grazdays_CS!$W$5)/1000</f>
        <v>-2.9560000000000003E-2</v>
      </c>
      <c r="W79" s="23">
        <f t="shared" si="56"/>
        <v>1.0439999999999998E-2</v>
      </c>
      <c r="X79" s="23">
        <f t="shared" si="57"/>
        <v>5.0439999999999999E-2</v>
      </c>
      <c r="Y79" s="23">
        <f t="shared" si="57"/>
        <v>9.0439999999999993E-2</v>
      </c>
      <c r="Z79" s="23">
        <f>(scatterplots_LWG_grazdays_CS!$V$5*$A79+scatterplots_LWG_grazdays_CS!$W$5)/1000+Z78</f>
        <v>10.247159999999999</v>
      </c>
      <c r="AA79" s="23">
        <f t="shared" si="62"/>
        <v>10.247159999999999</v>
      </c>
      <c r="AB79" s="23">
        <f t="shared" si="63"/>
        <v>10.247159999999999</v>
      </c>
      <c r="AC79" s="23">
        <f t="shared" si="64"/>
        <v>10.247159999999999</v>
      </c>
      <c r="AD79" s="23">
        <f>(scatterplots_LWG_grazdays_CS!$V$6*$A79+scatterplots_LWG_grazdays_CS!$W$6)/1000</f>
        <v>-9.5779999999999976E-2</v>
      </c>
      <c r="AE79" s="23">
        <f t="shared" si="58"/>
        <v>-5.5779999999999975E-2</v>
      </c>
      <c r="AF79" s="23">
        <f t="shared" si="37"/>
        <v>-1.5779999999999975E-2</v>
      </c>
      <c r="AG79" s="23">
        <f t="shared" si="37"/>
        <v>2.4220000000000019E-2</v>
      </c>
      <c r="AH79" s="23">
        <f>(scatterplots_LWG_grazdays_CS!$V$6*$A79+scatterplots_LWG_grazdays_CS!$W$6)/1000+AH78</f>
        <v>7.6645800000000062</v>
      </c>
      <c r="AI79" s="23">
        <f t="shared" si="59"/>
        <v>7.6645800000000062</v>
      </c>
      <c r="AJ79" s="23">
        <f t="shared" si="38"/>
        <v>7.6645800000000062</v>
      </c>
      <c r="AK79" s="23">
        <f t="shared" si="38"/>
        <v>7.6645800000000062</v>
      </c>
    </row>
    <row r="80" spans="1:37">
      <c r="A80" s="12">
        <v>78</v>
      </c>
      <c r="B80" s="12">
        <v>78</v>
      </c>
      <c r="C80" s="23">
        <f>(scatterplots_LWG_grazdays_CS!$V$3*$A80+scatterplots_LWG_grazdays_CS!$W$3)/1000</f>
        <v>7.8480000000000022E-2</v>
      </c>
      <c r="D80" s="23">
        <f t="shared" si="51"/>
        <v>0.11848000000000003</v>
      </c>
      <c r="E80" s="23">
        <f t="shared" si="51"/>
        <v>0.15848000000000001</v>
      </c>
      <c r="F80" s="23">
        <f t="shared" si="51"/>
        <v>0.19848000000000002</v>
      </c>
      <c r="G80" s="23">
        <f>(scatterplots_LWG_grazdays_CS!$V$3*$A80+scatterplots_LWG_grazdays_CS!$W$3)/1000+G79</f>
        <v>14.649960000000004</v>
      </c>
      <c r="H80" s="23">
        <f t="shared" si="52"/>
        <v>14.649960000000004</v>
      </c>
      <c r="I80" s="23">
        <f t="shared" si="50"/>
        <v>16.009960000000003</v>
      </c>
      <c r="J80" s="23">
        <f t="shared" si="39"/>
        <v>17.009960000000003</v>
      </c>
      <c r="K80" s="23">
        <f t="shared" si="65"/>
        <v>17.409960000000005</v>
      </c>
      <c r="L80" s="23">
        <f t="shared" si="53"/>
        <v>14.649960000000004</v>
      </c>
      <c r="M80" s="23">
        <f t="shared" si="54"/>
        <v>14.649960000000004</v>
      </c>
      <c r="N80" s="23">
        <f>(scatterplots_LWG_grazdays_CS!$V$4*$A80+scatterplots_LWG_grazdays_CS!$W$4)/1000</f>
        <v>8.2799999999999731E-3</v>
      </c>
      <c r="O80" s="23">
        <f t="shared" si="55"/>
        <v>4.8279999999999976E-2</v>
      </c>
      <c r="P80" s="23">
        <f t="shared" si="55"/>
        <v>8.827999999999997E-2</v>
      </c>
      <c r="Q80" s="23">
        <f t="shared" si="55"/>
        <v>0.12827999999999998</v>
      </c>
      <c r="R80" s="23">
        <f>(scatterplots_LWG_grazdays_CS!$V$4*$A80+scatterplots_LWG_grazdays_CS!$W$4)/1000+R79</f>
        <v>11.877059999999998</v>
      </c>
      <c r="S80" s="23">
        <f t="shared" si="49"/>
        <v>11.877059999999998</v>
      </c>
      <c r="T80" s="23">
        <f t="shared" si="60"/>
        <v>11.877059999999998</v>
      </c>
      <c r="U80" s="23">
        <f t="shared" si="61"/>
        <v>11.877059999999998</v>
      </c>
      <c r="V80" s="23">
        <f>(scatterplots_LWG_grazdays_CS!$V$5*$A80+scatterplots_LWG_grazdays_CS!$W$5)/1000</f>
        <v>-3.384000000000003E-2</v>
      </c>
      <c r="W80" s="23">
        <f t="shared" si="56"/>
        <v>6.1599999999999711E-3</v>
      </c>
      <c r="X80" s="23">
        <f t="shared" si="57"/>
        <v>4.6159999999999972E-2</v>
      </c>
      <c r="Y80" s="23">
        <f t="shared" si="57"/>
        <v>8.6159999999999959E-2</v>
      </c>
      <c r="Z80" s="23">
        <f>(scatterplots_LWG_grazdays_CS!$V$5*$A80+scatterplots_LWG_grazdays_CS!$W$5)/1000+Z79</f>
        <v>10.21332</v>
      </c>
      <c r="AA80" s="23">
        <f t="shared" si="62"/>
        <v>10.21332</v>
      </c>
      <c r="AB80" s="23">
        <f t="shared" si="63"/>
        <v>10.21332</v>
      </c>
      <c r="AC80" s="23">
        <f t="shared" si="64"/>
        <v>10.21332</v>
      </c>
      <c r="AD80" s="23">
        <f>(scatterplots_LWG_grazdays_CS!$V$6*$A80+scatterplots_LWG_grazdays_CS!$W$6)/1000</f>
        <v>-0.10091999999999995</v>
      </c>
      <c r="AE80" s="23">
        <f t="shared" si="58"/>
        <v>-6.0919999999999953E-2</v>
      </c>
      <c r="AF80" s="23">
        <f t="shared" si="37"/>
        <v>-2.0919999999999953E-2</v>
      </c>
      <c r="AG80" s="23">
        <f t="shared" si="37"/>
        <v>1.9080000000000041E-2</v>
      </c>
      <c r="AH80" s="23">
        <f>(scatterplots_LWG_grazdays_CS!$V$6*$A80+scatterplots_LWG_grazdays_CS!$W$6)/1000+AH79</f>
        <v>7.5636600000000058</v>
      </c>
      <c r="AI80" s="23">
        <f t="shared" si="59"/>
        <v>7.5636600000000058</v>
      </c>
      <c r="AJ80" s="23">
        <f t="shared" si="38"/>
        <v>7.5636600000000058</v>
      </c>
      <c r="AK80" s="23">
        <f t="shared" si="38"/>
        <v>7.5636600000000058</v>
      </c>
    </row>
    <row r="81" spans="1:37">
      <c r="A81" s="12">
        <v>79</v>
      </c>
      <c r="B81" s="12">
        <v>79</v>
      </c>
      <c r="C81" s="23">
        <f>(scatterplots_LWG_grazdays_CS!$V$3*$A81+scatterplots_LWG_grazdays_CS!$W$3)/1000</f>
        <v>7.5640000000000013E-2</v>
      </c>
      <c r="D81" s="23">
        <f t="shared" si="51"/>
        <v>0.11564000000000002</v>
      </c>
      <c r="E81" s="23">
        <f t="shared" si="51"/>
        <v>0.15564</v>
      </c>
      <c r="F81" s="23">
        <f t="shared" si="51"/>
        <v>0.19564000000000001</v>
      </c>
      <c r="G81" s="23">
        <f>(scatterplots_LWG_grazdays_CS!$V$3*$A81+scatterplots_LWG_grazdays_CS!$W$3)/1000+G80</f>
        <v>14.725600000000004</v>
      </c>
      <c r="H81" s="23">
        <f t="shared" si="52"/>
        <v>14.725600000000004</v>
      </c>
      <c r="I81" s="23">
        <f t="shared" si="50"/>
        <v>16.125600000000002</v>
      </c>
      <c r="J81" s="23">
        <f t="shared" ref="J81:J99" si="66">D81+J80</f>
        <v>17.125600000000002</v>
      </c>
      <c r="K81" s="23">
        <f t="shared" si="65"/>
        <v>17.525600000000004</v>
      </c>
      <c r="L81" s="23">
        <f t="shared" si="53"/>
        <v>14.725600000000004</v>
      </c>
      <c r="M81" s="23">
        <f t="shared" si="54"/>
        <v>14.725600000000004</v>
      </c>
      <c r="N81" s="23">
        <f>(scatterplots_LWG_grazdays_CS!$V$4*$A81+scatterplots_LWG_grazdays_CS!$W$4)/1000</f>
        <v>4.5399999999999633E-3</v>
      </c>
      <c r="O81" s="23">
        <f t="shared" si="55"/>
        <v>4.4539999999999962E-2</v>
      </c>
      <c r="P81" s="23">
        <f t="shared" si="55"/>
        <v>8.4539999999999962E-2</v>
      </c>
      <c r="Q81" s="23">
        <f t="shared" si="55"/>
        <v>0.12453999999999996</v>
      </c>
      <c r="R81" s="23">
        <f>(scatterplots_LWG_grazdays_CS!$V$4*$A81+scatterplots_LWG_grazdays_CS!$W$4)/1000+R80</f>
        <v>11.881599999999999</v>
      </c>
      <c r="S81" s="23">
        <f t="shared" si="49"/>
        <v>11.881599999999999</v>
      </c>
      <c r="T81" s="23">
        <f t="shared" si="60"/>
        <v>11.881599999999999</v>
      </c>
      <c r="U81" s="23">
        <f t="shared" si="61"/>
        <v>11.881599999999999</v>
      </c>
      <c r="V81" s="23">
        <f>(scatterplots_LWG_grazdays_CS!$V$5*$A81+scatterplots_LWG_grazdays_CS!$W$5)/1000</f>
        <v>-3.8120000000000001E-2</v>
      </c>
      <c r="W81" s="23">
        <f t="shared" si="56"/>
        <v>1.8799999999999997E-3</v>
      </c>
      <c r="X81" s="23">
        <f t="shared" si="57"/>
        <v>4.1880000000000001E-2</v>
      </c>
      <c r="Y81" s="23">
        <f t="shared" si="57"/>
        <v>8.1879999999999994E-2</v>
      </c>
      <c r="Z81" s="23">
        <f>(scatterplots_LWG_grazdays_CS!$V$5*$A81+scatterplots_LWG_grazdays_CS!$W$5)/1000+Z80</f>
        <v>10.1752</v>
      </c>
      <c r="AA81" s="23">
        <f t="shared" si="62"/>
        <v>10.1752</v>
      </c>
      <c r="AB81" s="23">
        <f t="shared" si="63"/>
        <v>10.1752</v>
      </c>
      <c r="AC81" s="23">
        <f t="shared" si="64"/>
        <v>10.1752</v>
      </c>
      <c r="AD81" s="23">
        <f>(scatterplots_LWG_grazdays_CS!$V$6*$A81+scatterplots_LWG_grazdays_CS!$W$6)/1000</f>
        <v>-0.10606</v>
      </c>
      <c r="AE81" s="23">
        <f t="shared" si="58"/>
        <v>-6.6060000000000008E-2</v>
      </c>
      <c r="AF81" s="23">
        <f t="shared" si="37"/>
        <v>-2.606E-2</v>
      </c>
      <c r="AG81" s="23">
        <f t="shared" si="37"/>
        <v>1.3939999999999994E-2</v>
      </c>
      <c r="AH81" s="23">
        <f>(scatterplots_LWG_grazdays_CS!$V$6*$A81+scatterplots_LWG_grazdays_CS!$W$6)/1000+AH80</f>
        <v>7.4576000000000056</v>
      </c>
      <c r="AI81" s="23">
        <f t="shared" si="59"/>
        <v>7.4576000000000056</v>
      </c>
      <c r="AJ81" s="23">
        <f t="shared" si="38"/>
        <v>7.4576000000000056</v>
      </c>
      <c r="AK81" s="23">
        <f t="shared" si="38"/>
        <v>7.4576000000000056</v>
      </c>
    </row>
    <row r="82" spans="1:37">
      <c r="A82" s="12">
        <v>80</v>
      </c>
      <c r="B82" s="12">
        <v>80</v>
      </c>
      <c r="C82" s="23">
        <f>(scatterplots_LWG_grazdays_CS!$V$3*$A82+scatterplots_LWG_grazdays_CS!$W$3)/1000</f>
        <v>7.2800000000000017E-2</v>
      </c>
      <c r="D82" s="23">
        <f t="shared" si="51"/>
        <v>0.11280000000000001</v>
      </c>
      <c r="E82" s="23">
        <f t="shared" si="51"/>
        <v>0.15280000000000002</v>
      </c>
      <c r="F82" s="23">
        <f t="shared" si="51"/>
        <v>0.19280000000000003</v>
      </c>
      <c r="G82" s="23">
        <f>(scatterplots_LWG_grazdays_CS!$V$3*$A82+scatterplots_LWG_grazdays_CS!$W$3)/1000+G81</f>
        <v>14.798400000000004</v>
      </c>
      <c r="H82" s="23">
        <f t="shared" si="52"/>
        <v>14.798400000000004</v>
      </c>
      <c r="I82" s="23">
        <f t="shared" si="50"/>
        <v>16.238400000000002</v>
      </c>
      <c r="J82" s="23">
        <f t="shared" si="66"/>
        <v>17.238400000000002</v>
      </c>
      <c r="K82" s="23">
        <f t="shared" si="65"/>
        <v>17.638400000000004</v>
      </c>
      <c r="L82" s="23">
        <f t="shared" si="53"/>
        <v>14.798400000000004</v>
      </c>
      <c r="M82" s="23">
        <f t="shared" si="54"/>
        <v>14.798400000000004</v>
      </c>
      <c r="N82" s="23">
        <f>(scatterplots_LWG_grazdays_CS!$V$4*$A82+scatterplots_LWG_grazdays_CS!$W$4)/1000</f>
        <v>7.999999999999545E-4</v>
      </c>
      <c r="O82" s="23">
        <f t="shared" si="55"/>
        <v>4.0799999999999954E-2</v>
      </c>
      <c r="P82" s="23">
        <f t="shared" si="55"/>
        <v>8.0799999999999955E-2</v>
      </c>
      <c r="Q82" s="23">
        <f t="shared" si="55"/>
        <v>0.12079999999999995</v>
      </c>
      <c r="R82" s="23">
        <f>(scatterplots_LWG_grazdays_CS!$V$4*$A82+scatterplots_LWG_grazdays_CS!$W$4)/1000+R81</f>
        <v>11.882399999999999</v>
      </c>
      <c r="S82" s="23">
        <f t="shared" si="49"/>
        <v>11.882399999999999</v>
      </c>
      <c r="T82" s="23">
        <f t="shared" si="60"/>
        <v>11.882399999999999</v>
      </c>
      <c r="U82" s="23">
        <f t="shared" si="61"/>
        <v>11.882399999999999</v>
      </c>
      <c r="V82" s="23">
        <f>(scatterplots_LWG_grazdays_CS!$V$5*$A82+scatterplots_LWG_grazdays_CS!$W$5)/1000</f>
        <v>-4.2400000000000035E-2</v>
      </c>
      <c r="W82" s="23">
        <f t="shared" si="56"/>
        <v>-2.4000000000000341E-3</v>
      </c>
      <c r="X82" s="23">
        <f t="shared" si="57"/>
        <v>3.7599999999999967E-2</v>
      </c>
      <c r="Y82" s="23">
        <f t="shared" si="57"/>
        <v>7.7599999999999961E-2</v>
      </c>
      <c r="Z82" s="23">
        <f>(scatterplots_LWG_grazdays_CS!$V$5*$A82+scatterplots_LWG_grazdays_CS!$W$5)/1000+Z81</f>
        <v>10.1328</v>
      </c>
      <c r="AA82" s="23">
        <f t="shared" si="62"/>
        <v>10.1328</v>
      </c>
      <c r="AB82" s="23">
        <f t="shared" si="63"/>
        <v>10.1328</v>
      </c>
      <c r="AC82" s="23">
        <f t="shared" si="64"/>
        <v>10.1328</v>
      </c>
      <c r="AD82" s="23">
        <f>(scatterplots_LWG_grazdays_CS!$V$6*$A82+scatterplots_LWG_grazdays_CS!$W$6)/1000</f>
        <v>-0.11119999999999999</v>
      </c>
      <c r="AE82" s="23">
        <f t="shared" si="58"/>
        <v>-7.1199999999999986E-2</v>
      </c>
      <c r="AF82" s="23">
        <f t="shared" si="37"/>
        <v>-3.1199999999999992E-2</v>
      </c>
      <c r="AG82" s="23">
        <f t="shared" si="37"/>
        <v>8.8000000000000023E-3</v>
      </c>
      <c r="AH82" s="23">
        <f>(scatterplots_LWG_grazdays_CS!$V$6*$A82+scatterplots_LWG_grazdays_CS!$W$6)/1000+AH81</f>
        <v>7.3464000000000054</v>
      </c>
      <c r="AI82" s="23">
        <f t="shared" si="59"/>
        <v>7.3464000000000054</v>
      </c>
      <c r="AJ82" s="23">
        <f t="shared" si="38"/>
        <v>7.3464000000000054</v>
      </c>
      <c r="AK82" s="23">
        <f t="shared" si="38"/>
        <v>7.3464000000000054</v>
      </c>
    </row>
    <row r="83" spans="1:37">
      <c r="A83" s="12">
        <v>81</v>
      </c>
      <c r="B83" s="12">
        <v>81</v>
      </c>
      <c r="C83" s="23">
        <f>(scatterplots_LWG_grazdays_CS!$V$3*$A83+scatterplots_LWG_grazdays_CS!$W$3)/1000</f>
        <v>6.9960000000000008E-2</v>
      </c>
      <c r="D83" s="23">
        <f t="shared" si="51"/>
        <v>0.10996</v>
      </c>
      <c r="E83" s="23">
        <f t="shared" si="51"/>
        <v>0.14996000000000001</v>
      </c>
      <c r="F83" s="23">
        <f t="shared" si="51"/>
        <v>0.18996000000000002</v>
      </c>
      <c r="G83" s="23">
        <f>(scatterplots_LWG_grazdays_CS!$V$3*$A83+scatterplots_LWG_grazdays_CS!$W$3)/1000+G82</f>
        <v>14.868360000000004</v>
      </c>
      <c r="H83" s="23">
        <f t="shared" si="52"/>
        <v>14.868360000000004</v>
      </c>
      <c r="I83" s="23">
        <f t="shared" si="50"/>
        <v>16.348360000000003</v>
      </c>
      <c r="J83" s="23">
        <f t="shared" si="66"/>
        <v>17.348360000000003</v>
      </c>
      <c r="K83" s="23">
        <f t="shared" si="65"/>
        <v>17.748360000000005</v>
      </c>
      <c r="L83" s="23">
        <f t="shared" si="53"/>
        <v>14.868360000000004</v>
      </c>
      <c r="M83" s="23">
        <f t="shared" si="54"/>
        <v>14.868360000000004</v>
      </c>
      <c r="N83" s="23">
        <f>(scatterplots_LWG_grazdays_CS!$V$4*$A83+scatterplots_LWG_grazdays_CS!$W$4)/1000</f>
        <v>-2.9399999999999977E-3</v>
      </c>
      <c r="O83" s="23">
        <f t="shared" si="55"/>
        <v>3.7060000000000003E-2</v>
      </c>
      <c r="P83" s="23">
        <f t="shared" si="55"/>
        <v>7.7060000000000003E-2</v>
      </c>
      <c r="Q83" s="23">
        <f t="shared" si="55"/>
        <v>0.11706</v>
      </c>
      <c r="R83" s="23">
        <f>(scatterplots_LWG_grazdays_CS!$V$4*$A83+scatterplots_LWG_grazdays_CS!$W$4)/1000+R82</f>
        <v>11.879459999999998</v>
      </c>
      <c r="S83" s="23">
        <f t="shared" si="49"/>
        <v>11.879459999999998</v>
      </c>
      <c r="T83" s="23">
        <f t="shared" si="60"/>
        <v>11.879459999999998</v>
      </c>
      <c r="U83" s="23">
        <f t="shared" si="61"/>
        <v>11.879459999999998</v>
      </c>
      <c r="V83" s="23">
        <f>(scatterplots_LWG_grazdays_CS!$V$5*$A83+scatterplots_LWG_grazdays_CS!$W$5)/1000</f>
        <v>-4.6680000000000006E-2</v>
      </c>
      <c r="W83" s="23">
        <f t="shared" si="56"/>
        <v>-6.6800000000000054E-3</v>
      </c>
      <c r="X83" s="23">
        <f t="shared" si="57"/>
        <v>3.3319999999999995E-2</v>
      </c>
      <c r="Y83" s="23">
        <f t="shared" si="57"/>
        <v>7.3319999999999996E-2</v>
      </c>
      <c r="Z83" s="23">
        <f>(scatterplots_LWG_grazdays_CS!$V$5*$A83+scatterplots_LWG_grazdays_CS!$W$5)/1000+Z82</f>
        <v>10.086119999999999</v>
      </c>
      <c r="AA83" s="23">
        <f t="shared" si="62"/>
        <v>10.086119999999999</v>
      </c>
      <c r="AB83" s="23">
        <f t="shared" si="63"/>
        <v>10.086119999999999</v>
      </c>
      <c r="AC83" s="23">
        <f t="shared" si="64"/>
        <v>10.086119999999999</v>
      </c>
      <c r="AD83" s="23">
        <f>(scatterplots_LWG_grazdays_CS!$V$6*$A83+scatterplots_LWG_grazdays_CS!$W$6)/1000</f>
        <v>-0.11633999999999997</v>
      </c>
      <c r="AE83" s="23">
        <f t="shared" si="58"/>
        <v>-7.6339999999999963E-2</v>
      </c>
      <c r="AF83" s="23">
        <f t="shared" ref="AF83:AG146" si="67">$AD83+AF$1/1000</f>
        <v>-3.633999999999997E-2</v>
      </c>
      <c r="AG83" s="23">
        <f t="shared" si="67"/>
        <v>3.6600000000000243E-3</v>
      </c>
      <c r="AH83" s="23">
        <f>(scatterplots_LWG_grazdays_CS!$V$6*$A83+scatterplots_LWG_grazdays_CS!$W$6)/1000+AH82</f>
        <v>7.2300600000000053</v>
      </c>
      <c r="AI83" s="23">
        <f t="shared" si="59"/>
        <v>7.2300600000000053</v>
      </c>
      <c r="AJ83" s="23">
        <f t="shared" ref="AJ83:AK92" si="68">$AH83</f>
        <v>7.2300600000000053</v>
      </c>
      <c r="AK83" s="23">
        <f t="shared" si="68"/>
        <v>7.2300600000000053</v>
      </c>
    </row>
    <row r="84" spans="1:37">
      <c r="A84" s="12">
        <v>82</v>
      </c>
      <c r="B84" s="12">
        <v>82</v>
      </c>
      <c r="C84" s="23">
        <f>(scatterplots_LWG_grazdays_CS!$V$3*$A84+scatterplots_LWG_grazdays_CS!$W$3)/1000</f>
        <v>6.7119999999999999E-2</v>
      </c>
      <c r="D84" s="23">
        <f t="shared" si="51"/>
        <v>0.10711999999999999</v>
      </c>
      <c r="E84" s="23">
        <f t="shared" si="51"/>
        <v>0.14712</v>
      </c>
      <c r="F84" s="23">
        <f t="shared" si="51"/>
        <v>0.18712000000000001</v>
      </c>
      <c r="G84" s="23">
        <f>(scatterplots_LWG_grazdays_CS!$V$3*$A84+scatterplots_LWG_grazdays_CS!$W$3)/1000+G83</f>
        <v>14.935480000000004</v>
      </c>
      <c r="H84" s="23">
        <f t="shared" si="52"/>
        <v>14.935480000000004</v>
      </c>
      <c r="I84" s="23">
        <f t="shared" si="50"/>
        <v>16.455480000000001</v>
      </c>
      <c r="J84" s="23">
        <f t="shared" si="66"/>
        <v>17.455480000000001</v>
      </c>
      <c r="K84" s="23">
        <f t="shared" si="65"/>
        <v>17.855480000000004</v>
      </c>
      <c r="L84" s="23">
        <f t="shared" si="53"/>
        <v>14.935480000000004</v>
      </c>
      <c r="M84" s="23">
        <f t="shared" si="54"/>
        <v>14.935480000000004</v>
      </c>
      <c r="N84" s="23">
        <f>(scatterplots_LWG_grazdays_CS!$V$4*$A84+scatterplots_LWG_grazdays_CS!$W$4)/1000</f>
        <v>-6.6800000000000071E-3</v>
      </c>
      <c r="O84" s="23">
        <f t="shared" si="55"/>
        <v>3.3319999999999995E-2</v>
      </c>
      <c r="P84" s="23">
        <f t="shared" si="55"/>
        <v>7.3319999999999996E-2</v>
      </c>
      <c r="Q84" s="23">
        <f t="shared" si="55"/>
        <v>0.11331999999999999</v>
      </c>
      <c r="R84" s="23">
        <f>(scatterplots_LWG_grazdays_CS!$V$4*$A84+scatterplots_LWG_grazdays_CS!$W$4)/1000+R83</f>
        <v>11.872779999999999</v>
      </c>
      <c r="S84" s="23">
        <f t="shared" si="49"/>
        <v>11.872779999999999</v>
      </c>
      <c r="T84" s="23">
        <f t="shared" si="60"/>
        <v>11.872779999999999</v>
      </c>
      <c r="U84" s="23">
        <f t="shared" si="61"/>
        <v>11.872779999999999</v>
      </c>
      <c r="V84" s="23">
        <f>(scatterplots_LWG_grazdays_CS!$V$5*$A84+scatterplots_LWG_grazdays_CS!$W$5)/1000</f>
        <v>-5.0960000000000033E-2</v>
      </c>
      <c r="W84" s="23">
        <f t="shared" si="56"/>
        <v>-1.0960000000000032E-2</v>
      </c>
      <c r="X84" s="23">
        <f t="shared" si="57"/>
        <v>2.9039999999999969E-2</v>
      </c>
      <c r="Y84" s="23">
        <f t="shared" si="57"/>
        <v>6.9039999999999963E-2</v>
      </c>
      <c r="Z84" s="23">
        <f>(scatterplots_LWG_grazdays_CS!$V$5*$A84+scatterplots_LWG_grazdays_CS!$W$5)/1000+Z83</f>
        <v>10.035159999999999</v>
      </c>
      <c r="AA84" s="23">
        <f t="shared" si="62"/>
        <v>10.035159999999999</v>
      </c>
      <c r="AB84" s="23">
        <f t="shared" si="63"/>
        <v>10.035159999999999</v>
      </c>
      <c r="AC84" s="23">
        <f t="shared" si="64"/>
        <v>10.035159999999999</v>
      </c>
      <c r="AD84" s="23">
        <f>(scatterplots_LWG_grazdays_CS!$V$6*$A84+scatterplots_LWG_grazdays_CS!$W$6)/1000</f>
        <v>-0.12147999999999996</v>
      </c>
      <c r="AE84" s="23">
        <f t="shared" si="58"/>
        <v>-8.1479999999999969E-2</v>
      </c>
      <c r="AF84" s="23">
        <f t="shared" si="67"/>
        <v>-4.1479999999999961E-2</v>
      </c>
      <c r="AG84" s="23">
        <f t="shared" si="67"/>
        <v>-1.4799999999999675E-3</v>
      </c>
      <c r="AH84" s="23">
        <f>(scatterplots_LWG_grazdays_CS!$V$6*$A84+scatterplots_LWG_grazdays_CS!$W$6)/1000+AH83</f>
        <v>7.1085800000000052</v>
      </c>
      <c r="AI84" s="23">
        <f t="shared" si="59"/>
        <v>7.1085800000000052</v>
      </c>
      <c r="AJ84" s="23">
        <f t="shared" si="68"/>
        <v>7.1085800000000052</v>
      </c>
      <c r="AK84" s="23">
        <f t="shared" si="68"/>
        <v>7.1085800000000052</v>
      </c>
    </row>
    <row r="85" spans="1:37">
      <c r="A85" s="12">
        <v>83</v>
      </c>
      <c r="B85" s="12">
        <v>83</v>
      </c>
      <c r="C85" s="23">
        <f>(scatterplots_LWG_grazdays_CS!$V$3*$A85+scatterplots_LWG_grazdays_CS!$W$3)/1000</f>
        <v>6.4280000000000004E-2</v>
      </c>
      <c r="D85" s="23">
        <f t="shared" ref="D85:D97" si="69">$C85+D$1/1000</f>
        <v>0.10428000000000001</v>
      </c>
      <c r="E85" s="23">
        <f t="shared" si="51"/>
        <v>0.14428000000000002</v>
      </c>
      <c r="F85" s="23">
        <f t="shared" si="51"/>
        <v>0.18428</v>
      </c>
      <c r="G85" s="23">
        <f>(scatterplots_LWG_grazdays_CS!$V$3*$A85+scatterplots_LWG_grazdays_CS!$W$3)/1000+G84</f>
        <v>14.999760000000004</v>
      </c>
      <c r="H85" s="23">
        <f t="shared" si="52"/>
        <v>14.999760000000004</v>
      </c>
      <c r="I85" s="23">
        <f t="shared" si="50"/>
        <v>16.559760000000001</v>
      </c>
      <c r="J85" s="23">
        <f t="shared" si="66"/>
        <v>17.559760000000001</v>
      </c>
      <c r="K85" s="23">
        <f t="shared" si="65"/>
        <v>17.959760000000003</v>
      </c>
      <c r="L85" s="23">
        <f t="shared" si="53"/>
        <v>14.999760000000004</v>
      </c>
      <c r="M85" s="23">
        <f t="shared" si="54"/>
        <v>14.999760000000004</v>
      </c>
      <c r="N85" s="23">
        <f>(scatterplots_LWG_grazdays_CS!$V$4*$A85+scatterplots_LWG_grazdays_CS!$W$4)/1000</f>
        <v>-1.0420000000000016E-2</v>
      </c>
      <c r="O85" s="23">
        <f t="shared" si="55"/>
        <v>2.9579999999999985E-2</v>
      </c>
      <c r="P85" s="23">
        <f t="shared" si="55"/>
        <v>6.9579999999999989E-2</v>
      </c>
      <c r="Q85" s="23">
        <f t="shared" si="55"/>
        <v>0.10957999999999998</v>
      </c>
      <c r="R85" s="23">
        <f>(scatterplots_LWG_grazdays_CS!$V$4*$A85+scatterplots_LWG_grazdays_CS!$W$4)/1000+R84</f>
        <v>11.862359999999999</v>
      </c>
      <c r="S85" s="23">
        <f t="shared" si="49"/>
        <v>11.862359999999999</v>
      </c>
      <c r="T85" s="23">
        <f t="shared" si="60"/>
        <v>11.862359999999999</v>
      </c>
      <c r="U85" s="23">
        <f t="shared" si="61"/>
        <v>11.862359999999999</v>
      </c>
      <c r="V85" s="23">
        <f>(scatterplots_LWG_grazdays_CS!$V$5*$A85+scatterplots_LWG_grazdays_CS!$W$5)/1000</f>
        <v>-5.5240000000000011E-2</v>
      </c>
      <c r="W85" s="23">
        <f t="shared" si="56"/>
        <v>-1.524000000000001E-2</v>
      </c>
      <c r="X85" s="23">
        <f t="shared" si="57"/>
        <v>2.475999999999999E-2</v>
      </c>
      <c r="Y85" s="23">
        <f t="shared" si="57"/>
        <v>6.4759999999999984E-2</v>
      </c>
      <c r="Z85" s="23">
        <f>(scatterplots_LWG_grazdays_CS!$V$5*$A85+scatterplots_LWG_grazdays_CS!$W$5)/1000+Z84</f>
        <v>9.9799199999999999</v>
      </c>
      <c r="AA85" s="23">
        <f t="shared" si="62"/>
        <v>9.9799199999999999</v>
      </c>
      <c r="AB85" s="23">
        <f t="shared" si="63"/>
        <v>9.9799199999999999</v>
      </c>
      <c r="AC85" s="23">
        <f t="shared" si="64"/>
        <v>9.9799199999999999</v>
      </c>
      <c r="AD85" s="23">
        <f>(scatterplots_LWG_grazdays_CS!$V$6*$A85+scatterplots_LWG_grazdays_CS!$W$6)/1000</f>
        <v>-0.12661999999999995</v>
      </c>
      <c r="AE85" s="23">
        <f t="shared" si="58"/>
        <v>-8.6619999999999947E-2</v>
      </c>
      <c r="AF85" s="23">
        <f t="shared" si="67"/>
        <v>-4.6619999999999953E-2</v>
      </c>
      <c r="AG85" s="23">
        <f t="shared" si="67"/>
        <v>-6.6199999999999593E-3</v>
      </c>
      <c r="AH85" s="23">
        <f>(scatterplots_LWG_grazdays_CS!$V$6*$A85+scatterplots_LWG_grazdays_CS!$W$6)/1000+AH84</f>
        <v>6.9819600000000053</v>
      </c>
      <c r="AI85" s="23">
        <f t="shared" si="59"/>
        <v>6.9819600000000053</v>
      </c>
      <c r="AJ85" s="23">
        <f t="shared" si="68"/>
        <v>6.9819600000000053</v>
      </c>
      <c r="AK85" s="23">
        <f t="shared" si="68"/>
        <v>6.9819600000000053</v>
      </c>
    </row>
    <row r="86" spans="1:37">
      <c r="A86" s="12">
        <v>84</v>
      </c>
      <c r="B86" s="12">
        <v>84</v>
      </c>
      <c r="C86" s="23">
        <f>(scatterplots_LWG_grazdays_CS!$V$3*$A86+scatterplots_LWG_grazdays_CS!$W$3)/1000</f>
        <v>6.1439999999999995E-2</v>
      </c>
      <c r="D86" s="23">
        <f t="shared" si="69"/>
        <v>0.10144</v>
      </c>
      <c r="E86" s="23">
        <f t="shared" si="51"/>
        <v>0.14144000000000001</v>
      </c>
      <c r="F86" s="23">
        <f t="shared" si="51"/>
        <v>0.18143999999999999</v>
      </c>
      <c r="G86" s="23">
        <f>(scatterplots_LWG_grazdays_CS!$V$3*$A86+scatterplots_LWG_grazdays_CS!$W$3)/1000+G85</f>
        <v>15.061200000000003</v>
      </c>
      <c r="H86" s="23">
        <f t="shared" si="52"/>
        <v>15.061200000000003</v>
      </c>
      <c r="I86" s="23">
        <f t="shared" si="50"/>
        <v>16.661200000000001</v>
      </c>
      <c r="J86" s="23">
        <f t="shared" si="66"/>
        <v>17.661200000000001</v>
      </c>
      <c r="K86" s="23">
        <f t="shared" si="65"/>
        <v>18.061200000000003</v>
      </c>
      <c r="L86" s="23">
        <f t="shared" si="53"/>
        <v>15.061200000000003</v>
      </c>
      <c r="M86" s="23">
        <f t="shared" si="54"/>
        <v>15.061200000000003</v>
      </c>
      <c r="N86" s="23">
        <f>(scatterplots_LWG_grazdays_CS!$V$4*$A86+scatterplots_LWG_grazdays_CS!$W$4)/1000</f>
        <v>-1.4160000000000025E-2</v>
      </c>
      <c r="O86" s="23">
        <f t="shared" si="55"/>
        <v>2.5839999999999974E-2</v>
      </c>
      <c r="P86" s="23">
        <f t="shared" si="55"/>
        <v>6.5839999999999982E-2</v>
      </c>
      <c r="Q86" s="23">
        <f t="shared" si="55"/>
        <v>0.10583999999999998</v>
      </c>
      <c r="R86" s="23">
        <f>(scatterplots_LWG_grazdays_CS!$V$4*$A86+scatterplots_LWG_grazdays_CS!$W$4)/1000+R85</f>
        <v>11.848199999999999</v>
      </c>
      <c r="S86" s="23">
        <f>N86+S85</f>
        <v>11.848199999999999</v>
      </c>
      <c r="T86" s="23">
        <f t="shared" si="60"/>
        <v>11.848199999999999</v>
      </c>
      <c r="U86" s="23">
        <f t="shared" si="61"/>
        <v>11.848199999999999</v>
      </c>
      <c r="V86" s="23">
        <f>(scatterplots_LWG_grazdays_CS!$V$5*$A86+scatterplots_LWG_grazdays_CS!$W$5)/1000</f>
        <v>-5.9520000000000038E-2</v>
      </c>
      <c r="W86" s="23">
        <f t="shared" si="56"/>
        <v>-1.9520000000000037E-2</v>
      </c>
      <c r="X86" s="23">
        <f t="shared" si="57"/>
        <v>2.0479999999999964E-2</v>
      </c>
      <c r="Y86" s="23">
        <f t="shared" si="57"/>
        <v>6.0479999999999957E-2</v>
      </c>
      <c r="Z86" s="23">
        <f>(scatterplots_LWG_grazdays_CS!$V$5*$A86+scatterplots_LWG_grazdays_CS!$W$5)/1000+Z85</f>
        <v>9.920399999999999</v>
      </c>
      <c r="AA86" s="23">
        <f t="shared" si="62"/>
        <v>9.920399999999999</v>
      </c>
      <c r="AB86" s="23">
        <f t="shared" si="63"/>
        <v>9.920399999999999</v>
      </c>
      <c r="AC86" s="23">
        <f t="shared" si="64"/>
        <v>9.920399999999999</v>
      </c>
      <c r="AD86" s="23">
        <f>(scatterplots_LWG_grazdays_CS!$V$6*$A86+scatterplots_LWG_grazdays_CS!$W$6)/1000</f>
        <v>-0.13175999999999999</v>
      </c>
      <c r="AE86" s="23">
        <f t="shared" si="58"/>
        <v>-9.175999999999998E-2</v>
      </c>
      <c r="AF86" s="23">
        <f t="shared" si="67"/>
        <v>-5.1759999999999987E-2</v>
      </c>
      <c r="AG86" s="23">
        <f t="shared" si="67"/>
        <v>-1.1759999999999993E-2</v>
      </c>
      <c r="AH86" s="23">
        <f>(scatterplots_LWG_grazdays_CS!$V$6*$A86+scatterplots_LWG_grazdays_CS!$W$6)/1000+AH85</f>
        <v>6.8502000000000054</v>
      </c>
      <c r="AI86" s="23">
        <f t="shared" si="59"/>
        <v>6.8502000000000054</v>
      </c>
      <c r="AJ86" s="23">
        <f t="shared" si="68"/>
        <v>6.8502000000000054</v>
      </c>
      <c r="AK86" s="23">
        <f t="shared" si="68"/>
        <v>6.8502000000000054</v>
      </c>
    </row>
    <row r="87" spans="1:37">
      <c r="A87" s="12">
        <v>85</v>
      </c>
      <c r="B87" s="12">
        <v>85</v>
      </c>
      <c r="C87" s="23">
        <f>(scatterplots_LWG_grazdays_CS!$V$3*$A87+scatterplots_LWG_grazdays_CS!$W$3)/1000</f>
        <v>5.860000000000002E-2</v>
      </c>
      <c r="D87" s="23">
        <f t="shared" si="69"/>
        <v>9.8600000000000021E-2</v>
      </c>
      <c r="E87" s="23">
        <f t="shared" si="51"/>
        <v>0.13860000000000003</v>
      </c>
      <c r="F87" s="23">
        <f t="shared" si="51"/>
        <v>0.17860000000000001</v>
      </c>
      <c r="G87" s="23">
        <f>(scatterplots_LWG_grazdays_CS!$V$3*$A87+scatterplots_LWG_grazdays_CS!$W$3)/1000+G86</f>
        <v>15.119800000000003</v>
      </c>
      <c r="H87" s="23">
        <f t="shared" si="52"/>
        <v>15.119800000000003</v>
      </c>
      <c r="I87" s="23">
        <f t="shared" si="50"/>
        <v>16.759800000000002</v>
      </c>
      <c r="J87" s="23">
        <f t="shared" si="66"/>
        <v>17.759800000000002</v>
      </c>
      <c r="K87" s="23">
        <f t="shared" si="65"/>
        <v>18.159800000000004</v>
      </c>
      <c r="L87" s="23">
        <f t="shared" si="53"/>
        <v>15.119800000000003</v>
      </c>
      <c r="M87" s="23">
        <f t="shared" si="54"/>
        <v>15.119800000000003</v>
      </c>
      <c r="N87" s="23">
        <f>(scatterplots_LWG_grazdays_CS!$V$4*$A87+scatterplots_LWG_grazdays_CS!$W$4)/1000</f>
        <v>-1.7900000000000034E-2</v>
      </c>
      <c r="O87" s="23">
        <f t="shared" si="55"/>
        <v>2.2099999999999967E-2</v>
      </c>
      <c r="P87" s="23">
        <f t="shared" si="55"/>
        <v>6.2099999999999968E-2</v>
      </c>
      <c r="Q87" s="23">
        <f t="shared" si="55"/>
        <v>0.10209999999999997</v>
      </c>
      <c r="R87" s="23">
        <f>(scatterplots_LWG_grazdays_CS!$V$4*$A87+scatterplots_LWG_grazdays_CS!$W$4)/1000+R86</f>
        <v>11.830299999999998</v>
      </c>
      <c r="S87" s="23">
        <f t="shared" si="49"/>
        <v>11.830299999999998</v>
      </c>
      <c r="T87" s="23">
        <f t="shared" si="60"/>
        <v>11.830299999999998</v>
      </c>
      <c r="U87" s="23">
        <f t="shared" si="61"/>
        <v>11.830299999999998</v>
      </c>
      <c r="V87" s="23">
        <f>(scatterplots_LWG_grazdays_CS!$V$5*$A87+scatterplots_LWG_grazdays_CS!$W$5)/1000</f>
        <v>-6.3800000000000009E-2</v>
      </c>
      <c r="W87" s="23">
        <f t="shared" si="56"/>
        <v>-2.3800000000000009E-2</v>
      </c>
      <c r="X87" s="23">
        <f t="shared" si="57"/>
        <v>1.6199999999999992E-2</v>
      </c>
      <c r="Y87" s="23">
        <f t="shared" si="57"/>
        <v>5.6199999999999986E-2</v>
      </c>
      <c r="Z87" s="23">
        <f>(scatterplots_LWG_grazdays_CS!$V$5*$A87+scatterplots_LWG_grazdays_CS!$W$5)/1000+Z86</f>
        <v>9.8565999999999985</v>
      </c>
      <c r="AA87" s="23">
        <f t="shared" si="62"/>
        <v>9.8565999999999985</v>
      </c>
      <c r="AB87" s="23">
        <f t="shared" si="63"/>
        <v>9.8565999999999985</v>
      </c>
      <c r="AC87" s="23">
        <f t="shared" si="64"/>
        <v>9.8565999999999985</v>
      </c>
      <c r="AD87" s="23">
        <f>(scatterplots_LWG_grazdays_CS!$V$6*$A87+scatterplots_LWG_grazdays_CS!$W$6)/1000</f>
        <v>-0.13689999999999997</v>
      </c>
      <c r="AE87" s="23">
        <f t="shared" si="58"/>
        <v>-9.6899999999999958E-2</v>
      </c>
      <c r="AF87" s="23">
        <f t="shared" si="67"/>
        <v>-5.6899999999999964E-2</v>
      </c>
      <c r="AG87" s="23">
        <f t="shared" si="67"/>
        <v>-1.6899999999999971E-2</v>
      </c>
      <c r="AH87" s="23">
        <f>(scatterplots_LWG_grazdays_CS!$V$6*$A87+scatterplots_LWG_grazdays_CS!$W$6)/1000+AH86</f>
        <v>6.7133000000000056</v>
      </c>
      <c r="AI87" s="23">
        <f t="shared" si="59"/>
        <v>6.7133000000000056</v>
      </c>
      <c r="AJ87" s="23">
        <f t="shared" si="68"/>
        <v>6.7133000000000056</v>
      </c>
      <c r="AK87" s="23">
        <f t="shared" si="68"/>
        <v>6.7133000000000056</v>
      </c>
    </row>
    <row r="88" spans="1:37">
      <c r="A88" s="12">
        <v>86</v>
      </c>
      <c r="B88" s="12">
        <v>86</v>
      </c>
      <c r="C88" s="23">
        <f>(scatterplots_LWG_grazdays_CS!$V$3*$A88+scatterplots_LWG_grazdays_CS!$W$3)/1000</f>
        <v>5.5760000000000018E-2</v>
      </c>
      <c r="D88" s="23">
        <f t="shared" si="69"/>
        <v>9.5760000000000012E-2</v>
      </c>
      <c r="E88" s="23">
        <f t="shared" si="51"/>
        <v>0.13576000000000002</v>
      </c>
      <c r="F88" s="23">
        <f t="shared" si="51"/>
        <v>0.17576000000000003</v>
      </c>
      <c r="G88" s="23">
        <f>(scatterplots_LWG_grazdays_CS!$V$3*$A88+scatterplots_LWG_grazdays_CS!$W$3)/1000+G87</f>
        <v>15.175560000000003</v>
      </c>
      <c r="H88" s="23">
        <f t="shared" si="52"/>
        <v>15.175560000000003</v>
      </c>
      <c r="I88" s="23">
        <f t="shared" si="50"/>
        <v>16.855560000000001</v>
      </c>
      <c r="J88" s="23">
        <f t="shared" si="66"/>
        <v>17.855560000000001</v>
      </c>
      <c r="K88" s="23">
        <f t="shared" si="65"/>
        <v>18.255560000000003</v>
      </c>
      <c r="L88" s="23">
        <f t="shared" si="53"/>
        <v>15.175560000000003</v>
      </c>
      <c r="M88" s="23">
        <f t="shared" si="54"/>
        <v>15.175560000000003</v>
      </c>
      <c r="N88" s="23">
        <f>(scatterplots_LWG_grazdays_CS!$V$4*$A88+scatterplots_LWG_grazdays_CS!$W$4)/1000</f>
        <v>-2.1640000000000045E-2</v>
      </c>
      <c r="O88" s="23">
        <f t="shared" si="55"/>
        <v>1.8359999999999956E-2</v>
      </c>
      <c r="P88" s="23">
        <f t="shared" si="55"/>
        <v>5.8359999999999954E-2</v>
      </c>
      <c r="Q88" s="23">
        <f t="shared" si="55"/>
        <v>9.8359999999999947E-2</v>
      </c>
      <c r="R88" s="23">
        <f>(scatterplots_LWG_grazdays_CS!$V$4*$A88+scatterplots_LWG_grazdays_CS!$W$4)/1000+R87</f>
        <v>11.808659999999998</v>
      </c>
      <c r="S88" s="23">
        <f t="shared" si="49"/>
        <v>11.808659999999998</v>
      </c>
      <c r="T88" s="23">
        <f t="shared" si="60"/>
        <v>11.808659999999998</v>
      </c>
      <c r="U88" s="23">
        <f t="shared" si="61"/>
        <v>11.808659999999998</v>
      </c>
      <c r="V88" s="23">
        <f>(scatterplots_LWG_grazdays_CS!$V$5*$A88+scatterplots_LWG_grazdays_CS!$W$5)/1000</f>
        <v>-6.8080000000000043E-2</v>
      </c>
      <c r="W88" s="23">
        <f t="shared" si="56"/>
        <v>-2.8080000000000042E-2</v>
      </c>
      <c r="X88" s="23">
        <f t="shared" si="57"/>
        <v>1.1919999999999958E-2</v>
      </c>
      <c r="Y88" s="23">
        <f t="shared" si="57"/>
        <v>5.1919999999999952E-2</v>
      </c>
      <c r="Z88" s="23">
        <f>(scatterplots_LWG_grazdays_CS!$V$5*$A88+scatterplots_LWG_grazdays_CS!$W$5)/1000+Z87</f>
        <v>9.7885199999999983</v>
      </c>
      <c r="AA88" s="23">
        <f t="shared" si="62"/>
        <v>9.7885199999999983</v>
      </c>
      <c r="AB88" s="23">
        <f t="shared" si="63"/>
        <v>9.7885199999999983</v>
      </c>
      <c r="AC88" s="23">
        <f t="shared" si="64"/>
        <v>9.7885199999999983</v>
      </c>
      <c r="AD88" s="23">
        <f>(scatterplots_LWG_grazdays_CS!$V$6*$A88+scatterplots_LWG_grazdays_CS!$W$6)/1000</f>
        <v>-0.14203999999999997</v>
      </c>
      <c r="AE88" s="23">
        <f t="shared" si="58"/>
        <v>-0.10203999999999996</v>
      </c>
      <c r="AF88" s="23">
        <f t="shared" si="67"/>
        <v>-6.203999999999997E-2</v>
      </c>
      <c r="AG88" s="23">
        <f t="shared" si="67"/>
        <v>-2.2039999999999976E-2</v>
      </c>
      <c r="AH88" s="23">
        <f>(scatterplots_LWG_grazdays_CS!$V$6*$A88+scatterplots_LWG_grazdays_CS!$W$6)/1000+AH87</f>
        <v>6.5712600000000059</v>
      </c>
      <c r="AI88" s="23">
        <f t="shared" si="59"/>
        <v>6.5712600000000059</v>
      </c>
      <c r="AJ88" s="23">
        <f t="shared" si="68"/>
        <v>6.5712600000000059</v>
      </c>
      <c r="AK88" s="23">
        <f t="shared" si="68"/>
        <v>6.5712600000000059</v>
      </c>
    </row>
    <row r="89" spans="1:37">
      <c r="A89" s="12">
        <v>87</v>
      </c>
      <c r="B89" s="12">
        <v>87</v>
      </c>
      <c r="C89" s="23">
        <f>(scatterplots_LWG_grazdays_CS!$V$3*$A89+scatterplots_LWG_grazdays_CS!$W$3)/1000</f>
        <v>5.2920000000000016E-2</v>
      </c>
      <c r="D89" s="23">
        <f t="shared" si="69"/>
        <v>9.2920000000000016E-2</v>
      </c>
      <c r="E89" s="23">
        <f t="shared" si="51"/>
        <v>0.13292000000000001</v>
      </c>
      <c r="F89" s="23">
        <f t="shared" si="51"/>
        <v>0.17292000000000002</v>
      </c>
      <c r="G89" s="23">
        <f>(scatterplots_LWG_grazdays_CS!$V$3*$A89+scatterplots_LWG_grazdays_CS!$W$3)/1000+G88</f>
        <v>15.228480000000003</v>
      </c>
      <c r="H89" s="23">
        <f t="shared" si="52"/>
        <v>15.228480000000003</v>
      </c>
      <c r="I89" s="23">
        <f t="shared" si="50"/>
        <v>16.94848</v>
      </c>
      <c r="J89" s="23">
        <f t="shared" si="66"/>
        <v>17.94848</v>
      </c>
      <c r="K89" s="23">
        <f t="shared" si="65"/>
        <v>18.348480000000002</v>
      </c>
      <c r="L89" s="23">
        <f t="shared" si="53"/>
        <v>15.228480000000003</v>
      </c>
      <c r="M89" s="23">
        <f t="shared" si="54"/>
        <v>15.228480000000003</v>
      </c>
      <c r="N89" s="23">
        <f>(scatterplots_LWG_grazdays_CS!$V$4*$A89+scatterplots_LWG_grazdays_CS!$W$4)/1000</f>
        <v>-2.5379999999999996E-2</v>
      </c>
      <c r="O89" s="23">
        <f t="shared" si="55"/>
        <v>1.4620000000000005E-2</v>
      </c>
      <c r="P89" s="23">
        <f t="shared" si="55"/>
        <v>5.4620000000000002E-2</v>
      </c>
      <c r="Q89" s="23">
        <f t="shared" si="55"/>
        <v>9.4619999999999996E-2</v>
      </c>
      <c r="R89" s="23">
        <f>(scatterplots_LWG_grazdays_CS!$V$4*$A89+scatterplots_LWG_grazdays_CS!$W$4)/1000+R88</f>
        <v>11.783279999999998</v>
      </c>
      <c r="S89" s="23">
        <f t="shared" si="49"/>
        <v>11.783279999999998</v>
      </c>
      <c r="T89" s="23">
        <f t="shared" si="60"/>
        <v>11.783279999999998</v>
      </c>
      <c r="U89" s="23">
        <f t="shared" si="61"/>
        <v>11.783279999999998</v>
      </c>
      <c r="V89" s="23">
        <f>(scatterplots_LWG_grazdays_CS!$V$5*$A89+scatterplots_LWG_grazdays_CS!$W$5)/1000</f>
        <v>-7.2360000000000008E-2</v>
      </c>
      <c r="W89" s="23">
        <f t="shared" si="56"/>
        <v>-3.2360000000000007E-2</v>
      </c>
      <c r="X89" s="23">
        <f t="shared" si="57"/>
        <v>7.639999999999994E-3</v>
      </c>
      <c r="Y89" s="23">
        <f t="shared" si="57"/>
        <v>4.7639999999999988E-2</v>
      </c>
      <c r="Z89" s="23">
        <f>(scatterplots_LWG_grazdays_CS!$V$5*$A89+scatterplots_LWG_grazdays_CS!$W$5)/1000+Z88</f>
        <v>9.7161599999999986</v>
      </c>
      <c r="AA89" s="23">
        <f t="shared" si="62"/>
        <v>9.7161599999999986</v>
      </c>
      <c r="AB89" s="23">
        <f t="shared" si="63"/>
        <v>9.7161599999999986</v>
      </c>
      <c r="AC89" s="23">
        <f t="shared" si="64"/>
        <v>9.7161599999999986</v>
      </c>
      <c r="AD89" s="23">
        <f>(scatterplots_LWG_grazdays_CS!$V$6*$A89+scatterplots_LWG_grazdays_CS!$W$6)/1000</f>
        <v>-0.14717999999999995</v>
      </c>
      <c r="AE89" s="23">
        <f t="shared" si="58"/>
        <v>-0.10717999999999994</v>
      </c>
      <c r="AF89" s="23">
        <f t="shared" si="67"/>
        <v>-6.7179999999999948E-2</v>
      </c>
      <c r="AG89" s="23">
        <f t="shared" si="67"/>
        <v>-2.7179999999999954E-2</v>
      </c>
      <c r="AH89" s="23">
        <f>(scatterplots_LWG_grazdays_CS!$V$6*$A89+scatterplots_LWG_grazdays_CS!$W$6)/1000+AH88</f>
        <v>6.4240800000000062</v>
      </c>
      <c r="AI89" s="23">
        <f t="shared" si="59"/>
        <v>6.4240800000000062</v>
      </c>
      <c r="AJ89" s="23">
        <f t="shared" si="68"/>
        <v>6.4240800000000062</v>
      </c>
      <c r="AK89" s="23">
        <f t="shared" si="68"/>
        <v>6.4240800000000062</v>
      </c>
    </row>
    <row r="90" spans="1:37">
      <c r="A90" s="12">
        <v>88</v>
      </c>
      <c r="B90" s="12">
        <v>88</v>
      </c>
      <c r="C90" s="23">
        <f>(scatterplots_LWG_grazdays_CS!$V$3*$A90+scatterplots_LWG_grazdays_CS!$W$3)/1000</f>
        <v>5.0080000000000013E-2</v>
      </c>
      <c r="D90" s="23">
        <f t="shared" si="69"/>
        <v>9.0080000000000021E-2</v>
      </c>
      <c r="E90" s="23">
        <f t="shared" si="51"/>
        <v>0.13008000000000003</v>
      </c>
      <c r="F90" s="23">
        <f t="shared" si="51"/>
        <v>0.17008000000000001</v>
      </c>
      <c r="G90" s="23">
        <f>(scatterplots_LWG_grazdays_CS!$V$3*$A90+scatterplots_LWG_grazdays_CS!$W$3)/1000+G89</f>
        <v>15.278560000000002</v>
      </c>
      <c r="H90" s="23">
        <f>C90+H89</f>
        <v>15.278560000000002</v>
      </c>
      <c r="I90" s="23">
        <f t="shared" si="50"/>
        <v>17.03856</v>
      </c>
      <c r="J90" s="23">
        <f t="shared" si="66"/>
        <v>18.03856</v>
      </c>
      <c r="K90" s="23">
        <f t="shared" si="65"/>
        <v>18.438560000000003</v>
      </c>
      <c r="L90" s="23">
        <f t="shared" si="53"/>
        <v>15.278560000000002</v>
      </c>
      <c r="M90" s="23">
        <f t="shared" si="54"/>
        <v>15.278560000000002</v>
      </c>
      <c r="N90" s="23">
        <f>(scatterplots_LWG_grazdays_CS!$V$4*$A90+scatterplots_LWG_grazdays_CS!$W$4)/1000</f>
        <v>-2.9120000000000004E-2</v>
      </c>
      <c r="O90" s="23">
        <f t="shared" si="55"/>
        <v>1.0879999999999997E-2</v>
      </c>
      <c r="P90" s="23">
        <f t="shared" si="55"/>
        <v>5.0879999999999995E-2</v>
      </c>
      <c r="Q90" s="23">
        <f t="shared" si="55"/>
        <v>9.0879999999999989E-2</v>
      </c>
      <c r="R90" s="23">
        <f>(scatterplots_LWG_grazdays_CS!$V$4*$A90+scatterplots_LWG_grazdays_CS!$W$4)/1000+R89</f>
        <v>11.754159999999997</v>
      </c>
      <c r="S90" s="23">
        <f t="shared" si="49"/>
        <v>11.754159999999997</v>
      </c>
      <c r="T90" s="23">
        <f t="shared" si="60"/>
        <v>11.754159999999997</v>
      </c>
      <c r="U90" s="23">
        <f t="shared" si="61"/>
        <v>11.754159999999997</v>
      </c>
      <c r="V90" s="23">
        <f>(scatterplots_LWG_grazdays_CS!$V$5*$A90+scatterplots_LWG_grazdays_CS!$W$5)/1000</f>
        <v>-7.6640000000000041E-2</v>
      </c>
      <c r="W90" s="23">
        <f t="shared" si="56"/>
        <v>-3.6640000000000041E-2</v>
      </c>
      <c r="X90" s="23">
        <f t="shared" si="57"/>
        <v>3.3599999999999602E-3</v>
      </c>
      <c r="Y90" s="23">
        <f t="shared" si="57"/>
        <v>4.3359999999999954E-2</v>
      </c>
      <c r="Z90" s="23">
        <f>(scatterplots_LWG_grazdays_CS!$V$5*$A90+scatterplots_LWG_grazdays_CS!$W$5)/1000+Z89</f>
        <v>9.6395199999999992</v>
      </c>
      <c r="AA90" s="23">
        <f t="shared" si="62"/>
        <v>9.6395199999999992</v>
      </c>
      <c r="AB90" s="23">
        <f t="shared" si="63"/>
        <v>9.6395199999999992</v>
      </c>
      <c r="AC90" s="23">
        <f t="shared" si="64"/>
        <v>9.6395199999999992</v>
      </c>
      <c r="AD90" s="23">
        <f>(scatterplots_LWG_grazdays_CS!$V$6*$A90+scatterplots_LWG_grazdays_CS!$W$6)/1000</f>
        <v>-0.15231999999999998</v>
      </c>
      <c r="AE90" s="23">
        <f t="shared" si="58"/>
        <v>-0.11231999999999998</v>
      </c>
      <c r="AF90" s="23">
        <f t="shared" si="67"/>
        <v>-7.2319999999999982E-2</v>
      </c>
      <c r="AG90" s="23">
        <f t="shared" si="67"/>
        <v>-3.2319999999999988E-2</v>
      </c>
      <c r="AH90" s="23">
        <f>(scatterplots_LWG_grazdays_CS!$V$6*$A90+scatterplots_LWG_grazdays_CS!$W$6)/1000+AH89</f>
        <v>6.2717600000000067</v>
      </c>
      <c r="AI90" s="23">
        <f t="shared" si="59"/>
        <v>6.2717600000000067</v>
      </c>
      <c r="AJ90" s="23">
        <f t="shared" si="68"/>
        <v>6.2717600000000067</v>
      </c>
      <c r="AK90" s="23">
        <f t="shared" si="68"/>
        <v>6.2717600000000067</v>
      </c>
    </row>
    <row r="91" spans="1:37">
      <c r="A91" s="12">
        <v>89</v>
      </c>
      <c r="B91" s="12">
        <v>89</v>
      </c>
      <c r="C91" s="23">
        <f>(scatterplots_LWG_grazdays_CS!$V$3*$A91+scatterplots_LWG_grazdays_CS!$W$3)/1000</f>
        <v>4.7240000000000011E-2</v>
      </c>
      <c r="D91" s="23">
        <f t="shared" si="69"/>
        <v>8.7240000000000012E-2</v>
      </c>
      <c r="E91" s="23">
        <f t="shared" si="51"/>
        <v>0.12724000000000002</v>
      </c>
      <c r="F91" s="23">
        <f t="shared" si="51"/>
        <v>0.16724</v>
      </c>
      <c r="G91" s="23">
        <f>(scatterplots_LWG_grazdays_CS!$V$3*$A91+scatterplots_LWG_grazdays_CS!$W$3)/1000+G90</f>
        <v>15.325800000000003</v>
      </c>
      <c r="H91" s="23">
        <f>C91+H90</f>
        <v>15.325800000000003</v>
      </c>
      <c r="I91" s="23">
        <f t="shared" si="50"/>
        <v>17.125800000000002</v>
      </c>
      <c r="J91" s="23">
        <f t="shared" si="66"/>
        <v>18.125800000000002</v>
      </c>
      <c r="K91" s="23">
        <f t="shared" si="65"/>
        <v>18.525800000000004</v>
      </c>
      <c r="L91" s="23">
        <f t="shared" si="53"/>
        <v>15.325800000000003</v>
      </c>
      <c r="M91" s="23">
        <f t="shared" si="54"/>
        <v>15.325800000000003</v>
      </c>
      <c r="N91" s="23">
        <f>(scatterplots_LWG_grazdays_CS!$V$4*$A91+scatterplots_LWG_grazdays_CS!$W$4)/1000</f>
        <v>-3.2860000000000014E-2</v>
      </c>
      <c r="O91" s="23">
        <f t="shared" si="55"/>
        <v>7.1399999999999866E-3</v>
      </c>
      <c r="P91" s="23">
        <f t="shared" si="55"/>
        <v>4.7139999999999987E-2</v>
      </c>
      <c r="Q91" s="23">
        <f t="shared" si="55"/>
        <v>8.7139999999999981E-2</v>
      </c>
      <c r="R91" s="23">
        <f>(scatterplots_LWG_grazdays_CS!$V$4*$A91+scatterplots_LWG_grazdays_CS!$W$4)/1000+R90</f>
        <v>11.721299999999998</v>
      </c>
      <c r="S91" s="23">
        <f t="shared" si="49"/>
        <v>11.721299999999998</v>
      </c>
      <c r="T91" s="23">
        <f t="shared" si="60"/>
        <v>11.721299999999998</v>
      </c>
      <c r="U91" s="23">
        <f t="shared" si="61"/>
        <v>11.721299999999998</v>
      </c>
      <c r="V91" s="23">
        <f>(scatterplots_LWG_grazdays_CS!$V$5*$A91+scatterplots_LWG_grazdays_CS!$W$5)/1000</f>
        <v>-8.092000000000002E-2</v>
      </c>
      <c r="W91" s="23">
        <f t="shared" si="56"/>
        <v>-4.0920000000000019E-2</v>
      </c>
      <c r="X91" s="23">
        <f t="shared" si="57"/>
        <v>-9.2000000000001803E-4</v>
      </c>
      <c r="Y91" s="23">
        <f t="shared" si="57"/>
        <v>3.9079999999999976E-2</v>
      </c>
      <c r="Z91" s="23">
        <f>(scatterplots_LWG_grazdays_CS!$V$5*$A91+scatterplots_LWG_grazdays_CS!$W$5)/1000+Z90</f>
        <v>9.5585999999999984</v>
      </c>
      <c r="AA91" s="23">
        <f t="shared" si="62"/>
        <v>9.5585999999999984</v>
      </c>
      <c r="AB91" s="23">
        <f t="shared" ref="AB91:AB92" si="70">AB90+$V91</f>
        <v>9.5585999999999984</v>
      </c>
      <c r="AC91" s="23">
        <f t="shared" ref="AC91:AC92" si="71">AC90+$V91</f>
        <v>9.5585999999999984</v>
      </c>
      <c r="AD91" s="23">
        <f>(scatterplots_LWG_grazdays_CS!$V$6*$A91+scatterplots_LWG_grazdays_CS!$W$6)/1000</f>
        <v>-0.15745999999999999</v>
      </c>
      <c r="AE91" s="23">
        <f t="shared" si="58"/>
        <v>-0.11745999999999998</v>
      </c>
      <c r="AF91" s="23">
        <f t="shared" si="67"/>
        <v>-7.7459999999999987E-2</v>
      </c>
      <c r="AG91" s="23">
        <f t="shared" si="67"/>
        <v>-3.7459999999999993E-2</v>
      </c>
      <c r="AH91" s="23">
        <f>(scatterplots_LWG_grazdays_CS!$V$6*$A91+scatterplots_LWG_grazdays_CS!$W$6)/1000+AH90</f>
        <v>6.1143000000000063</v>
      </c>
      <c r="AI91" s="23">
        <f t="shared" si="59"/>
        <v>6.1143000000000063</v>
      </c>
      <c r="AJ91" s="23">
        <f t="shared" si="68"/>
        <v>6.1143000000000063</v>
      </c>
      <c r="AK91" s="23">
        <f t="shared" si="68"/>
        <v>6.1143000000000063</v>
      </c>
    </row>
    <row r="92" spans="1:37">
      <c r="A92" s="12">
        <v>90</v>
      </c>
      <c r="B92" s="12">
        <v>1</v>
      </c>
      <c r="C92" s="23">
        <f>(scatterplots_LWG_grazdays_CS!$V$3*$A92+scatterplots_LWG_grazdays_CS!$W$3)/1000</f>
        <v>4.4400000000000009E-2</v>
      </c>
      <c r="D92" s="23">
        <f t="shared" si="69"/>
        <v>8.4400000000000003E-2</v>
      </c>
      <c r="E92" s="23">
        <f t="shared" si="51"/>
        <v>0.12440000000000001</v>
      </c>
      <c r="F92" s="23">
        <f t="shared" si="51"/>
        <v>0.16439999999999999</v>
      </c>
      <c r="G92" s="23">
        <f>(scatterplots_LWG_grazdays_CS!$V$3*$A92+scatterplots_LWG_grazdays_CS!$W$3)/1000+G91</f>
        <v>15.370200000000002</v>
      </c>
      <c r="H92" s="23">
        <f>D92+H91</f>
        <v>15.410200000000003</v>
      </c>
      <c r="I92" s="23">
        <f t="shared" si="50"/>
        <v>17.2102</v>
      </c>
      <c r="J92" s="23">
        <f t="shared" si="66"/>
        <v>18.2102</v>
      </c>
      <c r="K92" s="23">
        <f t="shared" si="65"/>
        <v>18.610200000000003</v>
      </c>
      <c r="L92" s="23">
        <f t="shared" ref="L92:L123" si="72">E92+L91</f>
        <v>15.450200000000002</v>
      </c>
      <c r="M92" s="23">
        <f t="shared" ref="M92:M123" si="73">F92+M91</f>
        <v>15.490200000000003</v>
      </c>
      <c r="N92" s="23">
        <f>(scatterplots_LWG_grazdays_CS!$V$4*$A92+scatterplots_LWG_grazdays_CS!$W$4)/1000</f>
        <v>-3.6600000000000021E-2</v>
      </c>
      <c r="O92" s="23">
        <f t="shared" si="55"/>
        <v>3.3999999999999794E-3</v>
      </c>
      <c r="P92" s="23">
        <f t="shared" si="55"/>
        <v>4.339999999999998E-2</v>
      </c>
      <c r="Q92" s="23">
        <f t="shared" si="55"/>
        <v>8.3399999999999974E-2</v>
      </c>
      <c r="R92" s="23">
        <f>(scatterplots_LWG_grazdays_CS!$V$4*$A92+scatterplots_LWG_grazdays_CS!$W$4)/1000+R91</f>
        <v>11.684699999999998</v>
      </c>
      <c r="S92" s="23">
        <f>N92+S91</f>
        <v>11.684699999999998</v>
      </c>
      <c r="T92" s="23">
        <f t="shared" si="60"/>
        <v>11.684699999999998</v>
      </c>
      <c r="U92" s="23">
        <f t="shared" si="61"/>
        <v>11.684699999999998</v>
      </c>
      <c r="V92" s="23">
        <f>(scatterplots_LWG_grazdays_CS!$V$5*$A92+scatterplots_LWG_grazdays_CS!$W$5)/1000</f>
        <v>-8.520000000000004E-2</v>
      </c>
      <c r="W92" s="23">
        <f t="shared" si="56"/>
        <v>-4.5200000000000039E-2</v>
      </c>
      <c r="X92" s="23">
        <f t="shared" si="57"/>
        <v>-5.2000000000000379E-3</v>
      </c>
      <c r="Y92" s="23">
        <f t="shared" si="57"/>
        <v>3.4799999999999956E-2</v>
      </c>
      <c r="Z92" s="23">
        <f>(scatterplots_LWG_grazdays_CS!$V$5*$A92+scatterplots_LWG_grazdays_CS!$W$5)/1000+Z91</f>
        <v>9.473399999999998</v>
      </c>
      <c r="AA92" s="23">
        <f t="shared" si="62"/>
        <v>9.473399999999998</v>
      </c>
      <c r="AB92" s="23">
        <f t="shared" si="70"/>
        <v>9.473399999999998</v>
      </c>
      <c r="AC92" s="23">
        <f t="shared" si="71"/>
        <v>9.473399999999998</v>
      </c>
      <c r="AD92" s="23">
        <f>(scatterplots_LWG_grazdays_CS!$V$6*$A92+scatterplots_LWG_grazdays_CS!$W$6)/1000</f>
        <v>-0.16259999999999997</v>
      </c>
      <c r="AE92" s="23">
        <f t="shared" si="58"/>
        <v>-0.12259999999999996</v>
      </c>
      <c r="AF92" s="23">
        <f t="shared" si="67"/>
        <v>-8.2599999999999965E-2</v>
      </c>
      <c r="AG92" s="23">
        <f t="shared" si="67"/>
        <v>-4.2599999999999971E-2</v>
      </c>
      <c r="AH92" s="23">
        <f>(scatterplots_LWG_grazdays_CS!$V$6*$A92+scatterplots_LWG_grazdays_CS!$W$6)/1000+AH91</f>
        <v>5.951700000000006</v>
      </c>
      <c r="AI92" s="23">
        <f t="shared" si="59"/>
        <v>5.951700000000006</v>
      </c>
      <c r="AJ92" s="23">
        <f t="shared" si="68"/>
        <v>5.951700000000006</v>
      </c>
      <c r="AK92" s="23">
        <f t="shared" si="68"/>
        <v>5.951700000000006</v>
      </c>
    </row>
    <row r="93" spans="1:37">
      <c r="A93" s="12">
        <v>91</v>
      </c>
      <c r="B93" s="12">
        <v>2</v>
      </c>
      <c r="C93" s="23">
        <f>(scatterplots_LWG_grazdays_CS!$V$3*$A93+scatterplots_LWG_grazdays_CS!$W$3)/1000</f>
        <v>4.156E-2</v>
      </c>
      <c r="D93" s="23">
        <f t="shared" si="69"/>
        <v>8.1559999999999994E-2</v>
      </c>
      <c r="E93" s="23">
        <f t="shared" si="51"/>
        <v>0.12156</v>
      </c>
      <c r="F93" s="23">
        <f t="shared" si="51"/>
        <v>0.16155999999999998</v>
      </c>
      <c r="G93" s="23">
        <f>(scatterplots_LWG_grazdays_CS!$V$3*$A93+scatterplots_LWG_grazdays_CS!$W$3)/1000+G92</f>
        <v>15.411760000000003</v>
      </c>
      <c r="H93" s="23">
        <f>D93+H92</f>
        <v>15.491760000000003</v>
      </c>
      <c r="I93" s="23">
        <f t="shared" si="50"/>
        <v>17.29176</v>
      </c>
      <c r="J93" s="23">
        <f t="shared" si="66"/>
        <v>18.29176</v>
      </c>
      <c r="K93" s="23">
        <f t="shared" si="65"/>
        <v>18.691760000000002</v>
      </c>
      <c r="L93" s="23">
        <f t="shared" si="72"/>
        <v>15.571760000000003</v>
      </c>
      <c r="M93" s="23">
        <f t="shared" si="73"/>
        <v>15.651760000000003</v>
      </c>
      <c r="N93" s="23">
        <f>(scatterplots_LWG_grazdays_CS!$V$4*$A93+scatterplots_LWG_grazdays_CS!$W$4)/1000</f>
        <v>-4.0340000000000029E-2</v>
      </c>
      <c r="O93" s="23">
        <f t="shared" si="55"/>
        <v>-3.4000000000002778E-4</v>
      </c>
      <c r="P93" s="23">
        <f t="shared" si="55"/>
        <v>3.9659999999999973E-2</v>
      </c>
      <c r="Q93" s="23">
        <f t="shared" si="55"/>
        <v>7.9659999999999967E-2</v>
      </c>
      <c r="R93" s="23">
        <f>(scatterplots_LWG_grazdays_CS!$V$4*$A93+scatterplots_LWG_grazdays_CS!$W$4)/1000+R92</f>
        <v>11.644359999999997</v>
      </c>
      <c r="S93" s="23">
        <f>O93+S92</f>
        <v>11.684359999999998</v>
      </c>
      <c r="T93" s="23">
        <f>P93+T92</f>
        <v>11.724359999999997</v>
      </c>
      <c r="U93" s="23">
        <f t="shared" ref="U93" si="74">Q93+U92</f>
        <v>11.764359999999998</v>
      </c>
      <c r="V93" s="23">
        <f>(scatterplots_LWG_grazdays_CS!$V$5*$A93+scatterplots_LWG_grazdays_CS!$W$5)/1000</f>
        <v>-8.9480000000000018E-2</v>
      </c>
      <c r="W93" s="23">
        <f t="shared" si="56"/>
        <v>-4.9480000000000017E-2</v>
      </c>
      <c r="X93" s="23">
        <f t="shared" si="57"/>
        <v>-9.4800000000000162E-3</v>
      </c>
      <c r="Y93" s="23">
        <f t="shared" si="57"/>
        <v>3.0519999999999978E-2</v>
      </c>
      <c r="Z93" s="23">
        <f>(scatterplots_LWG_grazdays_CS!$V$5*$A93+scatterplots_LWG_grazdays_CS!$W$5)/1000+Z92</f>
        <v>9.383919999999998</v>
      </c>
      <c r="AA93" s="23">
        <f>AA92+W93</f>
        <v>9.4239199999999972</v>
      </c>
      <c r="AB93" s="23">
        <f>AB92+X93</f>
        <v>9.4639199999999981</v>
      </c>
      <c r="AC93" s="23">
        <f t="shared" ref="AC93" si="75">AC92+Y93</f>
        <v>9.5039199999999973</v>
      </c>
      <c r="AD93" s="23">
        <f>(scatterplots_LWG_grazdays_CS!$V$6*$A93+scatterplots_LWG_grazdays_CS!$W$6)/1000</f>
        <v>-0.16773999999999994</v>
      </c>
      <c r="AE93" s="23">
        <f t="shared" si="58"/>
        <v>-0.12773999999999994</v>
      </c>
      <c r="AF93" s="23">
        <f t="shared" si="67"/>
        <v>-8.7739999999999943E-2</v>
      </c>
      <c r="AG93" s="23">
        <f t="shared" si="67"/>
        <v>-4.7739999999999949E-2</v>
      </c>
      <c r="AH93" s="23">
        <f>(scatterplots_LWG_grazdays_CS!$V$6*$A93+scatterplots_LWG_grazdays_CS!$W$6)/1000+AH92</f>
        <v>5.7839600000000058</v>
      </c>
      <c r="AI93" s="23">
        <f t="shared" ref="AI93:AI124" si="76">AE93+AI92</f>
        <v>5.8239600000000058</v>
      </c>
      <c r="AJ93" s="23">
        <f t="shared" ref="AJ93:AK93" si="77">AF93+AJ92</f>
        <v>5.8639600000000058</v>
      </c>
      <c r="AK93" s="23">
        <f t="shared" si="77"/>
        <v>5.9039600000000059</v>
      </c>
    </row>
    <row r="94" spans="1:37">
      <c r="A94" s="12">
        <v>92</v>
      </c>
      <c r="B94" s="12">
        <v>3</v>
      </c>
      <c r="C94" s="23">
        <f>(scatterplots_LWG_grazdays_CS!$V$3*$A94+scatterplots_LWG_grazdays_CS!$W$3)/1000</f>
        <v>3.8720000000000025E-2</v>
      </c>
      <c r="D94" s="23">
        <f t="shared" si="69"/>
        <v>7.8720000000000026E-2</v>
      </c>
      <c r="E94" s="23">
        <f t="shared" si="51"/>
        <v>0.11872000000000002</v>
      </c>
      <c r="F94" s="23">
        <f t="shared" si="51"/>
        <v>0.15872000000000003</v>
      </c>
      <c r="G94" s="23">
        <f>(scatterplots_LWG_grazdays_CS!$V$3*$A94+scatterplots_LWG_grazdays_CS!$W$3)/1000+G93</f>
        <v>15.450480000000002</v>
      </c>
      <c r="H94" s="23">
        <f>D94+H93</f>
        <v>15.570480000000003</v>
      </c>
      <c r="I94" s="23">
        <f t="shared" si="50"/>
        <v>17.370480000000001</v>
      </c>
      <c r="J94" s="23">
        <f t="shared" si="66"/>
        <v>18.370480000000001</v>
      </c>
      <c r="K94" s="23">
        <f t="shared" si="65"/>
        <v>18.770480000000003</v>
      </c>
      <c r="L94" s="23">
        <f t="shared" si="72"/>
        <v>15.690480000000003</v>
      </c>
      <c r="M94" s="23">
        <f t="shared" si="73"/>
        <v>15.810480000000004</v>
      </c>
      <c r="N94" s="23">
        <f>(scatterplots_LWG_grazdays_CS!$V$4*$A94+scatterplots_LWG_grazdays_CS!$W$4)/1000</f>
        <v>-4.4080000000000043E-2</v>
      </c>
      <c r="O94" s="23">
        <f t="shared" si="55"/>
        <v>-4.0800000000000419E-3</v>
      </c>
      <c r="P94" s="23">
        <f t="shared" si="55"/>
        <v>3.5919999999999959E-2</v>
      </c>
      <c r="Q94" s="23">
        <f t="shared" si="55"/>
        <v>7.591999999999996E-2</v>
      </c>
      <c r="R94" s="23">
        <f>(scatterplots_LWG_grazdays_CS!$V$4*$A94+scatterplots_LWG_grazdays_CS!$W$4)/1000+R93</f>
        <v>11.600279999999998</v>
      </c>
      <c r="S94" s="23">
        <f t="shared" ref="S94:S157" si="78">O94+S93</f>
        <v>11.680279999999998</v>
      </c>
      <c r="T94" s="23">
        <f t="shared" ref="T94:T157" si="79">P94+T93</f>
        <v>11.760279999999998</v>
      </c>
      <c r="U94" s="23">
        <f t="shared" ref="U94:U157" si="80">Q94+U93</f>
        <v>11.840279999999998</v>
      </c>
      <c r="V94" s="23">
        <f>(scatterplots_LWG_grazdays_CS!$V$5*$A94+scatterplots_LWG_grazdays_CS!$W$5)/1000</f>
        <v>-9.3760000000000052E-2</v>
      </c>
      <c r="W94" s="23">
        <f t="shared" si="56"/>
        <v>-5.3760000000000051E-2</v>
      </c>
      <c r="X94" s="23">
        <f t="shared" si="57"/>
        <v>-1.376000000000005E-2</v>
      </c>
      <c r="Y94" s="23">
        <f t="shared" si="57"/>
        <v>2.6239999999999944E-2</v>
      </c>
      <c r="Z94" s="23">
        <f>(scatterplots_LWG_grazdays_CS!$V$5*$A94+scatterplots_LWG_grazdays_CS!$W$5)/1000+Z93</f>
        <v>9.2901599999999984</v>
      </c>
      <c r="AA94" s="23">
        <f t="shared" ref="AA94:AA125" si="81">AA93+W94</f>
        <v>9.3701599999999967</v>
      </c>
      <c r="AB94" s="23">
        <f t="shared" ref="AB94:AB157" si="82">AB93+X94</f>
        <v>9.4501599999999986</v>
      </c>
      <c r="AC94" s="23">
        <f t="shared" ref="AC94:AC157" si="83">AC93+Y94</f>
        <v>9.5301599999999969</v>
      </c>
      <c r="AD94" s="23">
        <f>(scatterplots_LWG_grazdays_CS!$V$6*$A94+scatterplots_LWG_grazdays_CS!$W$6)/1000</f>
        <v>-0.17288000000000001</v>
      </c>
      <c r="AE94" s="23">
        <f t="shared" si="58"/>
        <v>-0.13288</v>
      </c>
      <c r="AF94" s="23">
        <f t="shared" si="67"/>
        <v>-9.2880000000000004E-2</v>
      </c>
      <c r="AG94" s="23">
        <f t="shared" si="67"/>
        <v>-5.288000000000001E-2</v>
      </c>
      <c r="AH94" s="23">
        <f>(scatterplots_LWG_grazdays_CS!$V$6*$A94+scatterplots_LWG_grazdays_CS!$W$6)/1000+AH93</f>
        <v>5.6110800000000056</v>
      </c>
      <c r="AI94" s="23">
        <f t="shared" si="76"/>
        <v>5.6910800000000057</v>
      </c>
      <c r="AJ94" s="23">
        <f t="shared" ref="AJ94:AJ157" si="84">AF94+AJ93</f>
        <v>5.7710800000000058</v>
      </c>
      <c r="AK94" s="23">
        <f t="shared" ref="AK94:AK157" si="85">AG94+AK93</f>
        <v>5.8510800000000058</v>
      </c>
    </row>
    <row r="95" spans="1:37">
      <c r="A95" s="12">
        <v>93</v>
      </c>
      <c r="B95" s="12">
        <v>4</v>
      </c>
      <c r="C95" s="23">
        <f>(scatterplots_LWG_grazdays_CS!$V$3*$A95+scatterplots_LWG_grazdays_CS!$W$3)/1000</f>
        <v>3.5879999999999995E-2</v>
      </c>
      <c r="D95" s="23">
        <f t="shared" si="69"/>
        <v>7.5880000000000003E-2</v>
      </c>
      <c r="E95" s="23">
        <f t="shared" si="51"/>
        <v>0.11588</v>
      </c>
      <c r="F95" s="23">
        <f t="shared" si="51"/>
        <v>0.15587999999999999</v>
      </c>
      <c r="G95" s="23">
        <f>(scatterplots_LWG_grazdays_CS!$V$3*$A95+scatterplots_LWG_grazdays_CS!$W$3)/1000+G94</f>
        <v>15.486360000000003</v>
      </c>
      <c r="H95" s="23">
        <f>D95+H94</f>
        <v>15.646360000000003</v>
      </c>
      <c r="I95" s="23">
        <f t="shared" si="50"/>
        <v>17.446360000000002</v>
      </c>
      <c r="J95" s="23">
        <f t="shared" si="66"/>
        <v>18.446360000000002</v>
      </c>
      <c r="K95" s="23">
        <f t="shared" si="65"/>
        <v>18.846360000000004</v>
      </c>
      <c r="L95" s="23">
        <f t="shared" si="72"/>
        <v>15.806360000000003</v>
      </c>
      <c r="M95" s="23">
        <f t="shared" si="73"/>
        <v>15.966360000000003</v>
      </c>
      <c r="N95" s="23">
        <f>(scatterplots_LWG_grazdays_CS!$V$4*$A95+scatterplots_LWG_grazdays_CS!$W$4)/1000</f>
        <v>-4.7819999999999994E-2</v>
      </c>
      <c r="O95" s="23">
        <f t="shared" si="55"/>
        <v>-7.8199999999999936E-3</v>
      </c>
      <c r="P95" s="23">
        <f t="shared" si="55"/>
        <v>3.2180000000000007E-2</v>
      </c>
      <c r="Q95" s="23">
        <f t="shared" si="55"/>
        <v>7.2179999999999994E-2</v>
      </c>
      <c r="R95" s="23">
        <f>(scatterplots_LWG_grazdays_CS!$V$4*$A95+scatterplots_LWG_grazdays_CS!$W$4)/1000+R94</f>
        <v>11.552459999999998</v>
      </c>
      <c r="S95" s="23">
        <f t="shared" si="78"/>
        <v>11.672459999999997</v>
      </c>
      <c r="T95" s="23">
        <f t="shared" si="79"/>
        <v>11.792459999999998</v>
      </c>
      <c r="U95" s="23">
        <f t="shared" si="80"/>
        <v>11.912459999999998</v>
      </c>
      <c r="V95" s="23">
        <f>(scatterplots_LWG_grazdays_CS!$V$5*$A95+scatterplots_LWG_grazdays_CS!$W$5)/1000</f>
        <v>-9.8040000000000016E-2</v>
      </c>
      <c r="W95" s="23">
        <f t="shared" si="56"/>
        <v>-5.8040000000000015E-2</v>
      </c>
      <c r="X95" s="23">
        <f t="shared" si="57"/>
        <v>-1.8040000000000014E-2</v>
      </c>
      <c r="Y95" s="23">
        <f t="shared" si="57"/>
        <v>2.195999999999998E-2</v>
      </c>
      <c r="Z95" s="23">
        <f>(scatterplots_LWG_grazdays_CS!$V$5*$A95+scatterplots_LWG_grazdays_CS!$W$5)/1000+Z94</f>
        <v>9.1921199999999992</v>
      </c>
      <c r="AA95" s="23">
        <f t="shared" si="81"/>
        <v>9.3121199999999966</v>
      </c>
      <c r="AB95" s="23">
        <f t="shared" si="82"/>
        <v>9.4321199999999994</v>
      </c>
      <c r="AC95" s="23">
        <f t="shared" si="83"/>
        <v>9.5521199999999968</v>
      </c>
      <c r="AD95" s="23">
        <f>(scatterplots_LWG_grazdays_CS!$V$6*$A95+scatterplots_LWG_grazdays_CS!$W$6)/1000</f>
        <v>-0.17801999999999998</v>
      </c>
      <c r="AE95" s="23">
        <f t="shared" si="58"/>
        <v>-0.13801999999999998</v>
      </c>
      <c r="AF95" s="23">
        <f t="shared" si="67"/>
        <v>-9.8019999999999982E-2</v>
      </c>
      <c r="AG95" s="23">
        <f t="shared" si="67"/>
        <v>-5.8019999999999988E-2</v>
      </c>
      <c r="AH95" s="23">
        <f>(scatterplots_LWG_grazdays_CS!$V$6*$A95+scatterplots_LWG_grazdays_CS!$W$6)/1000+AH94</f>
        <v>5.4330600000000056</v>
      </c>
      <c r="AI95" s="23">
        <f t="shared" si="76"/>
        <v>5.5530600000000057</v>
      </c>
      <c r="AJ95" s="23">
        <f t="shared" si="84"/>
        <v>5.6730600000000058</v>
      </c>
      <c r="AK95" s="23">
        <f t="shared" si="85"/>
        <v>5.7930600000000059</v>
      </c>
    </row>
    <row r="96" spans="1:37">
      <c r="A96" s="12">
        <v>94</v>
      </c>
      <c r="B96" s="12">
        <v>5</v>
      </c>
      <c r="C96" s="23">
        <f>(scatterplots_LWG_grazdays_CS!$V$3*$A96+scatterplots_LWG_grazdays_CS!$W$3)/1000</f>
        <v>3.3040000000000021E-2</v>
      </c>
      <c r="D96" s="23">
        <f t="shared" si="69"/>
        <v>7.3040000000000022E-2</v>
      </c>
      <c r="E96" s="23">
        <f t="shared" si="51"/>
        <v>0.11304000000000003</v>
      </c>
      <c r="F96" s="23">
        <f t="shared" si="51"/>
        <v>0.15304000000000001</v>
      </c>
      <c r="G96" s="23">
        <f>(scatterplots_LWG_grazdays_CS!$V$3*$A96+scatterplots_LWG_grazdays_CS!$W$3)/1000+G95</f>
        <v>15.519400000000003</v>
      </c>
      <c r="H96" s="23">
        <f>D96+H95</f>
        <v>15.719400000000004</v>
      </c>
      <c r="I96" s="23">
        <f t="shared" si="50"/>
        <v>17.519400000000001</v>
      </c>
      <c r="J96" s="23">
        <f t="shared" si="66"/>
        <v>18.519400000000001</v>
      </c>
      <c r="K96" s="23">
        <f t="shared" si="65"/>
        <v>18.919400000000003</v>
      </c>
      <c r="L96" s="23">
        <f t="shared" si="72"/>
        <v>15.919400000000003</v>
      </c>
      <c r="M96" s="23">
        <f t="shared" si="73"/>
        <v>16.119400000000002</v>
      </c>
      <c r="N96" s="23">
        <f>(scatterplots_LWG_grazdays_CS!$V$4*$A96+scatterplots_LWG_grazdays_CS!$W$4)/1000</f>
        <v>-5.1560000000000002E-2</v>
      </c>
      <c r="O96" s="23">
        <f t="shared" si="55"/>
        <v>-1.1560000000000001E-2</v>
      </c>
      <c r="P96" s="23">
        <f t="shared" si="55"/>
        <v>2.844E-2</v>
      </c>
      <c r="Q96" s="23">
        <f t="shared" si="55"/>
        <v>6.8440000000000001E-2</v>
      </c>
      <c r="R96" s="23">
        <f>(scatterplots_LWG_grazdays_CS!$V$4*$A96+scatterplots_LWG_grazdays_CS!$W$4)/1000+R95</f>
        <v>11.500899999999998</v>
      </c>
      <c r="S96" s="23">
        <f t="shared" si="78"/>
        <v>11.660899999999998</v>
      </c>
      <c r="T96" s="23">
        <f t="shared" si="79"/>
        <v>11.820899999999998</v>
      </c>
      <c r="U96" s="23">
        <f t="shared" si="80"/>
        <v>11.980899999999998</v>
      </c>
      <c r="V96" s="23">
        <f>(scatterplots_LWG_grazdays_CS!$V$5*$A96+scatterplots_LWG_grazdays_CS!$W$5)/1000</f>
        <v>-0.10232000000000005</v>
      </c>
      <c r="W96" s="23">
        <f t="shared" si="56"/>
        <v>-6.2320000000000049E-2</v>
      </c>
      <c r="X96" s="23">
        <f t="shared" si="57"/>
        <v>-2.2320000000000048E-2</v>
      </c>
      <c r="Y96" s="23">
        <f t="shared" si="57"/>
        <v>1.7679999999999946E-2</v>
      </c>
      <c r="Z96" s="23">
        <f>(scatterplots_LWG_grazdays_CS!$V$5*$A96+scatterplots_LWG_grazdays_CS!$W$5)/1000+Z95</f>
        <v>9.0897999999999985</v>
      </c>
      <c r="AA96" s="23">
        <f t="shared" si="81"/>
        <v>9.2497999999999969</v>
      </c>
      <c r="AB96" s="23">
        <f t="shared" si="82"/>
        <v>9.4097999999999988</v>
      </c>
      <c r="AC96" s="23">
        <f t="shared" si="83"/>
        <v>9.5697999999999972</v>
      </c>
      <c r="AD96" s="23">
        <f>(scatterplots_LWG_grazdays_CS!$V$6*$A96+scatterplots_LWG_grazdays_CS!$W$6)/1000</f>
        <v>-0.18315999999999996</v>
      </c>
      <c r="AE96" s="23">
        <f t="shared" si="58"/>
        <v>-0.14315999999999995</v>
      </c>
      <c r="AF96" s="23">
        <f t="shared" si="67"/>
        <v>-0.10315999999999996</v>
      </c>
      <c r="AG96" s="23">
        <f t="shared" si="67"/>
        <v>-6.3159999999999966E-2</v>
      </c>
      <c r="AH96" s="23">
        <f>(scatterplots_LWG_grazdays_CS!$V$6*$A96+scatterplots_LWG_grazdays_CS!$W$6)/1000+AH95</f>
        <v>5.2499000000000056</v>
      </c>
      <c r="AI96" s="23">
        <f t="shared" si="76"/>
        <v>5.4099000000000057</v>
      </c>
      <c r="AJ96" s="23">
        <f t="shared" si="84"/>
        <v>5.5699000000000058</v>
      </c>
      <c r="AK96" s="23">
        <f t="shared" si="85"/>
        <v>5.729900000000006</v>
      </c>
    </row>
    <row r="97" spans="1:37">
      <c r="A97" s="12">
        <v>95</v>
      </c>
      <c r="B97" s="12">
        <v>6</v>
      </c>
      <c r="C97" s="23">
        <f>(scatterplots_LWG_grazdays_CS!$V$3*$A97+scatterplots_LWG_grazdays_CS!$W$3)/1000</f>
        <v>3.0199999999999987E-2</v>
      </c>
      <c r="D97" s="23">
        <f t="shared" si="69"/>
        <v>7.0199999999999985E-2</v>
      </c>
      <c r="E97" s="23">
        <f t="shared" si="51"/>
        <v>0.11019999999999999</v>
      </c>
      <c r="F97" s="23">
        <f t="shared" si="51"/>
        <v>0.15019999999999997</v>
      </c>
      <c r="G97" s="23">
        <f>(scatterplots_LWG_grazdays_CS!$V$3*$A97+scatterplots_LWG_grazdays_CS!$W$3)/1000+G96</f>
        <v>15.549600000000003</v>
      </c>
      <c r="H97" s="23">
        <f t="shared" ref="H97:H123" si="86">D97+H96</f>
        <v>15.789600000000004</v>
      </c>
      <c r="I97" s="23">
        <f t="shared" si="50"/>
        <v>17.589600000000001</v>
      </c>
      <c r="J97" s="23">
        <f t="shared" si="66"/>
        <v>18.589600000000001</v>
      </c>
      <c r="K97" s="23">
        <f t="shared" si="65"/>
        <v>18.989600000000003</v>
      </c>
      <c r="L97" s="23">
        <f t="shared" si="72"/>
        <v>16.029600000000002</v>
      </c>
      <c r="M97" s="23">
        <f t="shared" si="73"/>
        <v>16.269600000000004</v>
      </c>
      <c r="N97" s="23">
        <f>(scatterplots_LWG_grazdays_CS!$V$4*$A97+scatterplots_LWG_grazdays_CS!$W$4)/1000</f>
        <v>-5.5300000000000009E-2</v>
      </c>
      <c r="O97" s="23">
        <f t="shared" si="55"/>
        <v>-1.5300000000000008E-2</v>
      </c>
      <c r="P97" s="23">
        <f t="shared" si="55"/>
        <v>2.4699999999999993E-2</v>
      </c>
      <c r="Q97" s="23">
        <f t="shared" si="55"/>
        <v>6.469999999999998E-2</v>
      </c>
      <c r="R97" s="23">
        <f>(scatterplots_LWG_grazdays_CS!$V$4*$A97+scatterplots_LWG_grazdays_CS!$W$4)/1000+R96</f>
        <v>11.445599999999997</v>
      </c>
      <c r="S97" s="23">
        <f t="shared" si="78"/>
        <v>11.645599999999998</v>
      </c>
      <c r="T97" s="23">
        <f t="shared" si="79"/>
        <v>11.845599999999997</v>
      </c>
      <c r="U97" s="23">
        <f t="shared" si="80"/>
        <v>12.045599999999999</v>
      </c>
      <c r="V97" s="23">
        <f>(scatterplots_LWG_grazdays_CS!$V$5*$A97+scatterplots_LWG_grazdays_CS!$W$5)/1000</f>
        <v>-0.10660000000000003</v>
      </c>
      <c r="W97" s="23">
        <f t="shared" si="56"/>
        <v>-6.660000000000002E-2</v>
      </c>
      <c r="X97" s="23">
        <f t="shared" si="57"/>
        <v>-2.6600000000000026E-2</v>
      </c>
      <c r="Y97" s="23">
        <f t="shared" si="57"/>
        <v>1.3399999999999967E-2</v>
      </c>
      <c r="Z97" s="23">
        <f>(scatterplots_LWG_grazdays_CS!$V$5*$A97+scatterplots_LWG_grazdays_CS!$W$5)/1000+Z96</f>
        <v>8.9831999999999983</v>
      </c>
      <c r="AA97" s="23">
        <f t="shared" si="81"/>
        <v>9.1831999999999976</v>
      </c>
      <c r="AB97" s="23">
        <f t="shared" si="82"/>
        <v>9.3831999999999987</v>
      </c>
      <c r="AC97" s="23">
        <f t="shared" si="83"/>
        <v>9.5831999999999979</v>
      </c>
      <c r="AD97" s="23">
        <f>(scatterplots_LWG_grazdays_CS!$V$6*$A97+scatterplots_LWG_grazdays_CS!$W$6)/1000</f>
        <v>-0.18829999999999997</v>
      </c>
      <c r="AE97" s="23">
        <f t="shared" si="58"/>
        <v>-0.14829999999999996</v>
      </c>
      <c r="AF97" s="23">
        <f t="shared" si="67"/>
        <v>-0.10829999999999997</v>
      </c>
      <c r="AG97" s="23">
        <f t="shared" si="67"/>
        <v>-6.8299999999999972E-2</v>
      </c>
      <c r="AH97" s="23">
        <f>(scatterplots_LWG_grazdays_CS!$V$6*$A97+scatterplots_LWG_grazdays_CS!$W$6)/1000+AH96</f>
        <v>5.0616000000000057</v>
      </c>
      <c r="AI97" s="23">
        <f t="shared" si="76"/>
        <v>5.2616000000000058</v>
      </c>
      <c r="AJ97" s="23">
        <f t="shared" si="84"/>
        <v>5.461600000000006</v>
      </c>
      <c r="AK97" s="23">
        <f t="shared" si="85"/>
        <v>5.6616000000000062</v>
      </c>
    </row>
    <row r="98" spans="1:37">
      <c r="A98" s="12">
        <v>96</v>
      </c>
      <c r="B98" s="12">
        <v>7</v>
      </c>
      <c r="C98" s="23">
        <f>(scatterplots_LWG_grazdays_CS!$V$3*$A98+scatterplots_LWG_grazdays_CS!$W$3)/1000</f>
        <v>2.7360000000000013E-2</v>
      </c>
      <c r="D98" s="23">
        <f t="shared" si="51"/>
        <v>6.7360000000000017E-2</v>
      </c>
      <c r="E98" s="23">
        <f t="shared" si="51"/>
        <v>0.10736000000000001</v>
      </c>
      <c r="F98" s="23">
        <f t="shared" si="51"/>
        <v>0.14736000000000002</v>
      </c>
      <c r="G98" s="23">
        <f>(scatterplots_LWG_grazdays_CS!$V$3*$A98+scatterplots_LWG_grazdays_CS!$W$3)/1000+G97</f>
        <v>15.576960000000003</v>
      </c>
      <c r="H98" s="23">
        <f t="shared" si="86"/>
        <v>15.856960000000004</v>
      </c>
      <c r="I98" s="23">
        <f t="shared" si="50"/>
        <v>17.656960000000002</v>
      </c>
      <c r="J98" s="23">
        <f t="shared" si="66"/>
        <v>18.656960000000002</v>
      </c>
      <c r="K98" s="23">
        <f t="shared" si="65"/>
        <v>19.056960000000004</v>
      </c>
      <c r="L98" s="23">
        <f t="shared" si="72"/>
        <v>16.136960000000002</v>
      </c>
      <c r="M98" s="23">
        <f t="shared" si="73"/>
        <v>16.416960000000003</v>
      </c>
      <c r="N98" s="23">
        <f>(scatterplots_LWG_grazdays_CS!$V$4*$A98+scatterplots_LWG_grazdays_CS!$W$4)/1000</f>
        <v>-5.9040000000000023E-2</v>
      </c>
      <c r="O98" s="23">
        <f t="shared" si="55"/>
        <v>-1.9040000000000022E-2</v>
      </c>
      <c r="P98" s="23">
        <f t="shared" si="55"/>
        <v>2.0959999999999979E-2</v>
      </c>
      <c r="Q98" s="23">
        <f t="shared" si="55"/>
        <v>6.0959999999999973E-2</v>
      </c>
      <c r="R98" s="23">
        <f>(scatterplots_LWG_grazdays_CS!$V$4*$A98+scatterplots_LWG_grazdays_CS!$W$4)/1000+R97</f>
        <v>11.386559999999998</v>
      </c>
      <c r="S98" s="23">
        <f t="shared" si="78"/>
        <v>11.626559999999998</v>
      </c>
      <c r="T98" s="23">
        <f t="shared" si="79"/>
        <v>11.866559999999998</v>
      </c>
      <c r="U98" s="23">
        <f t="shared" si="80"/>
        <v>12.106559999999998</v>
      </c>
      <c r="V98" s="23">
        <f>(scatterplots_LWG_grazdays_CS!$V$5*$A98+scatterplots_LWG_grazdays_CS!$W$5)/1000</f>
        <v>-0.11087999999999999</v>
      </c>
      <c r="W98" s="23">
        <f t="shared" si="56"/>
        <v>-7.0879999999999999E-2</v>
      </c>
      <c r="X98" s="23">
        <f t="shared" si="57"/>
        <v>-3.0879999999999991E-2</v>
      </c>
      <c r="Y98" s="23">
        <f t="shared" si="57"/>
        <v>9.1200000000000031E-3</v>
      </c>
      <c r="Z98" s="23">
        <f>(scatterplots_LWG_grazdays_CS!$V$5*$A98+scatterplots_LWG_grazdays_CS!$W$5)/1000+Z97</f>
        <v>8.8723199999999984</v>
      </c>
      <c r="AA98" s="23">
        <f t="shared" si="81"/>
        <v>9.1123199999999969</v>
      </c>
      <c r="AB98" s="23">
        <f t="shared" si="82"/>
        <v>9.3523199999999989</v>
      </c>
      <c r="AC98" s="23">
        <f t="shared" si="83"/>
        <v>9.5923199999999973</v>
      </c>
      <c r="AD98" s="23">
        <f>(scatterplots_LWG_grazdays_CS!$V$6*$A98+scatterplots_LWG_grazdays_CS!$W$6)/1000</f>
        <v>-0.19343999999999995</v>
      </c>
      <c r="AE98" s="23">
        <f t="shared" si="58"/>
        <v>-0.15343999999999994</v>
      </c>
      <c r="AF98" s="23">
        <f t="shared" si="67"/>
        <v>-0.11343999999999994</v>
      </c>
      <c r="AG98" s="23">
        <f t="shared" si="67"/>
        <v>-7.343999999999995E-2</v>
      </c>
      <c r="AH98" s="23">
        <f>(scatterplots_LWG_grazdays_CS!$V$6*$A98+scatterplots_LWG_grazdays_CS!$W$6)/1000+AH97</f>
        <v>4.8681600000000058</v>
      </c>
      <c r="AI98" s="23">
        <f t="shared" si="76"/>
        <v>5.108160000000006</v>
      </c>
      <c r="AJ98" s="23">
        <f t="shared" si="84"/>
        <v>5.3481600000000062</v>
      </c>
      <c r="AK98" s="23">
        <f t="shared" si="85"/>
        <v>5.5881600000000065</v>
      </c>
    </row>
    <row r="99" spans="1:37">
      <c r="A99" s="12">
        <v>97</v>
      </c>
      <c r="B99" s="12">
        <v>8</v>
      </c>
      <c r="C99" s="23">
        <f>(scatterplots_LWG_grazdays_CS!$V$3*$A99+scatterplots_LWG_grazdays_CS!$W$3)/1000</f>
        <v>2.4520000000000038E-2</v>
      </c>
      <c r="D99" s="23">
        <f t="shared" si="51"/>
        <v>6.4520000000000036E-2</v>
      </c>
      <c r="E99" s="23">
        <f t="shared" si="51"/>
        <v>0.10452000000000004</v>
      </c>
      <c r="F99" s="23">
        <f t="shared" si="51"/>
        <v>0.14452000000000004</v>
      </c>
      <c r="G99" s="23">
        <f>(scatterplots_LWG_grazdays_CS!$V$3*$A99+scatterplots_LWG_grazdays_CS!$W$3)/1000+G98</f>
        <v>15.601480000000004</v>
      </c>
      <c r="H99" s="23">
        <f t="shared" si="86"/>
        <v>15.921480000000004</v>
      </c>
      <c r="I99" s="23">
        <f t="shared" si="50"/>
        <v>17.721480000000003</v>
      </c>
      <c r="J99" s="23">
        <f t="shared" si="66"/>
        <v>18.721480000000003</v>
      </c>
      <c r="K99" s="23">
        <f t="shared" si="65"/>
        <v>19.121480000000005</v>
      </c>
      <c r="L99" s="23">
        <f t="shared" si="72"/>
        <v>16.241480000000003</v>
      </c>
      <c r="M99" s="23">
        <f t="shared" si="73"/>
        <v>16.561480000000003</v>
      </c>
      <c r="N99" s="23">
        <f>(scatterplots_LWG_grazdays_CS!$V$4*$A99+scatterplots_LWG_grazdays_CS!$W$4)/1000</f>
        <v>-6.278000000000003E-2</v>
      </c>
      <c r="O99" s="23">
        <f t="shared" si="55"/>
        <v>-2.2780000000000029E-2</v>
      </c>
      <c r="P99" s="23">
        <f t="shared" si="55"/>
        <v>1.7219999999999971E-2</v>
      </c>
      <c r="Q99" s="23">
        <f t="shared" si="55"/>
        <v>5.7219999999999965E-2</v>
      </c>
      <c r="R99" s="23">
        <f>(scatterplots_LWG_grazdays_CS!$V$4*$A99+scatterplots_LWG_grazdays_CS!$W$4)/1000+R98</f>
        <v>11.323779999999998</v>
      </c>
      <c r="S99" s="23">
        <f t="shared" si="78"/>
        <v>11.603779999999997</v>
      </c>
      <c r="T99" s="23">
        <f t="shared" si="79"/>
        <v>11.883779999999998</v>
      </c>
      <c r="U99" s="23">
        <f t="shared" si="80"/>
        <v>12.163779999999997</v>
      </c>
      <c r="V99" s="23">
        <f>(scatterplots_LWG_grazdays_CS!$V$5*$A99+scatterplots_LWG_grazdays_CS!$W$5)/1000</f>
        <v>-0.11516000000000003</v>
      </c>
      <c r="W99" s="23">
        <f t="shared" si="56"/>
        <v>-7.5160000000000032E-2</v>
      </c>
      <c r="X99" s="23">
        <f t="shared" si="57"/>
        <v>-3.5160000000000025E-2</v>
      </c>
      <c r="Y99" s="23">
        <f t="shared" si="57"/>
        <v>4.8399999999999693E-3</v>
      </c>
      <c r="Z99" s="23">
        <f>(scatterplots_LWG_grazdays_CS!$V$5*$A99+scatterplots_LWG_grazdays_CS!$W$5)/1000+Z98</f>
        <v>8.7571599999999989</v>
      </c>
      <c r="AA99" s="23">
        <f t="shared" si="81"/>
        <v>9.0371599999999965</v>
      </c>
      <c r="AB99" s="23">
        <f t="shared" si="82"/>
        <v>9.3171599999999994</v>
      </c>
      <c r="AC99" s="23">
        <f t="shared" si="83"/>
        <v>9.597159999999997</v>
      </c>
      <c r="AD99" s="23">
        <f>(scatterplots_LWG_grazdays_CS!$V$6*$A99+scatterplots_LWG_grazdays_CS!$W$6)/1000</f>
        <v>-0.19857999999999998</v>
      </c>
      <c r="AE99" s="23">
        <f t="shared" si="58"/>
        <v>-0.15857999999999997</v>
      </c>
      <c r="AF99" s="23">
        <f t="shared" si="67"/>
        <v>-0.11857999999999998</v>
      </c>
      <c r="AG99" s="23">
        <f t="shared" si="67"/>
        <v>-7.8579999999999983E-2</v>
      </c>
      <c r="AH99" s="23">
        <f>(scatterplots_LWG_grazdays_CS!$V$6*$A99+scatterplots_LWG_grazdays_CS!$W$6)/1000+AH98</f>
        <v>4.6695800000000061</v>
      </c>
      <c r="AI99" s="23">
        <f t="shared" si="76"/>
        <v>4.9495800000000063</v>
      </c>
      <c r="AJ99" s="23">
        <f t="shared" si="84"/>
        <v>5.2295800000000066</v>
      </c>
      <c r="AK99" s="23">
        <f t="shared" si="85"/>
        <v>5.5095800000000068</v>
      </c>
    </row>
    <row r="100" spans="1:37">
      <c r="A100" s="12">
        <v>98</v>
      </c>
      <c r="B100" s="12">
        <v>9</v>
      </c>
      <c r="C100" s="23">
        <f>(scatterplots_LWG_grazdays_CS!$V$3*$A100+scatterplots_LWG_grazdays_CS!$W$3)/1000</f>
        <v>2.1680000000000008E-2</v>
      </c>
      <c r="D100" s="23">
        <f t="shared" ref="D100:F131" si="87">$C100+D$1/1000</f>
        <v>6.1680000000000013E-2</v>
      </c>
      <c r="E100" s="23">
        <f t="shared" si="87"/>
        <v>0.10168000000000001</v>
      </c>
      <c r="F100" s="23">
        <f t="shared" si="87"/>
        <v>0.14168</v>
      </c>
      <c r="G100" s="23">
        <f>(scatterplots_LWG_grazdays_CS!$V$3*$A100+scatterplots_LWG_grazdays_CS!$W$3)/1000+G99</f>
        <v>15.623160000000004</v>
      </c>
      <c r="H100" s="23">
        <f t="shared" si="86"/>
        <v>15.983160000000005</v>
      </c>
      <c r="I100" s="23">
        <f t="shared" si="50"/>
        <v>17.783160000000002</v>
      </c>
      <c r="J100" s="23">
        <f t="shared" ref="J100:J150" si="88">D100+J99</f>
        <v>18.783160000000002</v>
      </c>
      <c r="K100" s="23">
        <f t="shared" si="65"/>
        <v>19.183160000000004</v>
      </c>
      <c r="L100" s="23">
        <f t="shared" si="72"/>
        <v>16.343160000000005</v>
      </c>
      <c r="M100" s="23">
        <f t="shared" si="73"/>
        <v>16.703160000000004</v>
      </c>
      <c r="N100" s="23">
        <f>(scatterplots_LWG_grazdays_CS!$V$4*$A100+scatterplots_LWG_grazdays_CS!$W$4)/1000</f>
        <v>-6.6520000000000037E-2</v>
      </c>
      <c r="O100" s="23">
        <f t="shared" si="55"/>
        <v>-2.6520000000000037E-2</v>
      </c>
      <c r="P100" s="23">
        <f t="shared" si="55"/>
        <v>1.3479999999999964E-2</v>
      </c>
      <c r="Q100" s="23">
        <f t="shared" si="55"/>
        <v>5.3479999999999958E-2</v>
      </c>
      <c r="R100" s="23">
        <f>(scatterplots_LWG_grazdays_CS!$V$4*$A100+scatterplots_LWG_grazdays_CS!$W$4)/1000+R99</f>
        <v>11.257259999999997</v>
      </c>
      <c r="S100" s="23">
        <f t="shared" si="78"/>
        <v>11.577259999999997</v>
      </c>
      <c r="T100" s="23">
        <f t="shared" si="79"/>
        <v>11.897259999999998</v>
      </c>
      <c r="U100" s="23">
        <f t="shared" si="80"/>
        <v>12.217259999999998</v>
      </c>
      <c r="V100" s="23">
        <f>(scatterplots_LWG_grazdays_CS!$V$5*$A100+scatterplots_LWG_grazdays_CS!$W$5)/1000</f>
        <v>-0.11944</v>
      </c>
      <c r="W100" s="23">
        <f t="shared" si="56"/>
        <v>-7.9440000000000011E-2</v>
      </c>
      <c r="X100" s="23">
        <f t="shared" ref="X100:Y131" si="89">$V100+X$1/1000</f>
        <v>-3.9440000000000003E-2</v>
      </c>
      <c r="Y100" s="23">
        <f t="shared" si="89"/>
        <v>5.5999999999999106E-4</v>
      </c>
      <c r="Z100" s="23">
        <f>(scatterplots_LWG_grazdays_CS!$V$5*$A100+scatterplots_LWG_grazdays_CS!$W$5)/1000+Z99</f>
        <v>8.6377199999999981</v>
      </c>
      <c r="AA100" s="23">
        <f t="shared" si="81"/>
        <v>8.9577199999999966</v>
      </c>
      <c r="AB100" s="23">
        <f t="shared" si="82"/>
        <v>9.2777199999999986</v>
      </c>
      <c r="AC100" s="23">
        <f t="shared" si="83"/>
        <v>9.5977199999999971</v>
      </c>
      <c r="AD100" s="23">
        <f>(scatterplots_LWG_grazdays_CS!$V$6*$A100+scatterplots_LWG_grazdays_CS!$W$6)/1000</f>
        <v>-0.20371999999999996</v>
      </c>
      <c r="AE100" s="23">
        <f t="shared" si="58"/>
        <v>-0.16371999999999995</v>
      </c>
      <c r="AF100" s="23">
        <f t="shared" si="67"/>
        <v>-0.12371999999999996</v>
      </c>
      <c r="AG100" s="23">
        <f t="shared" si="67"/>
        <v>-8.3719999999999961E-2</v>
      </c>
      <c r="AH100" s="23">
        <f>(scatterplots_LWG_grazdays_CS!$V$6*$A100+scatterplots_LWG_grazdays_CS!$W$6)/1000+AH99</f>
        <v>4.4658600000000064</v>
      </c>
      <c r="AI100" s="23">
        <f t="shared" si="76"/>
        <v>4.7858600000000067</v>
      </c>
      <c r="AJ100" s="23">
        <f t="shared" si="84"/>
        <v>5.1058600000000069</v>
      </c>
      <c r="AK100" s="23">
        <f t="shared" si="85"/>
        <v>5.4258600000000072</v>
      </c>
    </row>
    <row r="101" spans="1:37">
      <c r="A101" s="12">
        <v>99</v>
      </c>
      <c r="B101" s="12">
        <v>10</v>
      </c>
      <c r="C101" s="23">
        <f>(scatterplots_LWG_grazdays_CS!$V$3*$A101+scatterplots_LWG_grazdays_CS!$W$3)/1000</f>
        <v>1.884000000000003E-2</v>
      </c>
      <c r="D101" s="23">
        <f t="shared" si="87"/>
        <v>5.8840000000000031E-2</v>
      </c>
      <c r="E101" s="23">
        <f t="shared" si="87"/>
        <v>9.8840000000000039E-2</v>
      </c>
      <c r="F101" s="23">
        <f t="shared" si="87"/>
        <v>0.13884000000000002</v>
      </c>
      <c r="G101" s="23">
        <f>(scatterplots_LWG_grazdays_CS!$V$3*$A101+scatterplots_LWG_grazdays_CS!$W$3)/1000+G100</f>
        <v>15.642000000000005</v>
      </c>
      <c r="H101" s="23">
        <f t="shared" si="86"/>
        <v>16.042000000000005</v>
      </c>
      <c r="I101" s="23">
        <f t="shared" si="50"/>
        <v>17.842000000000002</v>
      </c>
      <c r="J101" s="23">
        <f t="shared" si="88"/>
        <v>18.842000000000002</v>
      </c>
      <c r="K101" s="23">
        <f t="shared" si="65"/>
        <v>19.242000000000004</v>
      </c>
      <c r="L101" s="23">
        <f t="shared" si="72"/>
        <v>16.442000000000004</v>
      </c>
      <c r="M101" s="23">
        <f t="shared" si="73"/>
        <v>16.842000000000002</v>
      </c>
      <c r="N101" s="23">
        <f>(scatterplots_LWG_grazdays_CS!$V$4*$A101+scatterplots_LWG_grazdays_CS!$W$4)/1000</f>
        <v>-7.0260000000000045E-2</v>
      </c>
      <c r="O101" s="23">
        <f t="shared" si="55"/>
        <v>-3.0260000000000044E-2</v>
      </c>
      <c r="P101" s="23">
        <f t="shared" si="55"/>
        <v>9.739999999999957E-3</v>
      </c>
      <c r="Q101" s="23">
        <f t="shared" si="55"/>
        <v>4.9739999999999951E-2</v>
      </c>
      <c r="R101" s="23">
        <f>(scatterplots_LWG_grazdays_CS!$V$4*$A101+scatterplots_LWG_grazdays_CS!$W$4)/1000+R100</f>
        <v>11.186999999999998</v>
      </c>
      <c r="S101" s="23">
        <f t="shared" si="78"/>
        <v>11.546999999999997</v>
      </c>
      <c r="T101" s="23">
        <f t="shared" si="79"/>
        <v>11.906999999999998</v>
      </c>
      <c r="U101" s="23">
        <f t="shared" si="80"/>
        <v>12.266999999999998</v>
      </c>
      <c r="V101" s="23">
        <f>(scatterplots_LWG_grazdays_CS!$V$5*$A101+scatterplots_LWG_grazdays_CS!$W$5)/1000</f>
        <v>-0.12372000000000002</v>
      </c>
      <c r="W101" s="23">
        <f t="shared" si="56"/>
        <v>-8.3720000000000017E-2</v>
      </c>
      <c r="X101" s="23">
        <f t="shared" si="89"/>
        <v>-4.3720000000000023E-2</v>
      </c>
      <c r="Y101" s="23">
        <f t="shared" si="89"/>
        <v>-3.7200000000000288E-3</v>
      </c>
      <c r="Z101" s="23">
        <f>(scatterplots_LWG_grazdays_CS!$V$5*$A101+scatterplots_LWG_grazdays_CS!$W$5)/1000+Z100</f>
        <v>8.5139999999999976</v>
      </c>
      <c r="AA101" s="23">
        <f t="shared" si="81"/>
        <v>8.873999999999997</v>
      </c>
      <c r="AB101" s="23">
        <f t="shared" si="82"/>
        <v>9.2339999999999982</v>
      </c>
      <c r="AC101" s="23">
        <f t="shared" si="83"/>
        <v>9.5939999999999976</v>
      </c>
      <c r="AD101" s="23">
        <f>(scatterplots_LWG_grazdays_CS!$V$6*$A101+scatterplots_LWG_grazdays_CS!$W$6)/1000</f>
        <v>-0.20885999999999996</v>
      </c>
      <c r="AE101" s="23">
        <f t="shared" si="58"/>
        <v>-0.16885999999999995</v>
      </c>
      <c r="AF101" s="23">
        <f t="shared" si="67"/>
        <v>-0.12885999999999997</v>
      </c>
      <c r="AG101" s="23">
        <f t="shared" si="67"/>
        <v>-8.8859999999999967E-2</v>
      </c>
      <c r="AH101" s="23">
        <f>(scatterplots_LWG_grazdays_CS!$V$6*$A101+scatterplots_LWG_grazdays_CS!$W$6)/1000+AH100</f>
        <v>4.2570000000000068</v>
      </c>
      <c r="AI101" s="23">
        <f t="shared" si="76"/>
        <v>4.6170000000000071</v>
      </c>
      <c r="AJ101" s="23">
        <f t="shared" si="84"/>
        <v>4.9770000000000074</v>
      </c>
      <c r="AK101" s="23">
        <f t="shared" si="85"/>
        <v>5.3370000000000068</v>
      </c>
    </row>
    <row r="102" spans="1:37">
      <c r="A102" s="12">
        <v>100</v>
      </c>
      <c r="B102" s="12">
        <v>11</v>
      </c>
      <c r="C102" s="23">
        <f>(scatterplots_LWG_grazdays_CS!$V$3*$A102+scatterplots_LWG_grazdays_CS!$W$3)/1000</f>
        <v>1.6E-2</v>
      </c>
      <c r="D102" s="23">
        <f t="shared" si="87"/>
        <v>5.6000000000000001E-2</v>
      </c>
      <c r="E102" s="23">
        <f t="shared" si="87"/>
        <v>9.6000000000000002E-2</v>
      </c>
      <c r="F102" s="23">
        <f t="shared" si="87"/>
        <v>0.13600000000000001</v>
      </c>
      <c r="G102" s="23">
        <f>(scatterplots_LWG_grazdays_CS!$V$3*$A102+scatterplots_LWG_grazdays_CS!$W$3)/1000+G101</f>
        <v>15.658000000000005</v>
      </c>
      <c r="H102" s="23">
        <f t="shared" si="86"/>
        <v>16.098000000000006</v>
      </c>
      <c r="I102" s="23">
        <f t="shared" si="50"/>
        <v>17.898000000000003</v>
      </c>
      <c r="J102" s="23">
        <f t="shared" si="88"/>
        <v>18.898000000000003</v>
      </c>
      <c r="K102" s="23">
        <f t="shared" si="65"/>
        <v>19.298000000000005</v>
      </c>
      <c r="L102" s="23">
        <f t="shared" si="72"/>
        <v>16.538000000000004</v>
      </c>
      <c r="M102" s="23">
        <f t="shared" si="73"/>
        <v>16.978000000000002</v>
      </c>
      <c r="N102" s="23">
        <f>(scatterplots_LWG_grazdays_CS!$V$4*$A102+scatterplots_LWG_grazdays_CS!$W$4)/1000</f>
        <v>-7.3999999999999996E-2</v>
      </c>
      <c r="O102" s="23">
        <f t="shared" si="55"/>
        <v>-3.3999999999999996E-2</v>
      </c>
      <c r="P102" s="23">
        <f t="shared" si="55"/>
        <v>6.0000000000000053E-3</v>
      </c>
      <c r="Q102" s="23">
        <f t="shared" si="55"/>
        <v>4.5999999999999999E-2</v>
      </c>
      <c r="R102" s="23">
        <f>(scatterplots_LWG_grazdays_CS!$V$4*$A102+scatterplots_LWG_grazdays_CS!$W$4)/1000+R101</f>
        <v>11.112999999999998</v>
      </c>
      <c r="S102" s="23">
        <f t="shared" si="78"/>
        <v>11.512999999999996</v>
      </c>
      <c r="T102" s="23">
        <f t="shared" si="79"/>
        <v>11.912999999999998</v>
      </c>
      <c r="U102" s="23">
        <f t="shared" si="80"/>
        <v>12.312999999999997</v>
      </c>
      <c r="V102" s="23">
        <f>(scatterplots_LWG_grazdays_CS!$V$5*$A102+scatterplots_LWG_grazdays_CS!$W$5)/1000</f>
        <v>-0.128</v>
      </c>
      <c r="W102" s="23">
        <f t="shared" si="56"/>
        <v>-8.7999999999999995E-2</v>
      </c>
      <c r="X102" s="23">
        <f t="shared" si="89"/>
        <v>-4.8000000000000001E-2</v>
      </c>
      <c r="Y102" s="23">
        <f t="shared" si="89"/>
        <v>-8.0000000000000071E-3</v>
      </c>
      <c r="Z102" s="23">
        <f>(scatterplots_LWG_grazdays_CS!$V$5*$A102+scatterplots_LWG_grazdays_CS!$W$5)/1000+Z101</f>
        <v>8.3859999999999975</v>
      </c>
      <c r="AA102" s="23">
        <f t="shared" si="81"/>
        <v>8.7859999999999978</v>
      </c>
      <c r="AB102" s="23">
        <f t="shared" si="82"/>
        <v>9.1859999999999982</v>
      </c>
      <c r="AC102" s="23">
        <f t="shared" si="83"/>
        <v>9.5859999999999985</v>
      </c>
      <c r="AD102" s="23">
        <f>(scatterplots_LWG_grazdays_CS!$V$6*$A102+scatterplots_LWG_grazdays_CS!$W$6)/1000</f>
        <v>-0.214</v>
      </c>
      <c r="AE102" s="23">
        <f t="shared" si="58"/>
        <v>-0.17399999999999999</v>
      </c>
      <c r="AF102" s="23">
        <f t="shared" si="67"/>
        <v>-0.13400000000000001</v>
      </c>
      <c r="AG102" s="23">
        <f t="shared" si="67"/>
        <v>-9.4E-2</v>
      </c>
      <c r="AH102" s="23">
        <f>(scatterplots_LWG_grazdays_CS!$V$6*$A102+scatterplots_LWG_grazdays_CS!$W$6)/1000+AH101</f>
        <v>4.0430000000000064</v>
      </c>
      <c r="AI102" s="23">
        <f t="shared" si="76"/>
        <v>4.4430000000000067</v>
      </c>
      <c r="AJ102" s="23">
        <f t="shared" si="84"/>
        <v>4.8430000000000071</v>
      </c>
      <c r="AK102" s="23">
        <f t="shared" si="85"/>
        <v>5.2430000000000065</v>
      </c>
    </row>
    <row r="103" spans="1:37">
      <c r="A103" s="12">
        <v>101</v>
      </c>
      <c r="B103" s="12">
        <v>12</v>
      </c>
      <c r="C103" s="23">
        <f>(scatterplots_LWG_grazdays_CS!$V$3*$A103+scatterplots_LWG_grazdays_CS!$W$3)/1000</f>
        <v>1.3160000000000026E-2</v>
      </c>
      <c r="D103" s="23">
        <f t="shared" si="87"/>
        <v>5.3160000000000027E-2</v>
      </c>
      <c r="E103" s="23">
        <f t="shared" si="87"/>
        <v>9.3160000000000021E-2</v>
      </c>
      <c r="F103" s="23">
        <f t="shared" si="87"/>
        <v>0.13316000000000003</v>
      </c>
      <c r="G103" s="23">
        <f>(scatterplots_LWG_grazdays_CS!$V$3*$A103+scatterplots_LWG_grazdays_CS!$W$3)/1000+G102</f>
        <v>15.671160000000004</v>
      </c>
      <c r="H103" s="23">
        <f t="shared" si="86"/>
        <v>16.151160000000004</v>
      </c>
      <c r="I103" s="23">
        <f t="shared" si="50"/>
        <v>17.951160000000002</v>
      </c>
      <c r="J103" s="23">
        <f t="shared" si="88"/>
        <v>18.951160000000002</v>
      </c>
      <c r="K103" s="23">
        <f t="shared" si="65"/>
        <v>19.351160000000004</v>
      </c>
      <c r="L103" s="23">
        <f t="shared" si="72"/>
        <v>16.631160000000005</v>
      </c>
      <c r="M103" s="23">
        <f t="shared" si="73"/>
        <v>17.111160000000002</v>
      </c>
      <c r="N103" s="23">
        <f>(scatterplots_LWG_grazdays_CS!$V$4*$A103+scatterplots_LWG_grazdays_CS!$W$4)/1000</f>
        <v>-7.7740000000000004E-2</v>
      </c>
      <c r="O103" s="23">
        <f t="shared" si="55"/>
        <v>-3.7740000000000003E-2</v>
      </c>
      <c r="P103" s="23">
        <f t="shared" si="55"/>
        <v>2.2599999999999981E-3</v>
      </c>
      <c r="Q103" s="23">
        <f t="shared" si="55"/>
        <v>4.2259999999999992E-2</v>
      </c>
      <c r="R103" s="23">
        <f>(scatterplots_LWG_grazdays_CS!$V$4*$A103+scatterplots_LWG_grazdays_CS!$W$4)/1000+R102</f>
        <v>11.035259999999997</v>
      </c>
      <c r="S103" s="23">
        <f t="shared" si="78"/>
        <v>11.475259999999997</v>
      </c>
      <c r="T103" s="23">
        <f t="shared" si="79"/>
        <v>11.915259999999998</v>
      </c>
      <c r="U103" s="23">
        <f t="shared" si="80"/>
        <v>12.355259999999998</v>
      </c>
      <c r="V103" s="23">
        <f>(scatterplots_LWG_grazdays_CS!$V$5*$A103+scatterplots_LWG_grazdays_CS!$W$5)/1000</f>
        <v>-0.13228000000000004</v>
      </c>
      <c r="W103" s="23">
        <f t="shared" si="56"/>
        <v>-9.2280000000000029E-2</v>
      </c>
      <c r="X103" s="23">
        <f t="shared" si="89"/>
        <v>-5.2280000000000035E-2</v>
      </c>
      <c r="Y103" s="23">
        <f t="shared" si="89"/>
        <v>-1.2280000000000041E-2</v>
      </c>
      <c r="Z103" s="23">
        <f>(scatterplots_LWG_grazdays_CS!$V$5*$A103+scatterplots_LWG_grazdays_CS!$W$5)/1000+Z102</f>
        <v>8.2537199999999977</v>
      </c>
      <c r="AA103" s="23">
        <f t="shared" si="81"/>
        <v>8.6937199999999972</v>
      </c>
      <c r="AB103" s="23">
        <f t="shared" si="82"/>
        <v>9.1337199999999985</v>
      </c>
      <c r="AC103" s="23">
        <f t="shared" si="83"/>
        <v>9.573719999999998</v>
      </c>
      <c r="AD103" s="23">
        <f>(scatterplots_LWG_grazdays_CS!$V$6*$A103+scatterplots_LWG_grazdays_CS!$W$6)/1000</f>
        <v>-0.21913999999999997</v>
      </c>
      <c r="AE103" s="23">
        <f t="shared" si="58"/>
        <v>-0.17913999999999997</v>
      </c>
      <c r="AF103" s="23">
        <f t="shared" si="67"/>
        <v>-0.13913999999999999</v>
      </c>
      <c r="AG103" s="23">
        <f t="shared" si="67"/>
        <v>-9.9139999999999978E-2</v>
      </c>
      <c r="AH103" s="23">
        <f>(scatterplots_LWG_grazdays_CS!$V$6*$A103+scatterplots_LWG_grazdays_CS!$W$6)/1000+AH102</f>
        <v>3.8238600000000065</v>
      </c>
      <c r="AI103" s="23">
        <f t="shared" si="76"/>
        <v>4.2638600000000064</v>
      </c>
      <c r="AJ103" s="23">
        <f t="shared" si="84"/>
        <v>4.7038600000000068</v>
      </c>
      <c r="AK103" s="23">
        <f t="shared" si="85"/>
        <v>5.1438600000000063</v>
      </c>
    </row>
    <row r="104" spans="1:37">
      <c r="A104" s="12">
        <v>102</v>
      </c>
      <c r="B104" s="12">
        <v>13</v>
      </c>
      <c r="C104" s="23">
        <f>(scatterplots_LWG_grazdays_CS!$V$3*$A104+scatterplots_LWG_grazdays_CS!$W$3)/1000</f>
        <v>1.0319999999999992E-2</v>
      </c>
      <c r="D104" s="23">
        <f t="shared" si="87"/>
        <v>5.031999999999999E-2</v>
      </c>
      <c r="E104" s="23">
        <f t="shared" si="87"/>
        <v>9.0319999999999998E-2</v>
      </c>
      <c r="F104" s="23">
        <f t="shared" si="87"/>
        <v>0.13031999999999999</v>
      </c>
      <c r="G104" s="23">
        <f>(scatterplots_LWG_grazdays_CS!$V$3*$A104+scatterplots_LWG_grazdays_CS!$W$3)/1000+G103</f>
        <v>15.681480000000004</v>
      </c>
      <c r="H104" s="23">
        <f t="shared" si="86"/>
        <v>16.201480000000004</v>
      </c>
      <c r="I104" s="23">
        <f t="shared" si="50"/>
        <v>18.001480000000001</v>
      </c>
      <c r="J104" s="23">
        <f t="shared" si="88"/>
        <v>19.001480000000001</v>
      </c>
      <c r="K104" s="23">
        <f t="shared" si="65"/>
        <v>19.401480000000003</v>
      </c>
      <c r="L104" s="23">
        <f t="shared" si="72"/>
        <v>16.721480000000003</v>
      </c>
      <c r="M104" s="23">
        <f t="shared" si="73"/>
        <v>17.241480000000003</v>
      </c>
      <c r="N104" s="23">
        <f>(scatterplots_LWG_grazdays_CS!$V$4*$A104+scatterplots_LWG_grazdays_CS!$W$4)/1000</f>
        <v>-8.1480000000000025E-2</v>
      </c>
      <c r="O104" s="23">
        <f t="shared" si="55"/>
        <v>-4.1480000000000024E-2</v>
      </c>
      <c r="P104" s="23">
        <f t="shared" si="55"/>
        <v>-1.480000000000023E-3</v>
      </c>
      <c r="Q104" s="23">
        <f t="shared" si="55"/>
        <v>3.8519999999999971E-2</v>
      </c>
      <c r="R104" s="23">
        <f>(scatterplots_LWG_grazdays_CS!$V$4*$A104+scatterplots_LWG_grazdays_CS!$W$4)/1000+R103</f>
        <v>10.953779999999997</v>
      </c>
      <c r="S104" s="23">
        <f t="shared" si="78"/>
        <v>11.433779999999997</v>
      </c>
      <c r="T104" s="23">
        <f t="shared" si="79"/>
        <v>11.913779999999997</v>
      </c>
      <c r="U104" s="23">
        <f t="shared" si="80"/>
        <v>12.393779999999998</v>
      </c>
      <c r="V104" s="23">
        <f>(scatterplots_LWG_grazdays_CS!$V$5*$A104+scatterplots_LWG_grazdays_CS!$W$5)/1000</f>
        <v>-0.13656000000000001</v>
      </c>
      <c r="W104" s="23">
        <f t="shared" si="56"/>
        <v>-9.6560000000000007E-2</v>
      </c>
      <c r="X104" s="23">
        <f t="shared" si="89"/>
        <v>-5.6560000000000013E-2</v>
      </c>
      <c r="Y104" s="23">
        <f t="shared" si="89"/>
        <v>-1.6560000000000019E-2</v>
      </c>
      <c r="Z104" s="23">
        <f>(scatterplots_LWG_grazdays_CS!$V$5*$A104+scatterplots_LWG_grazdays_CS!$W$5)/1000+Z103</f>
        <v>8.1171599999999984</v>
      </c>
      <c r="AA104" s="23">
        <f t="shared" si="81"/>
        <v>8.597159999999997</v>
      </c>
      <c r="AB104" s="23">
        <f t="shared" si="82"/>
        <v>9.0771599999999992</v>
      </c>
      <c r="AC104" s="23">
        <f t="shared" si="83"/>
        <v>9.5571599999999979</v>
      </c>
      <c r="AD104" s="23">
        <f>(scatterplots_LWG_grazdays_CS!$V$6*$A104+scatterplots_LWG_grazdays_CS!$W$6)/1000</f>
        <v>-0.22427999999999998</v>
      </c>
      <c r="AE104" s="23">
        <f t="shared" si="58"/>
        <v>-0.18427999999999997</v>
      </c>
      <c r="AF104" s="23">
        <f t="shared" si="67"/>
        <v>-0.14427999999999996</v>
      </c>
      <c r="AG104" s="23">
        <f t="shared" si="67"/>
        <v>-0.10427999999999998</v>
      </c>
      <c r="AH104" s="23">
        <f>(scatterplots_LWG_grazdays_CS!$V$6*$A104+scatterplots_LWG_grazdays_CS!$W$6)/1000+AH103</f>
        <v>3.5995800000000067</v>
      </c>
      <c r="AI104" s="23">
        <f t="shared" si="76"/>
        <v>4.0795800000000062</v>
      </c>
      <c r="AJ104" s="23">
        <f t="shared" si="84"/>
        <v>4.5595800000000066</v>
      </c>
      <c r="AK104" s="23">
        <f t="shared" si="85"/>
        <v>5.0395800000000062</v>
      </c>
    </row>
    <row r="105" spans="1:37">
      <c r="A105" s="12">
        <v>103</v>
      </c>
      <c r="B105" s="12">
        <v>14</v>
      </c>
      <c r="C105" s="23">
        <f>(scatterplots_LWG_grazdays_CS!$V$3*$A105+scatterplots_LWG_grazdays_CS!$W$3)/1000</f>
        <v>7.4800000000000179E-3</v>
      </c>
      <c r="D105" s="23">
        <f t="shared" si="87"/>
        <v>4.7480000000000022E-2</v>
      </c>
      <c r="E105" s="23">
        <f t="shared" si="87"/>
        <v>8.7480000000000016E-2</v>
      </c>
      <c r="F105" s="23">
        <f t="shared" si="87"/>
        <v>0.12748000000000001</v>
      </c>
      <c r="G105" s="23">
        <f>(scatterplots_LWG_grazdays_CS!$V$3*$A105+scatterplots_LWG_grazdays_CS!$W$3)/1000+G104</f>
        <v>15.688960000000003</v>
      </c>
      <c r="H105" s="23">
        <f t="shared" si="86"/>
        <v>16.248960000000004</v>
      </c>
      <c r="I105" s="23">
        <f t="shared" si="50"/>
        <v>18.048960000000001</v>
      </c>
      <c r="J105" s="23">
        <f t="shared" si="88"/>
        <v>19.048960000000001</v>
      </c>
      <c r="K105" s="23">
        <f t="shared" si="65"/>
        <v>19.448960000000003</v>
      </c>
      <c r="L105" s="23">
        <f t="shared" si="72"/>
        <v>16.808960000000003</v>
      </c>
      <c r="M105" s="23">
        <f t="shared" si="73"/>
        <v>17.368960000000001</v>
      </c>
      <c r="N105" s="23">
        <f>(scatterplots_LWG_grazdays_CS!$V$4*$A105+scatterplots_LWG_grazdays_CS!$W$4)/1000</f>
        <v>-8.5220000000000032E-2</v>
      </c>
      <c r="O105" s="23">
        <f t="shared" si="55"/>
        <v>-4.5220000000000031E-2</v>
      </c>
      <c r="P105" s="23">
        <f t="shared" si="55"/>
        <v>-5.2200000000000302E-3</v>
      </c>
      <c r="Q105" s="23">
        <f t="shared" si="55"/>
        <v>3.4779999999999964E-2</v>
      </c>
      <c r="R105" s="23">
        <f>(scatterplots_LWG_grazdays_CS!$V$4*$A105+scatterplots_LWG_grazdays_CS!$W$4)/1000+R104</f>
        <v>10.868559999999997</v>
      </c>
      <c r="S105" s="23">
        <f t="shared" si="78"/>
        <v>11.388559999999996</v>
      </c>
      <c r="T105" s="23">
        <f t="shared" si="79"/>
        <v>11.908559999999998</v>
      </c>
      <c r="U105" s="23">
        <f t="shared" si="80"/>
        <v>12.428559999999997</v>
      </c>
      <c r="V105" s="23">
        <f>(scatterplots_LWG_grazdays_CS!$V$5*$A105+scatterplots_LWG_grazdays_CS!$W$5)/1000</f>
        <v>-0.14084000000000002</v>
      </c>
      <c r="W105" s="23">
        <f t="shared" si="56"/>
        <v>-0.10084000000000001</v>
      </c>
      <c r="X105" s="23">
        <f t="shared" si="89"/>
        <v>-6.0840000000000019E-2</v>
      </c>
      <c r="Y105" s="23">
        <f t="shared" si="89"/>
        <v>-2.0840000000000025E-2</v>
      </c>
      <c r="Z105" s="23">
        <f>(scatterplots_LWG_grazdays_CS!$V$5*$A105+scatterplots_LWG_grazdays_CS!$W$5)/1000+Z104</f>
        <v>7.9763199999999985</v>
      </c>
      <c r="AA105" s="23">
        <f t="shared" si="81"/>
        <v>8.4963199999999972</v>
      </c>
      <c r="AB105" s="23">
        <f t="shared" si="82"/>
        <v>9.0163199999999986</v>
      </c>
      <c r="AC105" s="23">
        <f t="shared" si="83"/>
        <v>9.5363199999999981</v>
      </c>
      <c r="AD105" s="23">
        <f>(scatterplots_LWG_grazdays_CS!$V$6*$A105+scatterplots_LWG_grazdays_CS!$W$6)/1000</f>
        <v>-0.22941999999999996</v>
      </c>
      <c r="AE105" s="23">
        <f t="shared" si="58"/>
        <v>-0.18941999999999995</v>
      </c>
      <c r="AF105" s="23">
        <f t="shared" si="67"/>
        <v>-0.14941999999999994</v>
      </c>
      <c r="AG105" s="23">
        <f t="shared" si="67"/>
        <v>-0.10941999999999996</v>
      </c>
      <c r="AH105" s="23">
        <f>(scatterplots_LWG_grazdays_CS!$V$6*$A105+scatterplots_LWG_grazdays_CS!$W$6)/1000+AH104</f>
        <v>3.3701600000000065</v>
      </c>
      <c r="AI105" s="23">
        <f t="shared" si="76"/>
        <v>3.8901600000000061</v>
      </c>
      <c r="AJ105" s="23">
        <f t="shared" si="84"/>
        <v>4.4101600000000065</v>
      </c>
      <c r="AK105" s="23">
        <f t="shared" si="85"/>
        <v>4.9301600000000061</v>
      </c>
    </row>
    <row r="106" spans="1:37">
      <c r="A106" s="12">
        <v>104</v>
      </c>
      <c r="B106" s="12">
        <v>15</v>
      </c>
      <c r="C106" s="23">
        <f>(scatterplots_LWG_grazdays_CS!$V$3*$A106+scatterplots_LWG_grazdays_CS!$W$3)/1000</f>
        <v>4.6399999999999861E-3</v>
      </c>
      <c r="D106" s="23">
        <f t="shared" si="87"/>
        <v>4.4639999999999985E-2</v>
      </c>
      <c r="E106" s="23">
        <f t="shared" si="87"/>
        <v>8.4639999999999993E-2</v>
      </c>
      <c r="F106" s="23">
        <f t="shared" si="87"/>
        <v>0.12463999999999999</v>
      </c>
      <c r="G106" s="23">
        <f>(scatterplots_LWG_grazdays_CS!$V$3*$A106+scatterplots_LWG_grazdays_CS!$W$3)/1000+G105</f>
        <v>15.693600000000004</v>
      </c>
      <c r="H106" s="23">
        <f t="shared" si="86"/>
        <v>16.293600000000005</v>
      </c>
      <c r="I106" s="23">
        <f t="shared" si="50"/>
        <v>18.093600000000002</v>
      </c>
      <c r="J106" s="23">
        <f t="shared" si="88"/>
        <v>19.093600000000002</v>
      </c>
      <c r="K106" s="23">
        <f t="shared" si="65"/>
        <v>19.493600000000004</v>
      </c>
      <c r="L106" s="23">
        <f t="shared" si="72"/>
        <v>16.893600000000003</v>
      </c>
      <c r="M106" s="23">
        <f t="shared" si="73"/>
        <v>17.493600000000001</v>
      </c>
      <c r="N106" s="23">
        <f>(scatterplots_LWG_grazdays_CS!$V$4*$A106+scatterplots_LWG_grazdays_CS!$W$4)/1000</f>
        <v>-8.8960000000000039E-2</v>
      </c>
      <c r="O106" s="23">
        <f t="shared" si="55"/>
        <v>-4.8960000000000038E-2</v>
      </c>
      <c r="P106" s="23">
        <f t="shared" si="55"/>
        <v>-8.9600000000000374E-3</v>
      </c>
      <c r="Q106" s="23">
        <f t="shared" si="55"/>
        <v>3.1039999999999957E-2</v>
      </c>
      <c r="R106" s="23">
        <f>(scatterplots_LWG_grazdays_CS!$V$4*$A106+scatterplots_LWG_grazdays_CS!$W$4)/1000+R105</f>
        <v>10.779599999999997</v>
      </c>
      <c r="S106" s="23">
        <f t="shared" si="78"/>
        <v>11.339599999999997</v>
      </c>
      <c r="T106" s="23">
        <f t="shared" si="79"/>
        <v>11.899599999999998</v>
      </c>
      <c r="U106" s="23">
        <f t="shared" si="80"/>
        <v>12.459599999999998</v>
      </c>
      <c r="V106" s="23">
        <f>(scatterplots_LWG_grazdays_CS!$V$5*$A106+scatterplots_LWG_grazdays_CS!$W$5)/1000</f>
        <v>-0.14512</v>
      </c>
      <c r="W106" s="23">
        <f t="shared" si="56"/>
        <v>-0.10511999999999999</v>
      </c>
      <c r="X106" s="23">
        <f t="shared" si="89"/>
        <v>-6.5119999999999997E-2</v>
      </c>
      <c r="Y106" s="23">
        <f t="shared" si="89"/>
        <v>-2.5120000000000003E-2</v>
      </c>
      <c r="Z106" s="23">
        <f>(scatterplots_LWG_grazdays_CS!$V$5*$A106+scatterplots_LWG_grazdays_CS!$W$5)/1000+Z105</f>
        <v>7.8311999999999982</v>
      </c>
      <c r="AA106" s="23">
        <f t="shared" si="81"/>
        <v>8.3911999999999978</v>
      </c>
      <c r="AB106" s="23">
        <f t="shared" si="82"/>
        <v>8.9511999999999983</v>
      </c>
      <c r="AC106" s="23">
        <f t="shared" si="83"/>
        <v>9.5111999999999988</v>
      </c>
      <c r="AD106" s="23">
        <f>(scatterplots_LWG_grazdays_CS!$V$6*$A106+scatterplots_LWG_grazdays_CS!$W$6)/1000</f>
        <v>-0.23455999999999994</v>
      </c>
      <c r="AE106" s="23">
        <f t="shared" si="58"/>
        <v>-0.19455999999999993</v>
      </c>
      <c r="AF106" s="23">
        <f t="shared" si="67"/>
        <v>-0.15455999999999992</v>
      </c>
      <c r="AG106" s="23">
        <f t="shared" si="67"/>
        <v>-0.11455999999999994</v>
      </c>
      <c r="AH106" s="23">
        <f>(scatterplots_LWG_grazdays_CS!$V$6*$A106+scatterplots_LWG_grazdays_CS!$W$6)/1000+AH105</f>
        <v>3.1356000000000064</v>
      </c>
      <c r="AI106" s="23">
        <f t="shared" si="76"/>
        <v>3.695600000000006</v>
      </c>
      <c r="AJ106" s="23">
        <f t="shared" si="84"/>
        <v>4.2556000000000065</v>
      </c>
      <c r="AK106" s="23">
        <f t="shared" si="85"/>
        <v>4.8156000000000061</v>
      </c>
    </row>
    <row r="107" spans="1:37">
      <c r="A107" s="12">
        <v>105</v>
      </c>
      <c r="B107" s="12">
        <v>16</v>
      </c>
      <c r="C107" s="23">
        <f>(scatterplots_LWG_grazdays_CS!$V$3*$A107+scatterplots_LWG_grazdays_CS!$W$3)/1000</f>
        <v>1.8000000000000114E-3</v>
      </c>
      <c r="D107" s="23">
        <f t="shared" si="87"/>
        <v>4.1800000000000011E-2</v>
      </c>
      <c r="E107" s="23">
        <f t="shared" si="87"/>
        <v>8.1800000000000012E-2</v>
      </c>
      <c r="F107" s="23">
        <f t="shared" si="87"/>
        <v>0.12180000000000001</v>
      </c>
      <c r="G107" s="23">
        <f>(scatterplots_LWG_grazdays_CS!$V$3*$A107+scatterplots_LWG_grazdays_CS!$W$3)/1000+G106</f>
        <v>15.695400000000003</v>
      </c>
      <c r="H107" s="23">
        <f t="shared" si="86"/>
        <v>16.335400000000003</v>
      </c>
      <c r="I107" s="23">
        <f t="shared" si="50"/>
        <v>18.135400000000001</v>
      </c>
      <c r="J107" s="23">
        <f t="shared" si="88"/>
        <v>19.135400000000001</v>
      </c>
      <c r="K107" s="23">
        <f t="shared" si="65"/>
        <v>19.535400000000003</v>
      </c>
      <c r="L107" s="23">
        <f t="shared" si="72"/>
        <v>16.975400000000004</v>
      </c>
      <c r="M107" s="23">
        <f t="shared" si="73"/>
        <v>17.615400000000001</v>
      </c>
      <c r="N107" s="23">
        <f>(scatterplots_LWG_grazdays_CS!$V$4*$A107+scatterplots_LWG_grazdays_CS!$W$4)/1000</f>
        <v>-9.2700000000000046E-2</v>
      </c>
      <c r="O107" s="23">
        <f t="shared" si="55"/>
        <v>-5.2700000000000045E-2</v>
      </c>
      <c r="P107" s="23">
        <f t="shared" si="55"/>
        <v>-1.2700000000000045E-2</v>
      </c>
      <c r="Q107" s="23">
        <f t="shared" si="55"/>
        <v>2.7299999999999949E-2</v>
      </c>
      <c r="R107" s="23">
        <f>(scatterplots_LWG_grazdays_CS!$V$4*$A107+scatterplots_LWG_grazdays_CS!$W$4)/1000+R106</f>
        <v>10.686899999999996</v>
      </c>
      <c r="S107" s="23">
        <f t="shared" si="78"/>
        <v>11.286899999999997</v>
      </c>
      <c r="T107" s="23">
        <f t="shared" si="79"/>
        <v>11.886899999999997</v>
      </c>
      <c r="U107" s="23">
        <f t="shared" si="80"/>
        <v>12.486899999999999</v>
      </c>
      <c r="V107" s="23">
        <f>(scatterplots_LWG_grazdays_CS!$V$5*$A107+scatterplots_LWG_grazdays_CS!$W$5)/1000</f>
        <v>-0.14940000000000003</v>
      </c>
      <c r="W107" s="23">
        <f t="shared" si="56"/>
        <v>-0.10940000000000003</v>
      </c>
      <c r="X107" s="23">
        <f t="shared" si="89"/>
        <v>-6.9400000000000031E-2</v>
      </c>
      <c r="Y107" s="23">
        <f t="shared" si="89"/>
        <v>-2.9400000000000037E-2</v>
      </c>
      <c r="Z107" s="23">
        <f>(scatterplots_LWG_grazdays_CS!$V$5*$A107+scatterplots_LWG_grazdays_CS!$W$5)/1000+Z106</f>
        <v>7.6817999999999982</v>
      </c>
      <c r="AA107" s="23">
        <f t="shared" si="81"/>
        <v>8.2817999999999969</v>
      </c>
      <c r="AB107" s="23">
        <f t="shared" si="82"/>
        <v>8.8817999999999984</v>
      </c>
      <c r="AC107" s="23">
        <f t="shared" si="83"/>
        <v>9.481799999999998</v>
      </c>
      <c r="AD107" s="23">
        <f>(scatterplots_LWG_grazdays_CS!$V$6*$A107+scatterplots_LWG_grazdays_CS!$W$6)/1000</f>
        <v>-0.23969999999999994</v>
      </c>
      <c r="AE107" s="23">
        <f t="shared" si="58"/>
        <v>-0.19969999999999993</v>
      </c>
      <c r="AF107" s="23">
        <f t="shared" si="67"/>
        <v>-0.15969999999999995</v>
      </c>
      <c r="AG107" s="23">
        <f t="shared" si="67"/>
        <v>-0.11969999999999995</v>
      </c>
      <c r="AH107" s="23">
        <f>(scatterplots_LWG_grazdays_CS!$V$6*$A107+scatterplots_LWG_grazdays_CS!$W$6)/1000+AH106</f>
        <v>2.8959000000000064</v>
      </c>
      <c r="AI107" s="23">
        <f t="shared" si="76"/>
        <v>3.495900000000006</v>
      </c>
      <c r="AJ107" s="23">
        <f t="shared" si="84"/>
        <v>4.0959000000000065</v>
      </c>
      <c r="AK107" s="23">
        <f t="shared" si="85"/>
        <v>4.6959000000000062</v>
      </c>
    </row>
    <row r="108" spans="1:37">
      <c r="A108" s="12">
        <v>106</v>
      </c>
      <c r="B108" s="12">
        <v>17</v>
      </c>
      <c r="C108" s="23">
        <f>(scatterplots_LWG_grazdays_CS!$V$3*$A108+scatterplots_LWG_grazdays_CS!$W$3)/1000</f>
        <v>-1.0399999999999637E-3</v>
      </c>
      <c r="D108" s="23">
        <f t="shared" si="87"/>
        <v>3.8960000000000036E-2</v>
      </c>
      <c r="E108" s="23">
        <f t="shared" si="87"/>
        <v>7.8960000000000044E-2</v>
      </c>
      <c r="F108" s="23">
        <f t="shared" si="87"/>
        <v>0.11896000000000004</v>
      </c>
      <c r="G108" s="23">
        <f>(scatterplots_LWG_grazdays_CS!$V$3*$A108+scatterplots_LWG_grazdays_CS!$W$3)/1000+G107</f>
        <v>15.694360000000003</v>
      </c>
      <c r="H108" s="23">
        <f t="shared" si="86"/>
        <v>16.374360000000003</v>
      </c>
      <c r="I108" s="23">
        <f t="shared" si="50"/>
        <v>18.17436</v>
      </c>
      <c r="J108" s="23">
        <f t="shared" si="88"/>
        <v>19.17436</v>
      </c>
      <c r="K108" s="23">
        <f t="shared" si="65"/>
        <v>19.574360000000002</v>
      </c>
      <c r="L108" s="23">
        <f t="shared" si="72"/>
        <v>17.054360000000003</v>
      </c>
      <c r="M108" s="23">
        <f t="shared" si="73"/>
        <v>17.734360000000002</v>
      </c>
      <c r="N108" s="23">
        <f>(scatterplots_LWG_grazdays_CS!$V$4*$A108+scatterplots_LWG_grazdays_CS!$W$4)/1000</f>
        <v>-9.6439999999999998E-2</v>
      </c>
      <c r="O108" s="23">
        <f t="shared" si="55"/>
        <v>-5.6439999999999997E-2</v>
      </c>
      <c r="P108" s="23">
        <f t="shared" si="55"/>
        <v>-1.6439999999999996E-2</v>
      </c>
      <c r="Q108" s="23">
        <f t="shared" si="55"/>
        <v>2.3559999999999998E-2</v>
      </c>
      <c r="R108" s="23">
        <f>(scatterplots_LWG_grazdays_CS!$V$4*$A108+scatterplots_LWG_grazdays_CS!$W$4)/1000+R107</f>
        <v>10.590459999999997</v>
      </c>
      <c r="S108" s="23">
        <f t="shared" si="78"/>
        <v>11.230459999999997</v>
      </c>
      <c r="T108" s="23">
        <f t="shared" si="79"/>
        <v>11.870459999999998</v>
      </c>
      <c r="U108" s="23">
        <f t="shared" si="80"/>
        <v>12.510459999999998</v>
      </c>
      <c r="V108" s="23">
        <f>(scatterplots_LWG_grazdays_CS!$V$5*$A108+scatterplots_LWG_grazdays_CS!$W$5)/1000</f>
        <v>-0.15368000000000001</v>
      </c>
      <c r="W108" s="23">
        <f t="shared" si="56"/>
        <v>-0.11368</v>
      </c>
      <c r="X108" s="23">
        <f t="shared" si="89"/>
        <v>-7.3680000000000009E-2</v>
      </c>
      <c r="Y108" s="23">
        <f t="shared" si="89"/>
        <v>-3.3680000000000015E-2</v>
      </c>
      <c r="Z108" s="23">
        <f>(scatterplots_LWG_grazdays_CS!$V$5*$A108+scatterplots_LWG_grazdays_CS!$W$5)/1000+Z107</f>
        <v>7.5281199999999986</v>
      </c>
      <c r="AA108" s="23">
        <f t="shared" si="81"/>
        <v>8.1681199999999965</v>
      </c>
      <c r="AB108" s="23">
        <f t="shared" si="82"/>
        <v>8.8081199999999988</v>
      </c>
      <c r="AC108" s="23">
        <f t="shared" si="83"/>
        <v>9.4481199999999976</v>
      </c>
      <c r="AD108" s="23">
        <f>(scatterplots_LWG_grazdays_CS!$V$6*$A108+scatterplots_LWG_grazdays_CS!$W$6)/1000</f>
        <v>-0.24483999999999992</v>
      </c>
      <c r="AE108" s="23">
        <f t="shared" si="58"/>
        <v>-0.20483999999999991</v>
      </c>
      <c r="AF108" s="23">
        <f t="shared" si="67"/>
        <v>-0.16483999999999993</v>
      </c>
      <c r="AG108" s="23">
        <f t="shared" si="67"/>
        <v>-0.12483999999999992</v>
      </c>
      <c r="AH108" s="23">
        <f>(scatterplots_LWG_grazdays_CS!$V$6*$A108+scatterplots_LWG_grazdays_CS!$W$6)/1000+AH107</f>
        <v>2.6510600000000064</v>
      </c>
      <c r="AI108" s="23">
        <f t="shared" si="76"/>
        <v>3.2910600000000061</v>
      </c>
      <c r="AJ108" s="23">
        <f t="shared" si="84"/>
        <v>3.9310600000000067</v>
      </c>
      <c r="AK108" s="23">
        <f t="shared" si="85"/>
        <v>4.5710600000000063</v>
      </c>
    </row>
    <row r="109" spans="1:37">
      <c r="A109" s="12">
        <v>107</v>
      </c>
      <c r="B109" s="12">
        <v>18</v>
      </c>
      <c r="C109" s="23">
        <f>(scatterplots_LWG_grazdays_CS!$V$3*$A109+scatterplots_LWG_grazdays_CS!$W$3)/1000</f>
        <v>-3.8799999999999954E-3</v>
      </c>
      <c r="D109" s="23">
        <f t="shared" si="87"/>
        <v>3.6120000000000006E-2</v>
      </c>
      <c r="E109" s="23">
        <f t="shared" si="87"/>
        <v>7.6120000000000007E-2</v>
      </c>
      <c r="F109" s="23">
        <f t="shared" si="87"/>
        <v>0.11612</v>
      </c>
      <c r="G109" s="23">
        <f>(scatterplots_LWG_grazdays_CS!$V$3*$A109+scatterplots_LWG_grazdays_CS!$W$3)/1000+G108</f>
        <v>15.690480000000003</v>
      </c>
      <c r="H109" s="23">
        <f t="shared" si="86"/>
        <v>16.410480000000003</v>
      </c>
      <c r="I109" s="23">
        <f t="shared" si="50"/>
        <v>18.21048</v>
      </c>
      <c r="J109" s="23">
        <f t="shared" si="88"/>
        <v>19.21048</v>
      </c>
      <c r="K109" s="23">
        <f t="shared" si="65"/>
        <v>19.610480000000003</v>
      </c>
      <c r="L109" s="23">
        <f t="shared" si="72"/>
        <v>17.130480000000002</v>
      </c>
      <c r="M109" s="23">
        <f t="shared" si="73"/>
        <v>17.850480000000001</v>
      </c>
      <c r="N109" s="23">
        <f>(scatterplots_LWG_grazdays_CS!$V$4*$A109+scatterplots_LWG_grazdays_CS!$W$4)/1000</f>
        <v>-0.10018000000000001</v>
      </c>
      <c r="O109" s="23">
        <f t="shared" si="55"/>
        <v>-6.0180000000000004E-2</v>
      </c>
      <c r="P109" s="23">
        <f t="shared" si="55"/>
        <v>-2.0180000000000003E-2</v>
      </c>
      <c r="Q109" s="23">
        <f t="shared" si="55"/>
        <v>1.981999999999999E-2</v>
      </c>
      <c r="R109" s="23">
        <f>(scatterplots_LWG_grazdays_CS!$V$4*$A109+scatterplots_LWG_grazdays_CS!$W$4)/1000+R108</f>
        <v>10.490279999999997</v>
      </c>
      <c r="S109" s="23">
        <f t="shared" si="78"/>
        <v>11.170279999999996</v>
      </c>
      <c r="T109" s="23">
        <f t="shared" si="79"/>
        <v>11.850279999999998</v>
      </c>
      <c r="U109" s="23">
        <f t="shared" si="80"/>
        <v>12.530279999999998</v>
      </c>
      <c r="V109" s="23">
        <f>(scatterplots_LWG_grazdays_CS!$V$5*$A109+scatterplots_LWG_grazdays_CS!$W$5)/1000</f>
        <v>-0.15796000000000004</v>
      </c>
      <c r="W109" s="23">
        <f t="shared" si="56"/>
        <v>-0.11796000000000004</v>
      </c>
      <c r="X109" s="23">
        <f t="shared" si="89"/>
        <v>-7.7960000000000043E-2</v>
      </c>
      <c r="Y109" s="23">
        <f t="shared" si="89"/>
        <v>-3.7960000000000049E-2</v>
      </c>
      <c r="Z109" s="23">
        <f>(scatterplots_LWG_grazdays_CS!$V$5*$A109+scatterplots_LWG_grazdays_CS!$W$5)/1000+Z108</f>
        <v>7.3701599999999985</v>
      </c>
      <c r="AA109" s="23">
        <f t="shared" si="81"/>
        <v>8.0501599999999964</v>
      </c>
      <c r="AB109" s="23">
        <f t="shared" si="82"/>
        <v>8.7301599999999979</v>
      </c>
      <c r="AC109" s="23">
        <f t="shared" si="83"/>
        <v>9.4101599999999976</v>
      </c>
      <c r="AD109" s="23">
        <f>(scatterplots_LWG_grazdays_CS!$V$6*$A109+scatterplots_LWG_grazdays_CS!$W$6)/1000</f>
        <v>-0.24998000000000001</v>
      </c>
      <c r="AE109" s="23">
        <f t="shared" si="58"/>
        <v>-0.20998</v>
      </c>
      <c r="AF109" s="23">
        <f t="shared" si="67"/>
        <v>-0.16998000000000002</v>
      </c>
      <c r="AG109" s="23">
        <f t="shared" si="67"/>
        <v>-0.12998000000000001</v>
      </c>
      <c r="AH109" s="23">
        <f>(scatterplots_LWG_grazdays_CS!$V$6*$A109+scatterplots_LWG_grazdays_CS!$W$6)/1000+AH108</f>
        <v>2.4010800000000065</v>
      </c>
      <c r="AI109" s="23">
        <f t="shared" si="76"/>
        <v>3.0810800000000063</v>
      </c>
      <c r="AJ109" s="23">
        <f t="shared" si="84"/>
        <v>3.7610800000000069</v>
      </c>
      <c r="AK109" s="23">
        <f t="shared" si="85"/>
        <v>4.4410800000000066</v>
      </c>
    </row>
    <row r="110" spans="1:37">
      <c r="A110" s="12">
        <v>108</v>
      </c>
      <c r="B110" s="12">
        <v>19</v>
      </c>
      <c r="C110" s="23">
        <f>(scatterplots_LWG_grazdays_CS!$V$3*$A110+scatterplots_LWG_grazdays_CS!$W$3)/1000</f>
        <v>-6.7199999999999708E-3</v>
      </c>
      <c r="D110" s="23">
        <f t="shared" si="87"/>
        <v>3.3280000000000032E-2</v>
      </c>
      <c r="E110" s="23">
        <f t="shared" si="87"/>
        <v>7.3280000000000026E-2</v>
      </c>
      <c r="F110" s="23">
        <f t="shared" si="87"/>
        <v>0.11328000000000002</v>
      </c>
      <c r="G110" s="23">
        <f>(scatterplots_LWG_grazdays_CS!$V$3*$A110+scatterplots_LWG_grazdays_CS!$W$3)/1000+G109</f>
        <v>15.683760000000003</v>
      </c>
      <c r="H110" s="23">
        <f t="shared" si="86"/>
        <v>16.443760000000005</v>
      </c>
      <c r="I110" s="23">
        <f t="shared" si="50"/>
        <v>18.243760000000002</v>
      </c>
      <c r="J110" s="23">
        <f t="shared" si="88"/>
        <v>19.243760000000002</v>
      </c>
      <c r="K110" s="23">
        <f t="shared" si="65"/>
        <v>19.643760000000004</v>
      </c>
      <c r="L110" s="23">
        <f t="shared" si="72"/>
        <v>17.203760000000003</v>
      </c>
      <c r="M110" s="23">
        <f t="shared" si="73"/>
        <v>17.963760000000001</v>
      </c>
      <c r="N110" s="23">
        <f>(scatterplots_LWG_grazdays_CS!$V$4*$A110+scatterplots_LWG_grazdays_CS!$W$4)/1000</f>
        <v>-0.10392000000000001</v>
      </c>
      <c r="O110" s="23">
        <f t="shared" si="55"/>
        <v>-6.3920000000000005E-2</v>
      </c>
      <c r="P110" s="23">
        <f t="shared" si="55"/>
        <v>-2.3920000000000011E-2</v>
      </c>
      <c r="Q110" s="23">
        <f t="shared" si="55"/>
        <v>1.6079999999999983E-2</v>
      </c>
      <c r="R110" s="23">
        <f>(scatterplots_LWG_grazdays_CS!$V$4*$A110+scatterplots_LWG_grazdays_CS!$W$4)/1000+R109</f>
        <v>10.386359999999996</v>
      </c>
      <c r="S110" s="23">
        <f t="shared" si="78"/>
        <v>11.106359999999997</v>
      </c>
      <c r="T110" s="23">
        <f t="shared" si="79"/>
        <v>11.826359999999998</v>
      </c>
      <c r="U110" s="23">
        <f t="shared" si="80"/>
        <v>12.546359999999998</v>
      </c>
      <c r="V110" s="23">
        <f>(scatterplots_LWG_grazdays_CS!$V$5*$A110+scatterplots_LWG_grazdays_CS!$W$5)/1000</f>
        <v>-0.16224</v>
      </c>
      <c r="W110" s="23">
        <f t="shared" si="56"/>
        <v>-0.12223999999999999</v>
      </c>
      <c r="X110" s="23">
        <f t="shared" si="89"/>
        <v>-8.2239999999999994E-2</v>
      </c>
      <c r="Y110" s="23">
        <f t="shared" si="89"/>
        <v>-4.224E-2</v>
      </c>
      <c r="Z110" s="23">
        <f>(scatterplots_LWG_grazdays_CS!$V$5*$A110+scatterplots_LWG_grazdays_CS!$W$5)/1000+Z109</f>
        <v>7.2079199999999988</v>
      </c>
      <c r="AA110" s="23">
        <f t="shared" si="81"/>
        <v>7.9279199999999967</v>
      </c>
      <c r="AB110" s="23">
        <f t="shared" si="82"/>
        <v>8.6479199999999974</v>
      </c>
      <c r="AC110" s="23">
        <f t="shared" si="83"/>
        <v>9.367919999999998</v>
      </c>
      <c r="AD110" s="23">
        <f>(scatterplots_LWG_grazdays_CS!$V$6*$A110+scatterplots_LWG_grazdays_CS!$W$6)/1000</f>
        <v>-0.25512000000000001</v>
      </c>
      <c r="AE110" s="23">
        <f t="shared" si="58"/>
        <v>-0.21512000000000001</v>
      </c>
      <c r="AF110" s="23">
        <f t="shared" si="67"/>
        <v>-0.17512</v>
      </c>
      <c r="AG110" s="23">
        <f t="shared" si="67"/>
        <v>-0.13512000000000002</v>
      </c>
      <c r="AH110" s="23">
        <f>(scatterplots_LWG_grazdays_CS!$V$6*$A110+scatterplots_LWG_grazdays_CS!$W$6)/1000+AH109</f>
        <v>2.1459600000000068</v>
      </c>
      <c r="AI110" s="23">
        <f t="shared" si="76"/>
        <v>2.8659600000000061</v>
      </c>
      <c r="AJ110" s="23">
        <f t="shared" si="84"/>
        <v>3.5859600000000067</v>
      </c>
      <c r="AK110" s="23">
        <f t="shared" si="85"/>
        <v>4.3059600000000069</v>
      </c>
    </row>
    <row r="111" spans="1:37">
      <c r="A111" s="12">
        <v>109</v>
      </c>
      <c r="B111" s="12">
        <v>20</v>
      </c>
      <c r="C111" s="23">
        <f>(scatterplots_LWG_grazdays_CS!$V$3*$A111+scatterplots_LWG_grazdays_CS!$W$3)/1000</f>
        <v>-9.5600000000000025E-3</v>
      </c>
      <c r="D111" s="23">
        <f t="shared" si="87"/>
        <v>3.0439999999999998E-2</v>
      </c>
      <c r="E111" s="23">
        <f t="shared" si="87"/>
        <v>7.0440000000000003E-2</v>
      </c>
      <c r="F111" s="23">
        <f t="shared" si="87"/>
        <v>0.11044</v>
      </c>
      <c r="G111" s="23">
        <f>(scatterplots_LWG_grazdays_CS!$V$3*$A111+scatterplots_LWG_grazdays_CS!$W$3)/1000+G110</f>
        <v>15.674200000000003</v>
      </c>
      <c r="H111" s="23">
        <f t="shared" si="86"/>
        <v>16.474200000000003</v>
      </c>
      <c r="I111" s="23">
        <f t="shared" si="50"/>
        <v>18.2742</v>
      </c>
      <c r="J111" s="23">
        <f t="shared" si="88"/>
        <v>19.2742</v>
      </c>
      <c r="K111" s="23">
        <f t="shared" si="65"/>
        <v>19.674200000000003</v>
      </c>
      <c r="L111" s="23">
        <f t="shared" si="72"/>
        <v>17.274200000000004</v>
      </c>
      <c r="M111" s="23">
        <f t="shared" si="73"/>
        <v>18.074200000000001</v>
      </c>
      <c r="N111" s="23">
        <f>(scatterplots_LWG_grazdays_CS!$V$4*$A111+scatterplots_LWG_grazdays_CS!$W$4)/1000</f>
        <v>-0.10766000000000002</v>
      </c>
      <c r="O111" s="23">
        <f t="shared" si="55"/>
        <v>-6.7660000000000026E-2</v>
      </c>
      <c r="P111" s="23">
        <f t="shared" si="55"/>
        <v>-2.7660000000000018E-2</v>
      </c>
      <c r="Q111" s="23">
        <f t="shared" si="55"/>
        <v>1.2339999999999976E-2</v>
      </c>
      <c r="R111" s="23">
        <f>(scatterplots_LWG_grazdays_CS!$V$4*$A111+scatterplots_LWG_grazdays_CS!$W$4)/1000+R110</f>
        <v>10.278699999999997</v>
      </c>
      <c r="S111" s="23">
        <f t="shared" si="78"/>
        <v>11.038699999999997</v>
      </c>
      <c r="T111" s="23">
        <f t="shared" si="79"/>
        <v>11.798699999999997</v>
      </c>
      <c r="U111" s="23">
        <f t="shared" si="80"/>
        <v>12.558699999999998</v>
      </c>
      <c r="V111" s="23">
        <f>(scatterplots_LWG_grazdays_CS!$V$5*$A111+scatterplots_LWG_grazdays_CS!$W$5)/1000</f>
        <v>-0.16652000000000003</v>
      </c>
      <c r="W111" s="23">
        <f t="shared" si="56"/>
        <v>-0.12652000000000002</v>
      </c>
      <c r="X111" s="23">
        <f t="shared" si="89"/>
        <v>-8.6520000000000027E-2</v>
      </c>
      <c r="Y111" s="23">
        <f t="shared" si="89"/>
        <v>-4.6520000000000034E-2</v>
      </c>
      <c r="Z111" s="23">
        <f>(scatterplots_LWG_grazdays_CS!$V$5*$A111+scatterplots_LWG_grazdays_CS!$W$5)/1000+Z110</f>
        <v>7.0413999999999985</v>
      </c>
      <c r="AA111" s="23">
        <f t="shared" si="81"/>
        <v>7.8013999999999966</v>
      </c>
      <c r="AB111" s="23">
        <f t="shared" si="82"/>
        <v>8.5613999999999972</v>
      </c>
      <c r="AC111" s="23">
        <f t="shared" si="83"/>
        <v>9.3213999999999988</v>
      </c>
      <c r="AD111" s="23">
        <f>(scatterplots_LWG_grazdays_CS!$V$6*$A111+scatterplots_LWG_grazdays_CS!$W$6)/1000</f>
        <v>-0.26025999999999999</v>
      </c>
      <c r="AE111" s="23">
        <f t="shared" si="58"/>
        <v>-0.22025999999999998</v>
      </c>
      <c r="AF111" s="23">
        <f t="shared" si="67"/>
        <v>-0.18025999999999998</v>
      </c>
      <c r="AG111" s="23">
        <f t="shared" si="67"/>
        <v>-0.14026</v>
      </c>
      <c r="AH111" s="23">
        <f>(scatterplots_LWG_grazdays_CS!$V$6*$A111+scatterplots_LWG_grazdays_CS!$W$6)/1000+AH110</f>
        <v>1.8857000000000068</v>
      </c>
      <c r="AI111" s="23">
        <f t="shared" si="76"/>
        <v>2.6457000000000059</v>
      </c>
      <c r="AJ111" s="23">
        <f t="shared" si="84"/>
        <v>3.4057000000000066</v>
      </c>
      <c r="AK111" s="23">
        <f t="shared" si="85"/>
        <v>4.1657000000000073</v>
      </c>
    </row>
    <row r="112" spans="1:37">
      <c r="A112" s="12">
        <v>110</v>
      </c>
      <c r="B112" s="12">
        <v>21</v>
      </c>
      <c r="C112" s="23">
        <f>(scatterplots_LWG_grazdays_CS!$V$3*$A112+scatterplots_LWG_grazdays_CS!$W$3)/1000</f>
        <v>-1.2399999999999977E-2</v>
      </c>
      <c r="D112" s="23">
        <f t="shared" si="87"/>
        <v>2.7600000000000024E-2</v>
      </c>
      <c r="E112" s="23">
        <f t="shared" si="87"/>
        <v>6.7600000000000021E-2</v>
      </c>
      <c r="F112" s="23">
        <f t="shared" si="87"/>
        <v>0.10760000000000002</v>
      </c>
      <c r="G112" s="23">
        <f>(scatterplots_LWG_grazdays_CS!$V$3*$A112+scatterplots_LWG_grazdays_CS!$W$3)/1000+G111</f>
        <v>15.661800000000003</v>
      </c>
      <c r="H112" s="23">
        <f t="shared" si="86"/>
        <v>16.501800000000003</v>
      </c>
      <c r="I112" s="23">
        <f t="shared" si="50"/>
        <v>18.3018</v>
      </c>
      <c r="J112" s="23">
        <f t="shared" si="88"/>
        <v>19.3018</v>
      </c>
      <c r="K112" s="23">
        <f t="shared" si="65"/>
        <v>19.701800000000002</v>
      </c>
      <c r="L112" s="23">
        <f t="shared" si="72"/>
        <v>17.341800000000003</v>
      </c>
      <c r="M112" s="23">
        <f t="shared" si="73"/>
        <v>18.181800000000003</v>
      </c>
      <c r="N112" s="23">
        <f>(scatterplots_LWG_grazdays_CS!$V$4*$A112+scatterplots_LWG_grazdays_CS!$W$4)/1000</f>
        <v>-0.11140000000000004</v>
      </c>
      <c r="O112" s="23">
        <f t="shared" si="55"/>
        <v>-7.1400000000000047E-2</v>
      </c>
      <c r="P112" s="23">
        <f t="shared" si="55"/>
        <v>-3.1400000000000039E-2</v>
      </c>
      <c r="Q112" s="23">
        <f t="shared" si="55"/>
        <v>8.5999999999999549E-3</v>
      </c>
      <c r="R112" s="23">
        <f>(scatterplots_LWG_grazdays_CS!$V$4*$A112+scatterplots_LWG_grazdays_CS!$W$4)/1000+R111</f>
        <v>10.167299999999997</v>
      </c>
      <c r="S112" s="23">
        <f t="shared" si="78"/>
        <v>10.967299999999996</v>
      </c>
      <c r="T112" s="23">
        <f t="shared" si="79"/>
        <v>11.767299999999997</v>
      </c>
      <c r="U112" s="23">
        <f t="shared" si="80"/>
        <v>12.567299999999998</v>
      </c>
      <c r="V112" s="23">
        <f>(scatterplots_LWG_grazdays_CS!$V$5*$A112+scatterplots_LWG_grazdays_CS!$W$5)/1000</f>
        <v>-0.17080000000000001</v>
      </c>
      <c r="W112" s="23">
        <f t="shared" si="56"/>
        <v>-0.1308</v>
      </c>
      <c r="X112" s="23">
        <f t="shared" si="89"/>
        <v>-9.0800000000000006E-2</v>
      </c>
      <c r="Y112" s="23">
        <f t="shared" si="89"/>
        <v>-5.0800000000000012E-2</v>
      </c>
      <c r="Z112" s="23">
        <f>(scatterplots_LWG_grazdays_CS!$V$5*$A112+scatterplots_LWG_grazdays_CS!$W$5)/1000+Z111</f>
        <v>6.8705999999999987</v>
      </c>
      <c r="AA112" s="23">
        <f t="shared" si="81"/>
        <v>7.6705999999999968</v>
      </c>
      <c r="AB112" s="23">
        <f t="shared" si="82"/>
        <v>8.4705999999999975</v>
      </c>
      <c r="AC112" s="23">
        <f t="shared" si="83"/>
        <v>9.2705999999999982</v>
      </c>
      <c r="AD112" s="23">
        <f>(scatterplots_LWG_grazdays_CS!$V$6*$A112+scatterplots_LWG_grazdays_CS!$W$6)/1000</f>
        <v>-0.26539999999999997</v>
      </c>
      <c r="AE112" s="23">
        <f t="shared" si="58"/>
        <v>-0.22539999999999996</v>
      </c>
      <c r="AF112" s="23">
        <f t="shared" si="67"/>
        <v>-0.18539999999999995</v>
      </c>
      <c r="AG112" s="23">
        <f t="shared" si="67"/>
        <v>-0.14539999999999997</v>
      </c>
      <c r="AH112" s="23">
        <f>(scatterplots_LWG_grazdays_CS!$V$6*$A112+scatterplots_LWG_grazdays_CS!$W$6)/1000+AH111</f>
        <v>1.620300000000007</v>
      </c>
      <c r="AI112" s="23">
        <f t="shared" si="76"/>
        <v>2.4203000000000059</v>
      </c>
      <c r="AJ112" s="23">
        <f t="shared" si="84"/>
        <v>3.2203000000000066</v>
      </c>
      <c r="AK112" s="23">
        <f t="shared" si="85"/>
        <v>4.0203000000000078</v>
      </c>
    </row>
    <row r="113" spans="1:37">
      <c r="A113" s="12">
        <v>111</v>
      </c>
      <c r="B113" s="12">
        <v>22</v>
      </c>
      <c r="C113" s="23">
        <f>(scatterplots_LWG_grazdays_CS!$V$3*$A113+scatterplots_LWG_grazdays_CS!$W$3)/1000</f>
        <v>-1.5240000000000009E-2</v>
      </c>
      <c r="D113" s="23">
        <f t="shared" si="87"/>
        <v>2.475999999999999E-2</v>
      </c>
      <c r="E113" s="23">
        <f t="shared" si="87"/>
        <v>6.4759999999999998E-2</v>
      </c>
      <c r="F113" s="23">
        <f t="shared" si="87"/>
        <v>0.10475999999999999</v>
      </c>
      <c r="G113" s="23">
        <f>(scatterplots_LWG_grazdays_CS!$V$3*$A113+scatterplots_LWG_grazdays_CS!$W$3)/1000+G112</f>
        <v>15.646560000000003</v>
      </c>
      <c r="H113" s="23">
        <f t="shared" si="86"/>
        <v>16.526560000000003</v>
      </c>
      <c r="I113" s="23">
        <f t="shared" si="50"/>
        <v>18.326560000000001</v>
      </c>
      <c r="J113" s="23">
        <f t="shared" si="88"/>
        <v>19.326560000000001</v>
      </c>
      <c r="K113" s="23">
        <f t="shared" si="65"/>
        <v>19.726560000000003</v>
      </c>
      <c r="L113" s="23">
        <f t="shared" si="72"/>
        <v>17.406560000000002</v>
      </c>
      <c r="M113" s="23">
        <f t="shared" si="73"/>
        <v>18.286560000000001</v>
      </c>
      <c r="N113" s="23">
        <f>(scatterplots_LWG_grazdays_CS!$V$4*$A113+scatterplots_LWG_grazdays_CS!$W$4)/1000</f>
        <v>-0.11514000000000005</v>
      </c>
      <c r="O113" s="23">
        <f t="shared" si="55"/>
        <v>-7.514000000000004E-2</v>
      </c>
      <c r="P113" s="23">
        <f t="shared" si="55"/>
        <v>-3.5140000000000046E-2</v>
      </c>
      <c r="Q113" s="23">
        <f t="shared" si="55"/>
        <v>4.8599999999999477E-3</v>
      </c>
      <c r="R113" s="23">
        <f>(scatterplots_LWG_grazdays_CS!$V$4*$A113+scatterplots_LWG_grazdays_CS!$W$4)/1000+R112</f>
        <v>10.052159999999997</v>
      </c>
      <c r="S113" s="23">
        <f t="shared" si="78"/>
        <v>10.892159999999997</v>
      </c>
      <c r="T113" s="23">
        <f t="shared" si="79"/>
        <v>11.732159999999997</v>
      </c>
      <c r="U113" s="23">
        <f t="shared" si="80"/>
        <v>12.572159999999998</v>
      </c>
      <c r="V113" s="23">
        <f>(scatterplots_LWG_grazdays_CS!$V$5*$A113+scatterplots_LWG_grazdays_CS!$W$5)/1000</f>
        <v>-0.17508000000000004</v>
      </c>
      <c r="W113" s="23">
        <f t="shared" si="56"/>
        <v>-0.13508000000000003</v>
      </c>
      <c r="X113" s="23">
        <f t="shared" si="89"/>
        <v>-9.5080000000000039E-2</v>
      </c>
      <c r="Y113" s="23">
        <f t="shared" si="89"/>
        <v>-5.5080000000000046E-2</v>
      </c>
      <c r="Z113" s="23">
        <f>(scatterplots_LWG_grazdays_CS!$V$5*$A113+scatterplots_LWG_grazdays_CS!$W$5)/1000+Z112</f>
        <v>6.6955199999999984</v>
      </c>
      <c r="AA113" s="23">
        <f t="shared" si="81"/>
        <v>7.5355199999999964</v>
      </c>
      <c r="AB113" s="23">
        <f t="shared" si="82"/>
        <v>8.3755199999999981</v>
      </c>
      <c r="AC113" s="23">
        <f t="shared" si="83"/>
        <v>9.2155199999999979</v>
      </c>
      <c r="AD113" s="23">
        <f>(scatterplots_LWG_grazdays_CS!$V$6*$A113+scatterplots_LWG_grazdays_CS!$W$6)/1000</f>
        <v>-0.27053999999999995</v>
      </c>
      <c r="AE113" s="23">
        <f t="shared" si="58"/>
        <v>-0.23053999999999994</v>
      </c>
      <c r="AF113" s="23">
        <f t="shared" si="67"/>
        <v>-0.19053999999999993</v>
      </c>
      <c r="AG113" s="23">
        <f t="shared" si="67"/>
        <v>-0.15053999999999995</v>
      </c>
      <c r="AH113" s="23">
        <f>(scatterplots_LWG_grazdays_CS!$V$6*$A113+scatterplots_LWG_grazdays_CS!$W$6)/1000+AH112</f>
        <v>1.349760000000007</v>
      </c>
      <c r="AI113" s="23">
        <f t="shared" si="76"/>
        <v>2.1897600000000059</v>
      </c>
      <c r="AJ113" s="23">
        <f t="shared" si="84"/>
        <v>3.0297600000000067</v>
      </c>
      <c r="AK113" s="23">
        <f t="shared" si="85"/>
        <v>3.8697600000000079</v>
      </c>
    </row>
    <row r="114" spans="1:37">
      <c r="A114" s="12">
        <v>112</v>
      </c>
      <c r="B114" s="12">
        <v>23</v>
      </c>
      <c r="C114" s="23">
        <f>(scatterplots_LWG_grazdays_CS!$V$3*$A114+scatterplots_LWG_grazdays_CS!$W$3)/1000</f>
        <v>-1.8079999999999985E-2</v>
      </c>
      <c r="D114" s="23">
        <f t="shared" si="87"/>
        <v>2.1920000000000016E-2</v>
      </c>
      <c r="E114" s="23">
        <f t="shared" si="87"/>
        <v>6.1920000000000017E-2</v>
      </c>
      <c r="F114" s="23">
        <f t="shared" si="87"/>
        <v>0.10192000000000001</v>
      </c>
      <c r="G114" s="23">
        <f>(scatterplots_LWG_grazdays_CS!$V$3*$A114+scatterplots_LWG_grazdays_CS!$W$3)/1000+G113</f>
        <v>15.628480000000003</v>
      </c>
      <c r="H114" s="23">
        <f t="shared" si="86"/>
        <v>16.548480000000005</v>
      </c>
      <c r="I114" s="23">
        <f t="shared" ref="I114:I177" si="90">D114+I113</f>
        <v>18.348480000000002</v>
      </c>
      <c r="J114" s="23">
        <f t="shared" si="88"/>
        <v>19.348480000000002</v>
      </c>
      <c r="K114" s="23">
        <f t="shared" si="65"/>
        <v>19.748480000000004</v>
      </c>
      <c r="L114" s="23">
        <f t="shared" si="72"/>
        <v>17.468480000000003</v>
      </c>
      <c r="M114" s="23">
        <f t="shared" si="73"/>
        <v>18.388480000000001</v>
      </c>
      <c r="N114" s="23">
        <f>(scatterplots_LWG_grazdays_CS!$V$4*$A114+scatterplots_LWG_grazdays_CS!$W$4)/1000</f>
        <v>-0.11888</v>
      </c>
      <c r="O114" s="23">
        <f t="shared" si="55"/>
        <v>-7.8880000000000006E-2</v>
      </c>
      <c r="P114" s="23">
        <f t="shared" si="55"/>
        <v>-3.8879999999999998E-2</v>
      </c>
      <c r="Q114" s="23">
        <f t="shared" si="55"/>
        <v>1.119999999999996E-3</v>
      </c>
      <c r="R114" s="23">
        <f>(scatterplots_LWG_grazdays_CS!$V$4*$A114+scatterplots_LWG_grazdays_CS!$W$4)/1000+R113</f>
        <v>9.9332799999999963</v>
      </c>
      <c r="S114" s="23">
        <f t="shared" si="78"/>
        <v>10.813279999999997</v>
      </c>
      <c r="T114" s="23">
        <f t="shared" si="79"/>
        <v>11.693279999999996</v>
      </c>
      <c r="U114" s="23">
        <f t="shared" si="80"/>
        <v>12.573279999999999</v>
      </c>
      <c r="V114" s="23">
        <f>(scatterplots_LWG_grazdays_CS!$V$5*$A114+scatterplots_LWG_grazdays_CS!$W$5)/1000</f>
        <v>-0.17936000000000002</v>
      </c>
      <c r="W114" s="23">
        <f t="shared" si="56"/>
        <v>-0.13936000000000001</v>
      </c>
      <c r="X114" s="23">
        <f t="shared" si="89"/>
        <v>-9.9360000000000018E-2</v>
      </c>
      <c r="Y114" s="23">
        <f t="shared" si="89"/>
        <v>-5.9360000000000024E-2</v>
      </c>
      <c r="Z114" s="23">
        <f>(scatterplots_LWG_grazdays_CS!$V$5*$A114+scatterplots_LWG_grazdays_CS!$W$5)/1000+Z113</f>
        <v>6.5161599999999984</v>
      </c>
      <c r="AA114" s="23">
        <f t="shared" si="81"/>
        <v>7.3961599999999965</v>
      </c>
      <c r="AB114" s="23">
        <f t="shared" si="82"/>
        <v>8.2761599999999973</v>
      </c>
      <c r="AC114" s="23">
        <f t="shared" si="83"/>
        <v>9.1561599999999981</v>
      </c>
      <c r="AD114" s="23">
        <f>(scatterplots_LWG_grazdays_CS!$V$6*$A114+scatterplots_LWG_grazdays_CS!$W$6)/1000</f>
        <v>-0.27567999999999993</v>
      </c>
      <c r="AE114" s="23">
        <f t="shared" si="58"/>
        <v>-0.23567999999999992</v>
      </c>
      <c r="AF114" s="23">
        <f t="shared" si="67"/>
        <v>-0.19567999999999991</v>
      </c>
      <c r="AG114" s="23">
        <f t="shared" si="67"/>
        <v>-0.15567999999999993</v>
      </c>
      <c r="AH114" s="23">
        <f>(scatterplots_LWG_grazdays_CS!$V$6*$A114+scatterplots_LWG_grazdays_CS!$W$6)/1000+AH113</f>
        <v>1.074080000000007</v>
      </c>
      <c r="AI114" s="23">
        <f t="shared" si="76"/>
        <v>1.954080000000006</v>
      </c>
      <c r="AJ114" s="23">
        <f t="shared" si="84"/>
        <v>2.8340800000000068</v>
      </c>
      <c r="AK114" s="23">
        <f t="shared" si="85"/>
        <v>3.714080000000008</v>
      </c>
    </row>
    <row r="115" spans="1:37">
      <c r="A115" s="12">
        <v>113</v>
      </c>
      <c r="B115" s="12">
        <v>24</v>
      </c>
      <c r="C115" s="23">
        <f>(scatterplots_LWG_grazdays_CS!$V$3*$A115+scatterplots_LWG_grazdays_CS!$W$3)/1000</f>
        <v>-2.0919999999999959E-2</v>
      </c>
      <c r="D115" s="23">
        <f t="shared" si="87"/>
        <v>1.9080000000000041E-2</v>
      </c>
      <c r="E115" s="23">
        <f t="shared" si="87"/>
        <v>5.9080000000000042E-2</v>
      </c>
      <c r="F115" s="23">
        <f t="shared" si="87"/>
        <v>9.9080000000000029E-2</v>
      </c>
      <c r="G115" s="23">
        <f>(scatterplots_LWG_grazdays_CS!$V$3*$A115+scatterplots_LWG_grazdays_CS!$W$3)/1000+G114</f>
        <v>15.607560000000003</v>
      </c>
      <c r="H115" s="23">
        <f t="shared" si="86"/>
        <v>16.567560000000004</v>
      </c>
      <c r="I115" s="23">
        <f t="shared" si="90"/>
        <v>18.367560000000001</v>
      </c>
      <c r="J115" s="23">
        <f t="shared" si="88"/>
        <v>19.367560000000001</v>
      </c>
      <c r="K115" s="23">
        <f t="shared" si="65"/>
        <v>19.767560000000003</v>
      </c>
      <c r="L115" s="23">
        <f t="shared" si="72"/>
        <v>17.527560000000005</v>
      </c>
      <c r="M115" s="23">
        <f t="shared" si="73"/>
        <v>18.487560000000002</v>
      </c>
      <c r="N115" s="23">
        <f>(scatterplots_LWG_grazdays_CS!$V$4*$A115+scatterplots_LWG_grazdays_CS!$W$4)/1000</f>
        <v>-0.12262000000000001</v>
      </c>
      <c r="O115" s="23">
        <f t="shared" si="55"/>
        <v>-8.2619999999999999E-2</v>
      </c>
      <c r="P115" s="23">
        <f t="shared" si="55"/>
        <v>-4.2620000000000005E-2</v>
      </c>
      <c r="Q115" s="23">
        <f t="shared" si="55"/>
        <v>-2.6200000000000112E-3</v>
      </c>
      <c r="R115" s="23">
        <f>(scatterplots_LWG_grazdays_CS!$V$4*$A115+scatterplots_LWG_grazdays_CS!$W$4)/1000+R114</f>
        <v>9.8106599999999968</v>
      </c>
      <c r="S115" s="23">
        <f t="shared" si="78"/>
        <v>10.730659999999997</v>
      </c>
      <c r="T115" s="23">
        <f t="shared" si="79"/>
        <v>11.650659999999997</v>
      </c>
      <c r="U115" s="23">
        <f t="shared" si="80"/>
        <v>12.570659999999998</v>
      </c>
      <c r="V115" s="23">
        <f>(scatterplots_LWG_grazdays_CS!$V$5*$A115+scatterplots_LWG_grazdays_CS!$W$5)/1000</f>
        <v>-0.18364000000000005</v>
      </c>
      <c r="W115" s="23">
        <f t="shared" si="56"/>
        <v>-0.14364000000000005</v>
      </c>
      <c r="X115" s="23">
        <f t="shared" si="89"/>
        <v>-0.10364000000000005</v>
      </c>
      <c r="Y115" s="23">
        <f t="shared" si="89"/>
        <v>-6.3640000000000058E-2</v>
      </c>
      <c r="Z115" s="23">
        <f>(scatterplots_LWG_grazdays_CS!$V$5*$A115+scatterplots_LWG_grazdays_CS!$W$5)/1000+Z114</f>
        <v>6.3325199999999979</v>
      </c>
      <c r="AA115" s="23">
        <f t="shared" si="81"/>
        <v>7.2525199999999961</v>
      </c>
      <c r="AB115" s="23">
        <f t="shared" si="82"/>
        <v>8.1725199999999969</v>
      </c>
      <c r="AC115" s="23">
        <f t="shared" si="83"/>
        <v>9.0925199999999986</v>
      </c>
      <c r="AD115" s="23">
        <f>(scatterplots_LWG_grazdays_CS!$V$6*$A115+scatterplots_LWG_grazdays_CS!$W$6)/1000</f>
        <v>-0.28081999999999996</v>
      </c>
      <c r="AE115" s="23">
        <f t="shared" si="58"/>
        <v>-0.24081999999999995</v>
      </c>
      <c r="AF115" s="23">
        <f t="shared" si="67"/>
        <v>-0.20081999999999994</v>
      </c>
      <c r="AG115" s="23">
        <f t="shared" si="67"/>
        <v>-0.16081999999999996</v>
      </c>
      <c r="AH115" s="23">
        <f>(scatterplots_LWG_grazdays_CS!$V$6*$A115+scatterplots_LWG_grazdays_CS!$W$6)/1000+AH114</f>
        <v>0.79326000000000707</v>
      </c>
      <c r="AI115" s="23">
        <f t="shared" si="76"/>
        <v>1.713260000000006</v>
      </c>
      <c r="AJ115" s="23">
        <f t="shared" si="84"/>
        <v>2.633260000000007</v>
      </c>
      <c r="AK115" s="23">
        <f t="shared" si="85"/>
        <v>3.5532600000000079</v>
      </c>
    </row>
    <row r="116" spans="1:37">
      <c r="A116" s="12">
        <v>114</v>
      </c>
      <c r="B116" s="12">
        <v>25</v>
      </c>
      <c r="C116" s="23">
        <f>(scatterplots_LWG_grazdays_CS!$V$3*$A116+scatterplots_LWG_grazdays_CS!$W$3)/1000</f>
        <v>-2.3759999999999989E-2</v>
      </c>
      <c r="D116" s="23">
        <f t="shared" si="87"/>
        <v>1.6240000000000011E-2</v>
      </c>
      <c r="E116" s="23">
        <f t="shared" si="87"/>
        <v>5.6240000000000012E-2</v>
      </c>
      <c r="F116" s="23">
        <f t="shared" si="87"/>
        <v>9.6240000000000006E-2</v>
      </c>
      <c r="G116" s="23">
        <f>(scatterplots_LWG_grazdays_CS!$V$3*$A116+scatterplots_LWG_grazdays_CS!$W$3)/1000+G115</f>
        <v>15.583800000000004</v>
      </c>
      <c r="H116" s="23">
        <f t="shared" si="86"/>
        <v>16.583800000000004</v>
      </c>
      <c r="I116" s="23">
        <f t="shared" si="90"/>
        <v>18.383800000000001</v>
      </c>
      <c r="J116" s="23">
        <f t="shared" si="88"/>
        <v>19.383800000000001</v>
      </c>
      <c r="K116" s="23">
        <f t="shared" si="65"/>
        <v>19.783800000000003</v>
      </c>
      <c r="L116" s="23">
        <f t="shared" si="72"/>
        <v>17.583800000000004</v>
      </c>
      <c r="M116" s="23">
        <f t="shared" si="73"/>
        <v>18.583800000000004</v>
      </c>
      <c r="N116" s="23">
        <f>(scatterplots_LWG_grazdays_CS!$V$4*$A116+scatterplots_LWG_grazdays_CS!$W$4)/1000</f>
        <v>-0.12636</v>
      </c>
      <c r="O116" s="23">
        <f t="shared" si="55"/>
        <v>-8.6359999999999992E-2</v>
      </c>
      <c r="P116" s="23">
        <f t="shared" si="55"/>
        <v>-4.6359999999999998E-2</v>
      </c>
      <c r="Q116" s="23">
        <f t="shared" si="55"/>
        <v>-6.3600000000000045E-3</v>
      </c>
      <c r="R116" s="23">
        <f>(scatterplots_LWG_grazdays_CS!$V$4*$A116+scatterplots_LWG_grazdays_CS!$W$4)/1000+R115</f>
        <v>9.6842999999999968</v>
      </c>
      <c r="S116" s="23">
        <f t="shared" si="78"/>
        <v>10.644299999999998</v>
      </c>
      <c r="T116" s="23">
        <f t="shared" si="79"/>
        <v>11.604299999999997</v>
      </c>
      <c r="U116" s="23">
        <f t="shared" si="80"/>
        <v>12.564299999999998</v>
      </c>
      <c r="V116" s="23">
        <f>(scatterplots_LWG_grazdays_CS!$V$5*$A116+scatterplots_LWG_grazdays_CS!$W$5)/1000</f>
        <v>-0.18792</v>
      </c>
      <c r="W116" s="23">
        <f t="shared" si="56"/>
        <v>-0.14792</v>
      </c>
      <c r="X116" s="23">
        <f t="shared" si="89"/>
        <v>-0.10792</v>
      </c>
      <c r="Y116" s="23">
        <f t="shared" si="89"/>
        <v>-6.7920000000000008E-2</v>
      </c>
      <c r="Z116" s="23">
        <f>(scatterplots_LWG_grazdays_CS!$V$5*$A116+scatterplots_LWG_grazdays_CS!$W$5)/1000+Z115</f>
        <v>6.1445999999999978</v>
      </c>
      <c r="AA116" s="23">
        <f t="shared" si="81"/>
        <v>7.104599999999996</v>
      </c>
      <c r="AB116" s="23">
        <f t="shared" si="82"/>
        <v>8.0645999999999969</v>
      </c>
      <c r="AC116" s="23">
        <f t="shared" si="83"/>
        <v>9.0245999999999977</v>
      </c>
      <c r="AD116" s="23">
        <f>(scatterplots_LWG_grazdays_CS!$V$6*$A116+scatterplots_LWG_grazdays_CS!$W$6)/1000</f>
        <v>-0.28595999999999994</v>
      </c>
      <c r="AE116" s="23">
        <f t="shared" si="58"/>
        <v>-0.24595999999999993</v>
      </c>
      <c r="AF116" s="23">
        <f t="shared" si="67"/>
        <v>-0.20595999999999992</v>
      </c>
      <c r="AG116" s="23">
        <f t="shared" si="67"/>
        <v>-0.16595999999999994</v>
      </c>
      <c r="AH116" s="23">
        <f>(scatterplots_LWG_grazdays_CS!$V$6*$A116+scatterplots_LWG_grazdays_CS!$W$6)/1000+AH115</f>
        <v>0.50730000000000719</v>
      </c>
      <c r="AI116" s="23">
        <f t="shared" si="76"/>
        <v>1.467300000000006</v>
      </c>
      <c r="AJ116" s="23">
        <f t="shared" si="84"/>
        <v>2.4273000000000069</v>
      </c>
      <c r="AK116" s="23">
        <f t="shared" si="85"/>
        <v>3.3873000000000077</v>
      </c>
    </row>
    <row r="117" spans="1:37">
      <c r="A117" s="12">
        <v>115</v>
      </c>
      <c r="B117" s="12">
        <v>26</v>
      </c>
      <c r="C117" s="23">
        <f>(scatterplots_LWG_grazdays_CS!$V$3*$A117+scatterplots_LWG_grazdays_CS!$W$3)/1000</f>
        <v>-2.6599999999999967E-2</v>
      </c>
      <c r="D117" s="23">
        <f t="shared" si="87"/>
        <v>1.3400000000000033E-2</v>
      </c>
      <c r="E117" s="23">
        <f t="shared" si="87"/>
        <v>5.3400000000000031E-2</v>
      </c>
      <c r="F117" s="23">
        <f t="shared" si="87"/>
        <v>9.3400000000000025E-2</v>
      </c>
      <c r="G117" s="23">
        <f>(scatterplots_LWG_grazdays_CS!$V$3*$A117+scatterplots_LWG_grazdays_CS!$W$3)/1000+G116</f>
        <v>15.557200000000003</v>
      </c>
      <c r="H117" s="23">
        <f t="shared" si="86"/>
        <v>16.597200000000004</v>
      </c>
      <c r="I117" s="23">
        <f t="shared" si="90"/>
        <v>18.397200000000002</v>
      </c>
      <c r="J117" s="23">
        <f t="shared" si="88"/>
        <v>19.397200000000002</v>
      </c>
      <c r="K117" s="23">
        <f t="shared" si="65"/>
        <v>19.797200000000004</v>
      </c>
      <c r="L117" s="23">
        <f t="shared" si="72"/>
        <v>17.637200000000004</v>
      </c>
      <c r="M117" s="23">
        <f t="shared" si="73"/>
        <v>18.677200000000003</v>
      </c>
      <c r="N117" s="23">
        <f>(scatterplots_LWG_grazdays_CS!$V$4*$A117+scatterplots_LWG_grazdays_CS!$W$4)/1000</f>
        <v>-0.13010000000000002</v>
      </c>
      <c r="O117" s="23">
        <f t="shared" si="55"/>
        <v>-9.0100000000000013E-2</v>
      </c>
      <c r="P117" s="23">
        <f t="shared" si="55"/>
        <v>-5.010000000000002E-2</v>
      </c>
      <c r="Q117" s="23">
        <f t="shared" si="55"/>
        <v>-1.0100000000000026E-2</v>
      </c>
      <c r="R117" s="23">
        <f>(scatterplots_LWG_grazdays_CS!$V$4*$A117+scatterplots_LWG_grazdays_CS!$W$4)/1000+R116</f>
        <v>9.5541999999999963</v>
      </c>
      <c r="S117" s="23">
        <f t="shared" si="78"/>
        <v>10.554199999999998</v>
      </c>
      <c r="T117" s="23">
        <f t="shared" si="79"/>
        <v>11.554199999999996</v>
      </c>
      <c r="U117" s="23">
        <f t="shared" si="80"/>
        <v>12.554199999999998</v>
      </c>
      <c r="V117" s="23">
        <f>(scatterplots_LWG_grazdays_CS!$V$5*$A117+scatterplots_LWG_grazdays_CS!$W$5)/1000</f>
        <v>-0.19220000000000004</v>
      </c>
      <c r="W117" s="23">
        <f t="shared" si="56"/>
        <v>-0.15220000000000003</v>
      </c>
      <c r="X117" s="23">
        <f t="shared" si="89"/>
        <v>-0.11220000000000004</v>
      </c>
      <c r="Y117" s="23">
        <f t="shared" si="89"/>
        <v>-7.2200000000000042E-2</v>
      </c>
      <c r="Z117" s="23">
        <f>(scatterplots_LWG_grazdays_CS!$V$5*$A117+scatterplots_LWG_grazdays_CS!$W$5)/1000+Z116</f>
        <v>5.9523999999999981</v>
      </c>
      <c r="AA117" s="23">
        <f t="shared" si="81"/>
        <v>6.9523999999999964</v>
      </c>
      <c r="AB117" s="23">
        <f t="shared" si="82"/>
        <v>7.9523999999999972</v>
      </c>
      <c r="AC117" s="23">
        <f t="shared" si="83"/>
        <v>8.9523999999999972</v>
      </c>
      <c r="AD117" s="23">
        <f>(scatterplots_LWG_grazdays_CS!$V$6*$A117+scatterplots_LWG_grazdays_CS!$W$6)/1000</f>
        <v>-0.29109999999999991</v>
      </c>
      <c r="AE117" s="23">
        <f t="shared" si="58"/>
        <v>-0.25109999999999993</v>
      </c>
      <c r="AF117" s="23">
        <f t="shared" si="67"/>
        <v>-0.2110999999999999</v>
      </c>
      <c r="AG117" s="23">
        <f t="shared" si="67"/>
        <v>-0.17109999999999992</v>
      </c>
      <c r="AH117" s="23">
        <f>(scatterplots_LWG_grazdays_CS!$V$6*$A117+scatterplots_LWG_grazdays_CS!$W$6)/1000+AH116</f>
        <v>0.21620000000000728</v>
      </c>
      <c r="AI117" s="23">
        <f t="shared" si="76"/>
        <v>1.2162000000000062</v>
      </c>
      <c r="AJ117" s="23">
        <f t="shared" si="84"/>
        <v>2.2162000000000068</v>
      </c>
      <c r="AK117" s="23">
        <f t="shared" si="85"/>
        <v>3.2162000000000077</v>
      </c>
    </row>
    <row r="118" spans="1:37">
      <c r="A118" s="12">
        <v>116</v>
      </c>
      <c r="B118" s="12">
        <v>27</v>
      </c>
      <c r="C118" s="23">
        <f>(scatterplots_LWG_grazdays_CS!$V$3*$A118+scatterplots_LWG_grazdays_CS!$W$3)/1000</f>
        <v>-2.9439999999999997E-2</v>
      </c>
      <c r="D118" s="23">
        <f t="shared" si="87"/>
        <v>1.0560000000000003E-2</v>
      </c>
      <c r="E118" s="23">
        <f t="shared" si="87"/>
        <v>5.0560000000000008E-2</v>
      </c>
      <c r="F118" s="23">
        <f t="shared" si="87"/>
        <v>9.0560000000000002E-2</v>
      </c>
      <c r="G118" s="23">
        <f>(scatterplots_LWG_grazdays_CS!$V$3*$A118+scatterplots_LWG_grazdays_CS!$W$3)/1000+G117</f>
        <v>15.527760000000004</v>
      </c>
      <c r="H118" s="23">
        <f t="shared" si="86"/>
        <v>16.607760000000006</v>
      </c>
      <c r="I118" s="23">
        <f t="shared" si="90"/>
        <v>18.407760000000003</v>
      </c>
      <c r="J118" s="23">
        <f t="shared" si="88"/>
        <v>19.407760000000003</v>
      </c>
      <c r="K118" s="23">
        <f t="shared" si="65"/>
        <v>19.807760000000005</v>
      </c>
      <c r="L118" s="23">
        <f t="shared" si="72"/>
        <v>17.687760000000004</v>
      </c>
      <c r="M118" s="23">
        <f t="shared" si="73"/>
        <v>18.767760000000003</v>
      </c>
      <c r="N118" s="23">
        <f>(scatterplots_LWG_grazdays_CS!$V$4*$A118+scatterplots_LWG_grazdays_CS!$W$4)/1000</f>
        <v>-0.13384000000000004</v>
      </c>
      <c r="O118" s="23">
        <f t="shared" si="55"/>
        <v>-9.3840000000000034E-2</v>
      </c>
      <c r="P118" s="23">
        <f t="shared" si="55"/>
        <v>-5.3840000000000041E-2</v>
      </c>
      <c r="Q118" s="23">
        <f t="shared" si="55"/>
        <v>-1.3840000000000047E-2</v>
      </c>
      <c r="R118" s="23">
        <f>(scatterplots_LWG_grazdays_CS!$V$4*$A118+scatterplots_LWG_grazdays_CS!$W$4)/1000+R117</f>
        <v>9.420359999999997</v>
      </c>
      <c r="S118" s="23">
        <f t="shared" si="78"/>
        <v>10.460359999999998</v>
      </c>
      <c r="T118" s="23">
        <f t="shared" si="79"/>
        <v>11.500359999999997</v>
      </c>
      <c r="U118" s="23">
        <f t="shared" si="80"/>
        <v>12.540359999999998</v>
      </c>
      <c r="V118" s="23">
        <f>(scatterplots_LWG_grazdays_CS!$V$5*$A118+scatterplots_LWG_grazdays_CS!$W$5)/1000</f>
        <v>-0.19648000000000002</v>
      </c>
      <c r="W118" s="23">
        <f t="shared" si="56"/>
        <v>-0.15648000000000001</v>
      </c>
      <c r="X118" s="23">
        <f t="shared" si="89"/>
        <v>-0.11648000000000001</v>
      </c>
      <c r="Y118" s="23">
        <f t="shared" si="89"/>
        <v>-7.648000000000002E-2</v>
      </c>
      <c r="Z118" s="23">
        <f>(scatterplots_LWG_grazdays_CS!$V$5*$A118+scatterplots_LWG_grazdays_CS!$W$5)/1000+Z117</f>
        <v>5.7559199999999979</v>
      </c>
      <c r="AA118" s="23">
        <f t="shared" si="81"/>
        <v>6.7959199999999962</v>
      </c>
      <c r="AB118" s="23">
        <f t="shared" si="82"/>
        <v>7.8359199999999971</v>
      </c>
      <c r="AC118" s="23">
        <f t="shared" si="83"/>
        <v>8.8759199999999971</v>
      </c>
      <c r="AD118" s="23">
        <f>(scatterplots_LWG_grazdays_CS!$V$6*$A118+scatterplots_LWG_grazdays_CS!$W$6)/1000</f>
        <v>-0.29624</v>
      </c>
      <c r="AE118" s="23">
        <f t="shared" si="58"/>
        <v>-0.25624000000000002</v>
      </c>
      <c r="AF118" s="23">
        <f t="shared" si="67"/>
        <v>-0.21623999999999999</v>
      </c>
      <c r="AG118" s="23">
        <f t="shared" si="67"/>
        <v>-0.17624000000000001</v>
      </c>
      <c r="AH118" s="23">
        <f>(scatterplots_LWG_grazdays_CS!$V$6*$A118+scatterplots_LWG_grazdays_CS!$W$6)/1000+AH117</f>
        <v>-8.0039999999992728E-2</v>
      </c>
      <c r="AI118" s="23">
        <f t="shared" si="76"/>
        <v>0.95996000000000614</v>
      </c>
      <c r="AJ118" s="23">
        <f t="shared" si="84"/>
        <v>1.9999600000000068</v>
      </c>
      <c r="AK118" s="23">
        <f t="shared" si="85"/>
        <v>3.0399600000000078</v>
      </c>
    </row>
    <row r="119" spans="1:37">
      <c r="A119" s="12">
        <v>117</v>
      </c>
      <c r="B119" s="12">
        <v>28</v>
      </c>
      <c r="C119" s="23">
        <f>(scatterplots_LWG_grazdays_CS!$V$3*$A119+scatterplots_LWG_grazdays_CS!$W$3)/1000</f>
        <v>-3.2279999999999975E-2</v>
      </c>
      <c r="D119" s="23">
        <f t="shared" si="87"/>
        <v>7.7200000000000255E-3</v>
      </c>
      <c r="E119" s="23">
        <f t="shared" si="87"/>
        <v>4.7720000000000026E-2</v>
      </c>
      <c r="F119" s="23">
        <f t="shared" si="87"/>
        <v>8.772000000000002E-2</v>
      </c>
      <c r="G119" s="23">
        <f>(scatterplots_LWG_grazdays_CS!$V$3*$A119+scatterplots_LWG_grazdays_CS!$W$3)/1000+G118</f>
        <v>15.495480000000004</v>
      </c>
      <c r="H119" s="23">
        <f t="shared" si="86"/>
        <v>16.615480000000005</v>
      </c>
      <c r="I119" s="23">
        <f t="shared" si="90"/>
        <v>18.415480000000002</v>
      </c>
      <c r="J119" s="23">
        <f t="shared" si="88"/>
        <v>19.415480000000002</v>
      </c>
      <c r="K119" s="23">
        <f t="shared" si="65"/>
        <v>19.815480000000004</v>
      </c>
      <c r="L119" s="23">
        <f t="shared" si="72"/>
        <v>17.735480000000006</v>
      </c>
      <c r="M119" s="23">
        <f t="shared" si="73"/>
        <v>18.855480000000004</v>
      </c>
      <c r="N119" s="23">
        <f>(scatterplots_LWG_grazdays_CS!$V$4*$A119+scatterplots_LWG_grazdays_CS!$W$4)/1000</f>
        <v>-0.13758000000000004</v>
      </c>
      <c r="O119" s="23">
        <f t="shared" si="55"/>
        <v>-9.7580000000000028E-2</v>
      </c>
      <c r="P119" s="23">
        <f t="shared" si="55"/>
        <v>-5.7580000000000034E-2</v>
      </c>
      <c r="Q119" s="23">
        <f t="shared" si="55"/>
        <v>-1.758000000000004E-2</v>
      </c>
      <c r="R119" s="23">
        <f>(scatterplots_LWG_grazdays_CS!$V$4*$A119+scatterplots_LWG_grazdays_CS!$W$4)/1000+R118</f>
        <v>9.2827799999999971</v>
      </c>
      <c r="S119" s="23">
        <f t="shared" si="78"/>
        <v>10.362779999999997</v>
      </c>
      <c r="T119" s="23">
        <f t="shared" si="79"/>
        <v>11.442779999999997</v>
      </c>
      <c r="U119" s="23">
        <f t="shared" si="80"/>
        <v>12.522779999999997</v>
      </c>
      <c r="V119" s="23">
        <f>(scatterplots_LWG_grazdays_CS!$V$5*$A119+scatterplots_LWG_grazdays_CS!$W$5)/1000</f>
        <v>-0.20076000000000005</v>
      </c>
      <c r="W119" s="23">
        <f t="shared" si="56"/>
        <v>-0.16076000000000004</v>
      </c>
      <c r="X119" s="23">
        <f t="shared" si="89"/>
        <v>-0.12076000000000005</v>
      </c>
      <c r="Y119" s="23">
        <f t="shared" si="89"/>
        <v>-8.0760000000000054E-2</v>
      </c>
      <c r="Z119" s="23">
        <f>(scatterplots_LWG_grazdays_CS!$V$5*$A119+scatterplots_LWG_grazdays_CS!$W$5)/1000+Z118</f>
        <v>5.5551599999999981</v>
      </c>
      <c r="AA119" s="23">
        <f t="shared" si="81"/>
        <v>6.6351599999999964</v>
      </c>
      <c r="AB119" s="23">
        <f t="shared" si="82"/>
        <v>7.7151599999999974</v>
      </c>
      <c r="AC119" s="23">
        <f t="shared" si="83"/>
        <v>8.7951599999999974</v>
      </c>
      <c r="AD119" s="23">
        <f>(scatterplots_LWG_grazdays_CS!$V$6*$A119+scatterplots_LWG_grazdays_CS!$W$6)/1000</f>
        <v>-0.30137999999999998</v>
      </c>
      <c r="AE119" s="23">
        <f t="shared" si="58"/>
        <v>-0.26138</v>
      </c>
      <c r="AF119" s="23">
        <f t="shared" si="67"/>
        <v>-0.22137999999999997</v>
      </c>
      <c r="AG119" s="23">
        <f t="shared" si="67"/>
        <v>-0.18137999999999999</v>
      </c>
      <c r="AH119" s="23">
        <f>(scatterplots_LWG_grazdays_CS!$V$6*$A119+scatterplots_LWG_grazdays_CS!$W$6)/1000+AH118</f>
        <v>-0.38141999999999271</v>
      </c>
      <c r="AI119" s="23">
        <f t="shared" si="76"/>
        <v>0.6985800000000062</v>
      </c>
      <c r="AJ119" s="23">
        <f t="shared" si="84"/>
        <v>1.7785800000000069</v>
      </c>
      <c r="AK119" s="23">
        <f t="shared" si="85"/>
        <v>2.8585800000000079</v>
      </c>
    </row>
    <row r="120" spans="1:37">
      <c r="A120" s="12">
        <v>118</v>
      </c>
      <c r="B120" s="12">
        <v>29</v>
      </c>
      <c r="C120" s="23">
        <f>(scatterplots_LWG_grazdays_CS!$V$3*$A120+scatterplots_LWG_grazdays_CS!$W$3)/1000</f>
        <v>-3.5120000000000005E-2</v>
      </c>
      <c r="D120" s="23">
        <f t="shared" si="87"/>
        <v>4.8799999999999955E-3</v>
      </c>
      <c r="E120" s="23">
        <f t="shared" si="87"/>
        <v>4.4879999999999996E-2</v>
      </c>
      <c r="F120" s="23">
        <f t="shared" si="87"/>
        <v>8.4879999999999983E-2</v>
      </c>
      <c r="G120" s="23">
        <f>(scatterplots_LWG_grazdays_CS!$V$3*$A120+scatterplots_LWG_grazdays_CS!$W$3)/1000+G119</f>
        <v>15.460360000000005</v>
      </c>
      <c r="H120" s="23">
        <f t="shared" si="86"/>
        <v>16.620360000000005</v>
      </c>
      <c r="I120" s="23">
        <f t="shared" si="90"/>
        <v>18.420360000000002</v>
      </c>
      <c r="J120" s="23">
        <f t="shared" si="88"/>
        <v>19.420360000000002</v>
      </c>
      <c r="K120" s="23">
        <f t="shared" si="65"/>
        <v>19.820360000000004</v>
      </c>
      <c r="L120" s="23">
        <f t="shared" si="72"/>
        <v>17.780360000000005</v>
      </c>
      <c r="M120" s="23">
        <f t="shared" si="73"/>
        <v>18.940360000000002</v>
      </c>
      <c r="N120" s="23">
        <f>(scatterplots_LWG_grazdays_CS!$V$4*$A120+scatterplots_LWG_grazdays_CS!$W$4)/1000</f>
        <v>-0.14132000000000006</v>
      </c>
      <c r="O120" s="23">
        <f t="shared" si="55"/>
        <v>-0.10132000000000005</v>
      </c>
      <c r="P120" s="23">
        <f t="shared" si="55"/>
        <v>-6.1320000000000055E-2</v>
      </c>
      <c r="Q120" s="23">
        <f t="shared" si="55"/>
        <v>-2.1320000000000061E-2</v>
      </c>
      <c r="R120" s="23">
        <f>(scatterplots_LWG_grazdays_CS!$V$4*$A120+scatterplots_LWG_grazdays_CS!$W$4)/1000+R119</f>
        <v>9.1414599999999968</v>
      </c>
      <c r="S120" s="23">
        <f t="shared" si="78"/>
        <v>10.261459999999998</v>
      </c>
      <c r="T120" s="23">
        <f t="shared" si="79"/>
        <v>11.381459999999997</v>
      </c>
      <c r="U120" s="23">
        <f t="shared" si="80"/>
        <v>12.501459999999998</v>
      </c>
      <c r="V120" s="23">
        <f>(scatterplots_LWG_grazdays_CS!$V$5*$A120+scatterplots_LWG_grazdays_CS!$W$5)/1000</f>
        <v>-0.20504000000000003</v>
      </c>
      <c r="W120" s="23">
        <f t="shared" si="56"/>
        <v>-0.16504000000000002</v>
      </c>
      <c r="X120" s="23">
        <f t="shared" si="89"/>
        <v>-0.12504000000000004</v>
      </c>
      <c r="Y120" s="23">
        <f t="shared" si="89"/>
        <v>-8.5040000000000032E-2</v>
      </c>
      <c r="Z120" s="23">
        <f>(scatterplots_LWG_grazdays_CS!$V$5*$A120+scatterplots_LWG_grazdays_CS!$W$5)/1000+Z119</f>
        <v>5.3501199999999978</v>
      </c>
      <c r="AA120" s="23">
        <f t="shared" si="81"/>
        <v>6.4701199999999961</v>
      </c>
      <c r="AB120" s="23">
        <f t="shared" si="82"/>
        <v>7.5901199999999971</v>
      </c>
      <c r="AC120" s="23">
        <f t="shared" si="83"/>
        <v>8.7101199999999981</v>
      </c>
      <c r="AD120" s="23">
        <f>(scatterplots_LWG_grazdays_CS!$V$6*$A120+scatterplots_LWG_grazdays_CS!$W$6)/1000</f>
        <v>-0.30651999999999996</v>
      </c>
      <c r="AE120" s="23">
        <f t="shared" si="58"/>
        <v>-0.26651999999999998</v>
      </c>
      <c r="AF120" s="23">
        <f t="shared" si="67"/>
        <v>-0.22651999999999994</v>
      </c>
      <c r="AG120" s="23">
        <f t="shared" si="67"/>
        <v>-0.18651999999999996</v>
      </c>
      <c r="AH120" s="23">
        <f>(scatterplots_LWG_grazdays_CS!$V$6*$A120+scatterplots_LWG_grazdays_CS!$W$6)/1000+AH119</f>
        <v>-0.68793999999999267</v>
      </c>
      <c r="AI120" s="23">
        <f t="shared" si="76"/>
        <v>0.43206000000000622</v>
      </c>
      <c r="AJ120" s="23">
        <f t="shared" si="84"/>
        <v>1.5520600000000071</v>
      </c>
      <c r="AK120" s="23">
        <f t="shared" si="85"/>
        <v>2.6720600000000081</v>
      </c>
    </row>
    <row r="121" spans="1:37">
      <c r="A121" s="12">
        <v>119</v>
      </c>
      <c r="B121" s="12">
        <v>30</v>
      </c>
      <c r="C121" s="23">
        <f>(scatterplots_LWG_grazdays_CS!$V$3*$A121+scatterplots_LWG_grazdays_CS!$W$3)/1000</f>
        <v>-3.795999999999998E-2</v>
      </c>
      <c r="D121" s="23">
        <f t="shared" si="87"/>
        <v>2.040000000000021E-3</v>
      </c>
      <c r="E121" s="23">
        <f t="shared" si="87"/>
        <v>4.2040000000000022E-2</v>
      </c>
      <c r="F121" s="23">
        <f t="shared" si="87"/>
        <v>8.2040000000000016E-2</v>
      </c>
      <c r="G121" s="23">
        <f>(scatterplots_LWG_grazdays_CS!$V$3*$A121+scatterplots_LWG_grazdays_CS!$W$3)/1000+G120</f>
        <v>15.422400000000005</v>
      </c>
      <c r="H121" s="23">
        <f t="shared" si="86"/>
        <v>16.622400000000006</v>
      </c>
      <c r="I121" s="23">
        <f t="shared" si="90"/>
        <v>18.422400000000003</v>
      </c>
      <c r="J121" s="23">
        <f t="shared" si="88"/>
        <v>19.422400000000003</v>
      </c>
      <c r="K121" s="23">
        <f t="shared" si="65"/>
        <v>19.822400000000005</v>
      </c>
      <c r="L121" s="23">
        <f t="shared" si="72"/>
        <v>17.822400000000005</v>
      </c>
      <c r="M121" s="23">
        <f t="shared" si="73"/>
        <v>19.022400000000001</v>
      </c>
      <c r="N121" s="23">
        <f>(scatterplots_LWG_grazdays_CS!$V$4*$A121+scatterplots_LWG_grazdays_CS!$W$4)/1000</f>
        <v>-0.14505999999999999</v>
      </c>
      <c r="O121" s="23">
        <f t="shared" si="55"/>
        <v>-0.10505999999999999</v>
      </c>
      <c r="P121" s="23">
        <f t="shared" si="55"/>
        <v>-6.5059999999999993E-2</v>
      </c>
      <c r="Q121" s="23">
        <f t="shared" si="55"/>
        <v>-2.5059999999999999E-2</v>
      </c>
      <c r="R121" s="23">
        <f>(scatterplots_LWG_grazdays_CS!$V$4*$A121+scatterplots_LWG_grazdays_CS!$W$4)/1000+R120</f>
        <v>8.996399999999996</v>
      </c>
      <c r="S121" s="23">
        <f t="shared" si="78"/>
        <v>10.156399999999998</v>
      </c>
      <c r="T121" s="23">
        <f t="shared" si="79"/>
        <v>11.316399999999996</v>
      </c>
      <c r="U121" s="23">
        <f t="shared" si="80"/>
        <v>12.476399999999998</v>
      </c>
      <c r="V121" s="23">
        <f>(scatterplots_LWG_grazdays_CS!$V$5*$A121+scatterplots_LWG_grazdays_CS!$W$5)/1000</f>
        <v>-0.20932000000000006</v>
      </c>
      <c r="W121" s="23">
        <f t="shared" si="56"/>
        <v>-0.16932000000000005</v>
      </c>
      <c r="X121" s="23">
        <f t="shared" si="89"/>
        <v>-0.12932000000000005</v>
      </c>
      <c r="Y121" s="23">
        <f t="shared" si="89"/>
        <v>-8.9320000000000066E-2</v>
      </c>
      <c r="Z121" s="23">
        <f>(scatterplots_LWG_grazdays_CS!$V$5*$A121+scatterplots_LWG_grazdays_CS!$W$5)/1000+Z120</f>
        <v>5.1407999999999978</v>
      </c>
      <c r="AA121" s="23">
        <f t="shared" si="81"/>
        <v>6.3007999999999962</v>
      </c>
      <c r="AB121" s="23">
        <f t="shared" si="82"/>
        <v>7.4607999999999972</v>
      </c>
      <c r="AC121" s="23">
        <f t="shared" si="83"/>
        <v>8.6207999999999974</v>
      </c>
      <c r="AD121" s="23">
        <f>(scatterplots_LWG_grazdays_CS!$V$6*$A121+scatterplots_LWG_grazdays_CS!$W$6)/1000</f>
        <v>-0.31165999999999999</v>
      </c>
      <c r="AE121" s="23">
        <f t="shared" si="58"/>
        <v>-0.27166000000000001</v>
      </c>
      <c r="AF121" s="23">
        <f t="shared" si="67"/>
        <v>-0.23165999999999998</v>
      </c>
      <c r="AG121" s="23">
        <f t="shared" si="67"/>
        <v>-0.19166</v>
      </c>
      <c r="AH121" s="23">
        <f>(scatterplots_LWG_grazdays_CS!$V$6*$A121+scatterplots_LWG_grazdays_CS!$W$6)/1000+AH120</f>
        <v>-0.99959999999999272</v>
      </c>
      <c r="AI121" s="23">
        <f t="shared" si="76"/>
        <v>0.1604000000000062</v>
      </c>
      <c r="AJ121" s="23">
        <f t="shared" si="84"/>
        <v>1.3204000000000071</v>
      </c>
      <c r="AK121" s="23">
        <f t="shared" si="85"/>
        <v>2.4804000000000079</v>
      </c>
    </row>
    <row r="122" spans="1:37">
      <c r="A122" s="12">
        <v>120</v>
      </c>
      <c r="B122" s="12">
        <v>31</v>
      </c>
      <c r="C122" s="23">
        <f>(scatterplots_LWG_grazdays_CS!$V$3*$A122+scatterplots_LWG_grazdays_CS!$W$3)/1000</f>
        <v>-4.0799999999999954E-2</v>
      </c>
      <c r="D122" s="23">
        <f t="shared" si="87"/>
        <v>-7.9999999999995353E-4</v>
      </c>
      <c r="E122" s="23">
        <f t="shared" si="87"/>
        <v>3.9200000000000047E-2</v>
      </c>
      <c r="F122" s="23">
        <f t="shared" si="87"/>
        <v>7.9200000000000048E-2</v>
      </c>
      <c r="G122" s="23">
        <f>(scatterplots_LWG_grazdays_CS!$V$3*$A122+scatterplots_LWG_grazdays_CS!$W$3)/1000+G121</f>
        <v>15.381600000000004</v>
      </c>
      <c r="H122" s="23">
        <f t="shared" si="86"/>
        <v>16.621600000000004</v>
      </c>
      <c r="I122" s="23">
        <f t="shared" si="90"/>
        <v>18.421600000000002</v>
      </c>
      <c r="J122" s="23">
        <f t="shared" si="88"/>
        <v>19.421600000000002</v>
      </c>
      <c r="K122" s="23">
        <f t="shared" si="65"/>
        <v>19.821600000000004</v>
      </c>
      <c r="L122" s="23">
        <f t="shared" si="72"/>
        <v>17.861600000000006</v>
      </c>
      <c r="M122" s="23">
        <f t="shared" si="73"/>
        <v>19.101600000000001</v>
      </c>
      <c r="N122" s="23">
        <f>(scatterplots_LWG_grazdays_CS!$V$4*$A122+scatterplots_LWG_grazdays_CS!$W$4)/1000</f>
        <v>-0.14880000000000002</v>
      </c>
      <c r="O122" s="23">
        <f t="shared" si="55"/>
        <v>-0.10880000000000001</v>
      </c>
      <c r="P122" s="23">
        <f t="shared" si="55"/>
        <v>-6.8800000000000014E-2</v>
      </c>
      <c r="Q122" s="23">
        <f t="shared" si="55"/>
        <v>-2.880000000000002E-2</v>
      </c>
      <c r="R122" s="23">
        <f>(scatterplots_LWG_grazdays_CS!$V$4*$A122+scatterplots_LWG_grazdays_CS!$W$4)/1000+R121</f>
        <v>8.8475999999999964</v>
      </c>
      <c r="S122" s="23">
        <f t="shared" si="78"/>
        <v>10.047599999999997</v>
      </c>
      <c r="T122" s="23">
        <f t="shared" si="79"/>
        <v>11.247599999999997</v>
      </c>
      <c r="U122" s="23">
        <f t="shared" si="80"/>
        <v>12.447599999999998</v>
      </c>
      <c r="V122" s="23">
        <f>(scatterplots_LWG_grazdays_CS!$V$5*$A122+scatterplots_LWG_grazdays_CS!$W$5)/1000</f>
        <v>-0.21360000000000001</v>
      </c>
      <c r="W122" s="23">
        <f t="shared" si="56"/>
        <v>-0.1736</v>
      </c>
      <c r="X122" s="23">
        <f t="shared" si="89"/>
        <v>-0.1336</v>
      </c>
      <c r="Y122" s="23">
        <f t="shared" si="89"/>
        <v>-9.3600000000000017E-2</v>
      </c>
      <c r="Z122" s="23">
        <f>(scatterplots_LWG_grazdays_CS!$V$5*$A122+scatterplots_LWG_grazdays_CS!$W$5)/1000+Z121</f>
        <v>4.9271999999999974</v>
      </c>
      <c r="AA122" s="23">
        <f t="shared" si="81"/>
        <v>6.1271999999999958</v>
      </c>
      <c r="AB122" s="23">
        <f t="shared" si="82"/>
        <v>7.3271999999999968</v>
      </c>
      <c r="AC122" s="23">
        <f t="shared" si="83"/>
        <v>8.527199999999997</v>
      </c>
      <c r="AD122" s="23">
        <f>(scatterplots_LWG_grazdays_CS!$V$6*$A122+scatterplots_LWG_grazdays_CS!$W$6)/1000</f>
        <v>-0.31679999999999997</v>
      </c>
      <c r="AE122" s="23">
        <f t="shared" si="58"/>
        <v>-0.27679999999999999</v>
      </c>
      <c r="AF122" s="23">
        <f t="shared" si="67"/>
        <v>-0.23679999999999995</v>
      </c>
      <c r="AG122" s="23">
        <f t="shared" si="67"/>
        <v>-0.19679999999999997</v>
      </c>
      <c r="AH122" s="23">
        <f>(scatterplots_LWG_grazdays_CS!$V$6*$A122+scatterplots_LWG_grazdays_CS!$W$6)/1000+AH121</f>
        <v>-1.3163999999999927</v>
      </c>
      <c r="AI122" s="23">
        <f t="shared" si="76"/>
        <v>-0.11639999999999379</v>
      </c>
      <c r="AJ122" s="23">
        <f t="shared" si="84"/>
        <v>1.0836000000000072</v>
      </c>
      <c r="AK122" s="23">
        <f t="shared" si="85"/>
        <v>2.2836000000000078</v>
      </c>
    </row>
    <row r="123" spans="1:37">
      <c r="A123" s="12">
        <v>121</v>
      </c>
      <c r="B123" s="12">
        <v>32</v>
      </c>
      <c r="C123" s="23">
        <f>(scatterplots_LWG_grazdays_CS!$V$3*$A123+scatterplots_LWG_grazdays_CS!$W$3)/1000</f>
        <v>-4.3639999999999984E-2</v>
      </c>
      <c r="D123" s="23">
        <f t="shared" si="87"/>
        <v>-3.6399999999999835E-3</v>
      </c>
      <c r="E123" s="23">
        <f t="shared" si="87"/>
        <v>3.6360000000000017E-2</v>
      </c>
      <c r="F123" s="23">
        <f t="shared" si="87"/>
        <v>7.6360000000000011E-2</v>
      </c>
      <c r="G123" s="23">
        <f>(scatterplots_LWG_grazdays_CS!$V$3*$A123+scatterplots_LWG_grazdays_CS!$W$3)/1000+G122</f>
        <v>15.337960000000004</v>
      </c>
      <c r="H123" s="23">
        <f t="shared" si="86"/>
        <v>16.617960000000004</v>
      </c>
      <c r="I123" s="23">
        <f t="shared" si="90"/>
        <v>18.417960000000001</v>
      </c>
      <c r="J123" s="23">
        <f t="shared" si="88"/>
        <v>19.417960000000001</v>
      </c>
      <c r="K123" s="23">
        <f t="shared" si="65"/>
        <v>19.817960000000003</v>
      </c>
      <c r="L123" s="23">
        <f t="shared" si="72"/>
        <v>17.897960000000005</v>
      </c>
      <c r="M123" s="23">
        <f t="shared" si="73"/>
        <v>19.177960000000002</v>
      </c>
      <c r="N123" s="23">
        <f>(scatterplots_LWG_grazdays_CS!$V$4*$A123+scatterplots_LWG_grazdays_CS!$W$4)/1000</f>
        <v>-0.15254000000000001</v>
      </c>
      <c r="O123" s="23">
        <f t="shared" si="55"/>
        <v>-0.11254</v>
      </c>
      <c r="P123" s="23">
        <f t="shared" si="55"/>
        <v>-7.2540000000000007E-2</v>
      </c>
      <c r="Q123" s="23">
        <f t="shared" si="55"/>
        <v>-3.2540000000000013E-2</v>
      </c>
      <c r="R123" s="23">
        <f>(scatterplots_LWG_grazdays_CS!$V$4*$A123+scatterplots_LWG_grazdays_CS!$W$4)/1000+R122</f>
        <v>8.6950599999999962</v>
      </c>
      <c r="S123" s="23">
        <f t="shared" si="78"/>
        <v>9.9350599999999982</v>
      </c>
      <c r="T123" s="23">
        <f t="shared" si="79"/>
        <v>11.175059999999997</v>
      </c>
      <c r="U123" s="23">
        <f t="shared" si="80"/>
        <v>12.415059999999997</v>
      </c>
      <c r="V123" s="23">
        <f>(scatterplots_LWG_grazdays_CS!$V$5*$A123+scatterplots_LWG_grazdays_CS!$W$5)/1000</f>
        <v>-0.21787999999999999</v>
      </c>
      <c r="W123" s="23">
        <f t="shared" si="56"/>
        <v>-0.17787999999999998</v>
      </c>
      <c r="X123" s="23">
        <f t="shared" si="89"/>
        <v>-0.13788</v>
      </c>
      <c r="Y123" s="23">
        <f t="shared" si="89"/>
        <v>-9.7879999999999995E-2</v>
      </c>
      <c r="Z123" s="23">
        <f>(scatterplots_LWG_grazdays_CS!$V$5*$A123+scatterplots_LWG_grazdays_CS!$W$5)/1000+Z122</f>
        <v>4.7093199999999973</v>
      </c>
      <c r="AA123" s="23">
        <f t="shared" si="81"/>
        <v>5.9493199999999957</v>
      </c>
      <c r="AB123" s="23">
        <f t="shared" si="82"/>
        <v>7.1893199999999968</v>
      </c>
      <c r="AC123" s="23">
        <f t="shared" si="83"/>
        <v>8.429319999999997</v>
      </c>
      <c r="AD123" s="23">
        <f>(scatterplots_LWG_grazdays_CS!$V$6*$A123+scatterplots_LWG_grazdays_CS!$W$6)/1000</f>
        <v>-0.32193999999999995</v>
      </c>
      <c r="AE123" s="23">
        <f t="shared" si="58"/>
        <v>-0.28193999999999997</v>
      </c>
      <c r="AF123" s="23">
        <f t="shared" si="67"/>
        <v>-0.24193999999999993</v>
      </c>
      <c r="AG123" s="23">
        <f t="shared" si="67"/>
        <v>-0.20193999999999995</v>
      </c>
      <c r="AH123" s="23">
        <f>(scatterplots_LWG_grazdays_CS!$V$6*$A123+scatterplots_LWG_grazdays_CS!$W$6)/1000+AH122</f>
        <v>-1.6383399999999926</v>
      </c>
      <c r="AI123" s="23">
        <f t="shared" si="76"/>
        <v>-0.39833999999999375</v>
      </c>
      <c r="AJ123" s="23">
        <f t="shared" si="84"/>
        <v>0.84166000000000729</v>
      </c>
      <c r="AK123" s="23">
        <f t="shared" si="85"/>
        <v>2.0816600000000078</v>
      </c>
    </row>
    <row r="124" spans="1:37">
      <c r="A124" s="12">
        <v>122</v>
      </c>
      <c r="B124" s="12">
        <v>33</v>
      </c>
      <c r="C124" s="23">
        <f>(scatterplots_LWG_grazdays_CS!$V$3*$A124+scatterplots_LWG_grazdays_CS!$W$3)/1000</f>
        <v>-4.6479999999999959E-2</v>
      </c>
      <c r="D124" s="23">
        <f t="shared" si="87"/>
        <v>-6.479999999999958E-3</v>
      </c>
      <c r="E124" s="23">
        <f t="shared" si="87"/>
        <v>3.3520000000000043E-2</v>
      </c>
      <c r="F124" s="23">
        <f t="shared" si="87"/>
        <v>7.352000000000003E-2</v>
      </c>
      <c r="G124" s="23">
        <f>(scatterplots_LWG_grazdays_CS!$V$3*$A124+scatterplots_LWG_grazdays_CS!$W$3)/1000+G123</f>
        <v>15.291480000000004</v>
      </c>
      <c r="H124" s="23">
        <f t="shared" ref="H124:H155" si="91">D124+H123</f>
        <v>16.611480000000004</v>
      </c>
      <c r="I124" s="23">
        <f t="shared" si="90"/>
        <v>18.411480000000001</v>
      </c>
      <c r="J124" s="23">
        <f t="shared" si="88"/>
        <v>19.411480000000001</v>
      </c>
      <c r="K124" s="23">
        <f t="shared" si="65"/>
        <v>19.811480000000003</v>
      </c>
      <c r="L124" s="23">
        <f t="shared" ref="L124:L155" si="92">E124+L123</f>
        <v>17.931480000000004</v>
      </c>
      <c r="M124" s="23">
        <f t="shared" ref="M124:M155" si="93">F124+M123</f>
        <v>19.251480000000001</v>
      </c>
      <c r="N124" s="23">
        <f>(scatterplots_LWG_grazdays_CS!$V$4*$A124+scatterplots_LWG_grazdays_CS!$W$4)/1000</f>
        <v>-0.15628000000000003</v>
      </c>
      <c r="O124" s="23">
        <f t="shared" si="55"/>
        <v>-0.11628000000000002</v>
      </c>
      <c r="P124" s="23">
        <f t="shared" si="55"/>
        <v>-7.6280000000000028E-2</v>
      </c>
      <c r="Q124" s="23">
        <f t="shared" si="55"/>
        <v>-3.6280000000000034E-2</v>
      </c>
      <c r="R124" s="23">
        <f>(scatterplots_LWG_grazdays_CS!$V$4*$A124+scatterplots_LWG_grazdays_CS!$W$4)/1000+R123</f>
        <v>8.5387799999999956</v>
      </c>
      <c r="S124" s="23">
        <f t="shared" si="78"/>
        <v>9.8187799999999985</v>
      </c>
      <c r="T124" s="23">
        <f t="shared" si="79"/>
        <v>11.098779999999996</v>
      </c>
      <c r="U124" s="23">
        <f t="shared" si="80"/>
        <v>12.378779999999997</v>
      </c>
      <c r="V124" s="23">
        <f>(scatterplots_LWG_grazdays_CS!$V$5*$A124+scatterplots_LWG_grazdays_CS!$W$5)/1000</f>
        <v>-0.22216000000000008</v>
      </c>
      <c r="W124" s="23">
        <f t="shared" si="56"/>
        <v>-0.18216000000000007</v>
      </c>
      <c r="X124" s="23">
        <f t="shared" si="89"/>
        <v>-0.14216000000000006</v>
      </c>
      <c r="Y124" s="23">
        <f t="shared" si="89"/>
        <v>-0.10216000000000008</v>
      </c>
      <c r="Z124" s="23">
        <f>(scatterplots_LWG_grazdays_CS!$V$5*$A124+scatterplots_LWG_grazdays_CS!$W$5)/1000+Z123</f>
        <v>4.4871599999999976</v>
      </c>
      <c r="AA124" s="23">
        <f t="shared" si="81"/>
        <v>5.7671599999999961</v>
      </c>
      <c r="AB124" s="23">
        <f t="shared" si="82"/>
        <v>7.0471599999999963</v>
      </c>
      <c r="AC124" s="23">
        <f t="shared" si="83"/>
        <v>8.3271599999999975</v>
      </c>
      <c r="AD124" s="23">
        <f>(scatterplots_LWG_grazdays_CS!$V$6*$A124+scatterplots_LWG_grazdays_CS!$W$6)/1000</f>
        <v>-0.32707999999999993</v>
      </c>
      <c r="AE124" s="23">
        <f t="shared" si="58"/>
        <v>-0.28707999999999995</v>
      </c>
      <c r="AF124" s="23">
        <f t="shared" si="67"/>
        <v>-0.24707999999999991</v>
      </c>
      <c r="AG124" s="23">
        <f t="shared" si="67"/>
        <v>-0.20707999999999993</v>
      </c>
      <c r="AH124" s="23">
        <f>(scatterplots_LWG_grazdays_CS!$V$6*$A124+scatterplots_LWG_grazdays_CS!$W$6)/1000+AH123</f>
        <v>-1.9654199999999924</v>
      </c>
      <c r="AI124" s="23">
        <f t="shared" si="76"/>
        <v>-0.6854199999999937</v>
      </c>
      <c r="AJ124" s="23">
        <f t="shared" si="84"/>
        <v>0.59458000000000744</v>
      </c>
      <c r="AK124" s="23">
        <f t="shared" si="85"/>
        <v>1.8745800000000079</v>
      </c>
    </row>
    <row r="125" spans="1:37">
      <c r="A125" s="12">
        <v>123</v>
      </c>
      <c r="B125" s="12">
        <v>34</v>
      </c>
      <c r="C125" s="23">
        <f>(scatterplots_LWG_grazdays_CS!$V$3*$A125+scatterplots_LWG_grazdays_CS!$W$3)/1000</f>
        <v>-4.9319999999999996E-2</v>
      </c>
      <c r="D125" s="23">
        <f t="shared" si="87"/>
        <v>-9.319999999999995E-3</v>
      </c>
      <c r="E125" s="23">
        <f t="shared" si="87"/>
        <v>3.0680000000000006E-2</v>
      </c>
      <c r="F125" s="23">
        <f t="shared" si="87"/>
        <v>7.0679999999999993E-2</v>
      </c>
      <c r="G125" s="23">
        <f>(scatterplots_LWG_grazdays_CS!$V$3*$A125+scatterplots_LWG_grazdays_CS!$W$3)/1000+G124</f>
        <v>15.242160000000004</v>
      </c>
      <c r="H125" s="23">
        <f t="shared" si="91"/>
        <v>16.602160000000005</v>
      </c>
      <c r="I125" s="23">
        <f t="shared" si="90"/>
        <v>18.402160000000002</v>
      </c>
      <c r="J125" s="23">
        <f t="shared" si="88"/>
        <v>19.402160000000002</v>
      </c>
      <c r="K125" s="23">
        <f t="shared" si="65"/>
        <v>19.802160000000004</v>
      </c>
      <c r="L125" s="23">
        <f t="shared" si="92"/>
        <v>17.962160000000004</v>
      </c>
      <c r="M125" s="23">
        <f t="shared" si="93"/>
        <v>19.32216</v>
      </c>
      <c r="N125" s="23">
        <f>(scatterplots_LWG_grazdays_CS!$V$4*$A125+scatterplots_LWG_grazdays_CS!$W$4)/1000</f>
        <v>-0.16002000000000005</v>
      </c>
      <c r="O125" s="23">
        <f t="shared" si="55"/>
        <v>-0.12002000000000004</v>
      </c>
      <c r="P125" s="23">
        <f t="shared" si="55"/>
        <v>-8.0020000000000049E-2</v>
      </c>
      <c r="Q125" s="23">
        <f t="shared" si="55"/>
        <v>-4.0020000000000056E-2</v>
      </c>
      <c r="R125" s="23">
        <f>(scatterplots_LWG_grazdays_CS!$V$4*$A125+scatterplots_LWG_grazdays_CS!$W$4)/1000+R124</f>
        <v>8.3787599999999962</v>
      </c>
      <c r="S125" s="23">
        <f t="shared" si="78"/>
        <v>9.6987599999999983</v>
      </c>
      <c r="T125" s="23">
        <f t="shared" si="79"/>
        <v>11.018759999999997</v>
      </c>
      <c r="U125" s="23">
        <f t="shared" si="80"/>
        <v>12.338759999999997</v>
      </c>
      <c r="V125" s="23">
        <f>(scatterplots_LWG_grazdays_CS!$V$5*$A125+scatterplots_LWG_grazdays_CS!$W$5)/1000</f>
        <v>-0.22644000000000006</v>
      </c>
      <c r="W125" s="23">
        <f t="shared" si="56"/>
        <v>-0.18644000000000005</v>
      </c>
      <c r="X125" s="23">
        <f t="shared" si="89"/>
        <v>-0.14644000000000007</v>
      </c>
      <c r="Y125" s="23">
        <f t="shared" si="89"/>
        <v>-0.10644000000000006</v>
      </c>
      <c r="Z125" s="23">
        <f>(scatterplots_LWG_grazdays_CS!$V$5*$A125+scatterplots_LWG_grazdays_CS!$W$5)/1000+Z124</f>
        <v>4.2607199999999974</v>
      </c>
      <c r="AA125" s="23">
        <f t="shared" si="81"/>
        <v>5.5807199999999959</v>
      </c>
      <c r="AB125" s="23">
        <f t="shared" si="82"/>
        <v>6.9007199999999962</v>
      </c>
      <c r="AC125" s="23">
        <f t="shared" si="83"/>
        <v>8.2207199999999983</v>
      </c>
      <c r="AD125" s="23">
        <f>(scatterplots_LWG_grazdays_CS!$V$6*$A125+scatterplots_LWG_grazdays_CS!$W$6)/1000</f>
        <v>-0.3322199999999999</v>
      </c>
      <c r="AE125" s="23">
        <f t="shared" si="58"/>
        <v>-0.29221999999999992</v>
      </c>
      <c r="AF125" s="23">
        <f t="shared" si="67"/>
        <v>-0.25221999999999989</v>
      </c>
      <c r="AG125" s="23">
        <f t="shared" si="67"/>
        <v>-0.21221999999999991</v>
      </c>
      <c r="AH125" s="23">
        <f>(scatterplots_LWG_grazdays_CS!$V$6*$A125+scatterplots_LWG_grazdays_CS!$W$6)/1000+AH124</f>
        <v>-2.2976399999999924</v>
      </c>
      <c r="AI125" s="23">
        <f t="shared" ref="AI125:AI156" si="94">AE125+AI124</f>
        <v>-0.97763999999999363</v>
      </c>
      <c r="AJ125" s="23">
        <f t="shared" si="84"/>
        <v>0.34236000000000755</v>
      </c>
      <c r="AK125" s="23">
        <f t="shared" si="85"/>
        <v>1.6623600000000081</v>
      </c>
    </row>
    <row r="126" spans="1:37">
      <c r="A126" s="12">
        <v>124</v>
      </c>
      <c r="B126" s="12">
        <v>35</v>
      </c>
      <c r="C126" s="23">
        <f>(scatterplots_LWG_grazdays_CS!$V$3*$A126+scatterplots_LWG_grazdays_CS!$W$3)/1000</f>
        <v>-5.215999999999997E-2</v>
      </c>
      <c r="D126" s="23">
        <f t="shared" si="87"/>
        <v>-1.2159999999999969E-2</v>
      </c>
      <c r="E126" s="23">
        <f t="shared" si="87"/>
        <v>2.7840000000000031E-2</v>
      </c>
      <c r="F126" s="23">
        <f t="shared" si="87"/>
        <v>6.7840000000000025E-2</v>
      </c>
      <c r="G126" s="23">
        <f>(scatterplots_LWG_grazdays_CS!$V$3*$A126+scatterplots_LWG_grazdays_CS!$W$3)/1000+G125</f>
        <v>15.190000000000003</v>
      </c>
      <c r="H126" s="23">
        <f t="shared" si="91"/>
        <v>16.590000000000003</v>
      </c>
      <c r="I126" s="23">
        <f t="shared" si="90"/>
        <v>18.39</v>
      </c>
      <c r="J126" s="23">
        <f t="shared" si="88"/>
        <v>19.39</v>
      </c>
      <c r="K126" s="23">
        <f t="shared" si="65"/>
        <v>19.790000000000003</v>
      </c>
      <c r="L126" s="23">
        <f t="shared" si="92"/>
        <v>17.990000000000006</v>
      </c>
      <c r="M126" s="23">
        <f t="shared" si="93"/>
        <v>19.39</v>
      </c>
      <c r="N126" s="23">
        <f>(scatterplots_LWG_grazdays_CS!$V$4*$A126+scatterplots_LWG_grazdays_CS!$W$4)/1000</f>
        <v>-0.16376000000000004</v>
      </c>
      <c r="O126" s="23">
        <f t="shared" si="55"/>
        <v>-0.12376000000000004</v>
      </c>
      <c r="P126" s="23">
        <f t="shared" si="55"/>
        <v>-8.3760000000000043E-2</v>
      </c>
      <c r="Q126" s="23">
        <f t="shared" si="55"/>
        <v>-4.3760000000000049E-2</v>
      </c>
      <c r="R126" s="23">
        <f>(scatterplots_LWG_grazdays_CS!$V$4*$A126+scatterplots_LWG_grazdays_CS!$W$4)/1000+R125</f>
        <v>8.2149999999999963</v>
      </c>
      <c r="S126" s="23">
        <f t="shared" si="78"/>
        <v>9.5749999999999975</v>
      </c>
      <c r="T126" s="23">
        <f t="shared" si="79"/>
        <v>10.934999999999997</v>
      </c>
      <c r="U126" s="23">
        <f t="shared" si="80"/>
        <v>12.294999999999996</v>
      </c>
      <c r="V126" s="23">
        <f>(scatterplots_LWG_grazdays_CS!$V$5*$A126+scatterplots_LWG_grazdays_CS!$W$5)/1000</f>
        <v>-0.23072000000000004</v>
      </c>
      <c r="W126" s="23">
        <f t="shared" si="56"/>
        <v>-0.19072000000000003</v>
      </c>
      <c r="X126" s="23">
        <f t="shared" si="89"/>
        <v>-0.15072000000000002</v>
      </c>
      <c r="Y126" s="23">
        <f t="shared" si="89"/>
        <v>-0.11072000000000004</v>
      </c>
      <c r="Z126" s="23">
        <f>(scatterplots_LWG_grazdays_CS!$V$5*$A126+scatterplots_LWG_grazdays_CS!$W$5)/1000+Z125</f>
        <v>4.0299999999999976</v>
      </c>
      <c r="AA126" s="23">
        <f t="shared" ref="AA126:AA157" si="95">AA125+W126</f>
        <v>5.3899999999999961</v>
      </c>
      <c r="AB126" s="23">
        <f t="shared" si="82"/>
        <v>6.7499999999999964</v>
      </c>
      <c r="AC126" s="23">
        <f t="shared" si="83"/>
        <v>8.1099999999999977</v>
      </c>
      <c r="AD126" s="23">
        <f>(scatterplots_LWG_grazdays_CS!$V$6*$A126+scatterplots_LWG_grazdays_CS!$W$6)/1000</f>
        <v>-0.33735999999999999</v>
      </c>
      <c r="AE126" s="23">
        <f t="shared" si="58"/>
        <v>-0.29736000000000001</v>
      </c>
      <c r="AF126" s="23">
        <f t="shared" si="67"/>
        <v>-0.25735999999999998</v>
      </c>
      <c r="AG126" s="23">
        <f t="shared" si="67"/>
        <v>-0.21736</v>
      </c>
      <c r="AH126" s="23">
        <f>(scatterplots_LWG_grazdays_CS!$V$6*$A126+scatterplots_LWG_grazdays_CS!$W$6)/1000+AH125</f>
        <v>-2.6349999999999922</v>
      </c>
      <c r="AI126" s="23">
        <f t="shared" si="94"/>
        <v>-1.2749999999999937</v>
      </c>
      <c r="AJ126" s="23">
        <f t="shared" si="84"/>
        <v>8.500000000000757E-2</v>
      </c>
      <c r="AK126" s="23">
        <f t="shared" si="85"/>
        <v>1.4450000000000081</v>
      </c>
    </row>
    <row r="127" spans="1:37">
      <c r="A127" s="12">
        <v>125</v>
      </c>
      <c r="B127" s="12">
        <v>36</v>
      </c>
      <c r="C127" s="23">
        <f>(scatterplots_LWG_grazdays_CS!$V$3*$A127+scatterplots_LWG_grazdays_CS!$W$3)/1000</f>
        <v>-5.5E-2</v>
      </c>
      <c r="D127" s="23">
        <f t="shared" si="87"/>
        <v>-1.4999999999999999E-2</v>
      </c>
      <c r="E127" s="23">
        <f t="shared" si="87"/>
        <v>2.5000000000000001E-2</v>
      </c>
      <c r="F127" s="23">
        <f t="shared" si="87"/>
        <v>6.5000000000000002E-2</v>
      </c>
      <c r="G127" s="23">
        <f>(scatterplots_LWG_grazdays_CS!$V$3*$A127+scatterplots_LWG_grazdays_CS!$W$3)/1000+G126</f>
        <v>15.135000000000003</v>
      </c>
      <c r="H127" s="23">
        <f t="shared" si="91"/>
        <v>16.575000000000003</v>
      </c>
      <c r="I127" s="23">
        <f t="shared" si="90"/>
        <v>18.375</v>
      </c>
      <c r="J127" s="23">
        <f t="shared" si="88"/>
        <v>19.375</v>
      </c>
      <c r="K127" s="23">
        <f t="shared" si="65"/>
        <v>19.775000000000002</v>
      </c>
      <c r="L127" s="23">
        <f t="shared" si="92"/>
        <v>18.015000000000004</v>
      </c>
      <c r="M127" s="23">
        <f t="shared" si="93"/>
        <v>19.455000000000002</v>
      </c>
      <c r="N127" s="23">
        <f>(scatterplots_LWG_grazdays_CS!$V$4*$A127+scatterplots_LWG_grazdays_CS!$W$4)/1000</f>
        <v>-0.16750000000000001</v>
      </c>
      <c r="O127" s="23">
        <f t="shared" si="55"/>
        <v>-0.1275</v>
      </c>
      <c r="P127" s="23">
        <f t="shared" si="55"/>
        <v>-8.7500000000000008E-2</v>
      </c>
      <c r="Q127" s="23">
        <f t="shared" si="55"/>
        <v>-4.7500000000000014E-2</v>
      </c>
      <c r="R127" s="23">
        <f>(scatterplots_LWG_grazdays_CS!$V$4*$A127+scatterplots_LWG_grazdays_CS!$W$4)/1000+R126</f>
        <v>8.0474999999999959</v>
      </c>
      <c r="S127" s="23">
        <f t="shared" si="78"/>
        <v>9.447499999999998</v>
      </c>
      <c r="T127" s="23">
        <f t="shared" si="79"/>
        <v>10.847499999999997</v>
      </c>
      <c r="U127" s="23">
        <f t="shared" si="80"/>
        <v>12.247499999999997</v>
      </c>
      <c r="V127" s="23">
        <f>(scatterplots_LWG_grazdays_CS!$V$5*$A127+scatterplots_LWG_grazdays_CS!$W$5)/1000</f>
        <v>-0.23499999999999999</v>
      </c>
      <c r="W127" s="23">
        <f t="shared" si="56"/>
        <v>-0.19499999999999998</v>
      </c>
      <c r="X127" s="23">
        <f t="shared" si="89"/>
        <v>-0.15499999999999997</v>
      </c>
      <c r="Y127" s="23">
        <f t="shared" si="89"/>
        <v>-0.11499999999999999</v>
      </c>
      <c r="Z127" s="23">
        <f>(scatterplots_LWG_grazdays_CS!$V$5*$A127+scatterplots_LWG_grazdays_CS!$W$5)/1000+Z126</f>
        <v>3.7949999999999977</v>
      </c>
      <c r="AA127" s="23">
        <f t="shared" si="95"/>
        <v>5.1949999999999958</v>
      </c>
      <c r="AB127" s="23">
        <f t="shared" si="82"/>
        <v>6.5949999999999962</v>
      </c>
      <c r="AC127" s="23">
        <f t="shared" si="83"/>
        <v>7.9949999999999974</v>
      </c>
      <c r="AD127" s="23">
        <f>(scatterplots_LWG_grazdays_CS!$V$6*$A127+scatterplots_LWG_grazdays_CS!$W$6)/1000</f>
        <v>-0.34250000000000003</v>
      </c>
      <c r="AE127" s="23">
        <f t="shared" si="58"/>
        <v>-0.30250000000000005</v>
      </c>
      <c r="AF127" s="23">
        <f t="shared" si="67"/>
        <v>-0.26250000000000001</v>
      </c>
      <c r="AG127" s="23">
        <f t="shared" si="67"/>
        <v>-0.22250000000000003</v>
      </c>
      <c r="AH127" s="23">
        <f>(scatterplots_LWG_grazdays_CS!$V$6*$A127+scatterplots_LWG_grazdays_CS!$W$6)/1000+AH126</f>
        <v>-2.977499999999992</v>
      </c>
      <c r="AI127" s="23">
        <f t="shared" si="94"/>
        <v>-1.5774999999999937</v>
      </c>
      <c r="AJ127" s="23">
        <f t="shared" si="84"/>
        <v>-0.17749999999999244</v>
      </c>
      <c r="AK127" s="23">
        <f t="shared" si="85"/>
        <v>1.2225000000000081</v>
      </c>
    </row>
    <row r="128" spans="1:37">
      <c r="A128" s="12">
        <v>126</v>
      </c>
      <c r="B128" s="12">
        <v>37</v>
      </c>
      <c r="C128" s="23">
        <f>(scatterplots_LWG_grazdays_CS!$V$3*$A128+scatterplots_LWG_grazdays_CS!$W$3)/1000</f>
        <v>-5.7839999999999975E-2</v>
      </c>
      <c r="D128" s="23">
        <f t="shared" si="87"/>
        <v>-1.7839999999999974E-2</v>
      </c>
      <c r="E128" s="23">
        <f t="shared" si="87"/>
        <v>2.2160000000000027E-2</v>
      </c>
      <c r="F128" s="23">
        <f t="shared" si="87"/>
        <v>6.2160000000000021E-2</v>
      </c>
      <c r="G128" s="23">
        <f>(scatterplots_LWG_grazdays_CS!$V$3*$A128+scatterplots_LWG_grazdays_CS!$W$3)/1000+G127</f>
        <v>15.077160000000003</v>
      </c>
      <c r="H128" s="23">
        <f t="shared" si="91"/>
        <v>16.557160000000003</v>
      </c>
      <c r="I128" s="23">
        <f t="shared" si="90"/>
        <v>18.35716</v>
      </c>
      <c r="J128" s="23">
        <f t="shared" si="88"/>
        <v>19.35716</v>
      </c>
      <c r="K128" s="23">
        <f t="shared" si="65"/>
        <v>19.757160000000002</v>
      </c>
      <c r="L128" s="23">
        <f t="shared" si="92"/>
        <v>18.037160000000004</v>
      </c>
      <c r="M128" s="23">
        <f t="shared" si="93"/>
        <v>19.517160000000001</v>
      </c>
      <c r="N128" s="23">
        <f>(scatterplots_LWG_grazdays_CS!$V$4*$A128+scatterplots_LWG_grazdays_CS!$W$4)/1000</f>
        <v>-0.17124</v>
      </c>
      <c r="O128" s="23">
        <f t="shared" si="55"/>
        <v>-0.13124</v>
      </c>
      <c r="P128" s="23">
        <f t="shared" si="55"/>
        <v>-9.1240000000000002E-2</v>
      </c>
      <c r="Q128" s="23">
        <f t="shared" si="55"/>
        <v>-5.1240000000000008E-2</v>
      </c>
      <c r="R128" s="23">
        <f>(scatterplots_LWG_grazdays_CS!$V$4*$A128+scatterplots_LWG_grazdays_CS!$W$4)/1000+R127</f>
        <v>7.8762599999999958</v>
      </c>
      <c r="S128" s="23">
        <f t="shared" si="78"/>
        <v>9.316259999999998</v>
      </c>
      <c r="T128" s="23">
        <f t="shared" si="79"/>
        <v>10.756259999999996</v>
      </c>
      <c r="U128" s="23">
        <f t="shared" si="80"/>
        <v>12.196259999999997</v>
      </c>
      <c r="V128" s="23">
        <f>(scatterplots_LWG_grazdays_CS!$V$5*$A128+scatterplots_LWG_grazdays_CS!$W$5)/1000</f>
        <v>-0.23928000000000008</v>
      </c>
      <c r="W128" s="23">
        <f t="shared" si="56"/>
        <v>-0.19928000000000007</v>
      </c>
      <c r="X128" s="23">
        <f t="shared" si="89"/>
        <v>-0.15928000000000009</v>
      </c>
      <c r="Y128" s="23">
        <f t="shared" si="89"/>
        <v>-0.11928000000000008</v>
      </c>
      <c r="Z128" s="23">
        <f>(scatterplots_LWG_grazdays_CS!$V$5*$A128+scatterplots_LWG_grazdays_CS!$W$5)/1000+Z127</f>
        <v>3.5557199999999978</v>
      </c>
      <c r="AA128" s="23">
        <f t="shared" si="95"/>
        <v>4.9957199999999959</v>
      </c>
      <c r="AB128" s="23">
        <f t="shared" si="82"/>
        <v>6.4357199999999963</v>
      </c>
      <c r="AC128" s="23">
        <f t="shared" si="83"/>
        <v>7.8757199999999976</v>
      </c>
      <c r="AD128" s="23">
        <f>(scatterplots_LWG_grazdays_CS!$V$6*$A128+scatterplots_LWG_grazdays_CS!$W$6)/1000</f>
        <v>-0.34764</v>
      </c>
      <c r="AE128" s="23">
        <f t="shared" si="58"/>
        <v>-0.30764000000000002</v>
      </c>
      <c r="AF128" s="23">
        <f t="shared" si="67"/>
        <v>-0.26763999999999999</v>
      </c>
      <c r="AG128" s="23">
        <f t="shared" si="67"/>
        <v>-0.22764000000000001</v>
      </c>
      <c r="AH128" s="23">
        <f>(scatterplots_LWG_grazdays_CS!$V$6*$A128+scatterplots_LWG_grazdays_CS!$W$6)/1000+AH127</f>
        <v>-3.3251399999999922</v>
      </c>
      <c r="AI128" s="23">
        <f t="shared" si="94"/>
        <v>-1.8851399999999936</v>
      </c>
      <c r="AJ128" s="23">
        <f t="shared" si="84"/>
        <v>-0.44513999999999243</v>
      </c>
      <c r="AK128" s="23">
        <f t="shared" si="85"/>
        <v>0.99486000000000807</v>
      </c>
    </row>
    <row r="129" spans="1:37">
      <c r="A129" s="12">
        <v>127</v>
      </c>
      <c r="B129" s="12">
        <v>38</v>
      </c>
      <c r="C129" s="23">
        <f>(scatterplots_LWG_grazdays_CS!$V$3*$A129+scatterplots_LWG_grazdays_CS!$W$3)/1000</f>
        <v>-6.0680000000000005E-2</v>
      </c>
      <c r="D129" s="23">
        <f t="shared" si="87"/>
        <v>-2.0680000000000004E-2</v>
      </c>
      <c r="E129" s="23">
        <f t="shared" si="87"/>
        <v>1.9319999999999997E-2</v>
      </c>
      <c r="F129" s="23">
        <f t="shared" si="87"/>
        <v>5.9319999999999991E-2</v>
      </c>
      <c r="G129" s="23">
        <f>(scatterplots_LWG_grazdays_CS!$V$3*$A129+scatterplots_LWG_grazdays_CS!$W$3)/1000+G128</f>
        <v>15.016480000000003</v>
      </c>
      <c r="H129" s="23">
        <f t="shared" si="91"/>
        <v>16.536480000000005</v>
      </c>
      <c r="I129" s="23">
        <f t="shared" si="90"/>
        <v>18.336480000000002</v>
      </c>
      <c r="J129" s="23">
        <f t="shared" si="88"/>
        <v>19.336480000000002</v>
      </c>
      <c r="K129" s="23">
        <f t="shared" si="65"/>
        <v>19.736480000000004</v>
      </c>
      <c r="L129" s="23">
        <f t="shared" si="92"/>
        <v>18.056480000000004</v>
      </c>
      <c r="M129" s="23">
        <f t="shared" si="93"/>
        <v>19.57648</v>
      </c>
      <c r="N129" s="23">
        <f>(scatterplots_LWG_grazdays_CS!$V$4*$A129+scatterplots_LWG_grazdays_CS!$W$4)/1000</f>
        <v>-0.17498000000000002</v>
      </c>
      <c r="O129" s="23">
        <f t="shared" si="55"/>
        <v>-0.13498000000000002</v>
      </c>
      <c r="P129" s="23">
        <f t="shared" si="55"/>
        <v>-9.4980000000000023E-2</v>
      </c>
      <c r="Q129" s="23">
        <f t="shared" si="55"/>
        <v>-5.4980000000000029E-2</v>
      </c>
      <c r="R129" s="23">
        <f>(scatterplots_LWG_grazdays_CS!$V$4*$A129+scatterplots_LWG_grazdays_CS!$W$4)/1000+R128</f>
        <v>7.7012799999999961</v>
      </c>
      <c r="S129" s="23">
        <f t="shared" si="78"/>
        <v>9.1812799999999974</v>
      </c>
      <c r="T129" s="23">
        <f t="shared" si="79"/>
        <v>10.661279999999996</v>
      </c>
      <c r="U129" s="23">
        <f t="shared" si="80"/>
        <v>12.141279999999997</v>
      </c>
      <c r="V129" s="23">
        <f>(scatterplots_LWG_grazdays_CS!$V$5*$A129+scatterplots_LWG_grazdays_CS!$W$5)/1000</f>
        <v>-0.24356000000000005</v>
      </c>
      <c r="W129" s="23">
        <f t="shared" si="56"/>
        <v>-0.20356000000000005</v>
      </c>
      <c r="X129" s="23">
        <f t="shared" si="89"/>
        <v>-0.16356000000000004</v>
      </c>
      <c r="Y129" s="23">
        <f t="shared" si="89"/>
        <v>-0.12356000000000006</v>
      </c>
      <c r="Z129" s="23">
        <f>(scatterplots_LWG_grazdays_CS!$V$5*$A129+scatterplots_LWG_grazdays_CS!$W$5)/1000+Z128</f>
        <v>3.3121599999999978</v>
      </c>
      <c r="AA129" s="23">
        <f t="shared" si="95"/>
        <v>4.7921599999999955</v>
      </c>
      <c r="AB129" s="23">
        <f t="shared" si="82"/>
        <v>6.272159999999996</v>
      </c>
      <c r="AC129" s="23">
        <f t="shared" si="83"/>
        <v>7.7521599999999973</v>
      </c>
      <c r="AD129" s="23">
        <f>(scatterplots_LWG_grazdays_CS!$V$6*$A129+scatterplots_LWG_grazdays_CS!$W$6)/1000</f>
        <v>-0.35277999999999998</v>
      </c>
      <c r="AE129" s="23">
        <f t="shared" si="58"/>
        <v>-0.31278</v>
      </c>
      <c r="AF129" s="23">
        <f t="shared" si="67"/>
        <v>-0.27277999999999997</v>
      </c>
      <c r="AG129" s="23">
        <f t="shared" si="67"/>
        <v>-0.23277999999999999</v>
      </c>
      <c r="AH129" s="23">
        <f>(scatterplots_LWG_grazdays_CS!$V$6*$A129+scatterplots_LWG_grazdays_CS!$W$6)/1000+AH128</f>
        <v>-3.6779199999999923</v>
      </c>
      <c r="AI129" s="23">
        <f t="shared" si="94"/>
        <v>-2.1979199999999937</v>
      </c>
      <c r="AJ129" s="23">
        <f t="shared" si="84"/>
        <v>-0.71791999999999234</v>
      </c>
      <c r="AK129" s="23">
        <f t="shared" si="85"/>
        <v>0.76208000000000808</v>
      </c>
    </row>
    <row r="130" spans="1:37">
      <c r="A130" s="12">
        <v>128</v>
      </c>
      <c r="B130" s="12">
        <v>39</v>
      </c>
      <c r="C130" s="23">
        <f>(scatterplots_LWG_grazdays_CS!$V$3*$A130+scatterplots_LWG_grazdays_CS!$W$3)/1000</f>
        <v>-6.3519999999999979E-2</v>
      </c>
      <c r="D130" s="23">
        <f t="shared" si="87"/>
        <v>-2.3519999999999978E-2</v>
      </c>
      <c r="E130" s="23">
        <f t="shared" si="87"/>
        <v>1.6480000000000022E-2</v>
      </c>
      <c r="F130" s="23">
        <f t="shared" si="87"/>
        <v>5.6480000000000016E-2</v>
      </c>
      <c r="G130" s="23">
        <f>(scatterplots_LWG_grazdays_CS!$V$3*$A130+scatterplots_LWG_grazdays_CS!$W$3)/1000+G129</f>
        <v>14.952960000000003</v>
      </c>
      <c r="H130" s="23">
        <f t="shared" si="91"/>
        <v>16.512960000000003</v>
      </c>
      <c r="I130" s="23">
        <f t="shared" si="90"/>
        <v>18.31296</v>
      </c>
      <c r="J130" s="23">
        <f t="shared" si="88"/>
        <v>19.31296</v>
      </c>
      <c r="K130" s="23">
        <f t="shared" si="65"/>
        <v>19.712960000000002</v>
      </c>
      <c r="L130" s="23">
        <f t="shared" si="92"/>
        <v>18.072960000000005</v>
      </c>
      <c r="M130" s="23">
        <f t="shared" si="93"/>
        <v>19.632960000000001</v>
      </c>
      <c r="N130" s="23">
        <f>(scatterplots_LWG_grazdays_CS!$V$4*$A130+scatterplots_LWG_grazdays_CS!$W$4)/1000</f>
        <v>-0.17872000000000002</v>
      </c>
      <c r="O130" s="23">
        <f t="shared" si="55"/>
        <v>-0.13872000000000001</v>
      </c>
      <c r="P130" s="23">
        <f t="shared" si="55"/>
        <v>-9.8720000000000016E-2</v>
      </c>
      <c r="Q130" s="23">
        <f t="shared" si="55"/>
        <v>-5.8720000000000022E-2</v>
      </c>
      <c r="R130" s="23">
        <f>(scatterplots_LWG_grazdays_CS!$V$4*$A130+scatterplots_LWG_grazdays_CS!$W$4)/1000+R129</f>
        <v>7.5225599999999959</v>
      </c>
      <c r="S130" s="23">
        <f t="shared" si="78"/>
        <v>9.0425599999999982</v>
      </c>
      <c r="T130" s="23">
        <f t="shared" si="79"/>
        <v>10.562559999999996</v>
      </c>
      <c r="U130" s="23">
        <f t="shared" si="80"/>
        <v>12.082559999999997</v>
      </c>
      <c r="V130" s="23">
        <f>(scatterplots_LWG_grazdays_CS!$V$5*$A130+scatterplots_LWG_grazdays_CS!$W$5)/1000</f>
        <v>-0.24784000000000003</v>
      </c>
      <c r="W130" s="23">
        <f t="shared" si="56"/>
        <v>-0.20784000000000002</v>
      </c>
      <c r="X130" s="23">
        <f t="shared" si="89"/>
        <v>-0.16784000000000004</v>
      </c>
      <c r="Y130" s="23">
        <f t="shared" si="89"/>
        <v>-0.12784000000000004</v>
      </c>
      <c r="Z130" s="23">
        <f>(scatterplots_LWG_grazdays_CS!$V$5*$A130+scatterplots_LWG_grazdays_CS!$W$5)/1000+Z129</f>
        <v>3.0643199999999977</v>
      </c>
      <c r="AA130" s="23">
        <f t="shared" si="95"/>
        <v>4.5843199999999955</v>
      </c>
      <c r="AB130" s="23">
        <f t="shared" si="82"/>
        <v>6.104319999999996</v>
      </c>
      <c r="AC130" s="23">
        <f t="shared" si="83"/>
        <v>7.6243199999999973</v>
      </c>
      <c r="AD130" s="23">
        <f>(scatterplots_LWG_grazdays_CS!$V$6*$A130+scatterplots_LWG_grazdays_CS!$W$6)/1000</f>
        <v>-0.35791999999999996</v>
      </c>
      <c r="AE130" s="23">
        <f t="shared" si="58"/>
        <v>-0.31791999999999998</v>
      </c>
      <c r="AF130" s="23">
        <f t="shared" si="67"/>
        <v>-0.27791999999999994</v>
      </c>
      <c r="AG130" s="23">
        <f t="shared" si="67"/>
        <v>-0.23791999999999996</v>
      </c>
      <c r="AH130" s="23">
        <f>(scatterplots_LWG_grazdays_CS!$V$6*$A130+scatterplots_LWG_grazdays_CS!$W$6)/1000+AH129</f>
        <v>-4.0358399999999923</v>
      </c>
      <c r="AI130" s="23">
        <f t="shared" si="94"/>
        <v>-2.5158399999999936</v>
      </c>
      <c r="AJ130" s="23">
        <f t="shared" si="84"/>
        <v>-0.99583999999999229</v>
      </c>
      <c r="AK130" s="23">
        <f t="shared" si="85"/>
        <v>0.52416000000000817</v>
      </c>
    </row>
    <row r="131" spans="1:37">
      <c r="A131" s="12">
        <v>129</v>
      </c>
      <c r="B131" s="12">
        <v>40</v>
      </c>
      <c r="C131" s="23">
        <f>(scatterplots_LWG_grazdays_CS!$V$3*$A131+scatterplots_LWG_grazdays_CS!$W$3)/1000</f>
        <v>-6.6359999999999961E-2</v>
      </c>
      <c r="D131" s="23">
        <f t="shared" si="87"/>
        <v>-2.635999999999996E-2</v>
      </c>
      <c r="E131" s="23">
        <f t="shared" si="87"/>
        <v>1.3640000000000041E-2</v>
      </c>
      <c r="F131" s="23">
        <f t="shared" si="87"/>
        <v>5.3640000000000035E-2</v>
      </c>
      <c r="G131" s="23">
        <f>(scatterplots_LWG_grazdays_CS!$V$3*$A131+scatterplots_LWG_grazdays_CS!$W$3)/1000+G130</f>
        <v>14.886600000000003</v>
      </c>
      <c r="H131" s="23">
        <f t="shared" si="91"/>
        <v>16.486600000000003</v>
      </c>
      <c r="I131" s="23">
        <f t="shared" si="90"/>
        <v>18.2866</v>
      </c>
      <c r="J131" s="23">
        <f t="shared" si="88"/>
        <v>19.2866</v>
      </c>
      <c r="K131" s="23">
        <f t="shared" si="65"/>
        <v>19.686600000000002</v>
      </c>
      <c r="L131" s="23">
        <f t="shared" si="92"/>
        <v>18.086600000000004</v>
      </c>
      <c r="M131" s="23">
        <f t="shared" si="93"/>
        <v>19.686600000000002</v>
      </c>
      <c r="N131" s="23">
        <f>(scatterplots_LWG_grazdays_CS!$V$4*$A131+scatterplots_LWG_grazdays_CS!$W$4)/1000</f>
        <v>-0.18246000000000004</v>
      </c>
      <c r="O131" s="23">
        <f t="shared" si="55"/>
        <v>-0.14246000000000003</v>
      </c>
      <c r="P131" s="23">
        <f t="shared" si="55"/>
        <v>-0.10246000000000004</v>
      </c>
      <c r="Q131" s="23">
        <f t="shared" si="55"/>
        <v>-6.2460000000000043E-2</v>
      </c>
      <c r="R131" s="23">
        <f>(scatterplots_LWG_grazdays_CS!$V$4*$A131+scatterplots_LWG_grazdays_CS!$W$4)/1000+R130</f>
        <v>7.3400999999999961</v>
      </c>
      <c r="S131" s="23">
        <f t="shared" si="78"/>
        <v>8.9000999999999983</v>
      </c>
      <c r="T131" s="23">
        <f t="shared" si="79"/>
        <v>10.460099999999995</v>
      </c>
      <c r="U131" s="23">
        <f t="shared" si="80"/>
        <v>12.020099999999998</v>
      </c>
      <c r="V131" s="23">
        <f>(scatterplots_LWG_grazdays_CS!$V$5*$A131+scatterplots_LWG_grazdays_CS!$W$5)/1000</f>
        <v>-0.25212000000000001</v>
      </c>
      <c r="W131" s="23">
        <f t="shared" si="56"/>
        <v>-0.21212</v>
      </c>
      <c r="X131" s="23">
        <f t="shared" si="89"/>
        <v>-0.17212</v>
      </c>
      <c r="Y131" s="23">
        <f t="shared" si="89"/>
        <v>-0.13212000000000002</v>
      </c>
      <c r="Z131" s="23">
        <f>(scatterplots_LWG_grazdays_CS!$V$5*$A131+scatterplots_LWG_grazdays_CS!$W$5)/1000+Z130</f>
        <v>2.8121999999999976</v>
      </c>
      <c r="AA131" s="23">
        <f t="shared" si="95"/>
        <v>4.3721999999999959</v>
      </c>
      <c r="AB131" s="23">
        <f t="shared" si="82"/>
        <v>5.9321999999999964</v>
      </c>
      <c r="AC131" s="23">
        <f t="shared" si="83"/>
        <v>7.4921999999999969</v>
      </c>
      <c r="AD131" s="23">
        <f>(scatterplots_LWG_grazdays_CS!$V$6*$A131+scatterplots_LWG_grazdays_CS!$W$6)/1000</f>
        <v>-0.36305999999999994</v>
      </c>
      <c r="AE131" s="23">
        <f t="shared" si="58"/>
        <v>-0.32305999999999996</v>
      </c>
      <c r="AF131" s="23">
        <f t="shared" si="67"/>
        <v>-0.28305999999999992</v>
      </c>
      <c r="AG131" s="23">
        <f t="shared" si="67"/>
        <v>-0.24305999999999994</v>
      </c>
      <c r="AH131" s="23">
        <f>(scatterplots_LWG_grazdays_CS!$V$6*$A131+scatterplots_LWG_grazdays_CS!$W$6)/1000+AH130</f>
        <v>-4.3988999999999923</v>
      </c>
      <c r="AI131" s="23">
        <f t="shared" si="94"/>
        <v>-2.8388999999999935</v>
      </c>
      <c r="AJ131" s="23">
        <f t="shared" si="84"/>
        <v>-1.2788999999999922</v>
      </c>
      <c r="AK131" s="23">
        <f t="shared" si="85"/>
        <v>0.28110000000000823</v>
      </c>
    </row>
    <row r="132" spans="1:37">
      <c r="A132" s="12">
        <v>130</v>
      </c>
      <c r="B132" s="12">
        <v>41</v>
      </c>
      <c r="C132" s="23">
        <f>(scatterplots_LWG_grazdays_CS!$V$3*$A132+scatterplots_LWG_grazdays_CS!$W$3)/1000</f>
        <v>-6.9199999999999984E-2</v>
      </c>
      <c r="D132" s="23">
        <f t="shared" ref="D132:F163" si="96">$C132+D$1/1000</f>
        <v>-2.9199999999999983E-2</v>
      </c>
      <c r="E132" s="23">
        <f t="shared" si="96"/>
        <v>1.0800000000000018E-2</v>
      </c>
      <c r="F132" s="23">
        <f t="shared" si="96"/>
        <v>5.0800000000000012E-2</v>
      </c>
      <c r="G132" s="23">
        <f>(scatterplots_LWG_grazdays_CS!$V$3*$A132+scatterplots_LWG_grazdays_CS!$W$3)/1000+G131</f>
        <v>14.817400000000003</v>
      </c>
      <c r="H132" s="23">
        <f t="shared" si="91"/>
        <v>16.457400000000003</v>
      </c>
      <c r="I132" s="23">
        <f t="shared" si="90"/>
        <v>18.257400000000001</v>
      </c>
      <c r="J132" s="23">
        <f t="shared" si="88"/>
        <v>19.257400000000001</v>
      </c>
      <c r="K132" s="23">
        <f t="shared" si="65"/>
        <v>19.657400000000003</v>
      </c>
      <c r="L132" s="23">
        <f t="shared" si="92"/>
        <v>18.097400000000004</v>
      </c>
      <c r="M132" s="23">
        <f t="shared" si="93"/>
        <v>19.737400000000001</v>
      </c>
      <c r="N132" s="23">
        <f>(scatterplots_LWG_grazdays_CS!$V$4*$A132+scatterplots_LWG_grazdays_CS!$W$4)/1000</f>
        <v>-0.18620000000000003</v>
      </c>
      <c r="O132" s="23">
        <f t="shared" ref="O132:Q195" si="97">$N132+O$1/1000</f>
        <v>-0.14620000000000002</v>
      </c>
      <c r="P132" s="23">
        <f t="shared" si="97"/>
        <v>-0.10620000000000003</v>
      </c>
      <c r="Q132" s="23">
        <f t="shared" si="97"/>
        <v>-6.6200000000000037E-2</v>
      </c>
      <c r="R132" s="23">
        <f>(scatterplots_LWG_grazdays_CS!$V$4*$A132+scatterplots_LWG_grazdays_CS!$W$4)/1000+R131</f>
        <v>7.1538999999999957</v>
      </c>
      <c r="S132" s="23">
        <f t="shared" si="78"/>
        <v>8.753899999999998</v>
      </c>
      <c r="T132" s="23">
        <f t="shared" si="79"/>
        <v>10.353899999999996</v>
      </c>
      <c r="U132" s="23">
        <f t="shared" si="80"/>
        <v>11.953899999999997</v>
      </c>
      <c r="V132" s="23">
        <f>(scatterplots_LWG_grazdays_CS!$V$5*$A132+scatterplots_LWG_grazdays_CS!$W$5)/1000</f>
        <v>-0.25639999999999996</v>
      </c>
      <c r="W132" s="23">
        <f t="shared" ref="W132:W195" si="98">V132+W$1/1000</f>
        <v>-0.21639999999999995</v>
      </c>
      <c r="X132" s="23">
        <f t="shared" ref="X132:Y163" si="99">$V132+X$1/1000</f>
        <v>-0.17639999999999995</v>
      </c>
      <c r="Y132" s="23">
        <f t="shared" si="99"/>
        <v>-0.13639999999999997</v>
      </c>
      <c r="Z132" s="23">
        <f>(scatterplots_LWG_grazdays_CS!$V$5*$A132+scatterplots_LWG_grazdays_CS!$W$5)/1000+Z131</f>
        <v>2.5557999999999979</v>
      </c>
      <c r="AA132" s="23">
        <f t="shared" si="95"/>
        <v>4.1557999999999957</v>
      </c>
      <c r="AB132" s="23">
        <f t="shared" si="82"/>
        <v>5.7557999999999963</v>
      </c>
      <c r="AC132" s="23">
        <f t="shared" si="83"/>
        <v>7.3557999999999968</v>
      </c>
      <c r="AD132" s="23">
        <f>(scatterplots_LWG_grazdays_CS!$V$6*$A132+scatterplots_LWG_grazdays_CS!$W$6)/1000</f>
        <v>-0.36819999999999992</v>
      </c>
      <c r="AE132" s="23">
        <f t="shared" ref="AE132:AE195" si="100">AD132+AE$1/1000</f>
        <v>-0.32819999999999994</v>
      </c>
      <c r="AF132" s="23">
        <f t="shared" si="67"/>
        <v>-0.2881999999999999</v>
      </c>
      <c r="AG132" s="23">
        <f t="shared" si="67"/>
        <v>-0.24819999999999992</v>
      </c>
      <c r="AH132" s="23">
        <f>(scatterplots_LWG_grazdays_CS!$V$6*$A132+scatterplots_LWG_grazdays_CS!$W$6)/1000+AH131</f>
        <v>-4.7670999999999921</v>
      </c>
      <c r="AI132" s="23">
        <f t="shared" si="94"/>
        <v>-3.1670999999999934</v>
      </c>
      <c r="AJ132" s="23">
        <f t="shared" si="84"/>
        <v>-1.5670999999999919</v>
      </c>
      <c r="AK132" s="23">
        <f t="shared" si="85"/>
        <v>3.2900000000008311E-2</v>
      </c>
    </row>
    <row r="133" spans="1:37">
      <c r="A133" s="12">
        <v>131</v>
      </c>
      <c r="B133" s="12">
        <v>42</v>
      </c>
      <c r="C133" s="23">
        <f>(scatterplots_LWG_grazdays_CS!$V$3*$A133+scatterplots_LWG_grazdays_CS!$W$3)/1000</f>
        <v>-7.2039999999999965E-2</v>
      </c>
      <c r="D133" s="23">
        <f t="shared" si="96"/>
        <v>-3.2039999999999964E-2</v>
      </c>
      <c r="E133" s="23">
        <f t="shared" si="96"/>
        <v>7.9600000000000365E-3</v>
      </c>
      <c r="F133" s="23">
        <f t="shared" si="96"/>
        <v>4.796000000000003E-2</v>
      </c>
      <c r="G133" s="23">
        <f>(scatterplots_LWG_grazdays_CS!$V$3*$A133+scatterplots_LWG_grazdays_CS!$W$3)/1000+G132</f>
        <v>14.745360000000003</v>
      </c>
      <c r="H133" s="23">
        <f t="shared" si="91"/>
        <v>16.425360000000005</v>
      </c>
      <c r="I133" s="23">
        <f t="shared" si="90"/>
        <v>18.225360000000002</v>
      </c>
      <c r="J133" s="23">
        <f t="shared" si="88"/>
        <v>19.225360000000002</v>
      </c>
      <c r="K133" s="23">
        <f t="shared" si="65"/>
        <v>19.625360000000004</v>
      </c>
      <c r="L133" s="23">
        <f t="shared" si="92"/>
        <v>18.105360000000005</v>
      </c>
      <c r="M133" s="23">
        <f t="shared" si="93"/>
        <v>19.785360000000001</v>
      </c>
      <c r="N133" s="23">
        <f>(scatterplots_LWG_grazdays_CS!$V$4*$A133+scatterplots_LWG_grazdays_CS!$W$4)/1000</f>
        <v>-0.18994000000000005</v>
      </c>
      <c r="O133" s="23">
        <f t="shared" si="97"/>
        <v>-0.14994000000000005</v>
      </c>
      <c r="P133" s="23">
        <f t="shared" si="97"/>
        <v>-0.10994000000000005</v>
      </c>
      <c r="Q133" s="23">
        <f t="shared" si="97"/>
        <v>-6.9940000000000058E-2</v>
      </c>
      <c r="R133" s="23">
        <f>(scatterplots_LWG_grazdays_CS!$V$4*$A133+scatterplots_LWG_grazdays_CS!$W$4)/1000+R132</f>
        <v>6.9639599999999957</v>
      </c>
      <c r="S133" s="23">
        <f t="shared" si="78"/>
        <v>8.6039599999999972</v>
      </c>
      <c r="T133" s="23">
        <f t="shared" si="79"/>
        <v>10.243959999999996</v>
      </c>
      <c r="U133" s="23">
        <f t="shared" si="80"/>
        <v>11.883959999999997</v>
      </c>
      <c r="V133" s="23">
        <f>(scatterplots_LWG_grazdays_CS!$V$5*$A133+scatterplots_LWG_grazdays_CS!$W$5)/1000</f>
        <v>-0.26068000000000008</v>
      </c>
      <c r="W133" s="23">
        <f t="shared" si="98"/>
        <v>-0.22068000000000007</v>
      </c>
      <c r="X133" s="23">
        <f t="shared" si="99"/>
        <v>-0.18068000000000006</v>
      </c>
      <c r="Y133" s="23">
        <f t="shared" si="99"/>
        <v>-0.14068000000000008</v>
      </c>
      <c r="Z133" s="23">
        <f>(scatterplots_LWG_grazdays_CS!$V$5*$A133+scatterplots_LWG_grazdays_CS!$W$5)/1000+Z132</f>
        <v>2.2951199999999976</v>
      </c>
      <c r="AA133" s="23">
        <f t="shared" si="95"/>
        <v>3.9351199999999955</v>
      </c>
      <c r="AB133" s="23">
        <f t="shared" si="82"/>
        <v>5.5751199999999965</v>
      </c>
      <c r="AC133" s="23">
        <f t="shared" si="83"/>
        <v>7.2151199999999971</v>
      </c>
      <c r="AD133" s="23">
        <f>(scatterplots_LWG_grazdays_CS!$V$6*$A133+scatterplots_LWG_grazdays_CS!$W$6)/1000</f>
        <v>-0.37333999999999989</v>
      </c>
      <c r="AE133" s="23">
        <f t="shared" si="100"/>
        <v>-0.33333999999999991</v>
      </c>
      <c r="AF133" s="23">
        <f t="shared" si="67"/>
        <v>-0.29333999999999988</v>
      </c>
      <c r="AG133" s="23">
        <f t="shared" si="67"/>
        <v>-0.2533399999999999</v>
      </c>
      <c r="AH133" s="23">
        <f>(scatterplots_LWG_grazdays_CS!$V$6*$A133+scatterplots_LWG_grazdays_CS!$W$6)/1000+AH132</f>
        <v>-5.1404399999999919</v>
      </c>
      <c r="AI133" s="23">
        <f t="shared" si="94"/>
        <v>-3.5004399999999931</v>
      </c>
      <c r="AJ133" s="23">
        <f t="shared" si="84"/>
        <v>-1.8604399999999919</v>
      </c>
      <c r="AK133" s="23">
        <f t="shared" si="85"/>
        <v>-0.22043999999999159</v>
      </c>
    </row>
    <row r="134" spans="1:37">
      <c r="A134" s="12">
        <v>132</v>
      </c>
      <c r="B134" s="12">
        <v>43</v>
      </c>
      <c r="C134" s="23">
        <f>(scatterplots_LWG_grazdays_CS!$V$3*$A134+scatterplots_LWG_grazdays_CS!$W$3)/1000</f>
        <v>-7.4880000000000002E-2</v>
      </c>
      <c r="D134" s="23">
        <f t="shared" si="96"/>
        <v>-3.4880000000000001E-2</v>
      </c>
      <c r="E134" s="23">
        <f t="shared" si="96"/>
        <v>5.1199999999999996E-3</v>
      </c>
      <c r="F134" s="23">
        <f t="shared" si="96"/>
        <v>4.5119999999999993E-2</v>
      </c>
      <c r="G134" s="23">
        <f>(scatterplots_LWG_grazdays_CS!$V$3*$A134+scatterplots_LWG_grazdays_CS!$W$3)/1000+G133</f>
        <v>14.670480000000003</v>
      </c>
      <c r="H134" s="23">
        <f t="shared" si="91"/>
        <v>16.390480000000004</v>
      </c>
      <c r="I134" s="23">
        <f t="shared" si="90"/>
        <v>18.190480000000001</v>
      </c>
      <c r="J134" s="23">
        <f t="shared" si="88"/>
        <v>19.190480000000001</v>
      </c>
      <c r="K134" s="23">
        <f t="shared" si="65"/>
        <v>19.590480000000003</v>
      </c>
      <c r="L134" s="23">
        <f t="shared" si="92"/>
        <v>18.110480000000006</v>
      </c>
      <c r="M134" s="23">
        <f t="shared" si="93"/>
        <v>19.830480000000001</v>
      </c>
      <c r="N134" s="23">
        <f>(scatterplots_LWG_grazdays_CS!$V$4*$A134+scatterplots_LWG_grazdays_CS!$W$4)/1000</f>
        <v>-0.19368000000000002</v>
      </c>
      <c r="O134" s="23">
        <f t="shared" si="97"/>
        <v>-0.15368000000000001</v>
      </c>
      <c r="P134" s="23">
        <f t="shared" si="97"/>
        <v>-0.11368000000000002</v>
      </c>
      <c r="Q134" s="23">
        <f t="shared" si="97"/>
        <v>-7.3680000000000023E-2</v>
      </c>
      <c r="R134" s="23">
        <f>(scatterplots_LWG_grazdays_CS!$V$4*$A134+scatterplots_LWG_grazdays_CS!$W$4)/1000+R133</f>
        <v>6.7702799999999961</v>
      </c>
      <c r="S134" s="23">
        <f t="shared" si="78"/>
        <v>8.4502799999999976</v>
      </c>
      <c r="T134" s="23">
        <f t="shared" si="79"/>
        <v>10.130279999999996</v>
      </c>
      <c r="U134" s="23">
        <f t="shared" si="80"/>
        <v>11.810279999999997</v>
      </c>
      <c r="V134" s="23">
        <f>(scatterplots_LWG_grazdays_CS!$V$5*$A134+scatterplots_LWG_grazdays_CS!$W$5)/1000</f>
        <v>-0.26496000000000003</v>
      </c>
      <c r="W134" s="23">
        <f t="shared" si="98"/>
        <v>-0.22496000000000002</v>
      </c>
      <c r="X134" s="23">
        <f t="shared" si="99"/>
        <v>-0.18496000000000001</v>
      </c>
      <c r="Y134" s="23">
        <f t="shared" si="99"/>
        <v>-0.14496000000000003</v>
      </c>
      <c r="Z134" s="23">
        <f>(scatterplots_LWG_grazdays_CS!$V$5*$A134+scatterplots_LWG_grazdays_CS!$W$5)/1000+Z133</f>
        <v>2.0301599999999977</v>
      </c>
      <c r="AA134" s="23">
        <f t="shared" si="95"/>
        <v>3.7101599999999957</v>
      </c>
      <c r="AB134" s="23">
        <f t="shared" si="82"/>
        <v>5.3901599999999963</v>
      </c>
      <c r="AC134" s="23">
        <f t="shared" si="83"/>
        <v>7.0701599999999969</v>
      </c>
      <c r="AD134" s="23">
        <f>(scatterplots_LWG_grazdays_CS!$V$6*$A134+scatterplots_LWG_grazdays_CS!$W$6)/1000</f>
        <v>-0.37847999999999993</v>
      </c>
      <c r="AE134" s="23">
        <f t="shared" si="100"/>
        <v>-0.33847999999999995</v>
      </c>
      <c r="AF134" s="23">
        <f t="shared" si="67"/>
        <v>-0.29847999999999991</v>
      </c>
      <c r="AG134" s="23">
        <f t="shared" si="67"/>
        <v>-0.25847999999999993</v>
      </c>
      <c r="AH134" s="23">
        <f>(scatterplots_LWG_grazdays_CS!$V$6*$A134+scatterplots_LWG_grazdays_CS!$W$6)/1000+AH133</f>
        <v>-5.5189199999999916</v>
      </c>
      <c r="AI134" s="23">
        <f t="shared" si="94"/>
        <v>-3.8389199999999932</v>
      </c>
      <c r="AJ134" s="23">
        <f t="shared" si="84"/>
        <v>-2.1589199999999917</v>
      </c>
      <c r="AK134" s="23">
        <f t="shared" si="85"/>
        <v>-0.47891999999999152</v>
      </c>
    </row>
    <row r="135" spans="1:37">
      <c r="A135" s="12">
        <v>133</v>
      </c>
      <c r="B135" s="12">
        <v>44</v>
      </c>
      <c r="C135" s="23">
        <f>(scatterplots_LWG_grazdays_CS!$V$3*$A135+scatterplots_LWG_grazdays_CS!$W$3)/1000</f>
        <v>-7.771999999999997E-2</v>
      </c>
      <c r="D135" s="23">
        <f t="shared" si="96"/>
        <v>-3.7719999999999969E-2</v>
      </c>
      <c r="E135" s="23">
        <f t="shared" si="96"/>
        <v>2.280000000000032E-3</v>
      </c>
      <c r="F135" s="23">
        <f t="shared" si="96"/>
        <v>4.2280000000000026E-2</v>
      </c>
      <c r="G135" s="23">
        <f>(scatterplots_LWG_grazdays_CS!$V$3*$A135+scatterplots_LWG_grazdays_CS!$W$3)/1000+G134</f>
        <v>14.592760000000004</v>
      </c>
      <c r="H135" s="23">
        <f t="shared" si="91"/>
        <v>16.352760000000004</v>
      </c>
      <c r="I135" s="23">
        <f t="shared" si="90"/>
        <v>18.152760000000001</v>
      </c>
      <c r="J135" s="23">
        <f t="shared" si="88"/>
        <v>19.152760000000001</v>
      </c>
      <c r="K135" s="23">
        <f t="shared" si="65"/>
        <v>19.552760000000003</v>
      </c>
      <c r="L135" s="23">
        <f t="shared" si="92"/>
        <v>18.112760000000005</v>
      </c>
      <c r="M135" s="23">
        <f t="shared" si="93"/>
        <v>19.872760000000003</v>
      </c>
      <c r="N135" s="23">
        <f>(scatterplots_LWG_grazdays_CS!$V$4*$A135+scatterplots_LWG_grazdays_CS!$W$4)/1000</f>
        <v>-0.19742000000000001</v>
      </c>
      <c r="O135" s="23">
        <f t="shared" si="97"/>
        <v>-0.15742</v>
      </c>
      <c r="P135" s="23">
        <f t="shared" si="97"/>
        <v>-0.11742000000000001</v>
      </c>
      <c r="Q135" s="23">
        <f t="shared" si="97"/>
        <v>-7.7420000000000017E-2</v>
      </c>
      <c r="R135" s="23">
        <f>(scatterplots_LWG_grazdays_CS!$V$4*$A135+scatterplots_LWG_grazdays_CS!$W$4)/1000+R134</f>
        <v>6.5728599999999959</v>
      </c>
      <c r="S135" s="23">
        <f t="shared" si="78"/>
        <v>8.2928599999999975</v>
      </c>
      <c r="T135" s="23">
        <f t="shared" si="79"/>
        <v>10.012859999999996</v>
      </c>
      <c r="U135" s="23">
        <f t="shared" si="80"/>
        <v>11.732859999999997</v>
      </c>
      <c r="V135" s="23">
        <f>(scatterplots_LWG_grazdays_CS!$V$5*$A135+scatterplots_LWG_grazdays_CS!$W$5)/1000</f>
        <v>-0.26924000000000003</v>
      </c>
      <c r="W135" s="23">
        <f t="shared" si="98"/>
        <v>-0.22924000000000003</v>
      </c>
      <c r="X135" s="23">
        <f t="shared" si="99"/>
        <v>-0.18924000000000002</v>
      </c>
      <c r="Y135" s="23">
        <f t="shared" si="99"/>
        <v>-0.14924000000000004</v>
      </c>
      <c r="Z135" s="23">
        <f>(scatterplots_LWG_grazdays_CS!$V$5*$A135+scatterplots_LWG_grazdays_CS!$W$5)/1000+Z134</f>
        <v>1.7609199999999978</v>
      </c>
      <c r="AA135" s="23">
        <f t="shared" si="95"/>
        <v>3.4809199999999958</v>
      </c>
      <c r="AB135" s="23">
        <f t="shared" si="82"/>
        <v>5.2009199999999964</v>
      </c>
      <c r="AC135" s="23">
        <f t="shared" si="83"/>
        <v>6.9209199999999971</v>
      </c>
      <c r="AD135" s="23">
        <f>(scatterplots_LWG_grazdays_CS!$V$6*$A135+scatterplots_LWG_grazdays_CS!$W$6)/1000</f>
        <v>-0.38362000000000002</v>
      </c>
      <c r="AE135" s="23">
        <f t="shared" si="100"/>
        <v>-0.34362000000000004</v>
      </c>
      <c r="AF135" s="23">
        <f t="shared" si="67"/>
        <v>-0.30362</v>
      </c>
      <c r="AG135" s="23">
        <f t="shared" si="67"/>
        <v>-0.26362000000000002</v>
      </c>
      <c r="AH135" s="23">
        <f>(scatterplots_LWG_grazdays_CS!$V$6*$A135+scatterplots_LWG_grazdays_CS!$W$6)/1000+AH134</f>
        <v>-5.9025399999999912</v>
      </c>
      <c r="AI135" s="23">
        <f t="shared" si="94"/>
        <v>-4.1825399999999933</v>
      </c>
      <c r="AJ135" s="23">
        <f t="shared" si="84"/>
        <v>-2.4625399999999917</v>
      </c>
      <c r="AK135" s="23">
        <f t="shared" si="85"/>
        <v>-0.74253999999999154</v>
      </c>
    </row>
    <row r="136" spans="1:37">
      <c r="A136" s="12">
        <v>134</v>
      </c>
      <c r="B136" s="12">
        <v>45</v>
      </c>
      <c r="C136" s="23">
        <f>(scatterplots_LWG_grazdays_CS!$V$3*$A136+scatterplots_LWG_grazdays_CS!$W$3)/1000</f>
        <v>-8.0560000000000007E-2</v>
      </c>
      <c r="D136" s="23">
        <f t="shared" si="96"/>
        <v>-4.0560000000000006E-2</v>
      </c>
      <c r="E136" s="23">
        <f t="shared" si="96"/>
        <v>-5.6000000000000494E-4</v>
      </c>
      <c r="F136" s="23">
        <f t="shared" si="96"/>
        <v>3.9439999999999989E-2</v>
      </c>
      <c r="G136" s="23">
        <f>(scatterplots_LWG_grazdays_CS!$V$3*$A136+scatterplots_LWG_grazdays_CS!$W$3)/1000+G135</f>
        <v>14.512200000000004</v>
      </c>
      <c r="H136" s="23">
        <f t="shared" si="91"/>
        <v>16.312200000000004</v>
      </c>
      <c r="I136" s="23">
        <f t="shared" si="90"/>
        <v>18.112200000000001</v>
      </c>
      <c r="J136" s="23">
        <f t="shared" si="88"/>
        <v>19.112200000000001</v>
      </c>
      <c r="K136" s="23">
        <f t="shared" si="65"/>
        <v>19.512200000000004</v>
      </c>
      <c r="L136" s="23">
        <f t="shared" si="92"/>
        <v>18.112200000000005</v>
      </c>
      <c r="M136" s="23">
        <f t="shared" si="93"/>
        <v>19.912200000000002</v>
      </c>
      <c r="N136" s="23">
        <f>(scatterplots_LWG_grazdays_CS!$V$4*$A136+scatterplots_LWG_grazdays_CS!$W$4)/1000</f>
        <v>-0.20116000000000003</v>
      </c>
      <c r="O136" s="23">
        <f t="shared" si="97"/>
        <v>-0.16116000000000003</v>
      </c>
      <c r="P136" s="23">
        <f t="shared" si="97"/>
        <v>-0.12116000000000003</v>
      </c>
      <c r="Q136" s="23">
        <f t="shared" si="97"/>
        <v>-8.1160000000000038E-2</v>
      </c>
      <c r="R136" s="23">
        <f>(scatterplots_LWG_grazdays_CS!$V$4*$A136+scatterplots_LWG_grazdays_CS!$W$4)/1000+R135</f>
        <v>6.3716999999999961</v>
      </c>
      <c r="S136" s="23">
        <f t="shared" si="78"/>
        <v>8.1316999999999968</v>
      </c>
      <c r="T136" s="23">
        <f t="shared" si="79"/>
        <v>9.8916999999999966</v>
      </c>
      <c r="U136" s="23">
        <f t="shared" si="80"/>
        <v>11.651699999999996</v>
      </c>
      <c r="V136" s="23">
        <f>(scatterplots_LWG_grazdays_CS!$V$5*$A136+scatterplots_LWG_grazdays_CS!$W$5)/1000</f>
        <v>-0.27351999999999999</v>
      </c>
      <c r="W136" s="23">
        <f t="shared" si="98"/>
        <v>-0.23351999999999998</v>
      </c>
      <c r="X136" s="23">
        <f t="shared" si="99"/>
        <v>-0.19351999999999997</v>
      </c>
      <c r="Y136" s="23">
        <f t="shared" si="99"/>
        <v>-0.15351999999999999</v>
      </c>
      <c r="Z136" s="23">
        <f>(scatterplots_LWG_grazdays_CS!$V$5*$A136+scatterplots_LWG_grazdays_CS!$W$5)/1000+Z135</f>
        <v>1.4873999999999978</v>
      </c>
      <c r="AA136" s="23">
        <f t="shared" si="95"/>
        <v>3.2473999999999958</v>
      </c>
      <c r="AB136" s="23">
        <f t="shared" si="82"/>
        <v>5.0073999999999961</v>
      </c>
      <c r="AC136" s="23">
        <f t="shared" si="83"/>
        <v>6.7673999999999968</v>
      </c>
      <c r="AD136" s="23">
        <f>(scatterplots_LWG_grazdays_CS!$V$6*$A136+scatterplots_LWG_grazdays_CS!$W$6)/1000</f>
        <v>-0.38875999999999999</v>
      </c>
      <c r="AE136" s="23">
        <f t="shared" si="100"/>
        <v>-0.34876000000000001</v>
      </c>
      <c r="AF136" s="23">
        <f t="shared" si="67"/>
        <v>-0.30875999999999998</v>
      </c>
      <c r="AG136" s="23">
        <f t="shared" si="67"/>
        <v>-0.26876</v>
      </c>
      <c r="AH136" s="23">
        <f>(scatterplots_LWG_grazdays_CS!$V$6*$A136+scatterplots_LWG_grazdays_CS!$W$6)/1000+AH135</f>
        <v>-6.2912999999999908</v>
      </c>
      <c r="AI136" s="23">
        <f t="shared" si="94"/>
        <v>-4.5312999999999937</v>
      </c>
      <c r="AJ136" s="23">
        <f t="shared" si="84"/>
        <v>-2.7712999999999917</v>
      </c>
      <c r="AK136" s="23">
        <f t="shared" si="85"/>
        <v>-1.0112999999999914</v>
      </c>
    </row>
    <row r="137" spans="1:37">
      <c r="A137" s="12">
        <v>135</v>
      </c>
      <c r="B137" s="12">
        <v>46</v>
      </c>
      <c r="C137" s="23">
        <f>(scatterplots_LWG_grazdays_CS!$V$3*$A137+scatterplots_LWG_grazdays_CS!$W$3)/1000</f>
        <v>-8.3399999999999974E-2</v>
      </c>
      <c r="D137" s="23">
        <f t="shared" si="96"/>
        <v>-4.3399999999999973E-2</v>
      </c>
      <c r="E137" s="23">
        <f t="shared" si="96"/>
        <v>-3.3999999999999725E-3</v>
      </c>
      <c r="F137" s="23">
        <f t="shared" si="96"/>
        <v>3.6600000000000021E-2</v>
      </c>
      <c r="G137" s="23">
        <f>(scatterplots_LWG_grazdays_CS!$V$3*$A137+scatterplots_LWG_grazdays_CS!$W$3)/1000+G136</f>
        <v>14.428800000000004</v>
      </c>
      <c r="H137" s="23">
        <f t="shared" si="91"/>
        <v>16.268800000000006</v>
      </c>
      <c r="I137" s="23">
        <f t="shared" si="90"/>
        <v>18.068800000000003</v>
      </c>
      <c r="J137" s="23">
        <f t="shared" si="88"/>
        <v>19.068800000000003</v>
      </c>
      <c r="K137" s="23">
        <f t="shared" si="65"/>
        <v>19.468800000000005</v>
      </c>
      <c r="L137" s="23">
        <f t="shared" si="92"/>
        <v>18.108800000000006</v>
      </c>
      <c r="M137" s="23">
        <f t="shared" si="93"/>
        <v>19.948800000000002</v>
      </c>
      <c r="N137" s="23">
        <f>(scatterplots_LWG_grazdays_CS!$V$4*$A137+scatterplots_LWG_grazdays_CS!$W$4)/1000</f>
        <v>-0.20490000000000003</v>
      </c>
      <c r="O137" s="23">
        <f t="shared" si="97"/>
        <v>-0.16490000000000002</v>
      </c>
      <c r="P137" s="23">
        <f t="shared" si="97"/>
        <v>-0.12490000000000002</v>
      </c>
      <c r="Q137" s="23">
        <f t="shared" si="97"/>
        <v>-8.4900000000000031E-2</v>
      </c>
      <c r="R137" s="23">
        <f>(scatterplots_LWG_grazdays_CS!$V$4*$A137+scatterplots_LWG_grazdays_CS!$W$4)/1000+R136</f>
        <v>6.1667999999999958</v>
      </c>
      <c r="S137" s="23">
        <f t="shared" si="78"/>
        <v>7.9667999999999966</v>
      </c>
      <c r="T137" s="23">
        <f t="shared" si="79"/>
        <v>9.7667999999999964</v>
      </c>
      <c r="U137" s="23">
        <f t="shared" si="80"/>
        <v>11.566799999999997</v>
      </c>
      <c r="V137" s="23">
        <f>(scatterplots_LWG_grazdays_CS!$V$5*$A137+scatterplots_LWG_grazdays_CS!$W$5)/1000</f>
        <v>-0.27780000000000005</v>
      </c>
      <c r="W137" s="23">
        <f t="shared" si="98"/>
        <v>-0.23780000000000004</v>
      </c>
      <c r="X137" s="23">
        <f t="shared" si="99"/>
        <v>-0.19780000000000003</v>
      </c>
      <c r="Y137" s="23">
        <f t="shared" si="99"/>
        <v>-0.15780000000000005</v>
      </c>
      <c r="Z137" s="23">
        <f>(scatterplots_LWG_grazdays_CS!$V$5*$A137+scatterplots_LWG_grazdays_CS!$W$5)/1000+Z136</f>
        <v>1.2095999999999978</v>
      </c>
      <c r="AA137" s="23">
        <f t="shared" si="95"/>
        <v>3.0095999999999958</v>
      </c>
      <c r="AB137" s="23">
        <f t="shared" si="82"/>
        <v>4.8095999999999961</v>
      </c>
      <c r="AC137" s="23">
        <f t="shared" si="83"/>
        <v>6.6095999999999968</v>
      </c>
      <c r="AD137" s="23">
        <f>(scatterplots_LWG_grazdays_CS!$V$6*$A137+scatterplots_LWG_grazdays_CS!$W$6)/1000</f>
        <v>-0.39389999999999997</v>
      </c>
      <c r="AE137" s="23">
        <f t="shared" si="100"/>
        <v>-0.35389999999999999</v>
      </c>
      <c r="AF137" s="23">
        <f t="shared" si="67"/>
        <v>-0.31389999999999996</v>
      </c>
      <c r="AG137" s="23">
        <f t="shared" si="67"/>
        <v>-0.27389999999999998</v>
      </c>
      <c r="AH137" s="23">
        <f>(scatterplots_LWG_grazdays_CS!$V$6*$A137+scatterplots_LWG_grazdays_CS!$W$6)/1000+AH136</f>
        <v>-6.6851999999999911</v>
      </c>
      <c r="AI137" s="23">
        <f t="shared" si="94"/>
        <v>-4.885199999999994</v>
      </c>
      <c r="AJ137" s="23">
        <f t="shared" si="84"/>
        <v>-3.0851999999999915</v>
      </c>
      <c r="AK137" s="23">
        <f t="shared" si="85"/>
        <v>-1.2851999999999915</v>
      </c>
    </row>
    <row r="138" spans="1:37">
      <c r="A138" s="12">
        <v>136</v>
      </c>
      <c r="B138" s="12">
        <v>47</v>
      </c>
      <c r="C138" s="23">
        <f>(scatterplots_LWG_grazdays_CS!$V$3*$A138+scatterplots_LWG_grazdays_CS!$W$3)/1000</f>
        <v>-8.6240000000000011E-2</v>
      </c>
      <c r="D138" s="23">
        <f t="shared" si="96"/>
        <v>-4.624000000000001E-2</v>
      </c>
      <c r="E138" s="23">
        <f t="shared" si="96"/>
        <v>-6.2400000000000094E-3</v>
      </c>
      <c r="F138" s="23">
        <f t="shared" si="96"/>
        <v>3.3759999999999984E-2</v>
      </c>
      <c r="G138" s="23">
        <f>(scatterplots_LWG_grazdays_CS!$V$3*$A138+scatterplots_LWG_grazdays_CS!$W$3)/1000+G137</f>
        <v>14.342560000000004</v>
      </c>
      <c r="H138" s="23">
        <f t="shared" si="91"/>
        <v>16.222560000000005</v>
      </c>
      <c r="I138" s="23">
        <f t="shared" si="90"/>
        <v>18.022560000000002</v>
      </c>
      <c r="J138" s="23">
        <f t="shared" si="88"/>
        <v>19.022560000000002</v>
      </c>
      <c r="K138" s="23">
        <f t="shared" si="65"/>
        <v>19.422560000000004</v>
      </c>
      <c r="L138" s="23">
        <f t="shared" si="92"/>
        <v>18.102560000000008</v>
      </c>
      <c r="M138" s="23">
        <f t="shared" si="93"/>
        <v>19.982560000000003</v>
      </c>
      <c r="N138" s="23">
        <f>(scatterplots_LWG_grazdays_CS!$V$4*$A138+scatterplots_LWG_grazdays_CS!$W$4)/1000</f>
        <v>-0.20864000000000005</v>
      </c>
      <c r="O138" s="23">
        <f t="shared" si="97"/>
        <v>-0.16864000000000004</v>
      </c>
      <c r="P138" s="23">
        <f t="shared" si="97"/>
        <v>-0.12864000000000003</v>
      </c>
      <c r="Q138" s="23">
        <f t="shared" si="97"/>
        <v>-8.8640000000000052E-2</v>
      </c>
      <c r="R138" s="23">
        <f>(scatterplots_LWG_grazdays_CS!$V$4*$A138+scatterplots_LWG_grazdays_CS!$W$4)/1000+R137</f>
        <v>5.9581599999999959</v>
      </c>
      <c r="S138" s="23">
        <f t="shared" si="78"/>
        <v>7.7981599999999966</v>
      </c>
      <c r="T138" s="23">
        <f t="shared" si="79"/>
        <v>9.6381599999999956</v>
      </c>
      <c r="U138" s="23">
        <f t="shared" si="80"/>
        <v>11.478159999999997</v>
      </c>
      <c r="V138" s="23">
        <f>(scatterplots_LWG_grazdays_CS!$V$5*$A138+scatterplots_LWG_grazdays_CS!$W$5)/1000</f>
        <v>-0.28208000000000005</v>
      </c>
      <c r="W138" s="23">
        <f t="shared" si="98"/>
        <v>-0.24208000000000005</v>
      </c>
      <c r="X138" s="23">
        <f t="shared" si="99"/>
        <v>-0.20208000000000004</v>
      </c>
      <c r="Y138" s="23">
        <f t="shared" si="99"/>
        <v>-0.16208000000000006</v>
      </c>
      <c r="Z138" s="23">
        <f>(scatterplots_LWG_grazdays_CS!$V$5*$A138+scatterplots_LWG_grazdays_CS!$W$5)/1000+Z137</f>
        <v>0.92751999999999768</v>
      </c>
      <c r="AA138" s="23">
        <f t="shared" si="95"/>
        <v>2.7675199999999958</v>
      </c>
      <c r="AB138" s="23">
        <f t="shared" si="82"/>
        <v>4.6075199999999956</v>
      </c>
      <c r="AC138" s="23">
        <f t="shared" si="83"/>
        <v>6.4475199999999964</v>
      </c>
      <c r="AD138" s="23">
        <f>(scatterplots_LWG_grazdays_CS!$V$6*$A138+scatterplots_LWG_grazdays_CS!$W$6)/1000</f>
        <v>-0.39903999999999995</v>
      </c>
      <c r="AE138" s="23">
        <f t="shared" si="100"/>
        <v>-0.35903999999999997</v>
      </c>
      <c r="AF138" s="23">
        <f t="shared" si="67"/>
        <v>-0.31903999999999993</v>
      </c>
      <c r="AG138" s="23">
        <f t="shared" si="67"/>
        <v>-0.27903999999999995</v>
      </c>
      <c r="AH138" s="23">
        <f>(scatterplots_LWG_grazdays_CS!$V$6*$A138+scatterplots_LWG_grazdays_CS!$W$6)/1000+AH137</f>
        <v>-7.0842399999999914</v>
      </c>
      <c r="AI138" s="23">
        <f t="shared" si="94"/>
        <v>-5.2442399999999942</v>
      </c>
      <c r="AJ138" s="23">
        <f t="shared" si="84"/>
        <v>-3.4042399999999913</v>
      </c>
      <c r="AK138" s="23">
        <f t="shared" si="85"/>
        <v>-1.5642399999999914</v>
      </c>
    </row>
    <row r="139" spans="1:37">
      <c r="A139" s="12">
        <v>137</v>
      </c>
      <c r="B139" s="12">
        <v>48</v>
      </c>
      <c r="C139" s="23">
        <f>(scatterplots_LWG_grazdays_CS!$V$3*$A139+scatterplots_LWG_grazdays_CS!$W$3)/1000</f>
        <v>-8.9079999999999979E-2</v>
      </c>
      <c r="D139" s="23">
        <f t="shared" si="96"/>
        <v>-4.9079999999999978E-2</v>
      </c>
      <c r="E139" s="23">
        <f t="shared" si="96"/>
        <v>-9.079999999999977E-3</v>
      </c>
      <c r="F139" s="23">
        <f t="shared" si="96"/>
        <v>3.0920000000000017E-2</v>
      </c>
      <c r="G139" s="23">
        <f>(scatterplots_LWG_grazdays_CS!$V$3*$A139+scatterplots_LWG_grazdays_CS!$W$3)/1000+G138</f>
        <v>14.253480000000005</v>
      </c>
      <c r="H139" s="23">
        <f t="shared" si="91"/>
        <v>16.173480000000005</v>
      </c>
      <c r="I139" s="23">
        <f t="shared" si="90"/>
        <v>17.973480000000002</v>
      </c>
      <c r="J139" s="23">
        <f t="shared" si="88"/>
        <v>18.973480000000002</v>
      </c>
      <c r="K139" s="23">
        <f t="shared" si="65"/>
        <v>19.373480000000004</v>
      </c>
      <c r="L139" s="23">
        <f t="shared" si="92"/>
        <v>18.093480000000007</v>
      </c>
      <c r="M139" s="23">
        <f t="shared" si="93"/>
        <v>20.013480000000001</v>
      </c>
      <c r="N139" s="23">
        <f>(scatterplots_LWG_grazdays_CS!$V$4*$A139+scatterplots_LWG_grazdays_CS!$W$4)/1000</f>
        <v>-0.21237999999999999</v>
      </c>
      <c r="O139" s="23">
        <f t="shared" si="97"/>
        <v>-0.17237999999999998</v>
      </c>
      <c r="P139" s="23">
        <f t="shared" si="97"/>
        <v>-0.13238</v>
      </c>
      <c r="Q139" s="23">
        <f t="shared" si="97"/>
        <v>-9.237999999999999E-2</v>
      </c>
      <c r="R139" s="23">
        <f>(scatterplots_LWG_grazdays_CS!$V$4*$A139+scatterplots_LWG_grazdays_CS!$W$4)/1000+R138</f>
        <v>5.7457799999999963</v>
      </c>
      <c r="S139" s="23">
        <f t="shared" si="78"/>
        <v>7.6257799999999971</v>
      </c>
      <c r="T139" s="23">
        <f t="shared" si="79"/>
        <v>9.5057799999999961</v>
      </c>
      <c r="U139" s="23">
        <f t="shared" si="80"/>
        <v>11.385779999999997</v>
      </c>
      <c r="V139" s="23">
        <f>(scatterplots_LWG_grazdays_CS!$V$5*$A139+scatterplots_LWG_grazdays_CS!$W$5)/1000</f>
        <v>-0.28636</v>
      </c>
      <c r="W139" s="23">
        <f t="shared" si="98"/>
        <v>-0.24636</v>
      </c>
      <c r="X139" s="23">
        <f t="shared" si="99"/>
        <v>-0.20635999999999999</v>
      </c>
      <c r="Y139" s="23">
        <f t="shared" si="99"/>
        <v>-0.16636000000000001</v>
      </c>
      <c r="Z139" s="23">
        <f>(scatterplots_LWG_grazdays_CS!$V$5*$A139+scatterplots_LWG_grazdays_CS!$W$5)/1000+Z138</f>
        <v>0.64115999999999773</v>
      </c>
      <c r="AA139" s="23">
        <f t="shared" si="95"/>
        <v>2.5211599999999956</v>
      </c>
      <c r="AB139" s="23">
        <f t="shared" si="82"/>
        <v>4.4011599999999955</v>
      </c>
      <c r="AC139" s="23">
        <f t="shared" si="83"/>
        <v>6.2811599999999963</v>
      </c>
      <c r="AD139" s="23">
        <f>(scatterplots_LWG_grazdays_CS!$V$6*$A139+scatterplots_LWG_grazdays_CS!$W$6)/1000</f>
        <v>-0.40417999999999993</v>
      </c>
      <c r="AE139" s="23">
        <f t="shared" si="100"/>
        <v>-0.36417999999999995</v>
      </c>
      <c r="AF139" s="23">
        <f t="shared" si="67"/>
        <v>-0.32417999999999991</v>
      </c>
      <c r="AG139" s="23">
        <f t="shared" si="67"/>
        <v>-0.28417999999999993</v>
      </c>
      <c r="AH139" s="23">
        <f>(scatterplots_LWG_grazdays_CS!$V$6*$A139+scatterplots_LWG_grazdays_CS!$W$6)/1000+AH138</f>
        <v>-7.4884199999999916</v>
      </c>
      <c r="AI139" s="23">
        <f t="shared" si="94"/>
        <v>-5.6084199999999944</v>
      </c>
      <c r="AJ139" s="23">
        <f t="shared" si="84"/>
        <v>-3.728419999999991</v>
      </c>
      <c r="AK139" s="23">
        <f t="shared" si="85"/>
        <v>-1.8484199999999913</v>
      </c>
    </row>
    <row r="140" spans="1:37">
      <c r="A140" s="12">
        <v>138</v>
      </c>
      <c r="B140" s="12">
        <v>49</v>
      </c>
      <c r="C140" s="23">
        <f>(scatterplots_LWG_grazdays_CS!$V$3*$A140+scatterplots_LWG_grazdays_CS!$W$3)/1000</f>
        <v>-9.191999999999996E-2</v>
      </c>
      <c r="D140" s="23">
        <f t="shared" si="96"/>
        <v>-5.1919999999999959E-2</v>
      </c>
      <c r="E140" s="23">
        <f t="shared" si="96"/>
        <v>-1.1919999999999958E-2</v>
      </c>
      <c r="F140" s="23">
        <f t="shared" si="96"/>
        <v>2.8080000000000035E-2</v>
      </c>
      <c r="G140" s="23">
        <f>(scatterplots_LWG_grazdays_CS!$V$3*$A140+scatterplots_LWG_grazdays_CS!$W$3)/1000+G139</f>
        <v>14.161560000000005</v>
      </c>
      <c r="H140" s="23">
        <f t="shared" si="91"/>
        <v>16.121560000000006</v>
      </c>
      <c r="I140" s="23">
        <f t="shared" si="90"/>
        <v>17.921560000000003</v>
      </c>
      <c r="J140" s="23">
        <f t="shared" si="88"/>
        <v>18.921560000000003</v>
      </c>
      <c r="K140" s="23">
        <f t="shared" si="65"/>
        <v>19.321560000000005</v>
      </c>
      <c r="L140" s="23">
        <f t="shared" si="92"/>
        <v>18.081560000000007</v>
      </c>
      <c r="M140" s="23">
        <f t="shared" si="93"/>
        <v>20.04156</v>
      </c>
      <c r="N140" s="23">
        <f>(scatterplots_LWG_grazdays_CS!$V$4*$A140+scatterplots_LWG_grazdays_CS!$W$4)/1000</f>
        <v>-0.21612000000000001</v>
      </c>
      <c r="O140" s="23">
        <f t="shared" si="97"/>
        <v>-0.17612</v>
      </c>
      <c r="P140" s="23">
        <f t="shared" si="97"/>
        <v>-0.13612000000000002</v>
      </c>
      <c r="Q140" s="23">
        <f t="shared" si="97"/>
        <v>-9.6120000000000011E-2</v>
      </c>
      <c r="R140" s="23">
        <f>(scatterplots_LWG_grazdays_CS!$V$4*$A140+scatterplots_LWG_grazdays_CS!$W$4)/1000+R139</f>
        <v>5.5296599999999962</v>
      </c>
      <c r="S140" s="23">
        <f t="shared" si="78"/>
        <v>7.4496599999999971</v>
      </c>
      <c r="T140" s="23">
        <f t="shared" si="79"/>
        <v>9.3696599999999961</v>
      </c>
      <c r="U140" s="23">
        <f t="shared" si="80"/>
        <v>11.289659999999996</v>
      </c>
      <c r="V140" s="23">
        <f>(scatterplots_LWG_grazdays_CS!$V$5*$A140+scatterplots_LWG_grazdays_CS!$W$5)/1000</f>
        <v>-0.29064000000000001</v>
      </c>
      <c r="W140" s="23">
        <f t="shared" si="98"/>
        <v>-0.25064000000000003</v>
      </c>
      <c r="X140" s="23">
        <f t="shared" si="99"/>
        <v>-0.21063999999999999</v>
      </c>
      <c r="Y140" s="23">
        <f t="shared" si="99"/>
        <v>-0.17064000000000001</v>
      </c>
      <c r="Z140" s="23">
        <f>(scatterplots_LWG_grazdays_CS!$V$5*$A140+scatterplots_LWG_grazdays_CS!$W$5)/1000+Z139</f>
        <v>0.35051999999999772</v>
      </c>
      <c r="AA140" s="23">
        <f t="shared" si="95"/>
        <v>2.2705199999999954</v>
      </c>
      <c r="AB140" s="23">
        <f t="shared" si="82"/>
        <v>4.1905199999999958</v>
      </c>
      <c r="AC140" s="23">
        <f t="shared" si="83"/>
        <v>6.1105199999999966</v>
      </c>
      <c r="AD140" s="23">
        <f>(scatterplots_LWG_grazdays_CS!$V$6*$A140+scatterplots_LWG_grazdays_CS!$W$6)/1000</f>
        <v>-0.40931999999999996</v>
      </c>
      <c r="AE140" s="23">
        <f t="shared" si="100"/>
        <v>-0.36931999999999998</v>
      </c>
      <c r="AF140" s="23">
        <f t="shared" si="67"/>
        <v>-0.32931999999999995</v>
      </c>
      <c r="AG140" s="23">
        <f t="shared" si="67"/>
        <v>-0.28931999999999997</v>
      </c>
      <c r="AH140" s="23">
        <f>(scatterplots_LWG_grazdays_CS!$V$6*$A140+scatterplots_LWG_grazdays_CS!$W$6)/1000+AH139</f>
        <v>-7.8977399999999918</v>
      </c>
      <c r="AI140" s="23">
        <f t="shared" si="94"/>
        <v>-5.9777399999999945</v>
      </c>
      <c r="AJ140" s="23">
        <f t="shared" si="84"/>
        <v>-4.057739999999991</v>
      </c>
      <c r="AK140" s="23">
        <f t="shared" si="85"/>
        <v>-2.1377399999999911</v>
      </c>
    </row>
    <row r="141" spans="1:37">
      <c r="A141" s="12">
        <v>139</v>
      </c>
      <c r="B141" s="12">
        <v>50</v>
      </c>
      <c r="C141" s="23">
        <f>(scatterplots_LWG_grazdays_CS!$V$3*$A141+scatterplots_LWG_grazdays_CS!$W$3)/1000</f>
        <v>-9.4759999999999997E-2</v>
      </c>
      <c r="D141" s="23">
        <f t="shared" si="96"/>
        <v>-5.4759999999999996E-2</v>
      </c>
      <c r="E141" s="23">
        <f t="shared" si="96"/>
        <v>-1.4759999999999995E-2</v>
      </c>
      <c r="F141" s="23">
        <f t="shared" si="96"/>
        <v>2.5239999999999999E-2</v>
      </c>
      <c r="G141" s="23">
        <f>(scatterplots_LWG_grazdays_CS!$V$3*$A141+scatterplots_LWG_grazdays_CS!$W$3)/1000+G140</f>
        <v>14.066800000000004</v>
      </c>
      <c r="H141" s="23">
        <f t="shared" si="91"/>
        <v>16.066800000000004</v>
      </c>
      <c r="I141" s="23">
        <f t="shared" si="90"/>
        <v>17.866800000000001</v>
      </c>
      <c r="J141" s="23">
        <f t="shared" si="88"/>
        <v>18.866800000000001</v>
      </c>
      <c r="K141" s="23">
        <f t="shared" ref="K141:K202" si="101">D141+K140</f>
        <v>19.266800000000003</v>
      </c>
      <c r="L141" s="23">
        <f t="shared" si="92"/>
        <v>18.066800000000008</v>
      </c>
      <c r="M141" s="23">
        <f t="shared" si="93"/>
        <v>20.066800000000001</v>
      </c>
      <c r="N141" s="23">
        <f>(scatterplots_LWG_grazdays_CS!$V$4*$A141+scatterplots_LWG_grazdays_CS!$W$4)/1000</f>
        <v>-0.21986</v>
      </c>
      <c r="O141" s="23">
        <f t="shared" si="97"/>
        <v>-0.17985999999999999</v>
      </c>
      <c r="P141" s="23">
        <f t="shared" si="97"/>
        <v>-0.13985999999999998</v>
      </c>
      <c r="Q141" s="23">
        <f t="shared" si="97"/>
        <v>-9.9860000000000004E-2</v>
      </c>
      <c r="R141" s="23">
        <f>(scatterplots_LWG_grazdays_CS!$V$4*$A141+scatterplots_LWG_grazdays_CS!$W$4)/1000+R140</f>
        <v>5.3097999999999965</v>
      </c>
      <c r="S141" s="23">
        <f t="shared" si="78"/>
        <v>7.2697999999999974</v>
      </c>
      <c r="T141" s="23">
        <f t="shared" si="79"/>
        <v>9.2297999999999956</v>
      </c>
      <c r="U141" s="23">
        <f t="shared" si="80"/>
        <v>11.189799999999996</v>
      </c>
      <c r="V141" s="23">
        <f>(scatterplots_LWG_grazdays_CS!$V$5*$A141+scatterplots_LWG_grazdays_CS!$W$5)/1000</f>
        <v>-0.29492000000000007</v>
      </c>
      <c r="W141" s="23">
        <f t="shared" si="98"/>
        <v>-0.25492000000000009</v>
      </c>
      <c r="X141" s="23">
        <f t="shared" si="99"/>
        <v>-0.21492000000000006</v>
      </c>
      <c r="Y141" s="23">
        <f t="shared" si="99"/>
        <v>-0.17492000000000008</v>
      </c>
      <c r="Z141" s="23">
        <f>(scatterplots_LWG_grazdays_CS!$V$5*$A141+scatterplots_LWG_grazdays_CS!$W$5)/1000+Z140</f>
        <v>5.5599999999997651E-2</v>
      </c>
      <c r="AA141" s="23">
        <f t="shared" si="95"/>
        <v>2.0155999999999952</v>
      </c>
      <c r="AB141" s="23">
        <f t="shared" si="82"/>
        <v>3.9755999999999956</v>
      </c>
      <c r="AC141" s="23">
        <f t="shared" si="83"/>
        <v>5.9355999999999964</v>
      </c>
      <c r="AD141" s="23">
        <f>(scatterplots_LWG_grazdays_CS!$V$6*$A141+scatterplots_LWG_grazdays_CS!$W$6)/1000</f>
        <v>-0.41445999999999994</v>
      </c>
      <c r="AE141" s="23">
        <f t="shared" si="100"/>
        <v>-0.37445999999999996</v>
      </c>
      <c r="AF141" s="23">
        <f t="shared" si="67"/>
        <v>-0.33445999999999992</v>
      </c>
      <c r="AG141" s="23">
        <f t="shared" si="67"/>
        <v>-0.29445999999999994</v>
      </c>
      <c r="AH141" s="23">
        <f>(scatterplots_LWG_grazdays_CS!$V$6*$A141+scatterplots_LWG_grazdays_CS!$W$6)/1000+AH140</f>
        <v>-8.3121999999999918</v>
      </c>
      <c r="AI141" s="23">
        <f t="shared" si="94"/>
        <v>-6.3521999999999945</v>
      </c>
      <c r="AJ141" s="23">
        <f t="shared" si="84"/>
        <v>-4.392199999999991</v>
      </c>
      <c r="AK141" s="23">
        <f t="shared" si="85"/>
        <v>-2.432199999999991</v>
      </c>
    </row>
    <row r="142" spans="1:37">
      <c r="A142" s="12">
        <v>140</v>
      </c>
      <c r="B142" s="12">
        <v>51</v>
      </c>
      <c r="C142" s="23">
        <f>(scatterplots_LWG_grazdays_CS!$V$3*$A142+scatterplots_LWG_grazdays_CS!$W$3)/1000</f>
        <v>-9.7599999999999965E-2</v>
      </c>
      <c r="D142" s="23">
        <f t="shared" si="96"/>
        <v>-5.7599999999999964E-2</v>
      </c>
      <c r="E142" s="23">
        <f t="shared" si="96"/>
        <v>-1.7599999999999963E-2</v>
      </c>
      <c r="F142" s="23">
        <f t="shared" si="96"/>
        <v>2.2400000000000031E-2</v>
      </c>
      <c r="G142" s="23">
        <f>(scatterplots_LWG_grazdays_CS!$V$3*$A142+scatterplots_LWG_grazdays_CS!$W$3)/1000+G141</f>
        <v>13.969200000000004</v>
      </c>
      <c r="H142" s="23">
        <f t="shared" si="91"/>
        <v>16.009200000000003</v>
      </c>
      <c r="I142" s="23">
        <f t="shared" si="90"/>
        <v>17.809200000000001</v>
      </c>
      <c r="J142" s="23">
        <f t="shared" si="88"/>
        <v>18.809200000000001</v>
      </c>
      <c r="K142" s="23">
        <f t="shared" si="101"/>
        <v>19.209200000000003</v>
      </c>
      <c r="L142" s="23">
        <f t="shared" si="92"/>
        <v>18.049200000000006</v>
      </c>
      <c r="M142" s="23">
        <f t="shared" si="93"/>
        <v>20.089200000000002</v>
      </c>
      <c r="N142" s="23">
        <f>(scatterplots_LWG_grazdays_CS!$V$4*$A142+scatterplots_LWG_grazdays_CS!$W$4)/1000</f>
        <v>-0.22360000000000002</v>
      </c>
      <c r="O142" s="23">
        <f t="shared" si="97"/>
        <v>-0.18360000000000001</v>
      </c>
      <c r="P142" s="23">
        <f t="shared" si="97"/>
        <v>-0.14360000000000001</v>
      </c>
      <c r="Q142" s="23">
        <f t="shared" si="97"/>
        <v>-0.10360000000000003</v>
      </c>
      <c r="R142" s="23">
        <f>(scatterplots_LWG_grazdays_CS!$V$4*$A142+scatterplots_LWG_grazdays_CS!$W$4)/1000+R141</f>
        <v>5.0861999999999963</v>
      </c>
      <c r="S142" s="23">
        <f t="shared" si="78"/>
        <v>7.0861999999999972</v>
      </c>
      <c r="T142" s="23">
        <f t="shared" si="79"/>
        <v>9.0861999999999963</v>
      </c>
      <c r="U142" s="23">
        <f t="shared" si="80"/>
        <v>11.086199999999996</v>
      </c>
      <c r="V142" s="23">
        <f>(scatterplots_LWG_grazdays_CS!$V$5*$A142+scatterplots_LWG_grazdays_CS!$W$5)/1000</f>
        <v>-0.29920000000000002</v>
      </c>
      <c r="W142" s="23">
        <f t="shared" si="98"/>
        <v>-0.25920000000000004</v>
      </c>
      <c r="X142" s="23">
        <f t="shared" si="99"/>
        <v>-0.21920000000000001</v>
      </c>
      <c r="Y142" s="23">
        <f t="shared" si="99"/>
        <v>-0.17920000000000003</v>
      </c>
      <c r="Z142" s="23">
        <f>(scatterplots_LWG_grazdays_CS!$V$5*$A142+scatterplots_LWG_grazdays_CS!$W$5)/1000+Z141</f>
        <v>-0.24360000000000237</v>
      </c>
      <c r="AA142" s="23">
        <f t="shared" si="95"/>
        <v>1.7563999999999951</v>
      </c>
      <c r="AB142" s="23">
        <f t="shared" si="82"/>
        <v>3.7563999999999957</v>
      </c>
      <c r="AC142" s="23">
        <f t="shared" si="83"/>
        <v>5.7563999999999966</v>
      </c>
      <c r="AD142" s="23">
        <f>(scatterplots_LWG_grazdays_CS!$V$6*$A142+scatterplots_LWG_grazdays_CS!$W$6)/1000</f>
        <v>-0.41959999999999992</v>
      </c>
      <c r="AE142" s="23">
        <f t="shared" si="100"/>
        <v>-0.37959999999999994</v>
      </c>
      <c r="AF142" s="23">
        <f t="shared" si="67"/>
        <v>-0.3395999999999999</v>
      </c>
      <c r="AG142" s="23">
        <f t="shared" si="67"/>
        <v>-0.29959999999999992</v>
      </c>
      <c r="AH142" s="23">
        <f>(scatterplots_LWG_grazdays_CS!$V$6*$A142+scatterplots_LWG_grazdays_CS!$W$6)/1000+AH141</f>
        <v>-8.7317999999999909</v>
      </c>
      <c r="AI142" s="23">
        <f t="shared" si="94"/>
        <v>-6.7317999999999945</v>
      </c>
      <c r="AJ142" s="23">
        <f t="shared" si="84"/>
        <v>-4.7317999999999909</v>
      </c>
      <c r="AK142" s="23">
        <f t="shared" si="85"/>
        <v>-2.7317999999999909</v>
      </c>
    </row>
    <row r="143" spans="1:37">
      <c r="A143" s="12">
        <v>141</v>
      </c>
      <c r="B143" s="12">
        <v>52</v>
      </c>
      <c r="C143" s="23">
        <f>(scatterplots_LWG_grazdays_CS!$V$3*$A143+scatterplots_LWG_grazdays_CS!$W$3)/1000</f>
        <v>-0.10044</v>
      </c>
      <c r="D143" s="23">
        <f t="shared" si="96"/>
        <v>-6.0440000000000001E-2</v>
      </c>
      <c r="E143" s="23">
        <f t="shared" si="96"/>
        <v>-2.044E-2</v>
      </c>
      <c r="F143" s="23">
        <f t="shared" si="96"/>
        <v>1.9559999999999994E-2</v>
      </c>
      <c r="G143" s="23">
        <f>(scatterplots_LWG_grazdays_CS!$V$3*$A143+scatterplots_LWG_grazdays_CS!$W$3)/1000+G142</f>
        <v>13.868760000000004</v>
      </c>
      <c r="H143" s="23">
        <f t="shared" si="91"/>
        <v>15.948760000000004</v>
      </c>
      <c r="I143" s="23">
        <f t="shared" si="90"/>
        <v>17.748760000000001</v>
      </c>
      <c r="J143" s="23">
        <f t="shared" si="88"/>
        <v>18.748760000000001</v>
      </c>
      <c r="K143" s="23">
        <f t="shared" si="101"/>
        <v>19.148760000000003</v>
      </c>
      <c r="L143" s="23">
        <f t="shared" si="92"/>
        <v>18.028760000000005</v>
      </c>
      <c r="M143" s="23">
        <f t="shared" si="93"/>
        <v>20.10876</v>
      </c>
      <c r="N143" s="23">
        <f>(scatterplots_LWG_grazdays_CS!$V$4*$A143+scatterplots_LWG_grazdays_CS!$W$4)/1000</f>
        <v>-0.22734000000000004</v>
      </c>
      <c r="O143" s="23">
        <f t="shared" si="97"/>
        <v>-0.18734000000000003</v>
      </c>
      <c r="P143" s="23">
        <f t="shared" si="97"/>
        <v>-0.14734000000000003</v>
      </c>
      <c r="Q143" s="23">
        <f t="shared" si="97"/>
        <v>-0.10734000000000005</v>
      </c>
      <c r="R143" s="23">
        <f>(scatterplots_LWG_grazdays_CS!$V$4*$A143+scatterplots_LWG_grazdays_CS!$W$4)/1000+R142</f>
        <v>4.8588599999999964</v>
      </c>
      <c r="S143" s="23">
        <f t="shared" si="78"/>
        <v>6.8988599999999973</v>
      </c>
      <c r="T143" s="23">
        <f t="shared" si="79"/>
        <v>8.9388599999999965</v>
      </c>
      <c r="U143" s="23">
        <f t="shared" si="80"/>
        <v>10.978859999999996</v>
      </c>
      <c r="V143" s="23">
        <f>(scatterplots_LWG_grazdays_CS!$V$5*$A143+scatterplots_LWG_grazdays_CS!$W$5)/1000</f>
        <v>-0.30348000000000003</v>
      </c>
      <c r="W143" s="23">
        <f t="shared" si="98"/>
        <v>-0.26348000000000005</v>
      </c>
      <c r="X143" s="23">
        <f t="shared" si="99"/>
        <v>-0.22348000000000001</v>
      </c>
      <c r="Y143" s="23">
        <f t="shared" si="99"/>
        <v>-0.18348000000000003</v>
      </c>
      <c r="Z143" s="23">
        <f>(scatterplots_LWG_grazdays_CS!$V$5*$A143+scatterplots_LWG_grazdays_CS!$W$5)/1000+Z142</f>
        <v>-0.54708000000000245</v>
      </c>
      <c r="AA143" s="23">
        <f t="shared" si="95"/>
        <v>1.4929199999999949</v>
      </c>
      <c r="AB143" s="23">
        <f t="shared" si="82"/>
        <v>3.5329199999999958</v>
      </c>
      <c r="AC143" s="23">
        <f t="shared" si="83"/>
        <v>5.5729199999999963</v>
      </c>
      <c r="AD143" s="23">
        <f>(scatterplots_LWG_grazdays_CS!$V$6*$A143+scatterplots_LWG_grazdays_CS!$W$6)/1000</f>
        <v>-0.42474000000000001</v>
      </c>
      <c r="AE143" s="23">
        <f t="shared" si="100"/>
        <v>-0.38474000000000003</v>
      </c>
      <c r="AF143" s="23">
        <f t="shared" si="67"/>
        <v>-0.34473999999999999</v>
      </c>
      <c r="AG143" s="23">
        <f t="shared" si="67"/>
        <v>-0.30474000000000001</v>
      </c>
      <c r="AH143" s="23">
        <f>(scatterplots_LWG_grazdays_CS!$V$6*$A143+scatterplots_LWG_grazdays_CS!$W$6)/1000+AH142</f>
        <v>-9.1565399999999908</v>
      </c>
      <c r="AI143" s="23">
        <f t="shared" si="94"/>
        <v>-7.1165399999999943</v>
      </c>
      <c r="AJ143" s="23">
        <f t="shared" si="84"/>
        <v>-5.0765399999999907</v>
      </c>
      <c r="AK143" s="23">
        <f t="shared" si="85"/>
        <v>-3.0365399999999907</v>
      </c>
    </row>
    <row r="144" spans="1:37">
      <c r="A144" s="12">
        <v>142</v>
      </c>
      <c r="B144" s="12">
        <v>53</v>
      </c>
      <c r="C144" s="23">
        <f>(scatterplots_LWG_grazdays_CS!$V$3*$A144+scatterplots_LWG_grazdays_CS!$W$3)/1000</f>
        <v>-0.10327999999999997</v>
      </c>
      <c r="D144" s="23">
        <f t="shared" si="96"/>
        <v>-6.3279999999999975E-2</v>
      </c>
      <c r="E144" s="23">
        <f t="shared" si="96"/>
        <v>-2.3279999999999967E-2</v>
      </c>
      <c r="F144" s="23">
        <f t="shared" si="96"/>
        <v>1.6720000000000027E-2</v>
      </c>
      <c r="G144" s="23">
        <f>(scatterplots_LWG_grazdays_CS!$V$3*$A144+scatterplots_LWG_grazdays_CS!$W$3)/1000+G143</f>
        <v>13.765480000000004</v>
      </c>
      <c r="H144" s="23">
        <f t="shared" si="91"/>
        <v>15.885480000000003</v>
      </c>
      <c r="I144" s="23">
        <f t="shared" si="90"/>
        <v>17.685480000000002</v>
      </c>
      <c r="J144" s="23">
        <f t="shared" si="88"/>
        <v>18.685480000000002</v>
      </c>
      <c r="K144" s="23">
        <f t="shared" si="101"/>
        <v>19.085480000000004</v>
      </c>
      <c r="L144" s="23">
        <f t="shared" si="92"/>
        <v>18.005480000000006</v>
      </c>
      <c r="M144" s="23">
        <f t="shared" si="93"/>
        <v>20.12548</v>
      </c>
      <c r="N144" s="23">
        <f>(scatterplots_LWG_grazdays_CS!$V$4*$A144+scatterplots_LWG_grazdays_CS!$W$4)/1000</f>
        <v>-0.23108000000000004</v>
      </c>
      <c r="O144" s="23">
        <f t="shared" si="97"/>
        <v>-0.19108000000000003</v>
      </c>
      <c r="P144" s="23">
        <f t="shared" si="97"/>
        <v>-0.15108000000000005</v>
      </c>
      <c r="Q144" s="23">
        <f t="shared" si="97"/>
        <v>-0.11108000000000004</v>
      </c>
      <c r="R144" s="23">
        <f>(scatterplots_LWG_grazdays_CS!$V$4*$A144+scatterplots_LWG_grazdays_CS!$W$4)/1000+R143</f>
        <v>4.627779999999996</v>
      </c>
      <c r="S144" s="23">
        <f t="shared" si="78"/>
        <v>6.707779999999997</v>
      </c>
      <c r="T144" s="23">
        <f t="shared" si="79"/>
        <v>8.7877799999999961</v>
      </c>
      <c r="U144" s="23">
        <f t="shared" si="80"/>
        <v>10.867779999999996</v>
      </c>
      <c r="V144" s="23">
        <f>(scatterplots_LWG_grazdays_CS!$V$5*$A144+scatterplots_LWG_grazdays_CS!$W$5)/1000</f>
        <v>-0.30775999999999998</v>
      </c>
      <c r="W144" s="23">
        <f t="shared" si="98"/>
        <v>-0.26776</v>
      </c>
      <c r="X144" s="23">
        <f t="shared" si="99"/>
        <v>-0.22775999999999996</v>
      </c>
      <c r="Y144" s="23">
        <f t="shared" si="99"/>
        <v>-0.18775999999999998</v>
      </c>
      <c r="Z144" s="23">
        <f>(scatterplots_LWG_grazdays_CS!$V$5*$A144+scatterplots_LWG_grazdays_CS!$W$5)/1000+Z143</f>
        <v>-0.85484000000000249</v>
      </c>
      <c r="AA144" s="23">
        <f t="shared" si="95"/>
        <v>1.2251599999999949</v>
      </c>
      <c r="AB144" s="23">
        <f t="shared" si="82"/>
        <v>3.3051599999999959</v>
      </c>
      <c r="AC144" s="23">
        <f t="shared" si="83"/>
        <v>5.3851599999999964</v>
      </c>
      <c r="AD144" s="23">
        <f>(scatterplots_LWG_grazdays_CS!$V$6*$A144+scatterplots_LWG_grazdays_CS!$W$6)/1000</f>
        <v>-0.42987999999999998</v>
      </c>
      <c r="AE144" s="23">
        <f t="shared" si="100"/>
        <v>-0.38988</v>
      </c>
      <c r="AF144" s="23">
        <f t="shared" si="67"/>
        <v>-0.34987999999999997</v>
      </c>
      <c r="AG144" s="23">
        <f t="shared" si="67"/>
        <v>-0.30987999999999999</v>
      </c>
      <c r="AH144" s="23">
        <f>(scatterplots_LWG_grazdays_CS!$V$6*$A144+scatterplots_LWG_grazdays_CS!$W$6)/1000+AH143</f>
        <v>-9.5864199999999915</v>
      </c>
      <c r="AI144" s="23">
        <f t="shared" si="94"/>
        <v>-7.5064199999999941</v>
      </c>
      <c r="AJ144" s="23">
        <f t="shared" si="84"/>
        <v>-5.4264199999999905</v>
      </c>
      <c r="AK144" s="23">
        <f t="shared" si="85"/>
        <v>-3.3464199999999908</v>
      </c>
    </row>
    <row r="145" spans="1:37">
      <c r="A145" s="12">
        <v>143</v>
      </c>
      <c r="B145" s="12">
        <v>54</v>
      </c>
      <c r="C145" s="23">
        <f>(scatterplots_LWG_grazdays_CS!$V$3*$A145+scatterplots_LWG_grazdays_CS!$W$3)/1000</f>
        <v>-0.10612000000000001</v>
      </c>
      <c r="D145" s="23">
        <f t="shared" si="96"/>
        <v>-6.6120000000000012E-2</v>
      </c>
      <c r="E145" s="23">
        <f t="shared" si="96"/>
        <v>-2.6120000000000004E-2</v>
      </c>
      <c r="F145" s="23">
        <f t="shared" si="96"/>
        <v>1.387999999999999E-2</v>
      </c>
      <c r="G145" s="23">
        <f>(scatterplots_LWG_grazdays_CS!$V$3*$A145+scatterplots_LWG_grazdays_CS!$W$3)/1000+G144</f>
        <v>13.659360000000003</v>
      </c>
      <c r="H145" s="23">
        <f t="shared" si="91"/>
        <v>15.819360000000003</v>
      </c>
      <c r="I145" s="23">
        <f t="shared" si="90"/>
        <v>17.61936</v>
      </c>
      <c r="J145" s="23">
        <f t="shared" si="88"/>
        <v>18.61936</v>
      </c>
      <c r="K145" s="23">
        <f t="shared" si="101"/>
        <v>19.019360000000002</v>
      </c>
      <c r="L145" s="23">
        <f t="shared" si="92"/>
        <v>17.979360000000007</v>
      </c>
      <c r="M145" s="23">
        <f t="shared" si="93"/>
        <v>20.13936</v>
      </c>
      <c r="N145" s="23">
        <f>(scatterplots_LWG_grazdays_CS!$V$4*$A145+scatterplots_LWG_grazdays_CS!$W$4)/1000</f>
        <v>-0.23482000000000006</v>
      </c>
      <c r="O145" s="23">
        <f t="shared" si="97"/>
        <v>-0.19482000000000005</v>
      </c>
      <c r="P145" s="23">
        <f t="shared" si="97"/>
        <v>-0.15482000000000007</v>
      </c>
      <c r="Q145" s="23">
        <f t="shared" si="97"/>
        <v>-0.11482000000000006</v>
      </c>
      <c r="R145" s="23">
        <f>(scatterplots_LWG_grazdays_CS!$V$4*$A145+scatterplots_LWG_grazdays_CS!$W$4)/1000+R144</f>
        <v>4.392959999999996</v>
      </c>
      <c r="S145" s="23">
        <f t="shared" si="78"/>
        <v>6.512959999999997</v>
      </c>
      <c r="T145" s="23">
        <f t="shared" si="79"/>
        <v>8.6329599999999953</v>
      </c>
      <c r="U145" s="23">
        <f t="shared" si="80"/>
        <v>10.752959999999996</v>
      </c>
      <c r="V145" s="23">
        <f>(scatterplots_LWG_grazdays_CS!$V$5*$A145+scatterplots_LWG_grazdays_CS!$W$5)/1000</f>
        <v>-0.3120400000000001</v>
      </c>
      <c r="W145" s="23">
        <f t="shared" si="98"/>
        <v>-0.27204000000000012</v>
      </c>
      <c r="X145" s="23">
        <f t="shared" si="99"/>
        <v>-0.23204000000000008</v>
      </c>
      <c r="Y145" s="23">
        <f t="shared" si="99"/>
        <v>-0.1920400000000001</v>
      </c>
      <c r="Z145" s="23">
        <f>(scatterplots_LWG_grazdays_CS!$V$5*$A145+scatterplots_LWG_grazdays_CS!$W$5)/1000+Z144</f>
        <v>-1.1668800000000026</v>
      </c>
      <c r="AA145" s="23">
        <f t="shared" si="95"/>
        <v>0.95311999999999486</v>
      </c>
      <c r="AB145" s="23">
        <f t="shared" si="82"/>
        <v>3.0731199999999959</v>
      </c>
      <c r="AC145" s="23">
        <f t="shared" si="83"/>
        <v>5.193119999999996</v>
      </c>
      <c r="AD145" s="23">
        <f>(scatterplots_LWG_grazdays_CS!$V$6*$A145+scatterplots_LWG_grazdays_CS!$W$6)/1000</f>
        <v>-0.43501999999999996</v>
      </c>
      <c r="AE145" s="23">
        <f t="shared" si="100"/>
        <v>-0.39501999999999998</v>
      </c>
      <c r="AF145" s="23">
        <f t="shared" si="67"/>
        <v>-0.35501999999999995</v>
      </c>
      <c r="AG145" s="23">
        <f t="shared" si="67"/>
        <v>-0.31501999999999997</v>
      </c>
      <c r="AH145" s="23">
        <f>(scatterplots_LWG_grazdays_CS!$V$6*$A145+scatterplots_LWG_grazdays_CS!$W$6)/1000+AH144</f>
        <v>-10.021439999999991</v>
      </c>
      <c r="AI145" s="23">
        <f t="shared" si="94"/>
        <v>-7.9014399999999938</v>
      </c>
      <c r="AJ145" s="23">
        <f t="shared" si="84"/>
        <v>-5.7814399999999901</v>
      </c>
      <c r="AK145" s="23">
        <f t="shared" si="85"/>
        <v>-3.6614399999999909</v>
      </c>
    </row>
    <row r="146" spans="1:37">
      <c r="A146" s="12">
        <v>144</v>
      </c>
      <c r="B146" s="12">
        <v>55</v>
      </c>
      <c r="C146" s="23">
        <f>(scatterplots_LWG_grazdays_CS!$V$3*$A146+scatterplots_LWG_grazdays_CS!$W$3)/1000</f>
        <v>-0.10895999999999997</v>
      </c>
      <c r="D146" s="23">
        <f t="shared" si="96"/>
        <v>-6.8959999999999966E-2</v>
      </c>
      <c r="E146" s="23">
        <f t="shared" si="96"/>
        <v>-2.8959999999999972E-2</v>
      </c>
      <c r="F146" s="23">
        <f t="shared" si="96"/>
        <v>1.1040000000000022E-2</v>
      </c>
      <c r="G146" s="23">
        <f>(scatterplots_LWG_grazdays_CS!$V$3*$A146+scatterplots_LWG_grazdays_CS!$W$3)/1000+G145</f>
        <v>13.550400000000003</v>
      </c>
      <c r="H146" s="23">
        <f t="shared" si="91"/>
        <v>15.750400000000003</v>
      </c>
      <c r="I146" s="23">
        <f t="shared" si="90"/>
        <v>17.5504</v>
      </c>
      <c r="J146" s="23">
        <f t="shared" si="88"/>
        <v>18.5504</v>
      </c>
      <c r="K146" s="23">
        <f t="shared" si="101"/>
        <v>18.950400000000002</v>
      </c>
      <c r="L146" s="23">
        <f t="shared" si="92"/>
        <v>17.950400000000005</v>
      </c>
      <c r="M146" s="23">
        <f t="shared" si="93"/>
        <v>20.150400000000001</v>
      </c>
      <c r="N146" s="23">
        <f>(scatterplots_LWG_grazdays_CS!$V$4*$A146+scatterplots_LWG_grazdays_CS!$W$4)/1000</f>
        <v>-0.23856000000000005</v>
      </c>
      <c r="O146" s="23">
        <f t="shared" si="97"/>
        <v>-0.19856000000000004</v>
      </c>
      <c r="P146" s="23">
        <f t="shared" si="97"/>
        <v>-0.15856000000000003</v>
      </c>
      <c r="Q146" s="23">
        <f t="shared" si="97"/>
        <v>-0.11856000000000005</v>
      </c>
      <c r="R146" s="23">
        <f>(scatterplots_LWG_grazdays_CS!$V$4*$A146+scatterplots_LWG_grazdays_CS!$W$4)/1000+R145</f>
        <v>4.1543999999999963</v>
      </c>
      <c r="S146" s="23">
        <f t="shared" si="78"/>
        <v>6.3143999999999973</v>
      </c>
      <c r="T146" s="23">
        <f t="shared" si="79"/>
        <v>8.4743999999999957</v>
      </c>
      <c r="U146" s="23">
        <f t="shared" si="80"/>
        <v>10.634399999999996</v>
      </c>
      <c r="V146" s="23">
        <f>(scatterplots_LWG_grazdays_CS!$V$5*$A146+scatterplots_LWG_grazdays_CS!$W$5)/1000</f>
        <v>-0.31632000000000005</v>
      </c>
      <c r="W146" s="23">
        <f t="shared" si="98"/>
        <v>-0.27632000000000007</v>
      </c>
      <c r="X146" s="23">
        <f t="shared" si="99"/>
        <v>-0.23632000000000003</v>
      </c>
      <c r="Y146" s="23">
        <f t="shared" si="99"/>
        <v>-0.19632000000000005</v>
      </c>
      <c r="Z146" s="23">
        <f>(scatterplots_LWG_grazdays_CS!$V$5*$A146+scatterplots_LWG_grazdays_CS!$W$5)/1000+Z145</f>
        <v>-1.4832000000000027</v>
      </c>
      <c r="AA146" s="23">
        <f t="shared" si="95"/>
        <v>0.67679999999999474</v>
      </c>
      <c r="AB146" s="23">
        <f t="shared" si="82"/>
        <v>2.8367999999999958</v>
      </c>
      <c r="AC146" s="23">
        <f t="shared" si="83"/>
        <v>4.9967999999999959</v>
      </c>
      <c r="AD146" s="23">
        <f>(scatterplots_LWG_grazdays_CS!$V$6*$A146+scatterplots_LWG_grazdays_CS!$W$6)/1000</f>
        <v>-0.44016</v>
      </c>
      <c r="AE146" s="23">
        <f t="shared" si="100"/>
        <v>-0.40016000000000002</v>
      </c>
      <c r="AF146" s="23">
        <f t="shared" si="67"/>
        <v>-0.36015999999999998</v>
      </c>
      <c r="AG146" s="23">
        <f t="shared" si="67"/>
        <v>-0.32016</v>
      </c>
      <c r="AH146" s="23">
        <f>(scatterplots_LWG_grazdays_CS!$V$6*$A146+scatterplots_LWG_grazdays_CS!$W$6)/1000+AH145</f>
        <v>-10.461599999999992</v>
      </c>
      <c r="AI146" s="23">
        <f t="shared" si="94"/>
        <v>-8.3015999999999934</v>
      </c>
      <c r="AJ146" s="23">
        <f t="shared" si="84"/>
        <v>-6.1415999999999897</v>
      </c>
      <c r="AK146" s="23">
        <f t="shared" si="85"/>
        <v>-3.9815999999999909</v>
      </c>
    </row>
    <row r="147" spans="1:37">
      <c r="A147" s="12">
        <v>145</v>
      </c>
      <c r="B147" s="12">
        <v>56</v>
      </c>
      <c r="C147" s="23">
        <f>(scatterplots_LWG_grazdays_CS!$V$3*$A147+scatterplots_LWG_grazdays_CS!$W$3)/1000</f>
        <v>-0.11179999999999995</v>
      </c>
      <c r="D147" s="23">
        <f t="shared" si="96"/>
        <v>-7.1799999999999947E-2</v>
      </c>
      <c r="E147" s="23">
        <f t="shared" si="96"/>
        <v>-3.1799999999999953E-2</v>
      </c>
      <c r="F147" s="23">
        <f t="shared" si="96"/>
        <v>8.2000000000000406E-3</v>
      </c>
      <c r="G147" s="23">
        <f>(scatterplots_LWG_grazdays_CS!$V$3*$A147+scatterplots_LWG_grazdays_CS!$W$3)/1000+G146</f>
        <v>13.438600000000003</v>
      </c>
      <c r="H147" s="23">
        <f t="shared" si="91"/>
        <v>15.678600000000003</v>
      </c>
      <c r="I147" s="23">
        <f t="shared" si="90"/>
        <v>17.4786</v>
      </c>
      <c r="J147" s="23">
        <f t="shared" si="88"/>
        <v>18.4786</v>
      </c>
      <c r="K147" s="23">
        <f t="shared" si="101"/>
        <v>18.878600000000002</v>
      </c>
      <c r="L147" s="23">
        <f t="shared" si="92"/>
        <v>17.918600000000005</v>
      </c>
      <c r="M147" s="23">
        <f t="shared" si="93"/>
        <v>20.1586</v>
      </c>
      <c r="N147" s="23">
        <f>(scatterplots_LWG_grazdays_CS!$V$4*$A147+scatterplots_LWG_grazdays_CS!$W$4)/1000</f>
        <v>-0.24230000000000007</v>
      </c>
      <c r="O147" s="23">
        <f t="shared" si="97"/>
        <v>-0.20230000000000006</v>
      </c>
      <c r="P147" s="23">
        <f t="shared" si="97"/>
        <v>-0.16230000000000006</v>
      </c>
      <c r="Q147" s="23">
        <f t="shared" si="97"/>
        <v>-0.12230000000000008</v>
      </c>
      <c r="R147" s="23">
        <f>(scatterplots_LWG_grazdays_CS!$V$4*$A147+scatterplots_LWG_grazdays_CS!$W$4)/1000+R146</f>
        <v>3.9120999999999961</v>
      </c>
      <c r="S147" s="23">
        <f t="shared" si="78"/>
        <v>6.1120999999999972</v>
      </c>
      <c r="T147" s="23">
        <f t="shared" si="79"/>
        <v>8.3120999999999956</v>
      </c>
      <c r="U147" s="23">
        <f t="shared" si="80"/>
        <v>10.512099999999997</v>
      </c>
      <c r="V147" s="23">
        <f>(scatterplots_LWG_grazdays_CS!$V$5*$A147+scatterplots_LWG_grazdays_CS!$W$5)/1000</f>
        <v>-0.3206</v>
      </c>
      <c r="W147" s="23">
        <f t="shared" si="98"/>
        <v>-0.28060000000000002</v>
      </c>
      <c r="X147" s="23">
        <f t="shared" si="99"/>
        <v>-0.24059999999999998</v>
      </c>
      <c r="Y147" s="23">
        <f t="shared" si="99"/>
        <v>-0.2006</v>
      </c>
      <c r="Z147" s="23">
        <f>(scatterplots_LWG_grazdays_CS!$V$5*$A147+scatterplots_LWG_grazdays_CS!$W$5)/1000+Z146</f>
        <v>-1.8038000000000027</v>
      </c>
      <c r="AA147" s="23">
        <f t="shared" si="95"/>
        <v>0.39619999999999472</v>
      </c>
      <c r="AB147" s="23">
        <f t="shared" si="82"/>
        <v>2.5961999999999956</v>
      </c>
      <c r="AC147" s="23">
        <f t="shared" si="83"/>
        <v>4.7961999999999962</v>
      </c>
      <c r="AD147" s="23">
        <f>(scatterplots_LWG_grazdays_CS!$V$6*$A147+scatterplots_LWG_grazdays_CS!$W$6)/1000</f>
        <v>-0.44529999999999997</v>
      </c>
      <c r="AE147" s="23">
        <f t="shared" si="100"/>
        <v>-0.40529999999999999</v>
      </c>
      <c r="AF147" s="23">
        <f t="shared" ref="AF147:AG202" si="102">$AD147+AF$1/1000</f>
        <v>-0.36529999999999996</v>
      </c>
      <c r="AG147" s="23">
        <f t="shared" si="102"/>
        <v>-0.32529999999999998</v>
      </c>
      <c r="AH147" s="23">
        <f>(scatterplots_LWG_grazdays_CS!$V$6*$A147+scatterplots_LWG_grazdays_CS!$W$6)/1000+AH146</f>
        <v>-10.906899999999991</v>
      </c>
      <c r="AI147" s="23">
        <f t="shared" si="94"/>
        <v>-8.7068999999999939</v>
      </c>
      <c r="AJ147" s="23">
        <f t="shared" si="84"/>
        <v>-6.5068999999999892</v>
      </c>
      <c r="AK147" s="23">
        <f t="shared" si="85"/>
        <v>-4.3068999999999908</v>
      </c>
    </row>
    <row r="148" spans="1:37">
      <c r="A148" s="12">
        <v>146</v>
      </c>
      <c r="B148" s="12">
        <v>57</v>
      </c>
      <c r="C148" s="23">
        <f>(scatterplots_LWG_grazdays_CS!$V$3*$A148+scatterplots_LWG_grazdays_CS!$W$3)/1000</f>
        <v>-0.11463999999999999</v>
      </c>
      <c r="D148" s="23">
        <f t="shared" si="96"/>
        <v>-7.4639999999999984E-2</v>
      </c>
      <c r="E148" s="23">
        <f t="shared" si="96"/>
        <v>-3.463999999999999E-2</v>
      </c>
      <c r="F148" s="23">
        <f t="shared" si="96"/>
        <v>5.3600000000000037E-3</v>
      </c>
      <c r="G148" s="23">
        <f>(scatterplots_LWG_grazdays_CS!$V$3*$A148+scatterplots_LWG_grazdays_CS!$W$3)/1000+G147</f>
        <v>13.323960000000003</v>
      </c>
      <c r="H148" s="23">
        <f t="shared" si="91"/>
        <v>15.603960000000002</v>
      </c>
      <c r="I148" s="23">
        <f t="shared" si="90"/>
        <v>17.403960000000001</v>
      </c>
      <c r="J148" s="23">
        <f t="shared" si="88"/>
        <v>18.403960000000001</v>
      </c>
      <c r="K148" s="23">
        <f t="shared" si="101"/>
        <v>18.803960000000004</v>
      </c>
      <c r="L148" s="23">
        <f t="shared" si="92"/>
        <v>17.883960000000005</v>
      </c>
      <c r="M148" s="23">
        <f t="shared" si="93"/>
        <v>20.163959999999999</v>
      </c>
      <c r="N148" s="23">
        <f>(scatterplots_LWG_grazdays_CS!$V$4*$A148+scatterplots_LWG_grazdays_CS!$W$4)/1000</f>
        <v>-0.24604000000000006</v>
      </c>
      <c r="O148" s="23">
        <f t="shared" si="97"/>
        <v>-0.20604000000000006</v>
      </c>
      <c r="P148" s="23">
        <f t="shared" si="97"/>
        <v>-0.16604000000000008</v>
      </c>
      <c r="Q148" s="23">
        <f t="shared" si="97"/>
        <v>-0.12604000000000007</v>
      </c>
      <c r="R148" s="23">
        <f>(scatterplots_LWG_grazdays_CS!$V$4*$A148+scatterplots_LWG_grazdays_CS!$W$4)/1000+R147</f>
        <v>3.6660599999999959</v>
      </c>
      <c r="S148" s="23">
        <f t="shared" si="78"/>
        <v>5.9060599999999974</v>
      </c>
      <c r="T148" s="23">
        <f t="shared" si="79"/>
        <v>8.146059999999995</v>
      </c>
      <c r="U148" s="23">
        <f t="shared" si="80"/>
        <v>10.386059999999997</v>
      </c>
      <c r="V148" s="23">
        <f>(scatterplots_LWG_grazdays_CS!$V$5*$A148+scatterplots_LWG_grazdays_CS!$W$5)/1000</f>
        <v>-0.32488</v>
      </c>
      <c r="W148" s="23">
        <f t="shared" si="98"/>
        <v>-0.28488000000000002</v>
      </c>
      <c r="X148" s="23">
        <f t="shared" si="99"/>
        <v>-0.24487999999999999</v>
      </c>
      <c r="Y148" s="23">
        <f t="shared" si="99"/>
        <v>-0.20488000000000001</v>
      </c>
      <c r="Z148" s="23">
        <f>(scatterplots_LWG_grazdays_CS!$V$5*$A148+scatterplots_LWG_grazdays_CS!$W$5)/1000+Z147</f>
        <v>-2.1286800000000028</v>
      </c>
      <c r="AA148" s="23">
        <f t="shared" si="95"/>
        <v>0.1113199999999947</v>
      </c>
      <c r="AB148" s="23">
        <f t="shared" si="82"/>
        <v>2.3513199999999959</v>
      </c>
      <c r="AC148" s="23">
        <f t="shared" si="83"/>
        <v>4.5913199999999961</v>
      </c>
      <c r="AD148" s="23">
        <f>(scatterplots_LWG_grazdays_CS!$V$6*$A148+scatterplots_LWG_grazdays_CS!$W$6)/1000</f>
        <v>-0.45043999999999995</v>
      </c>
      <c r="AE148" s="23">
        <f t="shared" si="100"/>
        <v>-0.41043999999999997</v>
      </c>
      <c r="AF148" s="23">
        <f t="shared" si="102"/>
        <v>-0.37043999999999994</v>
      </c>
      <c r="AG148" s="23">
        <f t="shared" si="102"/>
        <v>-0.33043999999999996</v>
      </c>
      <c r="AH148" s="23">
        <f>(scatterplots_LWG_grazdays_CS!$V$6*$A148+scatterplots_LWG_grazdays_CS!$W$6)/1000+AH147</f>
        <v>-11.357339999999992</v>
      </c>
      <c r="AI148" s="23">
        <f t="shared" si="94"/>
        <v>-9.1173399999999933</v>
      </c>
      <c r="AJ148" s="23">
        <f t="shared" si="84"/>
        <v>-6.8773399999999896</v>
      </c>
      <c r="AK148" s="23">
        <f t="shared" si="85"/>
        <v>-4.6373399999999911</v>
      </c>
    </row>
    <row r="149" spans="1:37">
      <c r="A149" s="12">
        <v>147</v>
      </c>
      <c r="B149" s="12">
        <v>58</v>
      </c>
      <c r="C149" s="23">
        <f>(scatterplots_LWG_grazdays_CS!$V$3*$A149+scatterplots_LWG_grazdays_CS!$W$3)/1000</f>
        <v>-0.11747999999999996</v>
      </c>
      <c r="D149" s="23">
        <f t="shared" si="96"/>
        <v>-7.7479999999999966E-2</v>
      </c>
      <c r="E149" s="23">
        <f t="shared" si="96"/>
        <v>-3.7479999999999958E-2</v>
      </c>
      <c r="F149" s="23">
        <f t="shared" si="96"/>
        <v>2.5200000000000361E-3</v>
      </c>
      <c r="G149" s="23">
        <f>(scatterplots_LWG_grazdays_CS!$V$3*$A149+scatterplots_LWG_grazdays_CS!$W$3)/1000+G148</f>
        <v>13.206480000000003</v>
      </c>
      <c r="H149" s="23">
        <f t="shared" si="91"/>
        <v>15.526480000000003</v>
      </c>
      <c r="I149" s="23">
        <f t="shared" si="90"/>
        <v>17.32648</v>
      </c>
      <c r="J149" s="23">
        <f t="shared" si="88"/>
        <v>18.32648</v>
      </c>
      <c r="K149" s="23">
        <f t="shared" si="101"/>
        <v>18.726480000000002</v>
      </c>
      <c r="L149" s="23">
        <f t="shared" si="92"/>
        <v>17.846480000000007</v>
      </c>
      <c r="M149" s="23">
        <f t="shared" si="93"/>
        <v>20.16648</v>
      </c>
      <c r="N149" s="23">
        <f>(scatterplots_LWG_grazdays_CS!$V$4*$A149+scatterplots_LWG_grazdays_CS!$W$4)/1000</f>
        <v>-0.24978000000000009</v>
      </c>
      <c r="O149" s="23">
        <f t="shared" si="97"/>
        <v>-0.20978000000000008</v>
      </c>
      <c r="P149" s="23">
        <f t="shared" si="97"/>
        <v>-0.1697800000000001</v>
      </c>
      <c r="Q149" s="23">
        <f t="shared" si="97"/>
        <v>-0.12978000000000009</v>
      </c>
      <c r="R149" s="23">
        <f>(scatterplots_LWG_grazdays_CS!$V$4*$A149+scatterplots_LWG_grazdays_CS!$W$4)/1000+R148</f>
        <v>3.416279999999996</v>
      </c>
      <c r="S149" s="23">
        <f t="shared" si="78"/>
        <v>5.6962799999999971</v>
      </c>
      <c r="T149" s="23">
        <f t="shared" si="79"/>
        <v>7.9762799999999947</v>
      </c>
      <c r="U149" s="23">
        <f t="shared" si="80"/>
        <v>10.256279999999997</v>
      </c>
      <c r="V149" s="23">
        <f>(scatterplots_LWG_grazdays_CS!$V$5*$A149+scatterplots_LWG_grazdays_CS!$W$5)/1000</f>
        <v>-0.32916000000000006</v>
      </c>
      <c r="W149" s="23">
        <f t="shared" si="98"/>
        <v>-0.28916000000000008</v>
      </c>
      <c r="X149" s="23">
        <f t="shared" si="99"/>
        <v>-0.24916000000000005</v>
      </c>
      <c r="Y149" s="23">
        <f t="shared" si="99"/>
        <v>-0.20916000000000007</v>
      </c>
      <c r="Z149" s="23">
        <f>(scatterplots_LWG_grazdays_CS!$V$5*$A149+scatterplots_LWG_grazdays_CS!$W$5)/1000+Z148</f>
        <v>-2.4578400000000027</v>
      </c>
      <c r="AA149" s="23">
        <f t="shared" si="95"/>
        <v>-0.17784000000000538</v>
      </c>
      <c r="AB149" s="23">
        <f t="shared" si="82"/>
        <v>2.102159999999996</v>
      </c>
      <c r="AC149" s="23">
        <f t="shared" si="83"/>
        <v>4.3821599999999963</v>
      </c>
      <c r="AD149" s="23">
        <f>(scatterplots_LWG_grazdays_CS!$V$6*$A149+scatterplots_LWG_grazdays_CS!$W$6)/1000</f>
        <v>-0.45557999999999993</v>
      </c>
      <c r="AE149" s="23">
        <f t="shared" si="100"/>
        <v>-0.41557999999999995</v>
      </c>
      <c r="AF149" s="23">
        <f t="shared" si="102"/>
        <v>-0.37557999999999991</v>
      </c>
      <c r="AG149" s="23">
        <f t="shared" si="102"/>
        <v>-0.33557999999999993</v>
      </c>
      <c r="AH149" s="23">
        <f>(scatterplots_LWG_grazdays_CS!$V$6*$A149+scatterplots_LWG_grazdays_CS!$W$6)/1000+AH148</f>
        <v>-11.812919999999991</v>
      </c>
      <c r="AI149" s="23">
        <f t="shared" si="94"/>
        <v>-9.5329199999999936</v>
      </c>
      <c r="AJ149" s="23">
        <f t="shared" si="84"/>
        <v>-7.2529199999999898</v>
      </c>
      <c r="AK149" s="23">
        <f t="shared" si="85"/>
        <v>-4.9729199999999913</v>
      </c>
    </row>
    <row r="150" spans="1:37">
      <c r="A150" s="12">
        <v>148</v>
      </c>
      <c r="B150" s="12">
        <v>59</v>
      </c>
      <c r="C150" s="23">
        <f>(scatterplots_LWG_grazdays_CS!$V$3*$A150+scatterplots_LWG_grazdays_CS!$W$3)/1000</f>
        <v>-0.12032</v>
      </c>
      <c r="D150" s="23">
        <f t="shared" si="96"/>
        <v>-8.0320000000000003E-2</v>
      </c>
      <c r="E150" s="23">
        <f t="shared" si="96"/>
        <v>-4.0319999999999995E-2</v>
      </c>
      <c r="F150" s="23">
        <f t="shared" si="96"/>
        <v>-3.2000000000000084E-4</v>
      </c>
      <c r="G150" s="23">
        <f>(scatterplots_LWG_grazdays_CS!$V$3*$A150+scatterplots_LWG_grazdays_CS!$W$3)/1000+G149</f>
        <v>13.086160000000003</v>
      </c>
      <c r="H150" s="23">
        <f t="shared" si="91"/>
        <v>15.446160000000003</v>
      </c>
      <c r="I150" s="23">
        <f t="shared" si="90"/>
        <v>17.24616</v>
      </c>
      <c r="J150" s="23">
        <f t="shared" si="88"/>
        <v>18.24616</v>
      </c>
      <c r="K150" s="23">
        <f t="shared" si="101"/>
        <v>18.646160000000002</v>
      </c>
      <c r="L150" s="23">
        <f t="shared" si="92"/>
        <v>17.806160000000006</v>
      </c>
      <c r="M150" s="23">
        <f t="shared" si="93"/>
        <v>20.166160000000001</v>
      </c>
      <c r="N150" s="23">
        <f>(scatterplots_LWG_grazdays_CS!$V$4*$A150+scatterplots_LWG_grazdays_CS!$W$4)/1000</f>
        <v>-0.25351999999999997</v>
      </c>
      <c r="O150" s="23">
        <f t="shared" si="97"/>
        <v>-0.21351999999999996</v>
      </c>
      <c r="P150" s="23">
        <f t="shared" si="97"/>
        <v>-0.17351999999999995</v>
      </c>
      <c r="Q150" s="23">
        <f t="shared" si="97"/>
        <v>-0.13351999999999997</v>
      </c>
      <c r="R150" s="23">
        <f>(scatterplots_LWG_grazdays_CS!$V$4*$A150+scatterplots_LWG_grazdays_CS!$W$4)/1000+R149</f>
        <v>3.162759999999996</v>
      </c>
      <c r="S150" s="23">
        <f t="shared" si="78"/>
        <v>5.4827599999999972</v>
      </c>
      <c r="T150" s="23">
        <f t="shared" si="79"/>
        <v>7.8027599999999948</v>
      </c>
      <c r="U150" s="23">
        <f t="shared" si="80"/>
        <v>10.122759999999996</v>
      </c>
      <c r="V150" s="23">
        <f>(scatterplots_LWG_grazdays_CS!$V$5*$A150+scatterplots_LWG_grazdays_CS!$W$5)/1000</f>
        <v>-0.33344000000000007</v>
      </c>
      <c r="W150" s="23">
        <f t="shared" si="98"/>
        <v>-0.29344000000000009</v>
      </c>
      <c r="X150" s="23">
        <f t="shared" si="99"/>
        <v>-0.25344000000000005</v>
      </c>
      <c r="Y150" s="23">
        <f t="shared" si="99"/>
        <v>-0.21344000000000007</v>
      </c>
      <c r="Z150" s="23">
        <f>(scatterplots_LWG_grazdays_CS!$V$5*$A150+scatterplots_LWG_grazdays_CS!$W$5)/1000+Z149</f>
        <v>-2.7912800000000026</v>
      </c>
      <c r="AA150" s="23">
        <f t="shared" si="95"/>
        <v>-0.47128000000000547</v>
      </c>
      <c r="AB150" s="23">
        <f t="shared" si="82"/>
        <v>1.8487199999999959</v>
      </c>
      <c r="AC150" s="23">
        <f t="shared" si="83"/>
        <v>4.168719999999996</v>
      </c>
      <c r="AD150" s="23">
        <f>(scatterplots_LWG_grazdays_CS!$V$6*$A150+scatterplots_LWG_grazdays_CS!$W$6)/1000</f>
        <v>-0.46071999999999991</v>
      </c>
      <c r="AE150" s="23">
        <f t="shared" si="100"/>
        <v>-0.42071999999999993</v>
      </c>
      <c r="AF150" s="23">
        <f t="shared" si="102"/>
        <v>-0.38071999999999989</v>
      </c>
      <c r="AG150" s="23">
        <f t="shared" si="102"/>
        <v>-0.34071999999999991</v>
      </c>
      <c r="AH150" s="23">
        <f>(scatterplots_LWG_grazdays_CS!$V$6*$A150+scatterplots_LWG_grazdays_CS!$W$6)/1000+AH149</f>
        <v>-12.273639999999991</v>
      </c>
      <c r="AI150" s="23">
        <f t="shared" si="94"/>
        <v>-9.9536399999999929</v>
      </c>
      <c r="AJ150" s="23">
        <f t="shared" si="84"/>
        <v>-7.63363999999999</v>
      </c>
      <c r="AK150" s="23">
        <f t="shared" si="85"/>
        <v>-5.3136399999999915</v>
      </c>
    </row>
    <row r="151" spans="1:37">
      <c r="A151" s="12">
        <v>149</v>
      </c>
      <c r="B151" s="12">
        <v>60</v>
      </c>
      <c r="C151" s="23">
        <f>(scatterplots_LWG_grazdays_CS!$V$3*$A151+scatterplots_LWG_grazdays_CS!$W$3)/1000</f>
        <v>-0.12315999999999996</v>
      </c>
      <c r="D151" s="23">
        <f t="shared" si="96"/>
        <v>-8.3159999999999956E-2</v>
      </c>
      <c r="E151" s="23">
        <f t="shared" si="96"/>
        <v>-4.3159999999999962E-2</v>
      </c>
      <c r="F151" s="23">
        <f t="shared" si="96"/>
        <v>-3.1599999999999684E-3</v>
      </c>
      <c r="G151" s="23">
        <f>(scatterplots_LWG_grazdays_CS!$V$3*$A151+scatterplots_LWG_grazdays_CS!$W$3)/1000+G150</f>
        <v>12.963000000000003</v>
      </c>
      <c r="H151" s="23">
        <f t="shared" si="91"/>
        <v>15.363000000000003</v>
      </c>
      <c r="I151" s="23">
        <f t="shared" si="90"/>
        <v>17.163</v>
      </c>
      <c r="J151" s="23">
        <f t="shared" ref="J151:J202" si="103">D151+J150</f>
        <v>18.163</v>
      </c>
      <c r="K151" s="23">
        <f t="shared" si="101"/>
        <v>18.563000000000002</v>
      </c>
      <c r="L151" s="23">
        <f t="shared" si="92"/>
        <v>17.763000000000005</v>
      </c>
      <c r="M151" s="23">
        <f t="shared" si="93"/>
        <v>20.163</v>
      </c>
      <c r="N151" s="23">
        <f>(scatterplots_LWG_grazdays_CS!$V$4*$A151+scatterplots_LWG_grazdays_CS!$W$4)/1000</f>
        <v>-0.25725999999999999</v>
      </c>
      <c r="O151" s="23">
        <f t="shared" si="97"/>
        <v>-0.21725999999999998</v>
      </c>
      <c r="P151" s="23">
        <f t="shared" si="97"/>
        <v>-0.17725999999999997</v>
      </c>
      <c r="Q151" s="23">
        <f t="shared" si="97"/>
        <v>-0.13725999999999999</v>
      </c>
      <c r="R151" s="23">
        <f>(scatterplots_LWG_grazdays_CS!$V$4*$A151+scatterplots_LWG_grazdays_CS!$W$4)/1000+R150</f>
        <v>2.905499999999996</v>
      </c>
      <c r="S151" s="23">
        <f t="shared" si="78"/>
        <v>5.2654999999999976</v>
      </c>
      <c r="T151" s="23">
        <f t="shared" si="79"/>
        <v>7.6254999999999953</v>
      </c>
      <c r="U151" s="23">
        <f t="shared" si="80"/>
        <v>9.9854999999999965</v>
      </c>
      <c r="V151" s="23">
        <f>(scatterplots_LWG_grazdays_CS!$V$5*$A151+scatterplots_LWG_grazdays_CS!$W$5)/1000</f>
        <v>-0.33772000000000002</v>
      </c>
      <c r="W151" s="23">
        <f t="shared" si="98"/>
        <v>-0.29772000000000004</v>
      </c>
      <c r="X151" s="23">
        <f t="shared" si="99"/>
        <v>-0.25772</v>
      </c>
      <c r="Y151" s="23">
        <f t="shared" si="99"/>
        <v>-0.21772000000000002</v>
      </c>
      <c r="Z151" s="23">
        <f>(scatterplots_LWG_grazdays_CS!$V$5*$A151+scatterplots_LWG_grazdays_CS!$W$5)/1000+Z150</f>
        <v>-3.1290000000000027</v>
      </c>
      <c r="AA151" s="23">
        <f t="shared" si="95"/>
        <v>-0.76900000000000546</v>
      </c>
      <c r="AB151" s="23">
        <f t="shared" si="82"/>
        <v>1.590999999999996</v>
      </c>
      <c r="AC151" s="23">
        <f t="shared" si="83"/>
        <v>3.9509999999999961</v>
      </c>
      <c r="AD151" s="23">
        <f>(scatterplots_LWG_grazdays_CS!$V$6*$A151+scatterplots_LWG_grazdays_CS!$W$6)/1000</f>
        <v>-0.46585999999999989</v>
      </c>
      <c r="AE151" s="23">
        <f t="shared" si="100"/>
        <v>-0.42585999999999991</v>
      </c>
      <c r="AF151" s="23">
        <f t="shared" si="102"/>
        <v>-0.38585999999999987</v>
      </c>
      <c r="AG151" s="23">
        <f t="shared" si="102"/>
        <v>-0.34585999999999989</v>
      </c>
      <c r="AH151" s="23">
        <f>(scatterplots_LWG_grazdays_CS!$V$6*$A151+scatterplots_LWG_grazdays_CS!$W$6)/1000+AH150</f>
        <v>-12.739499999999991</v>
      </c>
      <c r="AI151" s="23">
        <f t="shared" si="94"/>
        <v>-10.379499999999993</v>
      </c>
      <c r="AJ151" s="23">
        <f t="shared" si="84"/>
        <v>-8.0194999999999901</v>
      </c>
      <c r="AK151" s="23">
        <f t="shared" si="85"/>
        <v>-5.6594999999999915</v>
      </c>
    </row>
    <row r="152" spans="1:37">
      <c r="A152" s="12">
        <v>150</v>
      </c>
      <c r="B152" s="12">
        <v>61</v>
      </c>
      <c r="C152" s="23">
        <f>(scatterplots_LWG_grazdays_CS!$V$3*$A152+scatterplots_LWG_grazdays_CS!$W$3)/1000</f>
        <v>-0.126</v>
      </c>
      <c r="D152" s="23">
        <f t="shared" si="96"/>
        <v>-8.5999999999999993E-2</v>
      </c>
      <c r="E152" s="23">
        <f t="shared" si="96"/>
        <v>-4.5999999999999999E-2</v>
      </c>
      <c r="F152" s="23">
        <f t="shared" si="96"/>
        <v>-6.0000000000000053E-3</v>
      </c>
      <c r="G152" s="23">
        <f>(scatterplots_LWG_grazdays_CS!$V$3*$A152+scatterplots_LWG_grazdays_CS!$W$3)/1000+G151</f>
        <v>12.837000000000003</v>
      </c>
      <c r="H152" s="23">
        <f t="shared" si="91"/>
        <v>15.277000000000003</v>
      </c>
      <c r="I152" s="23">
        <f t="shared" si="90"/>
        <v>17.077000000000002</v>
      </c>
      <c r="J152" s="23">
        <f t="shared" si="103"/>
        <v>18.077000000000002</v>
      </c>
      <c r="K152" s="23">
        <f t="shared" si="101"/>
        <v>18.477000000000004</v>
      </c>
      <c r="L152" s="23">
        <f t="shared" si="92"/>
        <v>17.717000000000006</v>
      </c>
      <c r="M152" s="23">
        <f t="shared" si="93"/>
        <v>20.157</v>
      </c>
      <c r="N152" s="23">
        <f>(scatterplots_LWG_grazdays_CS!$V$4*$A152+scatterplots_LWG_grazdays_CS!$W$4)/1000</f>
        <v>-0.26100000000000001</v>
      </c>
      <c r="O152" s="23">
        <f t="shared" si="97"/>
        <v>-0.221</v>
      </c>
      <c r="P152" s="23">
        <f t="shared" si="97"/>
        <v>-0.18099999999999999</v>
      </c>
      <c r="Q152" s="23">
        <f t="shared" si="97"/>
        <v>-0.14100000000000001</v>
      </c>
      <c r="R152" s="23">
        <f>(scatterplots_LWG_grazdays_CS!$V$4*$A152+scatterplots_LWG_grazdays_CS!$W$4)/1000+R151</f>
        <v>2.6444999999999959</v>
      </c>
      <c r="S152" s="23">
        <f t="shared" si="78"/>
        <v>5.0444999999999975</v>
      </c>
      <c r="T152" s="23">
        <f t="shared" si="79"/>
        <v>7.4444999999999952</v>
      </c>
      <c r="U152" s="23">
        <f t="shared" si="80"/>
        <v>9.8444999999999965</v>
      </c>
      <c r="V152" s="23">
        <f>(scatterplots_LWG_grazdays_CS!$V$5*$A152+scatterplots_LWG_grazdays_CS!$W$5)/1000</f>
        <v>-0.34200000000000003</v>
      </c>
      <c r="W152" s="23">
        <f t="shared" si="98"/>
        <v>-0.30200000000000005</v>
      </c>
      <c r="X152" s="23">
        <f t="shared" si="99"/>
        <v>-0.26200000000000001</v>
      </c>
      <c r="Y152" s="23">
        <f t="shared" si="99"/>
        <v>-0.22200000000000003</v>
      </c>
      <c r="Z152" s="23">
        <f>(scatterplots_LWG_grazdays_CS!$V$5*$A152+scatterplots_LWG_grazdays_CS!$W$5)/1000+Z151</f>
        <v>-3.4710000000000027</v>
      </c>
      <c r="AA152" s="23">
        <f t="shared" si="95"/>
        <v>-1.0710000000000055</v>
      </c>
      <c r="AB152" s="23">
        <f t="shared" si="82"/>
        <v>1.328999999999996</v>
      </c>
      <c r="AC152" s="23">
        <f t="shared" si="83"/>
        <v>3.7289999999999961</v>
      </c>
      <c r="AD152" s="23">
        <f>(scatterplots_LWG_grazdays_CS!$V$6*$A152+scatterplots_LWG_grazdays_CS!$W$6)/1000</f>
        <v>-0.47099999999999997</v>
      </c>
      <c r="AE152" s="23">
        <f t="shared" si="100"/>
        <v>-0.43099999999999999</v>
      </c>
      <c r="AF152" s="23">
        <f t="shared" si="102"/>
        <v>-0.39099999999999996</v>
      </c>
      <c r="AG152" s="23">
        <f t="shared" si="102"/>
        <v>-0.35099999999999998</v>
      </c>
      <c r="AH152" s="23">
        <f>(scatterplots_LWG_grazdays_CS!$V$6*$A152+scatterplots_LWG_grazdays_CS!$W$6)/1000+AH151</f>
        <v>-13.210499999999991</v>
      </c>
      <c r="AI152" s="23">
        <f t="shared" si="94"/>
        <v>-10.810499999999992</v>
      </c>
      <c r="AJ152" s="23">
        <f t="shared" si="84"/>
        <v>-8.4104999999999901</v>
      </c>
      <c r="AK152" s="23">
        <f t="shared" si="85"/>
        <v>-6.0104999999999915</v>
      </c>
    </row>
    <row r="153" spans="1:37">
      <c r="A153" s="12">
        <v>151</v>
      </c>
      <c r="B153" s="12">
        <v>62</v>
      </c>
      <c r="C153" s="23">
        <f>(scatterplots_LWG_grazdays_CS!$V$3*$A153+scatterplots_LWG_grazdays_CS!$W$3)/1000</f>
        <v>-0.12883999999999998</v>
      </c>
      <c r="D153" s="23">
        <f t="shared" si="96"/>
        <v>-8.8839999999999975E-2</v>
      </c>
      <c r="E153" s="23">
        <f t="shared" si="96"/>
        <v>-4.8839999999999981E-2</v>
      </c>
      <c r="F153" s="23">
        <f t="shared" si="96"/>
        <v>-8.8399999999999868E-3</v>
      </c>
      <c r="G153" s="23">
        <f>(scatterplots_LWG_grazdays_CS!$V$3*$A153+scatterplots_LWG_grazdays_CS!$W$3)/1000+G152</f>
        <v>12.708160000000003</v>
      </c>
      <c r="H153" s="23">
        <f t="shared" si="91"/>
        <v>15.188160000000003</v>
      </c>
      <c r="I153" s="23">
        <f t="shared" si="90"/>
        <v>16.988160000000001</v>
      </c>
      <c r="J153" s="23">
        <f t="shared" si="103"/>
        <v>17.988160000000001</v>
      </c>
      <c r="K153" s="23">
        <f t="shared" si="101"/>
        <v>18.388160000000003</v>
      </c>
      <c r="L153" s="23">
        <f t="shared" si="92"/>
        <v>17.668160000000007</v>
      </c>
      <c r="M153" s="23">
        <f t="shared" si="93"/>
        <v>20.148160000000001</v>
      </c>
      <c r="N153" s="23">
        <f>(scatterplots_LWG_grazdays_CS!$V$4*$A153+scatterplots_LWG_grazdays_CS!$W$4)/1000</f>
        <v>-0.26474000000000003</v>
      </c>
      <c r="O153" s="23">
        <f t="shared" si="97"/>
        <v>-0.22474000000000002</v>
      </c>
      <c r="P153" s="23">
        <f t="shared" si="97"/>
        <v>-0.18474000000000002</v>
      </c>
      <c r="Q153" s="23">
        <f t="shared" si="97"/>
        <v>-0.14474000000000004</v>
      </c>
      <c r="R153" s="23">
        <f>(scatterplots_LWG_grazdays_CS!$V$4*$A153+scatterplots_LWG_grazdays_CS!$W$4)/1000+R152</f>
        <v>2.3797599999999957</v>
      </c>
      <c r="S153" s="23">
        <f t="shared" si="78"/>
        <v>4.8197599999999978</v>
      </c>
      <c r="T153" s="23">
        <f t="shared" si="79"/>
        <v>7.2597599999999956</v>
      </c>
      <c r="U153" s="23">
        <f t="shared" si="80"/>
        <v>9.6997599999999959</v>
      </c>
      <c r="V153" s="23">
        <f>(scatterplots_LWG_grazdays_CS!$V$5*$A153+scatterplots_LWG_grazdays_CS!$W$5)/1000</f>
        <v>-0.34628000000000009</v>
      </c>
      <c r="W153" s="23">
        <f t="shared" si="98"/>
        <v>-0.30628000000000011</v>
      </c>
      <c r="X153" s="23">
        <f t="shared" si="99"/>
        <v>-0.26628000000000007</v>
      </c>
      <c r="Y153" s="23">
        <f t="shared" si="99"/>
        <v>-0.22628000000000009</v>
      </c>
      <c r="Z153" s="23">
        <f>(scatterplots_LWG_grazdays_CS!$V$5*$A153+scatterplots_LWG_grazdays_CS!$W$5)/1000+Z152</f>
        <v>-3.8172800000000029</v>
      </c>
      <c r="AA153" s="23">
        <f t="shared" si="95"/>
        <v>-1.3772800000000056</v>
      </c>
      <c r="AB153" s="23">
        <f t="shared" si="82"/>
        <v>1.0627199999999959</v>
      </c>
      <c r="AC153" s="23">
        <f t="shared" si="83"/>
        <v>3.5027199999999961</v>
      </c>
      <c r="AD153" s="23">
        <f>(scatterplots_LWG_grazdays_CS!$V$6*$A153+scatterplots_LWG_grazdays_CS!$W$6)/1000</f>
        <v>-0.47614000000000001</v>
      </c>
      <c r="AE153" s="23">
        <f t="shared" si="100"/>
        <v>-0.43614000000000003</v>
      </c>
      <c r="AF153" s="23">
        <f t="shared" si="102"/>
        <v>-0.39613999999999999</v>
      </c>
      <c r="AG153" s="23">
        <f t="shared" si="102"/>
        <v>-0.35614000000000001</v>
      </c>
      <c r="AH153" s="23">
        <f>(scatterplots_LWG_grazdays_CS!$V$6*$A153+scatterplots_LWG_grazdays_CS!$W$6)/1000+AH152</f>
        <v>-13.68663999999999</v>
      </c>
      <c r="AI153" s="23">
        <f t="shared" si="94"/>
        <v>-11.246639999999992</v>
      </c>
      <c r="AJ153" s="23">
        <f t="shared" si="84"/>
        <v>-8.8066399999999909</v>
      </c>
      <c r="AK153" s="23">
        <f t="shared" si="85"/>
        <v>-6.3666399999999914</v>
      </c>
    </row>
    <row r="154" spans="1:37">
      <c r="A154" s="12">
        <v>152</v>
      </c>
      <c r="B154" s="12">
        <v>63</v>
      </c>
      <c r="C154" s="23">
        <f>(scatterplots_LWG_grazdays_CS!$V$3*$A154+scatterplots_LWG_grazdays_CS!$W$3)/1000</f>
        <v>-0.13167999999999996</v>
      </c>
      <c r="D154" s="23">
        <f t="shared" si="96"/>
        <v>-9.1679999999999956E-2</v>
      </c>
      <c r="E154" s="23">
        <f t="shared" si="96"/>
        <v>-5.1679999999999962E-2</v>
      </c>
      <c r="F154" s="23">
        <f t="shared" si="96"/>
        <v>-1.1679999999999968E-2</v>
      </c>
      <c r="G154" s="23">
        <f>(scatterplots_LWG_grazdays_CS!$V$3*$A154+scatterplots_LWG_grazdays_CS!$W$3)/1000+G153</f>
        <v>12.576480000000004</v>
      </c>
      <c r="H154" s="23">
        <f t="shared" si="91"/>
        <v>15.096480000000003</v>
      </c>
      <c r="I154" s="23">
        <f t="shared" si="90"/>
        <v>16.89648</v>
      </c>
      <c r="J154" s="23">
        <f t="shared" si="103"/>
        <v>17.89648</v>
      </c>
      <c r="K154" s="23">
        <f t="shared" si="101"/>
        <v>18.296480000000003</v>
      </c>
      <c r="L154" s="23">
        <f t="shared" si="92"/>
        <v>17.616480000000006</v>
      </c>
      <c r="M154" s="23">
        <f t="shared" si="93"/>
        <v>20.136480000000002</v>
      </c>
      <c r="N154" s="23">
        <f>(scatterplots_LWG_grazdays_CS!$V$4*$A154+scatterplots_LWG_grazdays_CS!$W$4)/1000</f>
        <v>-0.26848</v>
      </c>
      <c r="O154" s="23">
        <f t="shared" si="97"/>
        <v>-0.22847999999999999</v>
      </c>
      <c r="P154" s="23">
        <f t="shared" si="97"/>
        <v>-0.18847999999999998</v>
      </c>
      <c r="Q154" s="23">
        <f t="shared" si="97"/>
        <v>-0.14848</v>
      </c>
      <c r="R154" s="23">
        <f>(scatterplots_LWG_grazdays_CS!$V$4*$A154+scatterplots_LWG_grazdays_CS!$W$4)/1000+R153</f>
        <v>2.1112799999999958</v>
      </c>
      <c r="S154" s="23">
        <f t="shared" si="78"/>
        <v>4.5912799999999976</v>
      </c>
      <c r="T154" s="23">
        <f t="shared" si="79"/>
        <v>7.0712799999999953</v>
      </c>
      <c r="U154" s="23">
        <f t="shared" si="80"/>
        <v>9.5512799999999967</v>
      </c>
      <c r="V154" s="23">
        <f>(scatterplots_LWG_grazdays_CS!$V$5*$A154+scatterplots_LWG_grazdays_CS!$W$5)/1000</f>
        <v>-0.35056000000000004</v>
      </c>
      <c r="W154" s="23">
        <f t="shared" si="98"/>
        <v>-0.31056000000000006</v>
      </c>
      <c r="X154" s="23">
        <f t="shared" si="99"/>
        <v>-0.27056000000000002</v>
      </c>
      <c r="Y154" s="23">
        <f t="shared" si="99"/>
        <v>-0.23056000000000004</v>
      </c>
      <c r="Z154" s="23">
        <f>(scatterplots_LWG_grazdays_CS!$V$5*$A154+scatterplots_LWG_grazdays_CS!$W$5)/1000+Z153</f>
        <v>-4.1678400000000027</v>
      </c>
      <c r="AA154" s="23">
        <f t="shared" si="95"/>
        <v>-1.6878400000000058</v>
      </c>
      <c r="AB154" s="23">
        <f t="shared" si="82"/>
        <v>0.79215999999999587</v>
      </c>
      <c r="AC154" s="23">
        <f t="shared" si="83"/>
        <v>3.272159999999996</v>
      </c>
      <c r="AD154" s="23">
        <f>(scatterplots_LWG_grazdays_CS!$V$6*$A154+scatterplots_LWG_grazdays_CS!$W$6)/1000</f>
        <v>-0.48127999999999999</v>
      </c>
      <c r="AE154" s="23">
        <f t="shared" si="100"/>
        <v>-0.44128000000000001</v>
      </c>
      <c r="AF154" s="23">
        <f t="shared" si="102"/>
        <v>-0.40127999999999997</v>
      </c>
      <c r="AG154" s="23">
        <f t="shared" si="102"/>
        <v>-0.36127999999999999</v>
      </c>
      <c r="AH154" s="23">
        <f>(scatterplots_LWG_grazdays_CS!$V$6*$A154+scatterplots_LWG_grazdays_CS!$W$6)/1000+AH153</f>
        <v>-14.16791999999999</v>
      </c>
      <c r="AI154" s="23">
        <f t="shared" si="94"/>
        <v>-11.687919999999993</v>
      </c>
      <c r="AJ154" s="23">
        <f t="shared" si="84"/>
        <v>-9.2079199999999908</v>
      </c>
      <c r="AK154" s="23">
        <f t="shared" si="85"/>
        <v>-6.7279199999999912</v>
      </c>
    </row>
    <row r="155" spans="1:37">
      <c r="A155" s="12">
        <v>153</v>
      </c>
      <c r="B155" s="12">
        <v>64</v>
      </c>
      <c r="C155" s="23">
        <f>(scatterplots_LWG_grazdays_CS!$V$3*$A155+scatterplots_LWG_grazdays_CS!$W$3)/1000</f>
        <v>-0.13451999999999997</v>
      </c>
      <c r="D155" s="23">
        <f t="shared" si="96"/>
        <v>-9.4519999999999965E-2</v>
      </c>
      <c r="E155" s="23">
        <f t="shared" si="96"/>
        <v>-5.4519999999999971E-2</v>
      </c>
      <c r="F155" s="23">
        <f t="shared" si="96"/>
        <v>-1.4519999999999977E-2</v>
      </c>
      <c r="G155" s="23">
        <f>(scatterplots_LWG_grazdays_CS!$V$3*$A155+scatterplots_LWG_grazdays_CS!$W$3)/1000+G154</f>
        <v>12.441960000000003</v>
      </c>
      <c r="H155" s="23">
        <f t="shared" si="91"/>
        <v>15.001960000000004</v>
      </c>
      <c r="I155" s="23">
        <f t="shared" si="90"/>
        <v>16.801960000000001</v>
      </c>
      <c r="J155" s="23">
        <f t="shared" si="103"/>
        <v>17.801960000000001</v>
      </c>
      <c r="K155" s="23">
        <f t="shared" si="101"/>
        <v>18.201960000000003</v>
      </c>
      <c r="L155" s="23">
        <f t="shared" si="92"/>
        <v>17.561960000000006</v>
      </c>
      <c r="M155" s="23">
        <f t="shared" si="93"/>
        <v>20.121960000000001</v>
      </c>
      <c r="N155" s="23">
        <f>(scatterplots_LWG_grazdays_CS!$V$4*$A155+scatterplots_LWG_grazdays_CS!$W$4)/1000</f>
        <v>-0.27222000000000002</v>
      </c>
      <c r="O155" s="23">
        <f t="shared" si="97"/>
        <v>-0.23222000000000001</v>
      </c>
      <c r="P155" s="23">
        <f t="shared" si="97"/>
        <v>-0.19222</v>
      </c>
      <c r="Q155" s="23">
        <f t="shared" si="97"/>
        <v>-0.15222000000000002</v>
      </c>
      <c r="R155" s="23">
        <f>(scatterplots_LWG_grazdays_CS!$V$4*$A155+scatterplots_LWG_grazdays_CS!$W$4)/1000+R154</f>
        <v>1.8390599999999959</v>
      </c>
      <c r="S155" s="23">
        <f t="shared" si="78"/>
        <v>4.3590599999999977</v>
      </c>
      <c r="T155" s="23">
        <f t="shared" si="79"/>
        <v>6.8790599999999955</v>
      </c>
      <c r="U155" s="23">
        <f t="shared" si="80"/>
        <v>9.3990599999999969</v>
      </c>
      <c r="V155" s="23">
        <f>(scatterplots_LWG_grazdays_CS!$V$5*$A155+scatterplots_LWG_grazdays_CS!$W$5)/1000</f>
        <v>-0.35484000000000004</v>
      </c>
      <c r="W155" s="23">
        <f t="shared" si="98"/>
        <v>-0.31484000000000006</v>
      </c>
      <c r="X155" s="23">
        <f t="shared" si="99"/>
        <v>-0.27484000000000003</v>
      </c>
      <c r="Y155" s="23">
        <f t="shared" si="99"/>
        <v>-0.23484000000000005</v>
      </c>
      <c r="Z155" s="23">
        <f>(scatterplots_LWG_grazdays_CS!$V$5*$A155+scatterplots_LWG_grazdays_CS!$W$5)/1000+Z154</f>
        <v>-4.5226800000000029</v>
      </c>
      <c r="AA155" s="23">
        <f t="shared" si="95"/>
        <v>-2.002680000000006</v>
      </c>
      <c r="AB155" s="23">
        <f t="shared" si="82"/>
        <v>0.51731999999999578</v>
      </c>
      <c r="AC155" s="23">
        <f t="shared" si="83"/>
        <v>3.0373199999999958</v>
      </c>
      <c r="AD155" s="23">
        <f>(scatterplots_LWG_grazdays_CS!$V$6*$A155+scatterplots_LWG_grazdays_CS!$W$6)/1000</f>
        <v>-0.48641999999999996</v>
      </c>
      <c r="AE155" s="23">
        <f t="shared" si="100"/>
        <v>-0.44641999999999998</v>
      </c>
      <c r="AF155" s="23">
        <f t="shared" si="102"/>
        <v>-0.40641999999999995</v>
      </c>
      <c r="AG155" s="23">
        <f t="shared" si="102"/>
        <v>-0.36641999999999997</v>
      </c>
      <c r="AH155" s="23">
        <f>(scatterplots_LWG_grazdays_CS!$V$6*$A155+scatterplots_LWG_grazdays_CS!$W$6)/1000+AH154</f>
        <v>-14.654339999999991</v>
      </c>
      <c r="AI155" s="23">
        <f t="shared" si="94"/>
        <v>-12.134339999999993</v>
      </c>
      <c r="AJ155" s="23">
        <f t="shared" si="84"/>
        <v>-9.6143399999999914</v>
      </c>
      <c r="AK155" s="23">
        <f t="shared" si="85"/>
        <v>-7.094339999999991</v>
      </c>
    </row>
    <row r="156" spans="1:37">
      <c r="A156" s="12">
        <v>154</v>
      </c>
      <c r="B156" s="12">
        <v>65</v>
      </c>
      <c r="C156" s="23">
        <f>(scatterplots_LWG_grazdays_CS!$V$3*$A156+scatterplots_LWG_grazdays_CS!$W$3)/1000</f>
        <v>-0.13735999999999995</v>
      </c>
      <c r="D156" s="23">
        <f t="shared" si="96"/>
        <v>-9.7359999999999947E-2</v>
      </c>
      <c r="E156" s="23">
        <f t="shared" si="96"/>
        <v>-5.7359999999999953E-2</v>
      </c>
      <c r="F156" s="23">
        <f t="shared" si="96"/>
        <v>-1.7359999999999959E-2</v>
      </c>
      <c r="G156" s="23">
        <f>(scatterplots_LWG_grazdays_CS!$V$3*$A156+scatterplots_LWG_grazdays_CS!$W$3)/1000+G155</f>
        <v>12.304600000000004</v>
      </c>
      <c r="H156" s="23">
        <f t="shared" ref="H156:H187" si="104">D156+H155</f>
        <v>14.904600000000004</v>
      </c>
      <c r="I156" s="23">
        <f t="shared" si="90"/>
        <v>16.704600000000003</v>
      </c>
      <c r="J156" s="23">
        <f t="shared" si="103"/>
        <v>17.704600000000003</v>
      </c>
      <c r="K156" s="23">
        <f t="shared" si="101"/>
        <v>18.104600000000005</v>
      </c>
      <c r="L156" s="23">
        <f t="shared" ref="L156:L187" si="105">E156+L155</f>
        <v>17.504600000000007</v>
      </c>
      <c r="M156" s="23">
        <f t="shared" ref="M156:M187" si="106">F156+M155</f>
        <v>20.104600000000001</v>
      </c>
      <c r="N156" s="23">
        <f>(scatterplots_LWG_grazdays_CS!$V$4*$A156+scatterplots_LWG_grazdays_CS!$W$4)/1000</f>
        <v>-0.27596000000000004</v>
      </c>
      <c r="O156" s="23">
        <f t="shared" si="97"/>
        <v>-0.23596000000000003</v>
      </c>
      <c r="P156" s="23">
        <f t="shared" si="97"/>
        <v>-0.19596000000000002</v>
      </c>
      <c r="Q156" s="23">
        <f t="shared" si="97"/>
        <v>-0.15596000000000004</v>
      </c>
      <c r="R156" s="23">
        <f>(scatterplots_LWG_grazdays_CS!$V$4*$A156+scatterplots_LWG_grazdays_CS!$W$4)/1000+R155</f>
        <v>1.5630999999999959</v>
      </c>
      <c r="S156" s="23">
        <f t="shared" si="78"/>
        <v>4.1230999999999973</v>
      </c>
      <c r="T156" s="23">
        <f t="shared" si="79"/>
        <v>6.6830999999999952</v>
      </c>
      <c r="U156" s="23">
        <f t="shared" si="80"/>
        <v>9.2430999999999965</v>
      </c>
      <c r="V156" s="23">
        <f>(scatterplots_LWG_grazdays_CS!$V$5*$A156+scatterplots_LWG_grazdays_CS!$W$5)/1000</f>
        <v>-0.35911999999999999</v>
      </c>
      <c r="W156" s="23">
        <f t="shared" si="98"/>
        <v>-0.31912000000000001</v>
      </c>
      <c r="X156" s="23">
        <f t="shared" si="99"/>
        <v>-0.27911999999999998</v>
      </c>
      <c r="Y156" s="23">
        <f t="shared" si="99"/>
        <v>-0.23912</v>
      </c>
      <c r="Z156" s="23">
        <f>(scatterplots_LWG_grazdays_CS!$V$5*$A156+scatterplots_LWG_grazdays_CS!$W$5)/1000+Z155</f>
        <v>-4.8818000000000028</v>
      </c>
      <c r="AA156" s="23">
        <f t="shared" si="95"/>
        <v>-2.3218000000000059</v>
      </c>
      <c r="AB156" s="23">
        <f t="shared" si="82"/>
        <v>0.2381999999999958</v>
      </c>
      <c r="AC156" s="23">
        <f t="shared" si="83"/>
        <v>2.798199999999996</v>
      </c>
      <c r="AD156" s="23">
        <f>(scatterplots_LWG_grazdays_CS!$V$6*$A156+scatterplots_LWG_grazdays_CS!$W$6)/1000</f>
        <v>-0.49155999999999994</v>
      </c>
      <c r="AE156" s="23">
        <f t="shared" si="100"/>
        <v>-0.45155999999999996</v>
      </c>
      <c r="AF156" s="23">
        <f t="shared" si="102"/>
        <v>-0.41155999999999993</v>
      </c>
      <c r="AG156" s="23">
        <f t="shared" si="102"/>
        <v>-0.37155999999999995</v>
      </c>
      <c r="AH156" s="23">
        <f>(scatterplots_LWG_grazdays_CS!$V$6*$A156+scatterplots_LWG_grazdays_CS!$W$6)/1000+AH155</f>
        <v>-15.14589999999999</v>
      </c>
      <c r="AI156" s="23">
        <f t="shared" si="94"/>
        <v>-12.585899999999993</v>
      </c>
      <c r="AJ156" s="23">
        <f t="shared" si="84"/>
        <v>-10.025899999999991</v>
      </c>
      <c r="AK156" s="23">
        <f t="shared" si="85"/>
        <v>-7.4658999999999907</v>
      </c>
    </row>
    <row r="157" spans="1:37">
      <c r="A157" s="12">
        <v>155</v>
      </c>
      <c r="B157" s="12">
        <v>66</v>
      </c>
      <c r="C157" s="23">
        <f>(scatterplots_LWG_grazdays_CS!$V$3*$A157+scatterplots_LWG_grazdays_CS!$W$3)/1000</f>
        <v>-0.14019999999999999</v>
      </c>
      <c r="D157" s="23">
        <f t="shared" si="96"/>
        <v>-0.10019999999999998</v>
      </c>
      <c r="E157" s="23">
        <f t="shared" si="96"/>
        <v>-6.019999999999999E-2</v>
      </c>
      <c r="F157" s="23">
        <f t="shared" si="96"/>
        <v>-2.0199999999999996E-2</v>
      </c>
      <c r="G157" s="23">
        <f>(scatterplots_LWG_grazdays_CS!$V$3*$A157+scatterplots_LWG_grazdays_CS!$W$3)/1000+G156</f>
        <v>12.164400000000004</v>
      </c>
      <c r="H157" s="23">
        <f t="shared" si="104"/>
        <v>14.804400000000005</v>
      </c>
      <c r="I157" s="23">
        <f t="shared" si="90"/>
        <v>16.604400000000002</v>
      </c>
      <c r="J157" s="23">
        <f t="shared" si="103"/>
        <v>17.604400000000002</v>
      </c>
      <c r="K157" s="23">
        <f t="shared" si="101"/>
        <v>18.004400000000004</v>
      </c>
      <c r="L157" s="23">
        <f t="shared" si="105"/>
        <v>17.444400000000009</v>
      </c>
      <c r="M157" s="23">
        <f t="shared" si="106"/>
        <v>20.084400000000002</v>
      </c>
      <c r="N157" s="23">
        <f>(scatterplots_LWG_grazdays_CS!$V$4*$A157+scatterplots_LWG_grazdays_CS!$W$4)/1000</f>
        <v>-0.27970000000000006</v>
      </c>
      <c r="O157" s="23">
        <f t="shared" si="97"/>
        <v>-0.23970000000000005</v>
      </c>
      <c r="P157" s="23">
        <f t="shared" si="97"/>
        <v>-0.19970000000000004</v>
      </c>
      <c r="Q157" s="23">
        <f t="shared" si="97"/>
        <v>-0.15970000000000006</v>
      </c>
      <c r="R157" s="23">
        <f>(scatterplots_LWG_grazdays_CS!$V$4*$A157+scatterplots_LWG_grazdays_CS!$W$4)/1000+R156</f>
        <v>1.2833999999999959</v>
      </c>
      <c r="S157" s="23">
        <f t="shared" si="78"/>
        <v>3.8833999999999973</v>
      </c>
      <c r="T157" s="23">
        <f t="shared" si="79"/>
        <v>6.4833999999999952</v>
      </c>
      <c r="U157" s="23">
        <f t="shared" si="80"/>
        <v>9.0833999999999957</v>
      </c>
      <c r="V157" s="23">
        <f>(scatterplots_LWG_grazdays_CS!$V$5*$A157+scatterplots_LWG_grazdays_CS!$W$5)/1000</f>
        <v>-0.36340000000000011</v>
      </c>
      <c r="W157" s="23">
        <f t="shared" si="98"/>
        <v>-0.32340000000000013</v>
      </c>
      <c r="X157" s="23">
        <f t="shared" si="99"/>
        <v>-0.2834000000000001</v>
      </c>
      <c r="Y157" s="23">
        <f t="shared" si="99"/>
        <v>-0.24340000000000012</v>
      </c>
      <c r="Z157" s="23">
        <f>(scatterplots_LWG_grazdays_CS!$V$5*$A157+scatterplots_LWG_grazdays_CS!$W$5)/1000+Z156</f>
        <v>-5.2452000000000032</v>
      </c>
      <c r="AA157" s="23">
        <f t="shared" si="95"/>
        <v>-2.6452000000000062</v>
      </c>
      <c r="AB157" s="23">
        <f t="shared" si="82"/>
        <v>-4.5200000000004292E-2</v>
      </c>
      <c r="AC157" s="23">
        <f t="shared" si="83"/>
        <v>2.5547999999999957</v>
      </c>
      <c r="AD157" s="23">
        <f>(scatterplots_LWG_grazdays_CS!$V$6*$A157+scatterplots_LWG_grazdays_CS!$W$6)/1000</f>
        <v>-0.49669999999999992</v>
      </c>
      <c r="AE157" s="23">
        <f t="shared" si="100"/>
        <v>-0.45669999999999994</v>
      </c>
      <c r="AF157" s="23">
        <f t="shared" si="102"/>
        <v>-0.4166999999999999</v>
      </c>
      <c r="AG157" s="23">
        <f t="shared" si="102"/>
        <v>-0.37669999999999992</v>
      </c>
      <c r="AH157" s="23">
        <f>(scatterplots_LWG_grazdays_CS!$V$6*$A157+scatterplots_LWG_grazdays_CS!$W$6)/1000+AH156</f>
        <v>-15.642599999999991</v>
      </c>
      <c r="AI157" s="23">
        <f t="shared" ref="AI157:AI188" si="107">AE157+AI156</f>
        <v>-13.042599999999993</v>
      </c>
      <c r="AJ157" s="23">
        <f t="shared" si="84"/>
        <v>-10.442599999999992</v>
      </c>
      <c r="AK157" s="23">
        <f t="shared" si="85"/>
        <v>-7.8425999999999902</v>
      </c>
    </row>
    <row r="158" spans="1:37">
      <c r="A158" s="12">
        <v>156</v>
      </c>
      <c r="B158" s="12">
        <v>67</v>
      </c>
      <c r="C158" s="23">
        <f>(scatterplots_LWG_grazdays_CS!$V$3*$A158+scatterplots_LWG_grazdays_CS!$W$3)/1000</f>
        <v>-0.14303999999999997</v>
      </c>
      <c r="D158" s="23">
        <f t="shared" si="96"/>
        <v>-0.10303999999999996</v>
      </c>
      <c r="E158" s="23">
        <f t="shared" si="96"/>
        <v>-6.3039999999999971E-2</v>
      </c>
      <c r="F158" s="23">
        <f t="shared" si="96"/>
        <v>-2.3039999999999977E-2</v>
      </c>
      <c r="G158" s="23">
        <f>(scatterplots_LWG_grazdays_CS!$V$3*$A158+scatterplots_LWG_grazdays_CS!$W$3)/1000+G157</f>
        <v>12.021360000000005</v>
      </c>
      <c r="H158" s="23">
        <f t="shared" si="104"/>
        <v>14.701360000000005</v>
      </c>
      <c r="I158" s="23">
        <f t="shared" si="90"/>
        <v>16.501360000000002</v>
      </c>
      <c r="J158" s="23">
        <f t="shared" si="103"/>
        <v>17.501360000000002</v>
      </c>
      <c r="K158" s="23">
        <f t="shared" si="101"/>
        <v>17.901360000000004</v>
      </c>
      <c r="L158" s="23">
        <f t="shared" si="105"/>
        <v>17.381360000000008</v>
      </c>
      <c r="M158" s="23">
        <f t="shared" si="106"/>
        <v>20.061360000000001</v>
      </c>
      <c r="N158" s="23">
        <f>(scatterplots_LWG_grazdays_CS!$V$4*$A158+scatterplots_LWG_grazdays_CS!$W$4)/1000</f>
        <v>-0.28344000000000008</v>
      </c>
      <c r="O158" s="23">
        <f t="shared" si="97"/>
        <v>-0.24344000000000007</v>
      </c>
      <c r="P158" s="23">
        <f t="shared" si="97"/>
        <v>-0.20344000000000007</v>
      </c>
      <c r="Q158" s="23">
        <f t="shared" si="97"/>
        <v>-0.16344000000000009</v>
      </c>
      <c r="R158" s="23">
        <f>(scatterplots_LWG_grazdays_CS!$V$4*$A158+scatterplots_LWG_grazdays_CS!$W$4)/1000+R157</f>
        <v>0.99995999999999574</v>
      </c>
      <c r="S158" s="23">
        <f t="shared" ref="S158:S202" si="108">O158+S157</f>
        <v>3.6399599999999972</v>
      </c>
      <c r="T158" s="23">
        <f t="shared" ref="T158:T202" si="109">P158+T157</f>
        <v>6.2799599999999955</v>
      </c>
      <c r="U158" s="23">
        <f t="shared" ref="U158:U202" si="110">Q158+U157</f>
        <v>8.9199599999999961</v>
      </c>
      <c r="V158" s="23">
        <f>(scatterplots_LWG_grazdays_CS!$V$5*$A158+scatterplots_LWG_grazdays_CS!$W$5)/1000</f>
        <v>-0.36768000000000006</v>
      </c>
      <c r="W158" s="23">
        <f t="shared" si="98"/>
        <v>-0.32768000000000008</v>
      </c>
      <c r="X158" s="23">
        <f t="shared" si="99"/>
        <v>-0.28768000000000005</v>
      </c>
      <c r="Y158" s="23">
        <f t="shared" si="99"/>
        <v>-0.24768000000000007</v>
      </c>
      <c r="Z158" s="23">
        <f>(scatterplots_LWG_grazdays_CS!$V$5*$A158+scatterplots_LWG_grazdays_CS!$W$5)/1000+Z157</f>
        <v>-5.6128800000000032</v>
      </c>
      <c r="AA158" s="23">
        <f t="shared" ref="AA158:AA189" si="111">AA157+W158</f>
        <v>-2.9728800000000062</v>
      </c>
      <c r="AB158" s="23">
        <f t="shared" ref="AB158:AB202" si="112">AB157+X158</f>
        <v>-0.33288000000000434</v>
      </c>
      <c r="AC158" s="23">
        <f t="shared" ref="AC158:AC202" si="113">AC157+Y158</f>
        <v>2.3071199999999958</v>
      </c>
      <c r="AD158" s="23">
        <f>(scatterplots_LWG_grazdays_CS!$V$6*$A158+scatterplots_LWG_grazdays_CS!$W$6)/1000</f>
        <v>-0.50183999999999995</v>
      </c>
      <c r="AE158" s="23">
        <f t="shared" si="100"/>
        <v>-0.46183999999999997</v>
      </c>
      <c r="AF158" s="23">
        <f t="shared" si="102"/>
        <v>-0.42183999999999994</v>
      </c>
      <c r="AG158" s="23">
        <f t="shared" si="102"/>
        <v>-0.38183999999999996</v>
      </c>
      <c r="AH158" s="23">
        <f>(scatterplots_LWG_grazdays_CS!$V$6*$A158+scatterplots_LWG_grazdays_CS!$W$6)/1000+AH157</f>
        <v>-16.144439999999992</v>
      </c>
      <c r="AI158" s="23">
        <f t="shared" si="107"/>
        <v>-13.504439999999994</v>
      </c>
      <c r="AJ158" s="23">
        <f t="shared" ref="AJ158:AJ202" si="114">AF158+AJ157</f>
        <v>-10.864439999999991</v>
      </c>
      <c r="AK158" s="23">
        <f t="shared" ref="AK158:AK202" si="115">AG158+AK157</f>
        <v>-8.2244399999999906</v>
      </c>
    </row>
    <row r="159" spans="1:37">
      <c r="A159" s="12">
        <v>157</v>
      </c>
      <c r="B159" s="12">
        <v>68</v>
      </c>
      <c r="C159" s="23">
        <f>(scatterplots_LWG_grazdays_CS!$V$3*$A159+scatterplots_LWG_grazdays_CS!$W$3)/1000</f>
        <v>-0.14587999999999998</v>
      </c>
      <c r="D159" s="23">
        <f t="shared" si="96"/>
        <v>-0.10587999999999997</v>
      </c>
      <c r="E159" s="23">
        <f t="shared" si="96"/>
        <v>-6.587999999999998E-2</v>
      </c>
      <c r="F159" s="23">
        <f t="shared" si="96"/>
        <v>-2.5879999999999986E-2</v>
      </c>
      <c r="G159" s="23">
        <f>(scatterplots_LWG_grazdays_CS!$V$3*$A159+scatterplots_LWG_grazdays_CS!$W$3)/1000+G158</f>
        <v>11.875480000000005</v>
      </c>
      <c r="H159" s="23">
        <f t="shared" si="104"/>
        <v>14.595480000000006</v>
      </c>
      <c r="I159" s="23">
        <f t="shared" si="90"/>
        <v>16.395480000000003</v>
      </c>
      <c r="J159" s="23">
        <f t="shared" si="103"/>
        <v>17.395480000000003</v>
      </c>
      <c r="K159" s="23">
        <f t="shared" si="101"/>
        <v>17.795480000000005</v>
      </c>
      <c r="L159" s="23">
        <f t="shared" si="105"/>
        <v>17.315480000000008</v>
      </c>
      <c r="M159" s="23">
        <f t="shared" si="106"/>
        <v>20.03548</v>
      </c>
      <c r="N159" s="23">
        <f>(scatterplots_LWG_grazdays_CS!$V$4*$A159+scatterplots_LWG_grazdays_CS!$W$4)/1000</f>
        <v>-0.28718000000000005</v>
      </c>
      <c r="O159" s="23">
        <f t="shared" si="97"/>
        <v>-0.24718000000000004</v>
      </c>
      <c r="P159" s="23">
        <f t="shared" si="97"/>
        <v>-0.20718000000000003</v>
      </c>
      <c r="Q159" s="23">
        <f t="shared" si="97"/>
        <v>-0.16718000000000005</v>
      </c>
      <c r="R159" s="23">
        <f>(scatterplots_LWG_grazdays_CS!$V$4*$A159+scatterplots_LWG_grazdays_CS!$W$4)/1000+R158</f>
        <v>0.71277999999999575</v>
      </c>
      <c r="S159" s="23">
        <f t="shared" si="108"/>
        <v>3.392779999999997</v>
      </c>
      <c r="T159" s="23">
        <f t="shared" si="109"/>
        <v>6.0727799999999954</v>
      </c>
      <c r="U159" s="23">
        <f t="shared" si="110"/>
        <v>8.752779999999996</v>
      </c>
      <c r="V159" s="23">
        <f>(scatterplots_LWG_grazdays_CS!$V$5*$A159+scatterplots_LWG_grazdays_CS!$W$5)/1000</f>
        <v>-0.37196000000000001</v>
      </c>
      <c r="W159" s="23">
        <f t="shared" si="98"/>
        <v>-0.33196000000000003</v>
      </c>
      <c r="X159" s="23">
        <f t="shared" si="99"/>
        <v>-0.29196</v>
      </c>
      <c r="Y159" s="23">
        <f t="shared" si="99"/>
        <v>-0.25196000000000002</v>
      </c>
      <c r="Z159" s="23">
        <f>(scatterplots_LWG_grazdays_CS!$V$5*$A159+scatterplots_LWG_grazdays_CS!$W$5)/1000+Z158</f>
        <v>-5.9848400000000028</v>
      </c>
      <c r="AA159" s="23">
        <f t="shared" si="111"/>
        <v>-3.3048400000000062</v>
      </c>
      <c r="AB159" s="23">
        <f t="shared" si="112"/>
        <v>-0.62484000000000428</v>
      </c>
      <c r="AC159" s="23">
        <f t="shared" si="113"/>
        <v>2.0551599999999959</v>
      </c>
      <c r="AD159" s="23">
        <f>(scatterplots_LWG_grazdays_CS!$V$6*$A159+scatterplots_LWG_grazdays_CS!$W$6)/1000</f>
        <v>-0.50697999999999988</v>
      </c>
      <c r="AE159" s="23">
        <f t="shared" si="100"/>
        <v>-0.4669799999999999</v>
      </c>
      <c r="AF159" s="23">
        <f t="shared" si="102"/>
        <v>-0.42697999999999986</v>
      </c>
      <c r="AG159" s="23">
        <f t="shared" si="102"/>
        <v>-0.38697999999999988</v>
      </c>
      <c r="AH159" s="23">
        <f>(scatterplots_LWG_grazdays_CS!$V$6*$A159+scatterplots_LWG_grazdays_CS!$W$6)/1000+AH158</f>
        <v>-16.651419999999991</v>
      </c>
      <c r="AI159" s="23">
        <f t="shared" si="107"/>
        <v>-13.971419999999993</v>
      </c>
      <c r="AJ159" s="23">
        <f t="shared" si="114"/>
        <v>-11.291419999999992</v>
      </c>
      <c r="AK159" s="23">
        <f t="shared" si="115"/>
        <v>-8.6114199999999901</v>
      </c>
    </row>
    <row r="160" spans="1:37">
      <c r="A160" s="12">
        <v>158</v>
      </c>
      <c r="B160" s="12">
        <v>69</v>
      </c>
      <c r="C160" s="23">
        <f>(scatterplots_LWG_grazdays_CS!$V$3*$A160+scatterplots_LWG_grazdays_CS!$W$3)/1000</f>
        <v>-0.14871999999999996</v>
      </c>
      <c r="D160" s="23">
        <f t="shared" si="96"/>
        <v>-0.10871999999999996</v>
      </c>
      <c r="E160" s="23">
        <f t="shared" si="96"/>
        <v>-6.8719999999999962E-2</v>
      </c>
      <c r="F160" s="23">
        <f t="shared" si="96"/>
        <v>-2.8719999999999968E-2</v>
      </c>
      <c r="G160" s="23">
        <f>(scatterplots_LWG_grazdays_CS!$V$3*$A160+scatterplots_LWG_grazdays_CS!$W$3)/1000+G159</f>
        <v>11.726760000000006</v>
      </c>
      <c r="H160" s="23">
        <f t="shared" si="104"/>
        <v>14.486760000000006</v>
      </c>
      <c r="I160" s="23">
        <f t="shared" si="90"/>
        <v>16.286760000000001</v>
      </c>
      <c r="J160" s="23">
        <f t="shared" si="103"/>
        <v>17.286760000000001</v>
      </c>
      <c r="K160" s="23">
        <f t="shared" si="101"/>
        <v>17.686760000000003</v>
      </c>
      <c r="L160" s="23">
        <f t="shared" si="105"/>
        <v>17.246760000000009</v>
      </c>
      <c r="M160" s="23">
        <f t="shared" si="106"/>
        <v>20.00676</v>
      </c>
      <c r="N160" s="23">
        <f>(scatterplots_LWG_grazdays_CS!$V$4*$A160+scatterplots_LWG_grazdays_CS!$W$4)/1000</f>
        <v>-0.29092000000000007</v>
      </c>
      <c r="O160" s="23">
        <f t="shared" si="97"/>
        <v>-0.25092000000000009</v>
      </c>
      <c r="P160" s="23">
        <f t="shared" si="97"/>
        <v>-0.21092000000000005</v>
      </c>
      <c r="Q160" s="23">
        <f t="shared" si="97"/>
        <v>-0.17092000000000007</v>
      </c>
      <c r="R160" s="23">
        <f>(scatterplots_LWG_grazdays_CS!$V$4*$A160+scatterplots_LWG_grazdays_CS!$W$4)/1000+R159</f>
        <v>0.42185999999999568</v>
      </c>
      <c r="S160" s="23">
        <f t="shared" si="108"/>
        <v>3.1418599999999968</v>
      </c>
      <c r="T160" s="23">
        <f t="shared" si="109"/>
        <v>5.8618599999999956</v>
      </c>
      <c r="U160" s="23">
        <f t="shared" si="110"/>
        <v>8.5818599999999954</v>
      </c>
      <c r="V160" s="23">
        <f>(scatterplots_LWG_grazdays_CS!$V$5*$A160+scatterplots_LWG_grazdays_CS!$W$5)/1000</f>
        <v>-0.37624000000000002</v>
      </c>
      <c r="W160" s="23">
        <f t="shared" si="98"/>
        <v>-0.33624000000000004</v>
      </c>
      <c r="X160" s="23">
        <f t="shared" si="99"/>
        <v>-0.29624</v>
      </c>
      <c r="Y160" s="23">
        <f t="shared" si="99"/>
        <v>-0.25624000000000002</v>
      </c>
      <c r="Z160" s="23">
        <f>(scatterplots_LWG_grazdays_CS!$V$5*$A160+scatterplots_LWG_grazdays_CS!$W$5)/1000+Z159</f>
        <v>-6.361080000000003</v>
      </c>
      <c r="AA160" s="23">
        <f t="shared" si="111"/>
        <v>-3.6410800000000063</v>
      </c>
      <c r="AB160" s="23">
        <f t="shared" si="112"/>
        <v>-0.92108000000000434</v>
      </c>
      <c r="AC160" s="23">
        <f t="shared" si="113"/>
        <v>1.7989199999999959</v>
      </c>
      <c r="AD160" s="23">
        <f>(scatterplots_LWG_grazdays_CS!$V$6*$A160+scatterplots_LWG_grazdays_CS!$W$6)/1000</f>
        <v>-0.51212000000000002</v>
      </c>
      <c r="AE160" s="23">
        <f t="shared" si="100"/>
        <v>-0.47212000000000004</v>
      </c>
      <c r="AF160" s="23">
        <f t="shared" si="102"/>
        <v>-0.43212</v>
      </c>
      <c r="AG160" s="23">
        <f t="shared" si="102"/>
        <v>-0.39212000000000002</v>
      </c>
      <c r="AH160" s="23">
        <f>(scatterplots_LWG_grazdays_CS!$V$6*$A160+scatterplots_LWG_grazdays_CS!$W$6)/1000+AH159</f>
        <v>-17.16353999999999</v>
      </c>
      <c r="AI160" s="23">
        <f t="shared" si="107"/>
        <v>-14.443539999999993</v>
      </c>
      <c r="AJ160" s="23">
        <f t="shared" si="114"/>
        <v>-11.723539999999991</v>
      </c>
      <c r="AK160" s="23">
        <f t="shared" si="115"/>
        <v>-9.0035399999999903</v>
      </c>
    </row>
    <row r="161" spans="1:37">
      <c r="A161" s="12">
        <v>159</v>
      </c>
      <c r="B161" s="12">
        <v>70</v>
      </c>
      <c r="C161" s="23">
        <f>(scatterplots_LWG_grazdays_CS!$V$3*$A161+scatterplots_LWG_grazdays_CS!$W$3)/1000</f>
        <v>-0.15156</v>
      </c>
      <c r="D161" s="23">
        <f t="shared" si="96"/>
        <v>-0.11155999999999999</v>
      </c>
      <c r="E161" s="23">
        <f t="shared" si="96"/>
        <v>-7.1559999999999999E-2</v>
      </c>
      <c r="F161" s="23">
        <f t="shared" si="96"/>
        <v>-3.1560000000000005E-2</v>
      </c>
      <c r="G161" s="23">
        <f>(scatterplots_LWG_grazdays_CS!$V$3*$A161+scatterplots_LWG_grazdays_CS!$W$3)/1000+G160</f>
        <v>11.575200000000006</v>
      </c>
      <c r="H161" s="23">
        <f t="shared" si="104"/>
        <v>14.375200000000005</v>
      </c>
      <c r="I161" s="23">
        <f t="shared" si="90"/>
        <v>16.1752</v>
      </c>
      <c r="J161" s="23">
        <f t="shared" si="103"/>
        <v>17.1752</v>
      </c>
      <c r="K161" s="23">
        <f t="shared" si="101"/>
        <v>17.575200000000002</v>
      </c>
      <c r="L161" s="23">
        <f t="shared" si="105"/>
        <v>17.175200000000007</v>
      </c>
      <c r="M161" s="23">
        <f t="shared" si="106"/>
        <v>19.975200000000001</v>
      </c>
      <c r="N161" s="23">
        <f>(scatterplots_LWG_grazdays_CS!$V$4*$A161+scatterplots_LWG_grazdays_CS!$W$4)/1000</f>
        <v>-0.29466000000000009</v>
      </c>
      <c r="O161" s="23">
        <f t="shared" si="97"/>
        <v>-0.25466000000000011</v>
      </c>
      <c r="P161" s="23">
        <f t="shared" si="97"/>
        <v>-0.21466000000000007</v>
      </c>
      <c r="Q161" s="23">
        <f t="shared" si="97"/>
        <v>-0.17466000000000009</v>
      </c>
      <c r="R161" s="23">
        <f>(scatterplots_LWG_grazdays_CS!$V$4*$A161+scatterplots_LWG_grazdays_CS!$W$4)/1000+R160</f>
        <v>0.12719999999999559</v>
      </c>
      <c r="S161" s="23">
        <f t="shared" si="108"/>
        <v>2.8871999999999964</v>
      </c>
      <c r="T161" s="23">
        <f t="shared" si="109"/>
        <v>5.6471999999999953</v>
      </c>
      <c r="U161" s="23">
        <f t="shared" si="110"/>
        <v>8.407199999999996</v>
      </c>
      <c r="V161" s="23">
        <f>(scatterplots_LWG_grazdays_CS!$V$5*$A161+scatterplots_LWG_grazdays_CS!$W$5)/1000</f>
        <v>-0.38052000000000008</v>
      </c>
      <c r="W161" s="23">
        <f t="shared" si="98"/>
        <v>-0.3405200000000001</v>
      </c>
      <c r="X161" s="23">
        <f t="shared" si="99"/>
        <v>-0.30052000000000006</v>
      </c>
      <c r="Y161" s="23">
        <f t="shared" si="99"/>
        <v>-0.26052000000000008</v>
      </c>
      <c r="Z161" s="23">
        <f>(scatterplots_LWG_grazdays_CS!$V$5*$A161+scatterplots_LWG_grazdays_CS!$W$5)/1000+Z160</f>
        <v>-6.7416000000000027</v>
      </c>
      <c r="AA161" s="23">
        <f t="shared" si="111"/>
        <v>-3.9816000000000065</v>
      </c>
      <c r="AB161" s="23">
        <f t="shared" si="112"/>
        <v>-1.2216000000000045</v>
      </c>
      <c r="AC161" s="23">
        <f t="shared" si="113"/>
        <v>1.5383999999999958</v>
      </c>
      <c r="AD161" s="23">
        <f>(scatterplots_LWG_grazdays_CS!$V$6*$A161+scatterplots_LWG_grazdays_CS!$W$6)/1000</f>
        <v>-0.51725999999999994</v>
      </c>
      <c r="AE161" s="23">
        <f t="shared" si="100"/>
        <v>-0.47725999999999996</v>
      </c>
      <c r="AF161" s="23">
        <f t="shared" si="102"/>
        <v>-0.43725999999999993</v>
      </c>
      <c r="AG161" s="23">
        <f t="shared" si="102"/>
        <v>-0.39725999999999995</v>
      </c>
      <c r="AH161" s="23">
        <f>(scatterplots_LWG_grazdays_CS!$V$6*$A161+scatterplots_LWG_grazdays_CS!$W$6)/1000+AH160</f>
        <v>-17.680799999999991</v>
      </c>
      <c r="AI161" s="23">
        <f t="shared" si="107"/>
        <v>-14.920799999999993</v>
      </c>
      <c r="AJ161" s="23">
        <f t="shared" si="114"/>
        <v>-12.160799999999991</v>
      </c>
      <c r="AK161" s="23">
        <f t="shared" si="115"/>
        <v>-9.4007999999999896</v>
      </c>
    </row>
    <row r="162" spans="1:37">
      <c r="A162" s="12">
        <v>160</v>
      </c>
      <c r="B162" s="12">
        <v>71</v>
      </c>
      <c r="C162" s="23">
        <f>(scatterplots_LWG_grazdays_CS!$V$3*$A162+scatterplots_LWG_grazdays_CS!$W$3)/1000</f>
        <v>-0.15439999999999998</v>
      </c>
      <c r="D162" s="23">
        <f t="shared" si="96"/>
        <v>-0.11439999999999997</v>
      </c>
      <c r="E162" s="23">
        <f t="shared" si="96"/>
        <v>-7.439999999999998E-2</v>
      </c>
      <c r="F162" s="23">
        <f t="shared" si="96"/>
        <v>-3.4399999999999986E-2</v>
      </c>
      <c r="G162" s="23">
        <f>(scatterplots_LWG_grazdays_CS!$V$3*$A162+scatterplots_LWG_grazdays_CS!$W$3)/1000+G161</f>
        <v>11.420800000000005</v>
      </c>
      <c r="H162" s="23">
        <f t="shared" si="104"/>
        <v>14.260800000000005</v>
      </c>
      <c r="I162" s="23">
        <f t="shared" si="90"/>
        <v>16.0608</v>
      </c>
      <c r="J162" s="23">
        <f t="shared" si="103"/>
        <v>17.0608</v>
      </c>
      <c r="K162" s="23">
        <f t="shared" si="101"/>
        <v>17.460800000000003</v>
      </c>
      <c r="L162" s="23">
        <f t="shared" si="105"/>
        <v>17.100800000000007</v>
      </c>
      <c r="M162" s="23">
        <f t="shared" si="106"/>
        <v>19.940799999999999</v>
      </c>
      <c r="N162" s="23">
        <f>(scatterplots_LWG_grazdays_CS!$V$4*$A162+scatterplots_LWG_grazdays_CS!$W$4)/1000</f>
        <v>-0.29840000000000011</v>
      </c>
      <c r="O162" s="23">
        <f t="shared" si="97"/>
        <v>-0.25840000000000013</v>
      </c>
      <c r="P162" s="23">
        <f t="shared" si="97"/>
        <v>-0.21840000000000009</v>
      </c>
      <c r="Q162" s="23">
        <f t="shared" si="97"/>
        <v>-0.17840000000000011</v>
      </c>
      <c r="R162" s="23">
        <f>(scatterplots_LWG_grazdays_CS!$V$4*$A162+scatterplots_LWG_grazdays_CS!$W$4)/1000+R161</f>
        <v>-0.17120000000000452</v>
      </c>
      <c r="S162" s="23">
        <f t="shared" si="108"/>
        <v>2.6287999999999965</v>
      </c>
      <c r="T162" s="23">
        <f t="shared" si="109"/>
        <v>5.4287999999999954</v>
      </c>
      <c r="U162" s="23">
        <f t="shared" si="110"/>
        <v>8.2287999999999961</v>
      </c>
      <c r="V162" s="23">
        <f>(scatterplots_LWG_grazdays_CS!$V$5*$A162+scatterplots_LWG_grazdays_CS!$W$5)/1000</f>
        <v>-0.38480000000000009</v>
      </c>
      <c r="W162" s="23">
        <f t="shared" si="98"/>
        <v>-0.34480000000000011</v>
      </c>
      <c r="X162" s="23">
        <f t="shared" si="99"/>
        <v>-0.30480000000000007</v>
      </c>
      <c r="Y162" s="23">
        <f t="shared" si="99"/>
        <v>-0.26480000000000009</v>
      </c>
      <c r="Z162" s="23">
        <f>(scatterplots_LWG_grazdays_CS!$V$5*$A162+scatterplots_LWG_grazdays_CS!$W$5)/1000+Z161</f>
        <v>-7.126400000000003</v>
      </c>
      <c r="AA162" s="23">
        <f t="shared" si="111"/>
        <v>-4.3264000000000067</v>
      </c>
      <c r="AB162" s="23">
        <f t="shared" si="112"/>
        <v>-1.5264000000000046</v>
      </c>
      <c r="AC162" s="23">
        <f t="shared" si="113"/>
        <v>1.2735999999999956</v>
      </c>
      <c r="AD162" s="23">
        <f>(scatterplots_LWG_grazdays_CS!$V$6*$A162+scatterplots_LWG_grazdays_CS!$W$6)/1000</f>
        <v>-0.52239999999999998</v>
      </c>
      <c r="AE162" s="23">
        <f t="shared" si="100"/>
        <v>-0.4824</v>
      </c>
      <c r="AF162" s="23">
        <f t="shared" si="102"/>
        <v>-0.44239999999999996</v>
      </c>
      <c r="AG162" s="23">
        <f t="shared" si="102"/>
        <v>-0.40239999999999998</v>
      </c>
      <c r="AH162" s="23">
        <f>(scatterplots_LWG_grazdays_CS!$V$6*$A162+scatterplots_LWG_grazdays_CS!$W$6)/1000+AH161</f>
        <v>-18.203199999999992</v>
      </c>
      <c r="AI162" s="23">
        <f t="shared" si="107"/>
        <v>-15.403199999999993</v>
      </c>
      <c r="AJ162" s="23">
        <f t="shared" si="114"/>
        <v>-12.60319999999999</v>
      </c>
      <c r="AK162" s="23">
        <f t="shared" si="115"/>
        <v>-9.8031999999999897</v>
      </c>
    </row>
    <row r="163" spans="1:37">
      <c r="A163" s="12">
        <v>161</v>
      </c>
      <c r="B163" s="12">
        <v>72</v>
      </c>
      <c r="C163" s="23">
        <f>(scatterplots_LWG_grazdays_CS!$V$3*$A163+scatterplots_LWG_grazdays_CS!$W$3)/1000</f>
        <v>-0.15723999999999996</v>
      </c>
      <c r="D163" s="23">
        <f t="shared" si="96"/>
        <v>-0.11723999999999996</v>
      </c>
      <c r="E163" s="23">
        <f t="shared" si="96"/>
        <v>-7.7239999999999961E-2</v>
      </c>
      <c r="F163" s="23">
        <f t="shared" si="96"/>
        <v>-3.7239999999999968E-2</v>
      </c>
      <c r="G163" s="23">
        <f>(scatterplots_LWG_grazdays_CS!$V$3*$A163+scatterplots_LWG_grazdays_CS!$W$3)/1000+G162</f>
        <v>11.263560000000005</v>
      </c>
      <c r="H163" s="23">
        <f t="shared" si="104"/>
        <v>14.143560000000004</v>
      </c>
      <c r="I163" s="23">
        <f t="shared" si="90"/>
        <v>15.94356</v>
      </c>
      <c r="J163" s="23">
        <f t="shared" si="103"/>
        <v>16.943560000000002</v>
      </c>
      <c r="K163" s="23">
        <f t="shared" si="101"/>
        <v>17.343560000000004</v>
      </c>
      <c r="L163" s="23">
        <f t="shared" si="105"/>
        <v>17.023560000000007</v>
      </c>
      <c r="M163" s="23">
        <f t="shared" si="106"/>
        <v>19.903559999999999</v>
      </c>
      <c r="N163" s="23">
        <f>(scatterplots_LWG_grazdays_CS!$V$4*$A163+scatterplots_LWG_grazdays_CS!$W$4)/1000</f>
        <v>-0.30213999999999996</v>
      </c>
      <c r="O163" s="23">
        <f t="shared" si="97"/>
        <v>-0.26213999999999998</v>
      </c>
      <c r="P163" s="23">
        <f t="shared" si="97"/>
        <v>-0.22213999999999995</v>
      </c>
      <c r="Q163" s="23">
        <f t="shared" si="97"/>
        <v>-0.18213999999999997</v>
      </c>
      <c r="R163" s="23">
        <f>(scatterplots_LWG_grazdays_CS!$V$4*$A163+scatterplots_LWG_grazdays_CS!$W$4)/1000+R162</f>
        <v>-0.47334000000000448</v>
      </c>
      <c r="S163" s="23">
        <f t="shared" si="108"/>
        <v>2.3666599999999964</v>
      </c>
      <c r="T163" s="23">
        <f t="shared" si="109"/>
        <v>5.2066599999999958</v>
      </c>
      <c r="U163" s="23">
        <f t="shared" si="110"/>
        <v>8.0466599999999957</v>
      </c>
      <c r="V163" s="23">
        <f>(scatterplots_LWG_grazdays_CS!$V$5*$A163+scatterplots_LWG_grazdays_CS!$W$5)/1000</f>
        <v>-0.38908000000000004</v>
      </c>
      <c r="W163" s="23">
        <f t="shared" si="98"/>
        <v>-0.34908000000000006</v>
      </c>
      <c r="X163" s="23">
        <f t="shared" si="99"/>
        <v>-0.30908000000000002</v>
      </c>
      <c r="Y163" s="23">
        <f t="shared" si="99"/>
        <v>-0.26908000000000004</v>
      </c>
      <c r="Z163" s="23">
        <f>(scatterplots_LWG_grazdays_CS!$V$5*$A163+scatterplots_LWG_grazdays_CS!$W$5)/1000+Z162</f>
        <v>-7.5154800000000028</v>
      </c>
      <c r="AA163" s="23">
        <f t="shared" si="111"/>
        <v>-4.6754800000000065</v>
      </c>
      <c r="AB163" s="23">
        <f t="shared" si="112"/>
        <v>-1.8354800000000047</v>
      </c>
      <c r="AC163" s="23">
        <f t="shared" si="113"/>
        <v>1.0045199999999956</v>
      </c>
      <c r="AD163" s="23">
        <f>(scatterplots_LWG_grazdays_CS!$V$6*$A163+scatterplots_LWG_grazdays_CS!$W$6)/1000</f>
        <v>-0.52754000000000001</v>
      </c>
      <c r="AE163" s="23">
        <f t="shared" si="100"/>
        <v>-0.48754000000000003</v>
      </c>
      <c r="AF163" s="23">
        <f t="shared" si="102"/>
        <v>-0.44753999999999999</v>
      </c>
      <c r="AG163" s="23">
        <f t="shared" si="102"/>
        <v>-0.40754000000000001</v>
      </c>
      <c r="AH163" s="23">
        <f>(scatterplots_LWG_grazdays_CS!$V$6*$A163+scatterplots_LWG_grazdays_CS!$W$6)/1000+AH162</f>
        <v>-18.73073999999999</v>
      </c>
      <c r="AI163" s="23">
        <f t="shared" si="107"/>
        <v>-15.890739999999992</v>
      </c>
      <c r="AJ163" s="23">
        <f t="shared" si="114"/>
        <v>-13.05073999999999</v>
      </c>
      <c r="AK163" s="23">
        <f t="shared" si="115"/>
        <v>-10.210739999999991</v>
      </c>
    </row>
    <row r="164" spans="1:37">
      <c r="A164" s="12">
        <v>162</v>
      </c>
      <c r="B164" s="12">
        <v>73</v>
      </c>
      <c r="C164" s="23">
        <f>(scatterplots_LWG_grazdays_CS!$V$3*$A164+scatterplots_LWG_grazdays_CS!$W$3)/1000</f>
        <v>-0.16007999999999997</v>
      </c>
      <c r="D164" s="23">
        <f t="shared" ref="D164:F202" si="116">$C164+D$1/1000</f>
        <v>-0.12007999999999996</v>
      </c>
      <c r="E164" s="23">
        <f t="shared" si="116"/>
        <v>-8.0079999999999971E-2</v>
      </c>
      <c r="F164" s="23">
        <f t="shared" si="116"/>
        <v>-4.0079999999999977E-2</v>
      </c>
      <c r="G164" s="23">
        <f>(scatterplots_LWG_grazdays_CS!$V$3*$A164+scatterplots_LWG_grazdays_CS!$W$3)/1000+G163</f>
        <v>11.103480000000005</v>
      </c>
      <c r="H164" s="23">
        <f t="shared" si="104"/>
        <v>14.023480000000005</v>
      </c>
      <c r="I164" s="23">
        <f t="shared" si="90"/>
        <v>15.82348</v>
      </c>
      <c r="J164" s="23">
        <f t="shared" si="103"/>
        <v>16.82348</v>
      </c>
      <c r="K164" s="23">
        <f t="shared" si="101"/>
        <v>17.223480000000002</v>
      </c>
      <c r="L164" s="23">
        <f t="shared" si="105"/>
        <v>16.943480000000008</v>
      </c>
      <c r="M164" s="23">
        <f t="shared" si="106"/>
        <v>19.863479999999999</v>
      </c>
      <c r="N164" s="23">
        <f>(scatterplots_LWG_grazdays_CS!$V$4*$A164+scatterplots_LWG_grazdays_CS!$W$4)/1000</f>
        <v>-0.30587999999999999</v>
      </c>
      <c r="O164" s="23">
        <f t="shared" si="97"/>
        <v>-0.26588000000000001</v>
      </c>
      <c r="P164" s="23">
        <f t="shared" si="97"/>
        <v>-0.22587999999999997</v>
      </c>
      <c r="Q164" s="23">
        <f t="shared" si="97"/>
        <v>-0.18587999999999999</v>
      </c>
      <c r="R164" s="23">
        <f>(scatterplots_LWG_grazdays_CS!$V$4*$A164+scatterplots_LWG_grazdays_CS!$W$4)/1000+R163</f>
        <v>-0.77922000000000446</v>
      </c>
      <c r="S164" s="23">
        <f t="shared" si="108"/>
        <v>2.1007799999999963</v>
      </c>
      <c r="T164" s="23">
        <f t="shared" si="109"/>
        <v>4.9807799999999958</v>
      </c>
      <c r="U164" s="23">
        <f t="shared" si="110"/>
        <v>7.8607799999999957</v>
      </c>
      <c r="V164" s="23">
        <f>(scatterplots_LWG_grazdays_CS!$V$5*$A164+scatterplots_LWG_grazdays_CS!$W$5)/1000</f>
        <v>-0.39335999999999999</v>
      </c>
      <c r="W164" s="23">
        <f t="shared" si="98"/>
        <v>-0.35336000000000001</v>
      </c>
      <c r="X164" s="23">
        <f t="shared" ref="X164:Y202" si="117">$V164+X$1/1000</f>
        <v>-0.31335999999999997</v>
      </c>
      <c r="Y164" s="23">
        <f t="shared" si="117"/>
        <v>-0.27335999999999999</v>
      </c>
      <c r="Z164" s="23">
        <f>(scatterplots_LWG_grazdays_CS!$V$5*$A164+scatterplots_LWG_grazdays_CS!$W$5)/1000+Z163</f>
        <v>-7.9088400000000032</v>
      </c>
      <c r="AA164" s="23">
        <f t="shared" si="111"/>
        <v>-5.0288400000000069</v>
      </c>
      <c r="AB164" s="23">
        <f t="shared" si="112"/>
        <v>-2.1488400000000047</v>
      </c>
      <c r="AC164" s="23">
        <f t="shared" si="113"/>
        <v>0.73115999999999559</v>
      </c>
      <c r="AD164" s="23">
        <f>(scatterplots_LWG_grazdays_CS!$V$6*$A164+scatterplots_LWG_grazdays_CS!$W$6)/1000</f>
        <v>-0.53267999999999993</v>
      </c>
      <c r="AE164" s="23">
        <f t="shared" si="100"/>
        <v>-0.49267999999999995</v>
      </c>
      <c r="AF164" s="23">
        <f t="shared" si="102"/>
        <v>-0.45267999999999992</v>
      </c>
      <c r="AG164" s="23">
        <f t="shared" si="102"/>
        <v>-0.41267999999999994</v>
      </c>
      <c r="AH164" s="23">
        <f>(scatterplots_LWG_grazdays_CS!$V$6*$A164+scatterplots_LWG_grazdays_CS!$W$6)/1000+AH163</f>
        <v>-19.263419999999989</v>
      </c>
      <c r="AI164" s="23">
        <f t="shared" si="107"/>
        <v>-16.38341999999999</v>
      </c>
      <c r="AJ164" s="23">
        <f t="shared" si="114"/>
        <v>-13.50341999999999</v>
      </c>
      <c r="AK164" s="23">
        <f t="shared" si="115"/>
        <v>-10.623419999999991</v>
      </c>
    </row>
    <row r="165" spans="1:37">
      <c r="A165" s="12">
        <v>163</v>
      </c>
      <c r="B165" s="12">
        <v>74</v>
      </c>
      <c r="C165" s="23">
        <f>(scatterplots_LWG_grazdays_CS!$V$3*$A165+scatterplots_LWG_grazdays_CS!$W$3)/1000</f>
        <v>-0.16291999999999995</v>
      </c>
      <c r="D165" s="23">
        <f t="shared" si="116"/>
        <v>-0.12291999999999995</v>
      </c>
      <c r="E165" s="23">
        <f t="shared" si="116"/>
        <v>-8.2919999999999952E-2</v>
      </c>
      <c r="F165" s="23">
        <f t="shared" si="116"/>
        <v>-4.2919999999999958E-2</v>
      </c>
      <c r="G165" s="23">
        <f>(scatterplots_LWG_grazdays_CS!$V$3*$A165+scatterplots_LWG_grazdays_CS!$W$3)/1000+G164</f>
        <v>10.940560000000005</v>
      </c>
      <c r="H165" s="23">
        <f t="shared" si="104"/>
        <v>13.900560000000004</v>
      </c>
      <c r="I165" s="23">
        <f t="shared" si="90"/>
        <v>15.700559999999999</v>
      </c>
      <c r="J165" s="23">
        <f t="shared" si="103"/>
        <v>16.700559999999999</v>
      </c>
      <c r="K165" s="23">
        <f t="shared" si="101"/>
        <v>17.100560000000002</v>
      </c>
      <c r="L165" s="23">
        <f t="shared" si="105"/>
        <v>16.860560000000007</v>
      </c>
      <c r="M165" s="23">
        <f t="shared" si="106"/>
        <v>19.82056</v>
      </c>
      <c r="N165" s="23">
        <f>(scatterplots_LWG_grazdays_CS!$V$4*$A165+scatterplots_LWG_grazdays_CS!$W$4)/1000</f>
        <v>-0.30962000000000001</v>
      </c>
      <c r="O165" s="23">
        <f t="shared" si="97"/>
        <v>-0.26962000000000003</v>
      </c>
      <c r="P165" s="23">
        <f t="shared" si="97"/>
        <v>-0.22961999999999999</v>
      </c>
      <c r="Q165" s="23">
        <f t="shared" si="97"/>
        <v>-0.18962000000000001</v>
      </c>
      <c r="R165" s="23">
        <f>(scatterplots_LWG_grazdays_CS!$V$4*$A165+scatterplots_LWG_grazdays_CS!$W$4)/1000+R164</f>
        <v>-1.0888400000000045</v>
      </c>
      <c r="S165" s="23">
        <f t="shared" si="108"/>
        <v>1.8311599999999963</v>
      </c>
      <c r="T165" s="23">
        <f t="shared" si="109"/>
        <v>4.7511599999999961</v>
      </c>
      <c r="U165" s="23">
        <f t="shared" si="110"/>
        <v>7.671159999999996</v>
      </c>
      <c r="V165" s="23">
        <f>(scatterplots_LWG_grazdays_CS!$V$5*$A165+scatterplots_LWG_grazdays_CS!$W$5)/1000</f>
        <v>-0.39763999999999999</v>
      </c>
      <c r="W165" s="23">
        <f t="shared" si="98"/>
        <v>-0.35764000000000001</v>
      </c>
      <c r="X165" s="23">
        <f t="shared" si="117"/>
        <v>-0.31763999999999998</v>
      </c>
      <c r="Y165" s="23">
        <f t="shared" si="117"/>
        <v>-0.27764</v>
      </c>
      <c r="Z165" s="23">
        <f>(scatterplots_LWG_grazdays_CS!$V$5*$A165+scatterplots_LWG_grazdays_CS!$W$5)/1000+Z164</f>
        <v>-8.3064800000000041</v>
      </c>
      <c r="AA165" s="23">
        <f t="shared" si="111"/>
        <v>-5.3864800000000068</v>
      </c>
      <c r="AB165" s="23">
        <f t="shared" si="112"/>
        <v>-2.4664800000000047</v>
      </c>
      <c r="AC165" s="23">
        <f t="shared" si="113"/>
        <v>0.45351999999999559</v>
      </c>
      <c r="AD165" s="23">
        <f>(scatterplots_LWG_grazdays_CS!$V$6*$A165+scatterplots_LWG_grazdays_CS!$W$6)/1000</f>
        <v>-0.53781999999999996</v>
      </c>
      <c r="AE165" s="23">
        <f t="shared" si="100"/>
        <v>-0.49781999999999998</v>
      </c>
      <c r="AF165" s="23">
        <f t="shared" si="102"/>
        <v>-0.45781999999999995</v>
      </c>
      <c r="AG165" s="23">
        <f t="shared" si="102"/>
        <v>-0.41781999999999997</v>
      </c>
      <c r="AH165" s="23">
        <f>(scatterplots_LWG_grazdays_CS!$V$6*$A165+scatterplots_LWG_grazdays_CS!$W$6)/1000+AH164</f>
        <v>-19.801239999999989</v>
      </c>
      <c r="AI165" s="23">
        <f t="shared" si="107"/>
        <v>-16.881239999999991</v>
      </c>
      <c r="AJ165" s="23">
        <f t="shared" si="114"/>
        <v>-13.961239999999989</v>
      </c>
      <c r="AK165" s="23">
        <f t="shared" si="115"/>
        <v>-11.041239999999991</v>
      </c>
    </row>
    <row r="166" spans="1:37">
      <c r="A166" s="12">
        <v>164</v>
      </c>
      <c r="B166" s="12">
        <v>75</v>
      </c>
      <c r="C166" s="23">
        <f>(scatterplots_LWG_grazdays_CS!$V$3*$A166+scatterplots_LWG_grazdays_CS!$W$3)/1000</f>
        <v>-0.16575999999999999</v>
      </c>
      <c r="D166" s="23">
        <f t="shared" si="116"/>
        <v>-0.12575999999999998</v>
      </c>
      <c r="E166" s="23">
        <f t="shared" si="116"/>
        <v>-8.5759999999999989E-2</v>
      </c>
      <c r="F166" s="23">
        <f t="shared" si="116"/>
        <v>-4.5759999999999995E-2</v>
      </c>
      <c r="G166" s="23">
        <f>(scatterplots_LWG_grazdays_CS!$V$3*$A166+scatterplots_LWG_grazdays_CS!$W$3)/1000+G165</f>
        <v>10.774800000000004</v>
      </c>
      <c r="H166" s="23">
        <f t="shared" si="104"/>
        <v>13.774800000000004</v>
      </c>
      <c r="I166" s="23">
        <f t="shared" si="90"/>
        <v>15.5748</v>
      </c>
      <c r="J166" s="23">
        <f t="shared" si="103"/>
        <v>16.5748</v>
      </c>
      <c r="K166" s="23">
        <f t="shared" si="101"/>
        <v>16.974800000000002</v>
      </c>
      <c r="L166" s="23">
        <f t="shared" si="105"/>
        <v>16.774800000000006</v>
      </c>
      <c r="M166" s="23">
        <f t="shared" si="106"/>
        <v>19.774799999999999</v>
      </c>
      <c r="N166" s="23">
        <f>(scatterplots_LWG_grazdays_CS!$V$4*$A166+scatterplots_LWG_grazdays_CS!$W$4)/1000</f>
        <v>-0.31336000000000003</v>
      </c>
      <c r="O166" s="23">
        <f t="shared" si="97"/>
        <v>-0.27336000000000005</v>
      </c>
      <c r="P166" s="23">
        <f t="shared" si="97"/>
        <v>-0.23336000000000001</v>
      </c>
      <c r="Q166" s="23">
        <f t="shared" si="97"/>
        <v>-0.19336000000000003</v>
      </c>
      <c r="R166" s="23">
        <f>(scatterplots_LWG_grazdays_CS!$V$4*$A166+scatterplots_LWG_grazdays_CS!$W$4)/1000+R165</f>
        <v>-1.4022000000000046</v>
      </c>
      <c r="S166" s="23">
        <f t="shared" si="108"/>
        <v>1.5577999999999963</v>
      </c>
      <c r="T166" s="23">
        <f t="shared" si="109"/>
        <v>4.5177999999999958</v>
      </c>
      <c r="U166" s="23">
        <f t="shared" si="110"/>
        <v>7.4777999999999958</v>
      </c>
      <c r="V166" s="23">
        <f>(scatterplots_LWG_grazdays_CS!$V$5*$A166+scatterplots_LWG_grazdays_CS!$W$5)/1000</f>
        <v>-0.40192000000000005</v>
      </c>
      <c r="W166" s="23">
        <f t="shared" si="98"/>
        <v>-0.36192000000000007</v>
      </c>
      <c r="X166" s="23">
        <f t="shared" si="117"/>
        <v>-0.32192000000000004</v>
      </c>
      <c r="Y166" s="23">
        <f t="shared" si="117"/>
        <v>-0.28192000000000006</v>
      </c>
      <c r="Z166" s="23">
        <f>(scatterplots_LWG_grazdays_CS!$V$5*$A166+scatterplots_LWG_grazdays_CS!$W$5)/1000+Z165</f>
        <v>-8.7084000000000046</v>
      </c>
      <c r="AA166" s="23">
        <f t="shared" si="111"/>
        <v>-5.7484000000000073</v>
      </c>
      <c r="AB166" s="23">
        <f t="shared" si="112"/>
        <v>-2.7884000000000047</v>
      </c>
      <c r="AC166" s="23">
        <f t="shared" si="113"/>
        <v>0.17159999999999553</v>
      </c>
      <c r="AD166" s="23">
        <f>(scatterplots_LWG_grazdays_CS!$V$6*$A166+scatterplots_LWG_grazdays_CS!$W$6)/1000</f>
        <v>-0.54295999999999989</v>
      </c>
      <c r="AE166" s="23">
        <f t="shared" si="100"/>
        <v>-0.50295999999999985</v>
      </c>
      <c r="AF166" s="23">
        <f t="shared" si="102"/>
        <v>-0.46295999999999987</v>
      </c>
      <c r="AG166" s="23">
        <f t="shared" si="102"/>
        <v>-0.42295999999999989</v>
      </c>
      <c r="AH166" s="23">
        <f>(scatterplots_LWG_grazdays_CS!$V$6*$A166+scatterplots_LWG_grazdays_CS!$W$6)/1000+AH165</f>
        <v>-20.34419999999999</v>
      </c>
      <c r="AI166" s="23">
        <f t="shared" si="107"/>
        <v>-17.384199999999993</v>
      </c>
      <c r="AJ166" s="23">
        <f t="shared" si="114"/>
        <v>-14.42419999999999</v>
      </c>
      <c r="AK166" s="23">
        <f t="shared" si="115"/>
        <v>-11.464199999999991</v>
      </c>
    </row>
    <row r="167" spans="1:37">
      <c r="A167" s="12">
        <v>165</v>
      </c>
      <c r="B167" s="12">
        <v>76</v>
      </c>
      <c r="C167" s="23">
        <f>(scatterplots_LWG_grazdays_CS!$V$3*$A167+scatterplots_LWG_grazdays_CS!$W$3)/1000</f>
        <v>-0.16859999999999997</v>
      </c>
      <c r="D167" s="23">
        <f t="shared" si="116"/>
        <v>-0.12859999999999996</v>
      </c>
      <c r="E167" s="23">
        <f t="shared" si="116"/>
        <v>-8.859999999999997E-2</v>
      </c>
      <c r="F167" s="23">
        <f t="shared" si="116"/>
        <v>-4.8599999999999977E-2</v>
      </c>
      <c r="G167" s="23">
        <f>(scatterplots_LWG_grazdays_CS!$V$3*$A167+scatterplots_LWG_grazdays_CS!$W$3)/1000+G166</f>
        <v>10.606200000000005</v>
      </c>
      <c r="H167" s="23">
        <f t="shared" si="104"/>
        <v>13.646200000000004</v>
      </c>
      <c r="I167" s="23">
        <f t="shared" si="90"/>
        <v>15.446199999999999</v>
      </c>
      <c r="J167" s="23">
        <f t="shared" si="103"/>
        <v>16.446200000000001</v>
      </c>
      <c r="K167" s="23">
        <f t="shared" si="101"/>
        <v>16.846200000000003</v>
      </c>
      <c r="L167" s="23">
        <f t="shared" si="105"/>
        <v>16.686200000000007</v>
      </c>
      <c r="M167" s="23">
        <f t="shared" si="106"/>
        <v>19.726199999999999</v>
      </c>
      <c r="N167" s="23">
        <f>(scatterplots_LWG_grazdays_CS!$V$4*$A167+scatterplots_LWG_grazdays_CS!$W$4)/1000</f>
        <v>-0.31710000000000005</v>
      </c>
      <c r="O167" s="23">
        <f t="shared" si="97"/>
        <v>-0.27710000000000007</v>
      </c>
      <c r="P167" s="23">
        <f t="shared" si="97"/>
        <v>-0.23710000000000003</v>
      </c>
      <c r="Q167" s="23">
        <f t="shared" si="97"/>
        <v>-0.19710000000000005</v>
      </c>
      <c r="R167" s="23">
        <f>(scatterplots_LWG_grazdays_CS!$V$4*$A167+scatterplots_LWG_grazdays_CS!$W$4)/1000+R166</f>
        <v>-1.7193000000000045</v>
      </c>
      <c r="S167" s="23">
        <f t="shared" si="108"/>
        <v>1.2806999999999962</v>
      </c>
      <c r="T167" s="23">
        <f t="shared" si="109"/>
        <v>4.280699999999996</v>
      </c>
      <c r="U167" s="23">
        <f t="shared" si="110"/>
        <v>7.280699999999996</v>
      </c>
      <c r="V167" s="23">
        <f>(scatterplots_LWG_grazdays_CS!$V$5*$A167+scatterplots_LWG_grazdays_CS!$W$5)/1000</f>
        <v>-0.40620000000000006</v>
      </c>
      <c r="W167" s="23">
        <f t="shared" si="98"/>
        <v>-0.36620000000000008</v>
      </c>
      <c r="X167" s="23">
        <f t="shared" si="117"/>
        <v>-0.32620000000000005</v>
      </c>
      <c r="Y167" s="23">
        <f t="shared" si="117"/>
        <v>-0.28620000000000007</v>
      </c>
      <c r="Z167" s="23">
        <f>(scatterplots_LWG_grazdays_CS!$V$5*$A167+scatterplots_LWG_grazdays_CS!$W$5)/1000+Z166</f>
        <v>-9.1146000000000047</v>
      </c>
      <c r="AA167" s="23">
        <f t="shared" si="111"/>
        <v>-6.1146000000000074</v>
      </c>
      <c r="AB167" s="23">
        <f t="shared" si="112"/>
        <v>-3.1146000000000047</v>
      </c>
      <c r="AC167" s="23">
        <f t="shared" si="113"/>
        <v>-0.11460000000000453</v>
      </c>
      <c r="AD167" s="23">
        <f>(scatterplots_LWG_grazdays_CS!$V$6*$A167+scatterplots_LWG_grazdays_CS!$W$6)/1000</f>
        <v>-0.54809999999999992</v>
      </c>
      <c r="AE167" s="23">
        <f t="shared" si="100"/>
        <v>-0.50809999999999989</v>
      </c>
      <c r="AF167" s="23">
        <f t="shared" si="102"/>
        <v>-0.46809999999999991</v>
      </c>
      <c r="AG167" s="23">
        <f t="shared" si="102"/>
        <v>-0.42809999999999993</v>
      </c>
      <c r="AH167" s="23">
        <f>(scatterplots_LWG_grazdays_CS!$V$6*$A167+scatterplots_LWG_grazdays_CS!$W$6)/1000+AH166</f>
        <v>-20.892299999999992</v>
      </c>
      <c r="AI167" s="23">
        <f t="shared" si="107"/>
        <v>-17.892299999999992</v>
      </c>
      <c r="AJ167" s="23">
        <f t="shared" si="114"/>
        <v>-14.89229999999999</v>
      </c>
      <c r="AK167" s="23">
        <f t="shared" si="115"/>
        <v>-11.892299999999992</v>
      </c>
    </row>
    <row r="168" spans="1:37">
      <c r="A168" s="12">
        <v>166</v>
      </c>
      <c r="B168" s="12">
        <v>77</v>
      </c>
      <c r="C168" s="23">
        <f>(scatterplots_LWG_grazdays_CS!$V$3*$A168+scatterplots_LWG_grazdays_CS!$W$3)/1000</f>
        <v>-0.17144000000000001</v>
      </c>
      <c r="D168" s="23">
        <f t="shared" si="116"/>
        <v>-0.13144</v>
      </c>
      <c r="E168" s="23">
        <f t="shared" si="116"/>
        <v>-9.1440000000000007E-2</v>
      </c>
      <c r="F168" s="23">
        <f t="shared" si="116"/>
        <v>-5.1440000000000013E-2</v>
      </c>
      <c r="G168" s="23">
        <f>(scatterplots_LWG_grazdays_CS!$V$3*$A168+scatterplots_LWG_grazdays_CS!$W$3)/1000+G167</f>
        <v>10.434760000000004</v>
      </c>
      <c r="H168" s="23">
        <f t="shared" si="104"/>
        <v>13.514760000000004</v>
      </c>
      <c r="I168" s="23">
        <f t="shared" si="90"/>
        <v>15.31476</v>
      </c>
      <c r="J168" s="23">
        <f t="shared" si="103"/>
        <v>16.31476</v>
      </c>
      <c r="K168" s="23">
        <f t="shared" si="101"/>
        <v>16.714760000000002</v>
      </c>
      <c r="L168" s="23">
        <f t="shared" si="105"/>
        <v>16.594760000000008</v>
      </c>
      <c r="M168" s="23">
        <f t="shared" si="106"/>
        <v>19.674759999999999</v>
      </c>
      <c r="N168" s="23">
        <f>(scatterplots_LWG_grazdays_CS!$V$4*$A168+scatterplots_LWG_grazdays_CS!$W$4)/1000</f>
        <v>-0.32084000000000001</v>
      </c>
      <c r="O168" s="23">
        <f t="shared" si="97"/>
        <v>-0.28084000000000003</v>
      </c>
      <c r="P168" s="23">
        <f t="shared" si="97"/>
        <v>-0.24084</v>
      </c>
      <c r="Q168" s="23">
        <f t="shared" si="97"/>
        <v>-0.20084000000000002</v>
      </c>
      <c r="R168" s="23">
        <f>(scatterplots_LWG_grazdays_CS!$V$4*$A168+scatterplots_LWG_grazdays_CS!$W$4)/1000+R167</f>
        <v>-2.0401400000000045</v>
      </c>
      <c r="S168" s="23">
        <f t="shared" si="108"/>
        <v>0.9998599999999962</v>
      </c>
      <c r="T168" s="23">
        <f t="shared" si="109"/>
        <v>4.0398599999999956</v>
      </c>
      <c r="U168" s="23">
        <f t="shared" si="110"/>
        <v>7.0798599999999956</v>
      </c>
      <c r="V168" s="23">
        <f>(scatterplots_LWG_grazdays_CS!$V$5*$A168+scatterplots_LWG_grazdays_CS!$W$5)/1000</f>
        <v>-0.41048000000000001</v>
      </c>
      <c r="W168" s="23">
        <f t="shared" si="98"/>
        <v>-0.37048000000000003</v>
      </c>
      <c r="X168" s="23">
        <f t="shared" si="117"/>
        <v>-0.33048</v>
      </c>
      <c r="Y168" s="23">
        <f t="shared" si="117"/>
        <v>-0.29048000000000002</v>
      </c>
      <c r="Z168" s="23">
        <f>(scatterplots_LWG_grazdays_CS!$V$5*$A168+scatterplots_LWG_grazdays_CS!$W$5)/1000+Z167</f>
        <v>-9.5250800000000044</v>
      </c>
      <c r="AA168" s="23">
        <f t="shared" si="111"/>
        <v>-6.4850800000000071</v>
      </c>
      <c r="AB168" s="23">
        <f t="shared" si="112"/>
        <v>-3.4450800000000048</v>
      </c>
      <c r="AC168" s="23">
        <f t="shared" si="113"/>
        <v>-0.40508000000000455</v>
      </c>
      <c r="AD168" s="23">
        <f>(scatterplots_LWG_grazdays_CS!$V$6*$A168+scatterplots_LWG_grazdays_CS!$W$6)/1000</f>
        <v>-0.55323999999999984</v>
      </c>
      <c r="AE168" s="23">
        <f t="shared" si="100"/>
        <v>-0.51323999999999981</v>
      </c>
      <c r="AF168" s="23">
        <f t="shared" si="102"/>
        <v>-0.47323999999999983</v>
      </c>
      <c r="AG168" s="23">
        <f t="shared" si="102"/>
        <v>-0.43323999999999985</v>
      </c>
      <c r="AH168" s="23">
        <f>(scatterplots_LWG_grazdays_CS!$V$6*$A168+scatterplots_LWG_grazdays_CS!$W$6)/1000+AH167</f>
        <v>-21.44553999999999</v>
      </c>
      <c r="AI168" s="23">
        <f t="shared" si="107"/>
        <v>-18.405539999999991</v>
      </c>
      <c r="AJ168" s="23">
        <f t="shared" si="114"/>
        <v>-15.36553999999999</v>
      </c>
      <c r="AK168" s="23">
        <f t="shared" si="115"/>
        <v>-12.325539999999991</v>
      </c>
    </row>
    <row r="169" spans="1:37">
      <c r="A169" s="12">
        <v>167</v>
      </c>
      <c r="B169" s="12">
        <v>78</v>
      </c>
      <c r="C169" s="23">
        <f>(scatterplots_LWG_grazdays_CS!$V$3*$A169+scatterplots_LWG_grazdays_CS!$W$3)/1000</f>
        <v>-0.17427999999999996</v>
      </c>
      <c r="D169" s="23">
        <f t="shared" si="116"/>
        <v>-0.13427999999999995</v>
      </c>
      <c r="E169" s="23">
        <f t="shared" si="116"/>
        <v>-9.4279999999999961E-2</v>
      </c>
      <c r="F169" s="23">
        <f t="shared" si="116"/>
        <v>-5.4279999999999967E-2</v>
      </c>
      <c r="G169" s="23">
        <f>(scatterplots_LWG_grazdays_CS!$V$3*$A169+scatterplots_LWG_grazdays_CS!$W$3)/1000+G168</f>
        <v>10.260480000000005</v>
      </c>
      <c r="H169" s="23">
        <f t="shared" si="104"/>
        <v>13.380480000000004</v>
      </c>
      <c r="I169" s="23">
        <f t="shared" si="90"/>
        <v>15.180479999999999</v>
      </c>
      <c r="J169" s="23">
        <f t="shared" si="103"/>
        <v>16.180479999999999</v>
      </c>
      <c r="K169" s="23">
        <f t="shared" si="101"/>
        <v>16.580480000000001</v>
      </c>
      <c r="L169" s="23">
        <f t="shared" si="105"/>
        <v>16.500480000000007</v>
      </c>
      <c r="M169" s="23">
        <f t="shared" si="106"/>
        <v>19.620480000000001</v>
      </c>
      <c r="N169" s="23">
        <f>(scatterplots_LWG_grazdays_CS!$V$4*$A169+scatterplots_LWG_grazdays_CS!$W$4)/1000</f>
        <v>-0.32458000000000004</v>
      </c>
      <c r="O169" s="23">
        <f t="shared" si="97"/>
        <v>-0.28458000000000006</v>
      </c>
      <c r="P169" s="23">
        <f t="shared" si="97"/>
        <v>-0.24458000000000002</v>
      </c>
      <c r="Q169" s="23">
        <f t="shared" si="97"/>
        <v>-0.20458000000000004</v>
      </c>
      <c r="R169" s="23">
        <f>(scatterplots_LWG_grazdays_CS!$V$4*$A169+scatterplots_LWG_grazdays_CS!$W$4)/1000+R168</f>
        <v>-2.3647200000000046</v>
      </c>
      <c r="S169" s="23">
        <f t="shared" si="108"/>
        <v>0.71527999999999614</v>
      </c>
      <c r="T169" s="23">
        <f t="shared" si="109"/>
        <v>3.7952799999999955</v>
      </c>
      <c r="U169" s="23">
        <f t="shared" si="110"/>
        <v>6.8752799999999956</v>
      </c>
      <c r="V169" s="23">
        <f>(scatterplots_LWG_grazdays_CS!$V$5*$A169+scatterplots_LWG_grazdays_CS!$W$5)/1000</f>
        <v>-0.41476000000000002</v>
      </c>
      <c r="W169" s="23">
        <f t="shared" si="98"/>
        <v>-0.37476000000000004</v>
      </c>
      <c r="X169" s="23">
        <f t="shared" si="117"/>
        <v>-0.33476</v>
      </c>
      <c r="Y169" s="23">
        <f t="shared" si="117"/>
        <v>-0.29476000000000002</v>
      </c>
      <c r="Z169" s="23">
        <f>(scatterplots_LWG_grazdays_CS!$V$5*$A169+scatterplots_LWG_grazdays_CS!$W$5)/1000+Z168</f>
        <v>-9.9398400000000038</v>
      </c>
      <c r="AA169" s="23">
        <f t="shared" si="111"/>
        <v>-6.8598400000000073</v>
      </c>
      <c r="AB169" s="23">
        <f t="shared" si="112"/>
        <v>-3.779840000000005</v>
      </c>
      <c r="AC169" s="23">
        <f t="shared" si="113"/>
        <v>-0.69984000000000457</v>
      </c>
      <c r="AD169" s="23">
        <f>(scatterplots_LWG_grazdays_CS!$V$6*$A169+scatterplots_LWG_grazdays_CS!$W$6)/1000</f>
        <v>-0.55837999999999999</v>
      </c>
      <c r="AE169" s="23">
        <f t="shared" si="100"/>
        <v>-0.51837999999999995</v>
      </c>
      <c r="AF169" s="23">
        <f t="shared" si="102"/>
        <v>-0.47837999999999997</v>
      </c>
      <c r="AG169" s="23">
        <f t="shared" si="102"/>
        <v>-0.43837999999999999</v>
      </c>
      <c r="AH169" s="23">
        <f>(scatterplots_LWG_grazdays_CS!$V$6*$A169+scatterplots_LWG_grazdays_CS!$W$6)/1000+AH168</f>
        <v>-22.00391999999999</v>
      </c>
      <c r="AI169" s="23">
        <f t="shared" si="107"/>
        <v>-18.923919999999992</v>
      </c>
      <c r="AJ169" s="23">
        <f t="shared" si="114"/>
        <v>-15.84391999999999</v>
      </c>
      <c r="AK169" s="23">
        <f t="shared" si="115"/>
        <v>-12.763919999999992</v>
      </c>
    </row>
    <row r="170" spans="1:37">
      <c r="A170" s="12">
        <v>168</v>
      </c>
      <c r="B170" s="12">
        <v>79</v>
      </c>
      <c r="C170" s="23">
        <f>(scatterplots_LWG_grazdays_CS!$V$3*$A170+scatterplots_LWG_grazdays_CS!$W$3)/1000</f>
        <v>-0.17712</v>
      </c>
      <c r="D170" s="23">
        <f t="shared" si="116"/>
        <v>-0.13711999999999999</v>
      </c>
      <c r="E170" s="23">
        <f t="shared" si="116"/>
        <v>-9.7119999999999998E-2</v>
      </c>
      <c r="F170" s="23">
        <f t="shared" si="116"/>
        <v>-5.7120000000000004E-2</v>
      </c>
      <c r="G170" s="23">
        <f>(scatterplots_LWG_grazdays_CS!$V$3*$A170+scatterplots_LWG_grazdays_CS!$W$3)/1000+G169</f>
        <v>10.083360000000004</v>
      </c>
      <c r="H170" s="23">
        <f t="shared" si="104"/>
        <v>13.243360000000004</v>
      </c>
      <c r="I170" s="23">
        <f t="shared" si="90"/>
        <v>15.04336</v>
      </c>
      <c r="J170" s="23">
        <f t="shared" si="103"/>
        <v>16.04336</v>
      </c>
      <c r="K170" s="23">
        <f t="shared" si="101"/>
        <v>16.443360000000002</v>
      </c>
      <c r="L170" s="23">
        <f t="shared" si="105"/>
        <v>16.403360000000006</v>
      </c>
      <c r="M170" s="23">
        <f t="shared" si="106"/>
        <v>19.563359999999999</v>
      </c>
      <c r="N170" s="23">
        <f>(scatterplots_LWG_grazdays_CS!$V$4*$A170+scatterplots_LWG_grazdays_CS!$W$4)/1000</f>
        <v>-0.32832000000000006</v>
      </c>
      <c r="O170" s="23">
        <f t="shared" si="97"/>
        <v>-0.28832000000000008</v>
      </c>
      <c r="P170" s="23">
        <f t="shared" si="97"/>
        <v>-0.24832000000000004</v>
      </c>
      <c r="Q170" s="23">
        <f t="shared" si="97"/>
        <v>-0.20832000000000006</v>
      </c>
      <c r="R170" s="23">
        <f>(scatterplots_LWG_grazdays_CS!$V$4*$A170+scatterplots_LWG_grazdays_CS!$W$4)/1000+R169</f>
        <v>-2.6930400000000048</v>
      </c>
      <c r="S170" s="23">
        <f t="shared" si="108"/>
        <v>0.42695999999999606</v>
      </c>
      <c r="T170" s="23">
        <f t="shared" si="109"/>
        <v>3.5469599999999954</v>
      </c>
      <c r="U170" s="23">
        <f t="shared" si="110"/>
        <v>6.666959999999996</v>
      </c>
      <c r="V170" s="23">
        <f>(scatterplots_LWG_grazdays_CS!$V$5*$A170+scatterplots_LWG_grazdays_CS!$W$5)/1000</f>
        <v>-0.41904000000000008</v>
      </c>
      <c r="W170" s="23">
        <f t="shared" si="98"/>
        <v>-0.3790400000000001</v>
      </c>
      <c r="X170" s="23">
        <f t="shared" si="117"/>
        <v>-0.33904000000000006</v>
      </c>
      <c r="Y170" s="23">
        <f t="shared" si="117"/>
        <v>-0.29904000000000008</v>
      </c>
      <c r="Z170" s="23">
        <f>(scatterplots_LWG_grazdays_CS!$V$5*$A170+scatterplots_LWG_grazdays_CS!$W$5)/1000+Z169</f>
        <v>-10.358880000000005</v>
      </c>
      <c r="AA170" s="23">
        <f t="shared" si="111"/>
        <v>-7.2388800000000071</v>
      </c>
      <c r="AB170" s="23">
        <f t="shared" si="112"/>
        <v>-4.1188800000000052</v>
      </c>
      <c r="AC170" s="23">
        <f t="shared" si="113"/>
        <v>-0.99888000000000465</v>
      </c>
      <c r="AD170" s="23">
        <f>(scatterplots_LWG_grazdays_CS!$V$6*$A170+scatterplots_LWG_grazdays_CS!$W$6)/1000</f>
        <v>-0.56352000000000002</v>
      </c>
      <c r="AE170" s="23">
        <f t="shared" si="100"/>
        <v>-0.52351999999999999</v>
      </c>
      <c r="AF170" s="23">
        <f t="shared" si="102"/>
        <v>-0.48352000000000001</v>
      </c>
      <c r="AG170" s="23">
        <f t="shared" si="102"/>
        <v>-0.44352000000000003</v>
      </c>
      <c r="AH170" s="23">
        <f>(scatterplots_LWG_grazdays_CS!$V$6*$A170+scatterplots_LWG_grazdays_CS!$W$6)/1000+AH169</f>
        <v>-22.567439999999991</v>
      </c>
      <c r="AI170" s="23">
        <f t="shared" si="107"/>
        <v>-19.447439999999993</v>
      </c>
      <c r="AJ170" s="23">
        <f t="shared" si="114"/>
        <v>-16.327439999999989</v>
      </c>
      <c r="AK170" s="23">
        <f t="shared" si="115"/>
        <v>-13.207439999999991</v>
      </c>
    </row>
    <row r="171" spans="1:37">
      <c r="A171" s="12">
        <v>169</v>
      </c>
      <c r="B171" s="12">
        <v>80</v>
      </c>
      <c r="C171" s="23">
        <f>(scatterplots_LWG_grazdays_CS!$V$3*$A171+scatterplots_LWG_grazdays_CS!$W$3)/1000</f>
        <v>-0.17995999999999998</v>
      </c>
      <c r="D171" s="23">
        <f t="shared" si="116"/>
        <v>-0.13995999999999997</v>
      </c>
      <c r="E171" s="23">
        <f t="shared" si="116"/>
        <v>-9.9959999999999979E-2</v>
      </c>
      <c r="F171" s="23">
        <f t="shared" si="116"/>
        <v>-5.9959999999999986E-2</v>
      </c>
      <c r="G171" s="23">
        <f>(scatterplots_LWG_grazdays_CS!$V$3*$A171+scatterplots_LWG_grazdays_CS!$W$3)/1000+G170</f>
        <v>9.9034000000000049</v>
      </c>
      <c r="H171" s="23">
        <f t="shared" si="104"/>
        <v>13.103400000000004</v>
      </c>
      <c r="I171" s="23">
        <f t="shared" si="90"/>
        <v>14.9034</v>
      </c>
      <c r="J171" s="23">
        <f t="shared" si="103"/>
        <v>15.9034</v>
      </c>
      <c r="K171" s="23">
        <f t="shared" si="101"/>
        <v>16.303400000000003</v>
      </c>
      <c r="L171" s="23">
        <f t="shared" si="105"/>
        <v>16.303400000000007</v>
      </c>
      <c r="M171" s="23">
        <f t="shared" si="106"/>
        <v>19.503399999999999</v>
      </c>
      <c r="N171" s="23">
        <f>(scatterplots_LWG_grazdays_CS!$V$4*$A171+scatterplots_LWG_grazdays_CS!$W$4)/1000</f>
        <v>-0.33206000000000008</v>
      </c>
      <c r="O171" s="23">
        <f t="shared" si="97"/>
        <v>-0.2920600000000001</v>
      </c>
      <c r="P171" s="23">
        <f t="shared" si="97"/>
        <v>-0.25206000000000006</v>
      </c>
      <c r="Q171" s="23">
        <f t="shared" si="97"/>
        <v>-0.21206000000000008</v>
      </c>
      <c r="R171" s="23">
        <f>(scatterplots_LWG_grazdays_CS!$V$4*$A171+scatterplots_LWG_grazdays_CS!$W$4)/1000+R170</f>
        <v>-3.025100000000005</v>
      </c>
      <c r="S171" s="23">
        <f t="shared" si="108"/>
        <v>0.13489999999999597</v>
      </c>
      <c r="T171" s="23">
        <f t="shared" si="109"/>
        <v>3.2948999999999953</v>
      </c>
      <c r="U171" s="23">
        <f t="shared" si="110"/>
        <v>6.4548999999999959</v>
      </c>
      <c r="V171" s="23">
        <f>(scatterplots_LWG_grazdays_CS!$V$5*$A171+scatterplots_LWG_grazdays_CS!$W$5)/1000</f>
        <v>-0.42332000000000003</v>
      </c>
      <c r="W171" s="23">
        <f t="shared" si="98"/>
        <v>-0.38332000000000005</v>
      </c>
      <c r="X171" s="23">
        <f t="shared" si="117"/>
        <v>-0.34332000000000001</v>
      </c>
      <c r="Y171" s="23">
        <f t="shared" si="117"/>
        <v>-0.30332000000000003</v>
      </c>
      <c r="Z171" s="23">
        <f>(scatterplots_LWG_grazdays_CS!$V$5*$A171+scatterplots_LWG_grazdays_CS!$W$5)/1000+Z170</f>
        <v>-10.782200000000005</v>
      </c>
      <c r="AA171" s="23">
        <f t="shared" si="111"/>
        <v>-7.6222000000000074</v>
      </c>
      <c r="AB171" s="23">
        <f t="shared" si="112"/>
        <v>-4.4622000000000055</v>
      </c>
      <c r="AC171" s="23">
        <f t="shared" si="113"/>
        <v>-1.3022000000000047</v>
      </c>
      <c r="AD171" s="23">
        <f>(scatterplots_LWG_grazdays_CS!$V$6*$A171+scatterplots_LWG_grazdays_CS!$W$6)/1000</f>
        <v>-0.56865999999999994</v>
      </c>
      <c r="AE171" s="23">
        <f t="shared" si="100"/>
        <v>-0.52865999999999991</v>
      </c>
      <c r="AF171" s="23">
        <f t="shared" si="102"/>
        <v>-0.48865999999999993</v>
      </c>
      <c r="AG171" s="23">
        <f t="shared" si="102"/>
        <v>-0.44865999999999995</v>
      </c>
      <c r="AH171" s="23">
        <f>(scatterplots_LWG_grazdays_CS!$V$6*$A171+scatterplots_LWG_grazdays_CS!$W$6)/1000+AH170</f>
        <v>-23.136099999999992</v>
      </c>
      <c r="AI171" s="23">
        <f t="shared" si="107"/>
        <v>-19.976099999999992</v>
      </c>
      <c r="AJ171" s="23">
        <f t="shared" si="114"/>
        <v>-16.816099999999988</v>
      </c>
      <c r="AK171" s="23">
        <f t="shared" si="115"/>
        <v>-13.656099999999991</v>
      </c>
    </row>
    <row r="172" spans="1:37">
      <c r="A172" s="12">
        <v>170</v>
      </c>
      <c r="B172" s="12">
        <v>81</v>
      </c>
      <c r="C172" s="23">
        <f>(scatterplots_LWG_grazdays_CS!$V$3*$A172+scatterplots_LWG_grazdays_CS!$W$3)/1000</f>
        <v>-0.18279999999999996</v>
      </c>
      <c r="D172" s="23">
        <f t="shared" si="116"/>
        <v>-0.14279999999999995</v>
      </c>
      <c r="E172" s="23">
        <f t="shared" si="116"/>
        <v>-0.10279999999999996</v>
      </c>
      <c r="F172" s="23">
        <f t="shared" si="116"/>
        <v>-6.2799999999999967E-2</v>
      </c>
      <c r="G172" s="23">
        <f>(scatterplots_LWG_grazdays_CS!$V$3*$A172+scatterplots_LWG_grazdays_CS!$W$3)/1000+G171</f>
        <v>9.7206000000000046</v>
      </c>
      <c r="H172" s="23">
        <f t="shared" si="104"/>
        <v>12.960600000000005</v>
      </c>
      <c r="I172" s="23">
        <f t="shared" si="90"/>
        <v>14.7606</v>
      </c>
      <c r="J172" s="23">
        <f t="shared" si="103"/>
        <v>15.7606</v>
      </c>
      <c r="K172" s="23">
        <f t="shared" si="101"/>
        <v>16.160600000000002</v>
      </c>
      <c r="L172" s="23">
        <f t="shared" si="105"/>
        <v>16.200600000000009</v>
      </c>
      <c r="M172" s="23">
        <f t="shared" si="106"/>
        <v>19.4406</v>
      </c>
      <c r="N172" s="23">
        <f>(scatterplots_LWG_grazdays_CS!$V$4*$A172+scatterplots_LWG_grazdays_CS!$W$4)/1000</f>
        <v>-0.33580000000000004</v>
      </c>
      <c r="O172" s="23">
        <f t="shared" si="97"/>
        <v>-0.29580000000000006</v>
      </c>
      <c r="P172" s="23">
        <f t="shared" si="97"/>
        <v>-0.25580000000000003</v>
      </c>
      <c r="Q172" s="23">
        <f t="shared" si="97"/>
        <v>-0.21580000000000005</v>
      </c>
      <c r="R172" s="23">
        <f>(scatterplots_LWG_grazdays_CS!$V$4*$A172+scatterplots_LWG_grazdays_CS!$W$4)/1000+R171</f>
        <v>-3.3609000000000049</v>
      </c>
      <c r="S172" s="23">
        <f t="shared" si="108"/>
        <v>-0.1609000000000041</v>
      </c>
      <c r="T172" s="23">
        <f t="shared" si="109"/>
        <v>3.039099999999995</v>
      </c>
      <c r="U172" s="23">
        <f t="shared" si="110"/>
        <v>6.2390999999999961</v>
      </c>
      <c r="V172" s="23">
        <f>(scatterplots_LWG_grazdays_CS!$V$5*$A172+scatterplots_LWG_grazdays_CS!$W$5)/1000</f>
        <v>-0.42760000000000004</v>
      </c>
      <c r="W172" s="23">
        <f t="shared" si="98"/>
        <v>-0.38760000000000006</v>
      </c>
      <c r="X172" s="23">
        <f t="shared" si="117"/>
        <v>-0.34760000000000002</v>
      </c>
      <c r="Y172" s="23">
        <f t="shared" si="117"/>
        <v>-0.30760000000000004</v>
      </c>
      <c r="Z172" s="23">
        <f>(scatterplots_LWG_grazdays_CS!$V$5*$A172+scatterplots_LWG_grazdays_CS!$W$5)/1000+Z171</f>
        <v>-11.209800000000005</v>
      </c>
      <c r="AA172" s="23">
        <f t="shared" si="111"/>
        <v>-8.0098000000000074</v>
      </c>
      <c r="AB172" s="23">
        <f t="shared" si="112"/>
        <v>-4.8098000000000054</v>
      </c>
      <c r="AC172" s="23">
        <f t="shared" si="113"/>
        <v>-1.6098000000000048</v>
      </c>
      <c r="AD172" s="23">
        <f>(scatterplots_LWG_grazdays_CS!$V$6*$A172+scatterplots_LWG_grazdays_CS!$W$6)/1000</f>
        <v>-0.57379999999999998</v>
      </c>
      <c r="AE172" s="23">
        <f t="shared" si="100"/>
        <v>-0.53379999999999994</v>
      </c>
      <c r="AF172" s="23">
        <f t="shared" si="102"/>
        <v>-0.49379999999999996</v>
      </c>
      <c r="AG172" s="23">
        <f t="shared" si="102"/>
        <v>-0.45379999999999998</v>
      </c>
      <c r="AH172" s="23">
        <f>(scatterplots_LWG_grazdays_CS!$V$6*$A172+scatterplots_LWG_grazdays_CS!$W$6)/1000+AH171</f>
        <v>-23.70989999999999</v>
      </c>
      <c r="AI172" s="23">
        <f t="shared" si="107"/>
        <v>-20.509899999999991</v>
      </c>
      <c r="AJ172" s="23">
        <f t="shared" si="114"/>
        <v>-17.309899999999988</v>
      </c>
      <c r="AK172" s="23">
        <f t="shared" si="115"/>
        <v>-14.109899999999991</v>
      </c>
    </row>
    <row r="173" spans="1:37">
      <c r="A173" s="12">
        <v>171</v>
      </c>
      <c r="B173" s="12">
        <v>82</v>
      </c>
      <c r="C173" s="23">
        <f>(scatterplots_LWG_grazdays_CS!$V$3*$A173+scatterplots_LWG_grazdays_CS!$W$3)/1000</f>
        <v>-0.18564</v>
      </c>
      <c r="D173" s="23">
        <f t="shared" si="116"/>
        <v>-0.14563999999999999</v>
      </c>
      <c r="E173" s="23">
        <f t="shared" si="116"/>
        <v>-0.10564</v>
      </c>
      <c r="F173" s="23">
        <f t="shared" si="116"/>
        <v>-6.5640000000000004E-2</v>
      </c>
      <c r="G173" s="23">
        <f>(scatterplots_LWG_grazdays_CS!$V$3*$A173+scatterplots_LWG_grazdays_CS!$W$3)/1000+G172</f>
        <v>9.5349600000000052</v>
      </c>
      <c r="H173" s="23">
        <f t="shared" si="104"/>
        <v>12.814960000000005</v>
      </c>
      <c r="I173" s="23">
        <f t="shared" si="90"/>
        <v>14.61496</v>
      </c>
      <c r="J173" s="23">
        <f t="shared" si="103"/>
        <v>15.61496</v>
      </c>
      <c r="K173" s="23">
        <f t="shared" si="101"/>
        <v>16.014960000000002</v>
      </c>
      <c r="L173" s="23">
        <f t="shared" si="105"/>
        <v>16.094960000000007</v>
      </c>
      <c r="M173" s="23">
        <f t="shared" si="106"/>
        <v>19.374960000000002</v>
      </c>
      <c r="N173" s="23">
        <f>(scatterplots_LWG_grazdays_CS!$V$4*$A173+scatterplots_LWG_grazdays_CS!$W$4)/1000</f>
        <v>-0.33954000000000006</v>
      </c>
      <c r="O173" s="23">
        <f t="shared" si="97"/>
        <v>-0.29954000000000008</v>
      </c>
      <c r="P173" s="23">
        <f t="shared" si="97"/>
        <v>-0.25954000000000005</v>
      </c>
      <c r="Q173" s="23">
        <f t="shared" si="97"/>
        <v>-0.21954000000000007</v>
      </c>
      <c r="R173" s="23">
        <f>(scatterplots_LWG_grazdays_CS!$V$4*$A173+scatterplots_LWG_grazdays_CS!$W$4)/1000+R172</f>
        <v>-3.7004400000000048</v>
      </c>
      <c r="S173" s="23">
        <f t="shared" si="108"/>
        <v>-0.46044000000000418</v>
      </c>
      <c r="T173" s="23">
        <f t="shared" si="109"/>
        <v>2.7795599999999951</v>
      </c>
      <c r="U173" s="23">
        <f t="shared" si="110"/>
        <v>6.0195599999999958</v>
      </c>
      <c r="V173" s="23">
        <f>(scatterplots_LWG_grazdays_CS!$V$5*$A173+scatterplots_LWG_grazdays_CS!$W$5)/1000</f>
        <v>-0.43187999999999999</v>
      </c>
      <c r="W173" s="23">
        <f t="shared" si="98"/>
        <v>-0.39188000000000001</v>
      </c>
      <c r="X173" s="23">
        <f t="shared" si="117"/>
        <v>-0.35187999999999997</v>
      </c>
      <c r="Y173" s="23">
        <f t="shared" si="117"/>
        <v>-0.31187999999999999</v>
      </c>
      <c r="Z173" s="23">
        <f>(scatterplots_LWG_grazdays_CS!$V$5*$A173+scatterplots_LWG_grazdays_CS!$W$5)/1000+Z172</f>
        <v>-11.641680000000004</v>
      </c>
      <c r="AA173" s="23">
        <f t="shared" si="111"/>
        <v>-8.4016800000000078</v>
      </c>
      <c r="AB173" s="23">
        <f t="shared" si="112"/>
        <v>-5.1616800000000058</v>
      </c>
      <c r="AC173" s="23">
        <f t="shared" si="113"/>
        <v>-1.9216800000000047</v>
      </c>
      <c r="AD173" s="23">
        <f>(scatterplots_LWG_grazdays_CS!$V$6*$A173+scatterplots_LWG_grazdays_CS!$W$6)/1000</f>
        <v>-0.5789399999999999</v>
      </c>
      <c r="AE173" s="23">
        <f t="shared" si="100"/>
        <v>-0.53893999999999986</v>
      </c>
      <c r="AF173" s="23">
        <f t="shared" si="102"/>
        <v>-0.49893999999999988</v>
      </c>
      <c r="AG173" s="23">
        <f t="shared" si="102"/>
        <v>-0.4589399999999999</v>
      </c>
      <c r="AH173" s="23">
        <f>(scatterplots_LWG_grazdays_CS!$V$6*$A173+scatterplots_LWG_grazdays_CS!$W$6)/1000+AH172</f>
        <v>-24.28883999999999</v>
      </c>
      <c r="AI173" s="23">
        <f t="shared" si="107"/>
        <v>-21.048839999999991</v>
      </c>
      <c r="AJ173" s="23">
        <f t="shared" si="114"/>
        <v>-17.808839999999989</v>
      </c>
      <c r="AK173" s="23">
        <f t="shared" si="115"/>
        <v>-14.568839999999991</v>
      </c>
    </row>
    <row r="174" spans="1:37">
      <c r="A174" s="12">
        <v>172</v>
      </c>
      <c r="B174" s="12">
        <v>83</v>
      </c>
      <c r="C174" s="23">
        <f>(scatterplots_LWG_grazdays_CS!$V$3*$A174+scatterplots_LWG_grazdays_CS!$W$3)/1000</f>
        <v>-0.18847999999999995</v>
      </c>
      <c r="D174" s="23">
        <f t="shared" si="116"/>
        <v>-0.14847999999999995</v>
      </c>
      <c r="E174" s="23">
        <f t="shared" si="116"/>
        <v>-0.10847999999999995</v>
      </c>
      <c r="F174" s="23">
        <f t="shared" si="116"/>
        <v>-6.8479999999999958E-2</v>
      </c>
      <c r="G174" s="23">
        <f>(scatterplots_LWG_grazdays_CS!$V$3*$A174+scatterplots_LWG_grazdays_CS!$W$3)/1000+G173</f>
        <v>9.346480000000005</v>
      </c>
      <c r="H174" s="23">
        <f t="shared" si="104"/>
        <v>12.666480000000005</v>
      </c>
      <c r="I174" s="23">
        <f t="shared" si="90"/>
        <v>14.466480000000001</v>
      </c>
      <c r="J174" s="23">
        <f t="shared" si="103"/>
        <v>15.466480000000001</v>
      </c>
      <c r="K174" s="23">
        <f t="shared" si="101"/>
        <v>15.866480000000003</v>
      </c>
      <c r="L174" s="23">
        <f t="shared" si="105"/>
        <v>15.986480000000007</v>
      </c>
      <c r="M174" s="23">
        <f t="shared" si="106"/>
        <v>19.306480000000001</v>
      </c>
      <c r="N174" s="23">
        <f>(scatterplots_LWG_grazdays_CS!$V$4*$A174+scatterplots_LWG_grazdays_CS!$W$4)/1000</f>
        <v>-0.34328000000000009</v>
      </c>
      <c r="O174" s="23">
        <f t="shared" si="97"/>
        <v>-0.30328000000000011</v>
      </c>
      <c r="P174" s="23">
        <f t="shared" si="97"/>
        <v>-0.26328000000000007</v>
      </c>
      <c r="Q174" s="23">
        <f t="shared" si="97"/>
        <v>-0.22328000000000009</v>
      </c>
      <c r="R174" s="23">
        <f>(scatterplots_LWG_grazdays_CS!$V$4*$A174+scatterplots_LWG_grazdays_CS!$W$4)/1000+R173</f>
        <v>-4.0437200000000049</v>
      </c>
      <c r="S174" s="23">
        <f t="shared" si="108"/>
        <v>-0.76372000000000428</v>
      </c>
      <c r="T174" s="23">
        <f t="shared" si="109"/>
        <v>2.5162799999999952</v>
      </c>
      <c r="U174" s="23">
        <f t="shared" si="110"/>
        <v>5.7962799999999959</v>
      </c>
      <c r="V174" s="23">
        <f>(scatterplots_LWG_grazdays_CS!$V$5*$A174+scatterplots_LWG_grazdays_CS!$W$5)/1000</f>
        <v>-0.4361600000000001</v>
      </c>
      <c r="W174" s="23">
        <f t="shared" si="98"/>
        <v>-0.39616000000000012</v>
      </c>
      <c r="X174" s="23">
        <f t="shared" si="117"/>
        <v>-0.35616000000000009</v>
      </c>
      <c r="Y174" s="23">
        <f t="shared" si="117"/>
        <v>-0.31616000000000011</v>
      </c>
      <c r="Z174" s="23">
        <f>(scatterplots_LWG_grazdays_CS!$V$5*$A174+scatterplots_LWG_grazdays_CS!$W$5)/1000+Z173</f>
        <v>-12.077840000000005</v>
      </c>
      <c r="AA174" s="23">
        <f t="shared" si="111"/>
        <v>-8.7978400000000079</v>
      </c>
      <c r="AB174" s="23">
        <f t="shared" si="112"/>
        <v>-5.5178400000000059</v>
      </c>
      <c r="AC174" s="23">
        <f t="shared" si="113"/>
        <v>-2.2378400000000047</v>
      </c>
      <c r="AD174" s="23">
        <f>(scatterplots_LWG_grazdays_CS!$V$6*$A174+scatterplots_LWG_grazdays_CS!$W$6)/1000</f>
        <v>-0.58407999999999993</v>
      </c>
      <c r="AE174" s="23">
        <f t="shared" si="100"/>
        <v>-0.5440799999999999</v>
      </c>
      <c r="AF174" s="23">
        <f t="shared" si="102"/>
        <v>-0.50407999999999997</v>
      </c>
      <c r="AG174" s="23">
        <f t="shared" si="102"/>
        <v>-0.46407999999999994</v>
      </c>
      <c r="AH174" s="23">
        <f>(scatterplots_LWG_grazdays_CS!$V$6*$A174+scatterplots_LWG_grazdays_CS!$W$6)/1000+AH173</f>
        <v>-24.87291999999999</v>
      </c>
      <c r="AI174" s="23">
        <f t="shared" si="107"/>
        <v>-21.592919999999992</v>
      </c>
      <c r="AJ174" s="23">
        <f t="shared" si="114"/>
        <v>-18.312919999999988</v>
      </c>
      <c r="AK174" s="23">
        <f t="shared" si="115"/>
        <v>-15.03291999999999</v>
      </c>
    </row>
    <row r="175" spans="1:37">
      <c r="A175" s="12">
        <v>173</v>
      </c>
      <c r="B175" s="12">
        <v>84</v>
      </c>
      <c r="C175" s="23">
        <f>(scatterplots_LWG_grazdays_CS!$V$3*$A175+scatterplots_LWG_grazdays_CS!$W$3)/1000</f>
        <v>-0.19131999999999999</v>
      </c>
      <c r="D175" s="23">
        <f t="shared" si="116"/>
        <v>-0.15131999999999998</v>
      </c>
      <c r="E175" s="23">
        <f t="shared" si="116"/>
        <v>-0.11131999999999999</v>
      </c>
      <c r="F175" s="23">
        <f t="shared" si="116"/>
        <v>-7.1319999999999995E-2</v>
      </c>
      <c r="G175" s="23">
        <f>(scatterplots_LWG_grazdays_CS!$V$3*$A175+scatterplots_LWG_grazdays_CS!$W$3)/1000+G174</f>
        <v>9.1551600000000057</v>
      </c>
      <c r="H175" s="23">
        <f t="shared" si="104"/>
        <v>12.515160000000005</v>
      </c>
      <c r="I175" s="23">
        <f t="shared" si="90"/>
        <v>14.315160000000001</v>
      </c>
      <c r="J175" s="23">
        <f t="shared" si="103"/>
        <v>15.315160000000001</v>
      </c>
      <c r="K175" s="23">
        <f t="shared" si="101"/>
        <v>15.715160000000003</v>
      </c>
      <c r="L175" s="23">
        <f t="shared" si="105"/>
        <v>15.875160000000008</v>
      </c>
      <c r="M175" s="23">
        <f t="shared" si="106"/>
        <v>19.23516</v>
      </c>
      <c r="N175" s="23">
        <f>(scatterplots_LWG_grazdays_CS!$V$4*$A175+scatterplots_LWG_grazdays_CS!$W$4)/1000</f>
        <v>-0.34702</v>
      </c>
      <c r="O175" s="23">
        <f t="shared" si="97"/>
        <v>-0.30702000000000002</v>
      </c>
      <c r="P175" s="23">
        <f t="shared" si="97"/>
        <v>-0.26701999999999998</v>
      </c>
      <c r="Q175" s="23">
        <f t="shared" si="97"/>
        <v>-0.22702</v>
      </c>
      <c r="R175" s="23">
        <f>(scatterplots_LWG_grazdays_CS!$V$4*$A175+scatterplots_LWG_grazdays_CS!$W$4)/1000+R174</f>
        <v>-4.3907400000000045</v>
      </c>
      <c r="S175" s="23">
        <f t="shared" si="108"/>
        <v>-1.0707400000000042</v>
      </c>
      <c r="T175" s="23">
        <f t="shared" si="109"/>
        <v>2.2492599999999952</v>
      </c>
      <c r="U175" s="23">
        <f t="shared" si="110"/>
        <v>5.5692599999999963</v>
      </c>
      <c r="V175" s="23">
        <f>(scatterplots_LWG_grazdays_CS!$V$5*$A175+scatterplots_LWG_grazdays_CS!$W$5)/1000</f>
        <v>-0.44044000000000005</v>
      </c>
      <c r="W175" s="23">
        <f t="shared" si="98"/>
        <v>-0.40044000000000007</v>
      </c>
      <c r="X175" s="23">
        <f t="shared" si="117"/>
        <v>-0.36044000000000004</v>
      </c>
      <c r="Y175" s="23">
        <f t="shared" si="117"/>
        <v>-0.32044000000000006</v>
      </c>
      <c r="Z175" s="23">
        <f>(scatterplots_LWG_grazdays_CS!$V$5*$A175+scatterplots_LWG_grazdays_CS!$W$5)/1000+Z174</f>
        <v>-12.518280000000006</v>
      </c>
      <c r="AA175" s="23">
        <f t="shared" si="111"/>
        <v>-9.1982800000000076</v>
      </c>
      <c r="AB175" s="23">
        <f t="shared" si="112"/>
        <v>-5.8782800000000055</v>
      </c>
      <c r="AC175" s="23">
        <f t="shared" si="113"/>
        <v>-2.5582800000000048</v>
      </c>
      <c r="AD175" s="23">
        <f>(scatterplots_LWG_grazdays_CS!$V$6*$A175+scatterplots_LWG_grazdays_CS!$W$6)/1000</f>
        <v>-0.58921999999999997</v>
      </c>
      <c r="AE175" s="23">
        <f t="shared" si="100"/>
        <v>-0.54921999999999993</v>
      </c>
      <c r="AF175" s="23">
        <f t="shared" si="102"/>
        <v>-0.50922000000000001</v>
      </c>
      <c r="AG175" s="23">
        <f t="shared" si="102"/>
        <v>-0.46921999999999997</v>
      </c>
      <c r="AH175" s="23">
        <f>(scatterplots_LWG_grazdays_CS!$V$6*$A175+scatterplots_LWG_grazdays_CS!$W$6)/1000+AH174</f>
        <v>-25.462139999999991</v>
      </c>
      <c r="AI175" s="23">
        <f t="shared" si="107"/>
        <v>-22.142139999999991</v>
      </c>
      <c r="AJ175" s="23">
        <f t="shared" si="114"/>
        <v>-18.822139999999987</v>
      </c>
      <c r="AK175" s="23">
        <f t="shared" si="115"/>
        <v>-15.50213999999999</v>
      </c>
    </row>
    <row r="176" spans="1:37">
      <c r="A176" s="12">
        <v>174</v>
      </c>
      <c r="B176" s="12">
        <v>85</v>
      </c>
      <c r="C176" s="23">
        <f>(scatterplots_LWG_grazdays_CS!$V$3*$A176+scatterplots_LWG_grazdays_CS!$W$3)/1000</f>
        <v>-0.19415999999999997</v>
      </c>
      <c r="D176" s="23">
        <f t="shared" si="116"/>
        <v>-0.15415999999999996</v>
      </c>
      <c r="E176" s="23">
        <f t="shared" si="116"/>
        <v>-0.11415999999999997</v>
      </c>
      <c r="F176" s="23">
        <f t="shared" si="116"/>
        <v>-7.4159999999999976E-2</v>
      </c>
      <c r="G176" s="23">
        <f>(scatterplots_LWG_grazdays_CS!$V$3*$A176+scatterplots_LWG_grazdays_CS!$W$3)/1000+G175</f>
        <v>8.9610000000000056</v>
      </c>
      <c r="H176" s="23">
        <f t="shared" si="104"/>
        <v>12.361000000000006</v>
      </c>
      <c r="I176" s="23">
        <f t="shared" si="90"/>
        <v>14.161000000000001</v>
      </c>
      <c r="J176" s="23">
        <f t="shared" si="103"/>
        <v>15.161000000000001</v>
      </c>
      <c r="K176" s="23">
        <f t="shared" si="101"/>
        <v>15.561000000000003</v>
      </c>
      <c r="L176" s="23">
        <f t="shared" si="105"/>
        <v>15.761000000000008</v>
      </c>
      <c r="M176" s="23">
        <f t="shared" si="106"/>
        <v>19.161000000000001</v>
      </c>
      <c r="N176" s="23">
        <f>(scatterplots_LWG_grazdays_CS!$V$4*$A176+scatterplots_LWG_grazdays_CS!$W$4)/1000</f>
        <v>-0.35076000000000002</v>
      </c>
      <c r="O176" s="23">
        <f t="shared" si="97"/>
        <v>-0.31076000000000004</v>
      </c>
      <c r="P176" s="23">
        <f t="shared" si="97"/>
        <v>-0.27076</v>
      </c>
      <c r="Q176" s="23">
        <f t="shared" si="97"/>
        <v>-0.23076000000000002</v>
      </c>
      <c r="R176" s="23">
        <f>(scatterplots_LWG_grazdays_CS!$V$4*$A176+scatterplots_LWG_grazdays_CS!$W$4)/1000+R175</f>
        <v>-4.7415000000000047</v>
      </c>
      <c r="S176" s="23">
        <f t="shared" si="108"/>
        <v>-1.3815000000000044</v>
      </c>
      <c r="T176" s="23">
        <f t="shared" si="109"/>
        <v>1.978499999999995</v>
      </c>
      <c r="U176" s="23">
        <f t="shared" si="110"/>
        <v>5.3384999999999962</v>
      </c>
      <c r="V176" s="23">
        <f>(scatterplots_LWG_grazdays_CS!$V$5*$A176+scatterplots_LWG_grazdays_CS!$W$5)/1000</f>
        <v>-0.44472</v>
      </c>
      <c r="W176" s="23">
        <f t="shared" si="98"/>
        <v>-0.40472000000000002</v>
      </c>
      <c r="X176" s="23">
        <f t="shared" si="117"/>
        <v>-0.36471999999999999</v>
      </c>
      <c r="Y176" s="23">
        <f t="shared" si="117"/>
        <v>-0.32472000000000001</v>
      </c>
      <c r="Z176" s="23">
        <f>(scatterplots_LWG_grazdays_CS!$V$5*$A176+scatterplots_LWG_grazdays_CS!$W$5)/1000+Z175</f>
        <v>-12.963000000000006</v>
      </c>
      <c r="AA176" s="23">
        <f t="shared" si="111"/>
        <v>-9.6030000000000069</v>
      </c>
      <c r="AB176" s="23">
        <f t="shared" si="112"/>
        <v>-6.2430000000000057</v>
      </c>
      <c r="AC176" s="23">
        <f t="shared" si="113"/>
        <v>-2.8830000000000049</v>
      </c>
      <c r="AD176" s="23">
        <f>(scatterplots_LWG_grazdays_CS!$V$6*$A176+scatterplots_LWG_grazdays_CS!$W$6)/1000</f>
        <v>-0.59435999999999989</v>
      </c>
      <c r="AE176" s="23">
        <f t="shared" si="100"/>
        <v>-0.55435999999999985</v>
      </c>
      <c r="AF176" s="23">
        <f t="shared" si="102"/>
        <v>-0.51435999999999993</v>
      </c>
      <c r="AG176" s="23">
        <f t="shared" si="102"/>
        <v>-0.47435999999999989</v>
      </c>
      <c r="AH176" s="23">
        <f>(scatterplots_LWG_grazdays_CS!$V$6*$A176+scatterplots_LWG_grazdays_CS!$W$6)/1000+AH175</f>
        <v>-26.056499999999989</v>
      </c>
      <c r="AI176" s="23">
        <f t="shared" si="107"/>
        <v>-22.69649999999999</v>
      </c>
      <c r="AJ176" s="23">
        <f t="shared" si="114"/>
        <v>-19.336499999999987</v>
      </c>
      <c r="AK176" s="23">
        <f t="shared" si="115"/>
        <v>-15.976499999999991</v>
      </c>
    </row>
    <row r="177" spans="1:37">
      <c r="A177" s="12">
        <v>175</v>
      </c>
      <c r="B177" s="12">
        <v>86</v>
      </c>
      <c r="C177" s="23">
        <f>(scatterplots_LWG_grazdays_CS!$V$3*$A177+scatterplots_LWG_grazdays_CS!$W$3)/1000</f>
        <v>-0.19700000000000001</v>
      </c>
      <c r="D177" s="23">
        <f t="shared" si="116"/>
        <v>-0.157</v>
      </c>
      <c r="E177" s="23">
        <f t="shared" si="116"/>
        <v>-0.11700000000000001</v>
      </c>
      <c r="F177" s="23">
        <f t="shared" si="116"/>
        <v>-7.7000000000000013E-2</v>
      </c>
      <c r="G177" s="23">
        <f>(scatterplots_LWG_grazdays_CS!$V$3*$A177+scatterplots_LWG_grazdays_CS!$W$3)/1000+G176</f>
        <v>8.7640000000000065</v>
      </c>
      <c r="H177" s="23">
        <f t="shared" si="104"/>
        <v>12.204000000000006</v>
      </c>
      <c r="I177" s="23">
        <f t="shared" si="90"/>
        <v>14.004000000000001</v>
      </c>
      <c r="J177" s="23">
        <f t="shared" si="103"/>
        <v>15.004000000000001</v>
      </c>
      <c r="K177" s="23">
        <f t="shared" si="101"/>
        <v>15.404000000000003</v>
      </c>
      <c r="L177" s="23">
        <f t="shared" si="105"/>
        <v>15.644000000000007</v>
      </c>
      <c r="M177" s="23">
        <f t="shared" si="106"/>
        <v>19.084</v>
      </c>
      <c r="N177" s="23">
        <f>(scatterplots_LWG_grazdays_CS!$V$4*$A177+scatterplots_LWG_grazdays_CS!$W$4)/1000</f>
        <v>-0.35449999999999998</v>
      </c>
      <c r="O177" s="23">
        <f t="shared" si="97"/>
        <v>-0.3145</v>
      </c>
      <c r="P177" s="23">
        <f t="shared" si="97"/>
        <v>-0.27449999999999997</v>
      </c>
      <c r="Q177" s="23">
        <f t="shared" si="97"/>
        <v>-0.23449999999999999</v>
      </c>
      <c r="R177" s="23">
        <f>(scatterplots_LWG_grazdays_CS!$V$4*$A177+scatterplots_LWG_grazdays_CS!$W$4)/1000+R176</f>
        <v>-5.0960000000000045</v>
      </c>
      <c r="S177" s="23">
        <f t="shared" si="108"/>
        <v>-1.6960000000000044</v>
      </c>
      <c r="T177" s="23">
        <f t="shared" si="109"/>
        <v>1.7039999999999951</v>
      </c>
      <c r="U177" s="23">
        <f t="shared" si="110"/>
        <v>5.1039999999999965</v>
      </c>
      <c r="V177" s="23">
        <f>(scatterplots_LWG_grazdays_CS!$V$5*$A177+scatterplots_LWG_grazdays_CS!$W$5)/1000</f>
        <v>-0.44900000000000001</v>
      </c>
      <c r="W177" s="23">
        <f t="shared" si="98"/>
        <v>-0.40900000000000003</v>
      </c>
      <c r="X177" s="23">
        <f t="shared" si="117"/>
        <v>-0.36899999999999999</v>
      </c>
      <c r="Y177" s="23">
        <f t="shared" si="117"/>
        <v>-0.32900000000000001</v>
      </c>
      <c r="Z177" s="23">
        <f>(scatterplots_LWG_grazdays_CS!$V$5*$A177+scatterplots_LWG_grazdays_CS!$W$5)/1000+Z176</f>
        <v>-13.412000000000006</v>
      </c>
      <c r="AA177" s="23">
        <f t="shared" si="111"/>
        <v>-10.012000000000008</v>
      </c>
      <c r="AB177" s="23">
        <f t="shared" si="112"/>
        <v>-6.6120000000000054</v>
      </c>
      <c r="AC177" s="23">
        <f t="shared" si="113"/>
        <v>-3.2120000000000051</v>
      </c>
      <c r="AD177" s="23">
        <f>(scatterplots_LWG_grazdays_CS!$V$6*$A177+scatterplots_LWG_grazdays_CS!$W$6)/1000</f>
        <v>-0.59950000000000003</v>
      </c>
      <c r="AE177" s="23">
        <f t="shared" si="100"/>
        <v>-0.5595</v>
      </c>
      <c r="AF177" s="23">
        <f t="shared" si="102"/>
        <v>-0.51950000000000007</v>
      </c>
      <c r="AG177" s="23">
        <f t="shared" si="102"/>
        <v>-0.47950000000000004</v>
      </c>
      <c r="AH177" s="23">
        <f>(scatterplots_LWG_grazdays_CS!$V$6*$A177+scatterplots_LWG_grazdays_CS!$W$6)/1000+AH176</f>
        <v>-26.655999999999988</v>
      </c>
      <c r="AI177" s="23">
        <f t="shared" si="107"/>
        <v>-23.25599999999999</v>
      </c>
      <c r="AJ177" s="23">
        <f t="shared" si="114"/>
        <v>-19.855999999999987</v>
      </c>
      <c r="AK177" s="23">
        <f t="shared" si="115"/>
        <v>-16.455999999999992</v>
      </c>
    </row>
    <row r="178" spans="1:37">
      <c r="A178" s="12">
        <v>176</v>
      </c>
      <c r="B178" s="12">
        <v>87</v>
      </c>
      <c r="C178" s="23">
        <f>(scatterplots_LWG_grazdays_CS!$V$3*$A178+scatterplots_LWG_grazdays_CS!$W$3)/1000</f>
        <v>-0.19983999999999996</v>
      </c>
      <c r="D178" s="23">
        <f t="shared" si="116"/>
        <v>-0.15983999999999995</v>
      </c>
      <c r="E178" s="23">
        <f t="shared" si="116"/>
        <v>-0.11983999999999996</v>
      </c>
      <c r="F178" s="23">
        <f t="shared" si="116"/>
        <v>-7.9839999999999967E-2</v>
      </c>
      <c r="G178" s="23">
        <f>(scatterplots_LWG_grazdays_CS!$V$3*$A178+scatterplots_LWG_grazdays_CS!$W$3)/1000+G177</f>
        <v>8.5641600000000064</v>
      </c>
      <c r="H178" s="23">
        <f>D178+H177</f>
        <v>12.044160000000007</v>
      </c>
      <c r="I178" s="23">
        <f t="shared" ref="I178:I202" si="118">D178+I177</f>
        <v>13.844160000000002</v>
      </c>
      <c r="J178" s="23">
        <f t="shared" si="103"/>
        <v>14.844160000000002</v>
      </c>
      <c r="K178" s="23">
        <f t="shared" si="101"/>
        <v>15.244160000000004</v>
      </c>
      <c r="L178" s="23">
        <f t="shared" si="105"/>
        <v>15.524160000000007</v>
      </c>
      <c r="M178" s="23">
        <f t="shared" si="106"/>
        <v>19.004159999999999</v>
      </c>
      <c r="N178" s="23">
        <f>(scatterplots_LWG_grazdays_CS!$V$4*$A178+scatterplots_LWG_grazdays_CS!$W$4)/1000</f>
        <v>-0.35824</v>
      </c>
      <c r="O178" s="23">
        <f t="shared" si="97"/>
        <v>-0.31824000000000002</v>
      </c>
      <c r="P178" s="23">
        <f t="shared" si="97"/>
        <v>-0.27823999999999999</v>
      </c>
      <c r="Q178" s="23">
        <f t="shared" si="97"/>
        <v>-0.23824000000000001</v>
      </c>
      <c r="R178" s="23">
        <f>(scatterplots_LWG_grazdays_CS!$V$4*$A178+scatterplots_LWG_grazdays_CS!$W$4)/1000+R177</f>
        <v>-5.4542400000000049</v>
      </c>
      <c r="S178" s="23">
        <f t="shared" si="108"/>
        <v>-2.0142400000000045</v>
      </c>
      <c r="T178" s="23">
        <f t="shared" si="109"/>
        <v>1.425759999999995</v>
      </c>
      <c r="U178" s="23">
        <f t="shared" si="110"/>
        <v>4.8657599999999963</v>
      </c>
      <c r="V178" s="23">
        <f>(scatterplots_LWG_grazdays_CS!$V$5*$A178+scatterplots_LWG_grazdays_CS!$W$5)/1000</f>
        <v>-0.45328000000000007</v>
      </c>
      <c r="W178" s="23">
        <f t="shared" si="98"/>
        <v>-0.41328000000000009</v>
      </c>
      <c r="X178" s="23">
        <f t="shared" si="117"/>
        <v>-0.37328000000000006</v>
      </c>
      <c r="Y178" s="23">
        <f t="shared" si="117"/>
        <v>-0.33328000000000008</v>
      </c>
      <c r="Z178" s="23">
        <f>(scatterplots_LWG_grazdays_CS!$V$5*$A178+scatterplots_LWG_grazdays_CS!$W$5)/1000+Z177</f>
        <v>-13.865280000000006</v>
      </c>
      <c r="AA178" s="23">
        <f t="shared" si="111"/>
        <v>-10.425280000000008</v>
      </c>
      <c r="AB178" s="23">
        <f t="shared" si="112"/>
        <v>-6.9852800000000057</v>
      </c>
      <c r="AC178" s="23">
        <f t="shared" si="113"/>
        <v>-3.5452800000000053</v>
      </c>
      <c r="AD178" s="23">
        <f>(scatterplots_LWG_grazdays_CS!$V$6*$A178+scatterplots_LWG_grazdays_CS!$W$6)/1000</f>
        <v>-0.60463999999999996</v>
      </c>
      <c r="AE178" s="23">
        <f t="shared" si="100"/>
        <v>-0.56463999999999992</v>
      </c>
      <c r="AF178" s="23">
        <f t="shared" si="102"/>
        <v>-0.52464</v>
      </c>
      <c r="AG178" s="23">
        <f t="shared" si="102"/>
        <v>-0.48463999999999996</v>
      </c>
      <c r="AH178" s="23">
        <f>(scatterplots_LWG_grazdays_CS!$V$6*$A178+scatterplots_LWG_grazdays_CS!$W$6)/1000+AH177</f>
        <v>-27.260639999999988</v>
      </c>
      <c r="AI178" s="23">
        <f t="shared" si="107"/>
        <v>-23.82063999999999</v>
      </c>
      <c r="AJ178" s="23">
        <f t="shared" si="114"/>
        <v>-20.380639999999989</v>
      </c>
      <c r="AK178" s="23">
        <f t="shared" si="115"/>
        <v>-16.940639999999991</v>
      </c>
    </row>
    <row r="179" spans="1:37">
      <c r="A179" s="12">
        <v>177</v>
      </c>
      <c r="B179" s="12">
        <v>88</v>
      </c>
      <c r="C179" s="23">
        <f>(scatterplots_LWG_grazdays_CS!$V$3*$A179+scatterplots_LWG_grazdays_CS!$W$3)/1000</f>
        <v>-0.20267999999999994</v>
      </c>
      <c r="D179" s="23">
        <f t="shared" si="116"/>
        <v>-0.16267999999999994</v>
      </c>
      <c r="E179" s="23">
        <f t="shared" si="116"/>
        <v>-0.12267999999999994</v>
      </c>
      <c r="F179" s="23">
        <f t="shared" si="116"/>
        <v>-8.2679999999999948E-2</v>
      </c>
      <c r="G179" s="23">
        <f>(scatterplots_LWG_grazdays_CS!$V$3*$A179+scatterplots_LWG_grazdays_CS!$W$3)/1000+G178</f>
        <v>8.3614800000000074</v>
      </c>
      <c r="H179" s="23">
        <f>D179+H178</f>
        <v>11.881480000000007</v>
      </c>
      <c r="I179" s="23">
        <f t="shared" si="118"/>
        <v>13.681480000000002</v>
      </c>
      <c r="J179" s="23">
        <f t="shared" si="103"/>
        <v>14.681480000000002</v>
      </c>
      <c r="K179" s="23">
        <f t="shared" si="101"/>
        <v>15.081480000000004</v>
      </c>
      <c r="L179" s="23">
        <f t="shared" si="105"/>
        <v>15.401480000000006</v>
      </c>
      <c r="M179" s="23">
        <f t="shared" si="106"/>
        <v>18.921479999999999</v>
      </c>
      <c r="N179" s="23">
        <f>(scatterplots_LWG_grazdays_CS!$V$4*$A179+scatterplots_LWG_grazdays_CS!$W$4)/1000</f>
        <v>-0.36198000000000002</v>
      </c>
      <c r="O179" s="23">
        <f t="shared" si="97"/>
        <v>-0.32198000000000004</v>
      </c>
      <c r="P179" s="23">
        <f t="shared" si="97"/>
        <v>-0.28198000000000001</v>
      </c>
      <c r="Q179" s="23">
        <f t="shared" si="97"/>
        <v>-0.24198000000000003</v>
      </c>
      <c r="R179" s="23">
        <f>(scatterplots_LWG_grazdays_CS!$V$4*$A179+scatterplots_LWG_grazdays_CS!$W$4)/1000+R178</f>
        <v>-5.8162200000000048</v>
      </c>
      <c r="S179" s="23">
        <f t="shared" si="108"/>
        <v>-2.3362200000000044</v>
      </c>
      <c r="T179" s="23">
        <f t="shared" si="109"/>
        <v>1.1437799999999951</v>
      </c>
      <c r="U179" s="23">
        <f t="shared" si="110"/>
        <v>4.6237799999999964</v>
      </c>
      <c r="V179" s="23">
        <f>(scatterplots_LWG_grazdays_CS!$V$5*$A179+scatterplots_LWG_grazdays_CS!$W$5)/1000</f>
        <v>-0.45756000000000008</v>
      </c>
      <c r="W179" s="23">
        <f t="shared" si="98"/>
        <v>-0.4175600000000001</v>
      </c>
      <c r="X179" s="23">
        <f t="shared" si="117"/>
        <v>-0.37756000000000006</v>
      </c>
      <c r="Y179" s="23">
        <f t="shared" si="117"/>
        <v>-0.33756000000000008</v>
      </c>
      <c r="Z179" s="23">
        <f>(scatterplots_LWG_grazdays_CS!$V$5*$A179+scatterplots_LWG_grazdays_CS!$W$5)/1000+Z178</f>
        <v>-14.322840000000006</v>
      </c>
      <c r="AA179" s="23">
        <f t="shared" si="111"/>
        <v>-10.842840000000008</v>
      </c>
      <c r="AB179" s="23">
        <f t="shared" si="112"/>
        <v>-7.3628400000000056</v>
      </c>
      <c r="AC179" s="23">
        <f t="shared" si="113"/>
        <v>-3.8828400000000052</v>
      </c>
      <c r="AD179" s="23">
        <f>(scatterplots_LWG_grazdays_CS!$V$6*$A179+scatterplots_LWG_grazdays_CS!$W$6)/1000</f>
        <v>-0.60977999999999999</v>
      </c>
      <c r="AE179" s="23">
        <f t="shared" si="100"/>
        <v>-0.56977999999999995</v>
      </c>
      <c r="AF179" s="23">
        <f t="shared" si="102"/>
        <v>-0.52978000000000003</v>
      </c>
      <c r="AG179" s="23">
        <f t="shared" si="102"/>
        <v>-0.48977999999999999</v>
      </c>
      <c r="AH179" s="23">
        <f>(scatterplots_LWG_grazdays_CS!$V$6*$A179+scatterplots_LWG_grazdays_CS!$W$6)/1000+AH178</f>
        <v>-27.870419999999989</v>
      </c>
      <c r="AI179" s="23">
        <f t="shared" si="107"/>
        <v>-24.390419999999992</v>
      </c>
      <c r="AJ179" s="23">
        <f t="shared" si="114"/>
        <v>-20.910419999999988</v>
      </c>
      <c r="AK179" s="23">
        <f t="shared" si="115"/>
        <v>-17.430419999999991</v>
      </c>
    </row>
    <row r="180" spans="1:37">
      <c r="A180" s="12">
        <v>178</v>
      </c>
      <c r="B180" s="12">
        <v>89</v>
      </c>
      <c r="C180" s="23">
        <f>(scatterplots_LWG_grazdays_CS!$V$3*$A180+scatterplots_LWG_grazdays_CS!$W$3)/1000</f>
        <v>-0.20551999999999998</v>
      </c>
      <c r="D180" s="23">
        <f t="shared" si="116"/>
        <v>-0.16551999999999997</v>
      </c>
      <c r="E180" s="23">
        <f t="shared" si="116"/>
        <v>-0.12551999999999996</v>
      </c>
      <c r="F180" s="23">
        <f t="shared" si="116"/>
        <v>-8.5519999999999985E-2</v>
      </c>
      <c r="G180" s="23">
        <f>(scatterplots_LWG_grazdays_CS!$V$3*$A180+scatterplots_LWG_grazdays_CS!$W$3)/1000+G179</f>
        <v>8.1559600000000074</v>
      </c>
      <c r="H180" s="23">
        <f t="shared" si="104"/>
        <v>11.715960000000006</v>
      </c>
      <c r="I180" s="23">
        <f t="shared" si="118"/>
        <v>13.515960000000002</v>
      </c>
      <c r="J180" s="23">
        <f t="shared" si="103"/>
        <v>14.515960000000002</v>
      </c>
      <c r="K180" s="23">
        <f t="shared" si="101"/>
        <v>14.915960000000004</v>
      </c>
      <c r="L180" s="23">
        <f t="shared" si="105"/>
        <v>15.275960000000007</v>
      </c>
      <c r="M180" s="23">
        <f t="shared" si="106"/>
        <v>18.83596</v>
      </c>
      <c r="N180" s="23">
        <f>(scatterplots_LWG_grazdays_CS!$V$4*$A180+scatterplots_LWG_grazdays_CS!$W$4)/1000</f>
        <v>-0.36572000000000005</v>
      </c>
      <c r="O180" s="23">
        <f t="shared" si="97"/>
        <v>-0.32572000000000007</v>
      </c>
      <c r="P180" s="23">
        <f t="shared" si="97"/>
        <v>-0.28572000000000003</v>
      </c>
      <c r="Q180" s="23">
        <f t="shared" si="97"/>
        <v>-0.24572000000000005</v>
      </c>
      <c r="R180" s="23">
        <f>(scatterplots_LWG_grazdays_CS!$V$4*$A180+scatterplots_LWG_grazdays_CS!$W$4)/1000+R179</f>
        <v>-6.1819400000000044</v>
      </c>
      <c r="S180" s="23">
        <f t="shared" si="108"/>
        <v>-2.6619400000000044</v>
      </c>
      <c r="T180" s="23">
        <f t="shared" si="109"/>
        <v>0.85805999999999516</v>
      </c>
      <c r="U180" s="23">
        <f t="shared" si="110"/>
        <v>4.3780599999999961</v>
      </c>
      <c r="V180" s="23">
        <f>(scatterplots_LWG_grazdays_CS!$V$5*$A180+scatterplots_LWG_grazdays_CS!$W$5)/1000</f>
        <v>-0.46184000000000003</v>
      </c>
      <c r="W180" s="23">
        <f t="shared" si="98"/>
        <v>-0.42184000000000005</v>
      </c>
      <c r="X180" s="23">
        <f t="shared" si="117"/>
        <v>-0.38184000000000001</v>
      </c>
      <c r="Y180" s="23">
        <f t="shared" si="117"/>
        <v>-0.34184000000000003</v>
      </c>
      <c r="Z180" s="23">
        <f>(scatterplots_LWG_grazdays_CS!$V$5*$A180+scatterplots_LWG_grazdays_CS!$W$5)/1000+Z179</f>
        <v>-14.784680000000007</v>
      </c>
      <c r="AA180" s="23">
        <f t="shared" si="111"/>
        <v>-11.264680000000007</v>
      </c>
      <c r="AB180" s="23">
        <f t="shared" si="112"/>
        <v>-7.744680000000006</v>
      </c>
      <c r="AC180" s="23">
        <f t="shared" si="113"/>
        <v>-4.2246800000000055</v>
      </c>
      <c r="AD180" s="23">
        <f>(scatterplots_LWG_grazdays_CS!$V$6*$A180+scatterplots_LWG_grazdays_CS!$W$6)/1000</f>
        <v>-0.61491999999999991</v>
      </c>
      <c r="AE180" s="23">
        <f t="shared" si="100"/>
        <v>-0.57491999999999988</v>
      </c>
      <c r="AF180" s="23">
        <f t="shared" si="102"/>
        <v>-0.53491999999999995</v>
      </c>
      <c r="AG180" s="23">
        <f t="shared" si="102"/>
        <v>-0.49491999999999992</v>
      </c>
      <c r="AH180" s="23">
        <f>(scatterplots_LWG_grazdays_CS!$V$6*$A180+scatterplots_LWG_grazdays_CS!$W$6)/1000+AH179</f>
        <v>-28.48533999999999</v>
      </c>
      <c r="AI180" s="23">
        <f t="shared" si="107"/>
        <v>-24.965339999999991</v>
      </c>
      <c r="AJ180" s="23">
        <f t="shared" si="114"/>
        <v>-21.445339999999987</v>
      </c>
      <c r="AK180" s="23">
        <f t="shared" si="115"/>
        <v>-17.925339999999991</v>
      </c>
    </row>
    <row r="181" spans="1:37">
      <c r="A181" s="12">
        <v>179</v>
      </c>
      <c r="B181" s="12">
        <v>90</v>
      </c>
      <c r="C181" s="23">
        <f>(scatterplots_LWG_grazdays_CS!$V$3*$A181+scatterplots_LWG_grazdays_CS!$W$3)/1000</f>
        <v>-0.20835999999999996</v>
      </c>
      <c r="D181" s="23">
        <f t="shared" si="116"/>
        <v>-0.16835999999999995</v>
      </c>
      <c r="E181" s="23">
        <f t="shared" si="116"/>
        <v>-0.12835999999999997</v>
      </c>
      <c r="F181" s="23">
        <f t="shared" si="116"/>
        <v>-8.8359999999999966E-2</v>
      </c>
      <c r="G181" s="23">
        <f>(scatterplots_LWG_grazdays_CS!$V$3*$A181+scatterplots_LWG_grazdays_CS!$W$3)/1000+G180</f>
        <v>7.9476000000000075</v>
      </c>
      <c r="H181" s="23">
        <f t="shared" si="104"/>
        <v>11.547600000000006</v>
      </c>
      <c r="I181" s="23">
        <f t="shared" si="118"/>
        <v>13.347600000000002</v>
      </c>
      <c r="J181" s="23">
        <f t="shared" si="103"/>
        <v>14.347600000000002</v>
      </c>
      <c r="K181" s="23">
        <f t="shared" si="101"/>
        <v>14.747600000000004</v>
      </c>
      <c r="L181" s="23">
        <f t="shared" si="105"/>
        <v>15.147600000000006</v>
      </c>
      <c r="M181" s="23">
        <f t="shared" si="106"/>
        <v>18.747599999999998</v>
      </c>
      <c r="N181" s="23">
        <f>(scatterplots_LWG_grazdays_CS!$V$4*$A181+scatterplots_LWG_grazdays_CS!$W$4)/1000</f>
        <v>-0.36946000000000001</v>
      </c>
      <c r="O181" s="23">
        <f t="shared" si="97"/>
        <v>-0.32946000000000003</v>
      </c>
      <c r="P181" s="23">
        <f t="shared" si="97"/>
        <v>-0.28946</v>
      </c>
      <c r="Q181" s="23">
        <f t="shared" si="97"/>
        <v>-0.24946000000000002</v>
      </c>
      <c r="R181" s="23">
        <f>(scatterplots_LWG_grazdays_CS!$V$4*$A181+scatterplots_LWG_grazdays_CS!$W$4)/1000+R180</f>
        <v>-6.5514000000000046</v>
      </c>
      <c r="S181" s="23">
        <f t="shared" si="108"/>
        <v>-2.9914000000000045</v>
      </c>
      <c r="T181" s="23">
        <f t="shared" si="109"/>
        <v>0.56859999999999511</v>
      </c>
      <c r="U181" s="23">
        <f t="shared" si="110"/>
        <v>4.1285999999999961</v>
      </c>
      <c r="V181" s="23">
        <f>(scatterplots_LWG_grazdays_CS!$V$5*$A181+scatterplots_LWG_grazdays_CS!$W$5)/1000</f>
        <v>-0.46611999999999998</v>
      </c>
      <c r="W181" s="23">
        <f t="shared" si="98"/>
        <v>-0.42612</v>
      </c>
      <c r="X181" s="23">
        <f t="shared" si="117"/>
        <v>-0.38611999999999996</v>
      </c>
      <c r="Y181" s="23">
        <f t="shared" si="117"/>
        <v>-0.34611999999999998</v>
      </c>
      <c r="Z181" s="23">
        <f>(scatterplots_LWG_grazdays_CS!$V$5*$A181+scatterplots_LWG_grazdays_CS!$W$5)/1000+Z180</f>
        <v>-15.250800000000007</v>
      </c>
      <c r="AA181" s="23">
        <f t="shared" si="111"/>
        <v>-11.690800000000007</v>
      </c>
      <c r="AB181" s="23">
        <f t="shared" si="112"/>
        <v>-8.130800000000006</v>
      </c>
      <c r="AC181" s="23">
        <f t="shared" si="113"/>
        <v>-4.5708000000000055</v>
      </c>
      <c r="AD181" s="23">
        <f>(scatterplots_LWG_grazdays_CS!$V$6*$A181+scatterplots_LWG_grazdays_CS!$W$6)/1000</f>
        <v>-0.62005999999999994</v>
      </c>
      <c r="AE181" s="23">
        <f t="shared" si="100"/>
        <v>-0.58005999999999991</v>
      </c>
      <c r="AF181" s="23">
        <f t="shared" si="102"/>
        <v>-0.54005999999999998</v>
      </c>
      <c r="AG181" s="23">
        <f t="shared" si="102"/>
        <v>-0.50005999999999995</v>
      </c>
      <c r="AH181" s="23">
        <f>(scatterplots_LWG_grazdays_CS!$V$6*$A181+scatterplots_LWG_grazdays_CS!$W$6)/1000+AH180</f>
        <v>-29.105399999999989</v>
      </c>
      <c r="AI181" s="23">
        <f t="shared" si="107"/>
        <v>-25.54539999999999</v>
      </c>
      <c r="AJ181" s="23">
        <f t="shared" si="114"/>
        <v>-21.985399999999988</v>
      </c>
      <c r="AK181" s="23">
        <f t="shared" si="115"/>
        <v>-18.425399999999993</v>
      </c>
    </row>
    <row r="182" spans="1:37">
      <c r="A182" s="12">
        <v>180</v>
      </c>
      <c r="B182" s="12">
        <v>91</v>
      </c>
      <c r="C182" s="23">
        <f>(scatterplots_LWG_grazdays_CS!$V$3*$A182+scatterplots_LWG_grazdays_CS!$W$3)/1000</f>
        <v>-0.2112</v>
      </c>
      <c r="D182" s="23">
        <f t="shared" si="116"/>
        <v>-0.17119999999999999</v>
      </c>
      <c r="E182" s="23">
        <f t="shared" si="116"/>
        <v>-0.13119999999999998</v>
      </c>
      <c r="F182" s="23">
        <f t="shared" si="116"/>
        <v>-9.1200000000000003E-2</v>
      </c>
      <c r="G182" s="23">
        <f>(scatterplots_LWG_grazdays_CS!$V$3*$A182+scatterplots_LWG_grazdays_CS!$W$3)/1000+G181</f>
        <v>7.7364000000000077</v>
      </c>
      <c r="H182" s="23">
        <f t="shared" si="104"/>
        <v>11.376400000000006</v>
      </c>
      <c r="I182" s="23">
        <f t="shared" si="118"/>
        <v>13.176400000000001</v>
      </c>
      <c r="J182" s="23">
        <f t="shared" si="103"/>
        <v>14.176400000000001</v>
      </c>
      <c r="K182" s="23">
        <f t="shared" si="101"/>
        <v>14.576400000000003</v>
      </c>
      <c r="L182" s="23">
        <f t="shared" si="105"/>
        <v>15.016400000000006</v>
      </c>
      <c r="M182" s="23">
        <f t="shared" si="106"/>
        <v>18.656399999999998</v>
      </c>
      <c r="N182" s="23">
        <f>(scatterplots_LWG_grazdays_CS!$V$4*$A182+scatterplots_LWG_grazdays_CS!$W$4)/1000</f>
        <v>-0.37320000000000003</v>
      </c>
      <c r="O182" s="23">
        <f t="shared" si="97"/>
        <v>-0.33320000000000005</v>
      </c>
      <c r="P182" s="23">
        <f t="shared" si="97"/>
        <v>-0.29320000000000002</v>
      </c>
      <c r="Q182" s="23">
        <f t="shared" si="97"/>
        <v>-0.25320000000000004</v>
      </c>
      <c r="R182" s="23">
        <f>(scatterplots_LWG_grazdays_CS!$V$4*$A182+scatterplots_LWG_grazdays_CS!$W$4)/1000+R181</f>
        <v>-6.9246000000000043</v>
      </c>
      <c r="S182" s="23">
        <f t="shared" si="108"/>
        <v>-3.3246000000000047</v>
      </c>
      <c r="T182" s="23">
        <f t="shared" si="109"/>
        <v>0.27539999999999509</v>
      </c>
      <c r="U182" s="23">
        <f t="shared" si="110"/>
        <v>3.875399999999996</v>
      </c>
      <c r="V182" s="23">
        <f>(scatterplots_LWG_grazdays_CS!$V$5*$A182+scatterplots_LWG_grazdays_CS!$W$5)/1000</f>
        <v>-0.4704000000000001</v>
      </c>
      <c r="W182" s="23">
        <f t="shared" si="98"/>
        <v>-0.43040000000000012</v>
      </c>
      <c r="X182" s="23">
        <f t="shared" si="117"/>
        <v>-0.39040000000000008</v>
      </c>
      <c r="Y182" s="23">
        <f t="shared" si="117"/>
        <v>-0.3504000000000001</v>
      </c>
      <c r="Z182" s="23">
        <f>(scatterplots_LWG_grazdays_CS!$V$5*$A182+scatterplots_LWG_grazdays_CS!$W$5)/1000+Z181</f>
        <v>-15.721200000000007</v>
      </c>
      <c r="AA182" s="23">
        <f t="shared" si="111"/>
        <v>-12.121200000000007</v>
      </c>
      <c r="AB182" s="23">
        <f t="shared" si="112"/>
        <v>-8.5212000000000057</v>
      </c>
      <c r="AC182" s="23">
        <f t="shared" si="113"/>
        <v>-4.921200000000006</v>
      </c>
      <c r="AD182" s="23">
        <f>(scatterplots_LWG_grazdays_CS!$V$6*$A182+scatterplots_LWG_grazdays_CS!$W$6)/1000</f>
        <v>-0.62519999999999998</v>
      </c>
      <c r="AE182" s="23">
        <f t="shared" si="100"/>
        <v>-0.58519999999999994</v>
      </c>
      <c r="AF182" s="23">
        <f t="shared" si="102"/>
        <v>-0.54520000000000002</v>
      </c>
      <c r="AG182" s="23">
        <f t="shared" si="102"/>
        <v>-0.50519999999999998</v>
      </c>
      <c r="AH182" s="23">
        <f>(scatterplots_LWG_grazdays_CS!$V$6*$A182+scatterplots_LWG_grazdays_CS!$W$6)/1000+AH181</f>
        <v>-29.730599999999988</v>
      </c>
      <c r="AI182" s="23">
        <f t="shared" si="107"/>
        <v>-26.130599999999991</v>
      </c>
      <c r="AJ182" s="23">
        <f t="shared" si="114"/>
        <v>-22.530599999999989</v>
      </c>
      <c r="AK182" s="23">
        <f t="shared" si="115"/>
        <v>-18.930599999999991</v>
      </c>
    </row>
    <row r="183" spans="1:37">
      <c r="A183" s="12">
        <v>181</v>
      </c>
      <c r="B183" s="12">
        <v>92</v>
      </c>
      <c r="C183" s="23">
        <f>(scatterplots_LWG_grazdays_CS!$V$3*$A183+scatterplots_LWG_grazdays_CS!$W$3)/1000</f>
        <v>-0.21403999999999995</v>
      </c>
      <c r="D183" s="23">
        <f t="shared" si="116"/>
        <v>-0.17403999999999994</v>
      </c>
      <c r="E183" s="23">
        <f t="shared" si="116"/>
        <v>-0.13403999999999994</v>
      </c>
      <c r="F183" s="23">
        <f t="shared" si="116"/>
        <v>-9.4039999999999957E-2</v>
      </c>
      <c r="G183" s="23">
        <f>(scatterplots_LWG_grazdays_CS!$V$3*$A183+scatterplots_LWG_grazdays_CS!$W$3)/1000+G182</f>
        <v>7.5223600000000079</v>
      </c>
      <c r="H183" s="23">
        <f t="shared" si="104"/>
        <v>11.202360000000006</v>
      </c>
      <c r="I183" s="23">
        <f t="shared" si="118"/>
        <v>13.002360000000001</v>
      </c>
      <c r="J183" s="23">
        <f t="shared" si="103"/>
        <v>14.002360000000001</v>
      </c>
      <c r="K183" s="23">
        <f t="shared" si="101"/>
        <v>14.402360000000003</v>
      </c>
      <c r="L183" s="23">
        <f t="shared" si="105"/>
        <v>14.882360000000006</v>
      </c>
      <c r="M183" s="23">
        <f t="shared" si="106"/>
        <v>18.562359999999998</v>
      </c>
      <c r="N183" s="23">
        <f>(scatterplots_LWG_grazdays_CS!$V$4*$A183+scatterplots_LWG_grazdays_CS!$W$4)/1000</f>
        <v>-0.37694000000000005</v>
      </c>
      <c r="O183" s="23">
        <f t="shared" si="97"/>
        <v>-0.33694000000000007</v>
      </c>
      <c r="P183" s="23">
        <f t="shared" si="97"/>
        <v>-0.29694000000000004</v>
      </c>
      <c r="Q183" s="23">
        <f t="shared" si="97"/>
        <v>-0.25694000000000006</v>
      </c>
      <c r="R183" s="23">
        <f>(scatterplots_LWG_grazdays_CS!$V$4*$A183+scatterplots_LWG_grazdays_CS!$W$4)/1000+R182</f>
        <v>-7.3015400000000046</v>
      </c>
      <c r="S183" s="23">
        <f t="shared" si="108"/>
        <v>-3.6615400000000049</v>
      </c>
      <c r="T183" s="23">
        <f t="shared" si="109"/>
        <v>-2.1540000000004944E-2</v>
      </c>
      <c r="U183" s="23">
        <f t="shared" si="110"/>
        <v>3.6184599999999958</v>
      </c>
      <c r="V183" s="23">
        <f>(scatterplots_LWG_grazdays_CS!$V$5*$A183+scatterplots_LWG_grazdays_CS!$W$5)/1000</f>
        <v>-0.47468000000000005</v>
      </c>
      <c r="W183" s="23">
        <f t="shared" si="98"/>
        <v>-0.43468000000000007</v>
      </c>
      <c r="X183" s="23">
        <f t="shared" si="117"/>
        <v>-0.39468000000000003</v>
      </c>
      <c r="Y183" s="23">
        <f t="shared" si="117"/>
        <v>-0.35468000000000005</v>
      </c>
      <c r="Z183" s="23">
        <f>(scatterplots_LWG_grazdays_CS!$V$5*$A183+scatterplots_LWG_grazdays_CS!$W$5)/1000+Z182</f>
        <v>-16.195880000000006</v>
      </c>
      <c r="AA183" s="23">
        <f t="shared" si="111"/>
        <v>-12.555880000000007</v>
      </c>
      <c r="AB183" s="23">
        <f t="shared" si="112"/>
        <v>-8.9158800000000049</v>
      </c>
      <c r="AC183" s="23">
        <f t="shared" si="113"/>
        <v>-5.2758800000000061</v>
      </c>
      <c r="AD183" s="23">
        <f>(scatterplots_LWG_grazdays_CS!$V$6*$A183+scatterplots_LWG_grazdays_CS!$W$6)/1000</f>
        <v>-0.6303399999999999</v>
      </c>
      <c r="AE183" s="23">
        <f t="shared" si="100"/>
        <v>-0.59033999999999986</v>
      </c>
      <c r="AF183" s="23">
        <f t="shared" si="102"/>
        <v>-0.55033999999999994</v>
      </c>
      <c r="AG183" s="23">
        <f t="shared" si="102"/>
        <v>-0.5103399999999999</v>
      </c>
      <c r="AH183" s="23">
        <f>(scatterplots_LWG_grazdays_CS!$V$6*$A183+scatterplots_LWG_grazdays_CS!$W$6)/1000+AH182</f>
        <v>-30.360939999999989</v>
      </c>
      <c r="AI183" s="23">
        <f t="shared" si="107"/>
        <v>-26.720939999999992</v>
      </c>
      <c r="AJ183" s="23">
        <f t="shared" si="114"/>
        <v>-23.080939999999988</v>
      </c>
      <c r="AK183" s="23">
        <f t="shared" si="115"/>
        <v>-19.440939999999991</v>
      </c>
    </row>
    <row r="184" spans="1:37">
      <c r="A184" s="12">
        <v>182</v>
      </c>
      <c r="B184" s="12">
        <v>93</v>
      </c>
      <c r="C184" s="23">
        <f>(scatterplots_LWG_grazdays_CS!$V$3*$A184+scatterplots_LWG_grazdays_CS!$W$3)/1000</f>
        <v>-0.21687999999999999</v>
      </c>
      <c r="D184" s="23">
        <f t="shared" si="116"/>
        <v>-0.17687999999999998</v>
      </c>
      <c r="E184" s="23">
        <f t="shared" si="116"/>
        <v>-0.13688</v>
      </c>
      <c r="F184" s="23">
        <f t="shared" si="116"/>
        <v>-9.6879999999999994E-2</v>
      </c>
      <c r="G184" s="23">
        <f>(scatterplots_LWG_grazdays_CS!$V$3*$A184+scatterplots_LWG_grazdays_CS!$W$3)/1000+G183</f>
        <v>7.3054800000000082</v>
      </c>
      <c r="H184" s="23">
        <f t="shared" si="104"/>
        <v>11.025480000000005</v>
      </c>
      <c r="I184" s="23">
        <f t="shared" si="118"/>
        <v>12.825480000000001</v>
      </c>
      <c r="J184" s="23">
        <f t="shared" si="103"/>
        <v>13.825480000000001</v>
      </c>
      <c r="K184" s="23">
        <f t="shared" si="101"/>
        <v>14.225480000000003</v>
      </c>
      <c r="L184" s="23">
        <f t="shared" si="105"/>
        <v>14.745480000000006</v>
      </c>
      <c r="M184" s="23">
        <f t="shared" si="106"/>
        <v>18.465479999999999</v>
      </c>
      <c r="N184" s="23">
        <f>(scatterplots_LWG_grazdays_CS!$V$4*$A184+scatterplots_LWG_grazdays_CS!$W$4)/1000</f>
        <v>-0.38068000000000007</v>
      </c>
      <c r="O184" s="23">
        <f t="shared" si="97"/>
        <v>-0.34068000000000009</v>
      </c>
      <c r="P184" s="23">
        <f t="shared" si="97"/>
        <v>-0.30068000000000006</v>
      </c>
      <c r="Q184" s="23">
        <f t="shared" si="97"/>
        <v>-0.26068000000000008</v>
      </c>
      <c r="R184" s="23">
        <f>(scatterplots_LWG_grazdays_CS!$V$4*$A184+scatterplots_LWG_grazdays_CS!$W$4)/1000+R183</f>
        <v>-7.6822200000000045</v>
      </c>
      <c r="S184" s="23">
        <f t="shared" si="108"/>
        <v>-4.0022200000000048</v>
      </c>
      <c r="T184" s="23">
        <f t="shared" si="109"/>
        <v>-0.322220000000005</v>
      </c>
      <c r="U184" s="23">
        <f t="shared" si="110"/>
        <v>3.3577799999999955</v>
      </c>
      <c r="V184" s="23">
        <f>(scatterplots_LWG_grazdays_CS!$V$5*$A184+scatterplots_LWG_grazdays_CS!$W$5)/1000</f>
        <v>-0.47896000000000005</v>
      </c>
      <c r="W184" s="23">
        <f t="shared" si="98"/>
        <v>-0.43896000000000007</v>
      </c>
      <c r="X184" s="23">
        <f t="shared" si="117"/>
        <v>-0.39896000000000004</v>
      </c>
      <c r="Y184" s="23">
        <f t="shared" si="117"/>
        <v>-0.35896000000000006</v>
      </c>
      <c r="Z184" s="23">
        <f>(scatterplots_LWG_grazdays_CS!$V$5*$A184+scatterplots_LWG_grazdays_CS!$W$5)/1000+Z183</f>
        <v>-16.674840000000007</v>
      </c>
      <c r="AA184" s="23">
        <f t="shared" si="111"/>
        <v>-12.994840000000007</v>
      </c>
      <c r="AB184" s="23">
        <f t="shared" si="112"/>
        <v>-9.3148400000000056</v>
      </c>
      <c r="AC184" s="23">
        <f t="shared" si="113"/>
        <v>-5.6348400000000058</v>
      </c>
      <c r="AD184" s="23">
        <f>(scatterplots_LWG_grazdays_CS!$V$6*$A184+scatterplots_LWG_grazdays_CS!$W$6)/1000</f>
        <v>-0.63547999999999993</v>
      </c>
      <c r="AE184" s="23">
        <f t="shared" si="100"/>
        <v>-0.5954799999999999</v>
      </c>
      <c r="AF184" s="23">
        <f t="shared" si="102"/>
        <v>-0.55547999999999997</v>
      </c>
      <c r="AG184" s="23">
        <f t="shared" si="102"/>
        <v>-0.51547999999999994</v>
      </c>
      <c r="AH184" s="23">
        <f>(scatterplots_LWG_grazdays_CS!$V$6*$A184+scatterplots_LWG_grazdays_CS!$W$6)/1000+AH183</f>
        <v>-30.99641999999999</v>
      </c>
      <c r="AI184" s="23">
        <f t="shared" si="107"/>
        <v>-27.31641999999999</v>
      </c>
      <c r="AJ184" s="23">
        <f t="shared" si="114"/>
        <v>-23.636419999999987</v>
      </c>
      <c r="AK184" s="23">
        <f t="shared" si="115"/>
        <v>-19.956419999999991</v>
      </c>
    </row>
    <row r="185" spans="1:37">
      <c r="A185" s="12">
        <v>183</v>
      </c>
      <c r="B185" s="12">
        <v>94</v>
      </c>
      <c r="C185" s="23">
        <f>(scatterplots_LWG_grazdays_CS!$V$3*$A185+scatterplots_LWG_grazdays_CS!$W$3)/1000</f>
        <v>-0.21972000000000003</v>
      </c>
      <c r="D185" s="23">
        <f t="shared" si="116"/>
        <v>-0.17972000000000002</v>
      </c>
      <c r="E185" s="23">
        <f t="shared" si="116"/>
        <v>-0.13972000000000001</v>
      </c>
      <c r="F185" s="23">
        <f t="shared" si="116"/>
        <v>-9.9720000000000031E-2</v>
      </c>
      <c r="G185" s="23">
        <f>(scatterplots_LWG_grazdays_CS!$V$3*$A185+scatterplots_LWG_grazdays_CS!$W$3)/1000+G184</f>
        <v>7.0857600000000085</v>
      </c>
      <c r="H185" s="23">
        <f t="shared" si="104"/>
        <v>10.845760000000006</v>
      </c>
      <c r="I185" s="23">
        <f t="shared" si="118"/>
        <v>12.645760000000001</v>
      </c>
      <c r="J185" s="23">
        <f t="shared" si="103"/>
        <v>13.645760000000001</v>
      </c>
      <c r="K185" s="23">
        <f t="shared" si="101"/>
        <v>14.045760000000003</v>
      </c>
      <c r="L185" s="23">
        <f t="shared" si="105"/>
        <v>14.605760000000005</v>
      </c>
      <c r="M185" s="23">
        <f t="shared" si="106"/>
        <v>18.365759999999998</v>
      </c>
      <c r="N185" s="23">
        <f>(scatterplots_LWG_grazdays_CS!$V$4*$A185+scatterplots_LWG_grazdays_CS!$W$4)/1000</f>
        <v>-0.38442000000000009</v>
      </c>
      <c r="O185" s="23">
        <f t="shared" si="97"/>
        <v>-0.34442000000000011</v>
      </c>
      <c r="P185" s="23">
        <f t="shared" si="97"/>
        <v>-0.30442000000000008</v>
      </c>
      <c r="Q185" s="23">
        <f t="shared" si="97"/>
        <v>-0.2644200000000001</v>
      </c>
      <c r="R185" s="23">
        <f>(scatterplots_LWG_grazdays_CS!$V$4*$A185+scatterplots_LWG_grazdays_CS!$W$4)/1000+R184</f>
        <v>-8.0666400000000049</v>
      </c>
      <c r="S185" s="23">
        <f t="shared" si="108"/>
        <v>-4.3466400000000052</v>
      </c>
      <c r="T185" s="23">
        <f t="shared" si="109"/>
        <v>-0.62664000000000508</v>
      </c>
      <c r="U185" s="23">
        <f t="shared" si="110"/>
        <v>3.0933599999999952</v>
      </c>
      <c r="V185" s="23">
        <f>(scatterplots_LWG_grazdays_CS!$V$5*$A185+scatterplots_LWG_grazdays_CS!$W$5)/1000</f>
        <v>-0.48324</v>
      </c>
      <c r="W185" s="23">
        <f t="shared" si="98"/>
        <v>-0.44324000000000002</v>
      </c>
      <c r="X185" s="23">
        <f t="shared" si="117"/>
        <v>-0.40323999999999999</v>
      </c>
      <c r="Y185" s="23">
        <f t="shared" si="117"/>
        <v>-0.36324000000000001</v>
      </c>
      <c r="Z185" s="23">
        <f>(scatterplots_LWG_grazdays_CS!$V$5*$A185+scatterplots_LWG_grazdays_CS!$W$5)/1000+Z184</f>
        <v>-17.158080000000005</v>
      </c>
      <c r="AA185" s="23">
        <f t="shared" si="111"/>
        <v>-13.438080000000006</v>
      </c>
      <c r="AB185" s="23">
        <f t="shared" si="112"/>
        <v>-9.7180800000000058</v>
      </c>
      <c r="AC185" s="23">
        <f t="shared" si="113"/>
        <v>-5.9980800000000061</v>
      </c>
      <c r="AD185" s="23">
        <f>(scatterplots_LWG_grazdays_CS!$V$6*$A185+scatterplots_LWG_grazdays_CS!$W$6)/1000</f>
        <v>-0.64061999999999986</v>
      </c>
      <c r="AE185" s="23">
        <f t="shared" si="100"/>
        <v>-0.60061999999999982</v>
      </c>
      <c r="AF185" s="23">
        <f t="shared" si="102"/>
        <v>-0.5606199999999999</v>
      </c>
      <c r="AG185" s="23">
        <f t="shared" si="102"/>
        <v>-0.52061999999999986</v>
      </c>
      <c r="AH185" s="23">
        <f>(scatterplots_LWG_grazdays_CS!$V$6*$A185+scatterplots_LWG_grazdays_CS!$W$6)/1000+AH184</f>
        <v>-31.637039999999988</v>
      </c>
      <c r="AI185" s="23">
        <f t="shared" si="107"/>
        <v>-27.917039999999989</v>
      </c>
      <c r="AJ185" s="23">
        <f t="shared" si="114"/>
        <v>-24.197039999999987</v>
      </c>
      <c r="AK185" s="23">
        <f t="shared" si="115"/>
        <v>-20.477039999999992</v>
      </c>
    </row>
    <row r="186" spans="1:37">
      <c r="A186" s="12">
        <v>184</v>
      </c>
      <c r="B186" s="12">
        <v>95</v>
      </c>
      <c r="C186" s="23">
        <f>(scatterplots_LWG_grazdays_CS!$V$3*$A186+scatterplots_LWG_grazdays_CS!$W$3)/1000</f>
        <v>-0.22255999999999995</v>
      </c>
      <c r="D186" s="23">
        <f t="shared" si="116"/>
        <v>-0.18255999999999994</v>
      </c>
      <c r="E186" s="23">
        <f t="shared" si="116"/>
        <v>-0.14255999999999996</v>
      </c>
      <c r="F186" s="23">
        <f t="shared" si="116"/>
        <v>-0.10255999999999996</v>
      </c>
      <c r="G186" s="23">
        <f>(scatterplots_LWG_grazdays_CS!$V$3*$A186+scatterplots_LWG_grazdays_CS!$W$3)/1000+G185</f>
        <v>6.8632000000000088</v>
      </c>
      <c r="H186" s="23">
        <f t="shared" si="104"/>
        <v>10.663200000000005</v>
      </c>
      <c r="I186" s="23">
        <f t="shared" si="118"/>
        <v>12.463200000000001</v>
      </c>
      <c r="J186" s="23">
        <f t="shared" si="103"/>
        <v>13.463200000000001</v>
      </c>
      <c r="K186" s="23">
        <f t="shared" si="101"/>
        <v>13.863200000000003</v>
      </c>
      <c r="L186" s="23">
        <f t="shared" si="105"/>
        <v>14.463200000000006</v>
      </c>
      <c r="M186" s="23">
        <f t="shared" si="106"/>
        <v>18.263199999999998</v>
      </c>
      <c r="N186" s="23">
        <f>(scatterplots_LWG_grazdays_CS!$V$4*$A186+scatterplots_LWG_grazdays_CS!$W$4)/1000</f>
        <v>-0.38816000000000006</v>
      </c>
      <c r="O186" s="23">
        <f t="shared" si="97"/>
        <v>-0.34816000000000008</v>
      </c>
      <c r="P186" s="23">
        <f t="shared" si="97"/>
        <v>-0.30816000000000004</v>
      </c>
      <c r="Q186" s="23">
        <f t="shared" si="97"/>
        <v>-0.26816000000000006</v>
      </c>
      <c r="R186" s="23">
        <f>(scatterplots_LWG_grazdays_CS!$V$4*$A186+scatterplots_LWG_grazdays_CS!$W$4)/1000+R185</f>
        <v>-8.4548000000000059</v>
      </c>
      <c r="S186" s="23">
        <f t="shared" si="108"/>
        <v>-4.6948000000000052</v>
      </c>
      <c r="T186" s="23">
        <f t="shared" si="109"/>
        <v>-0.93480000000000518</v>
      </c>
      <c r="U186" s="23">
        <f t="shared" si="110"/>
        <v>2.8251999999999953</v>
      </c>
      <c r="V186" s="23">
        <f>(scatterplots_LWG_grazdays_CS!$V$5*$A186+scatterplots_LWG_grazdays_CS!$W$5)/1000</f>
        <v>-0.48752000000000012</v>
      </c>
      <c r="W186" s="23">
        <f t="shared" si="98"/>
        <v>-0.44752000000000014</v>
      </c>
      <c r="X186" s="23">
        <f t="shared" si="117"/>
        <v>-0.4075200000000001</v>
      </c>
      <c r="Y186" s="23">
        <f t="shared" si="117"/>
        <v>-0.36752000000000012</v>
      </c>
      <c r="Z186" s="23">
        <f>(scatterplots_LWG_grazdays_CS!$V$5*$A186+scatterplots_LWG_grazdays_CS!$W$5)/1000+Z185</f>
        <v>-17.645600000000005</v>
      </c>
      <c r="AA186" s="23">
        <f t="shared" si="111"/>
        <v>-13.885600000000007</v>
      </c>
      <c r="AB186" s="23">
        <f t="shared" si="112"/>
        <v>-10.125600000000006</v>
      </c>
      <c r="AC186" s="23">
        <f t="shared" si="113"/>
        <v>-6.3656000000000059</v>
      </c>
      <c r="AD186" s="23">
        <f>(scatterplots_LWG_grazdays_CS!$V$6*$A186+scatterplots_LWG_grazdays_CS!$W$6)/1000</f>
        <v>-0.64576</v>
      </c>
      <c r="AE186" s="23">
        <f t="shared" si="100"/>
        <v>-0.60575999999999997</v>
      </c>
      <c r="AF186" s="23">
        <f t="shared" si="102"/>
        <v>-0.56576000000000004</v>
      </c>
      <c r="AG186" s="23">
        <f t="shared" si="102"/>
        <v>-0.52576000000000001</v>
      </c>
      <c r="AH186" s="23">
        <f>(scatterplots_LWG_grazdays_CS!$V$6*$A186+scatterplots_LWG_grazdays_CS!$W$6)/1000+AH185</f>
        <v>-32.282799999999988</v>
      </c>
      <c r="AI186" s="23">
        <f t="shared" si="107"/>
        <v>-28.522799999999989</v>
      </c>
      <c r="AJ186" s="23">
        <f t="shared" si="114"/>
        <v>-24.762799999999988</v>
      </c>
      <c r="AK186" s="23">
        <f t="shared" si="115"/>
        <v>-21.002799999999993</v>
      </c>
    </row>
    <row r="187" spans="1:37">
      <c r="A187" s="12">
        <v>185</v>
      </c>
      <c r="B187" s="12">
        <v>96</v>
      </c>
      <c r="C187" s="23">
        <f>(scatterplots_LWG_grazdays_CS!$V$3*$A187+scatterplots_LWG_grazdays_CS!$W$3)/1000</f>
        <v>-0.22539999999999999</v>
      </c>
      <c r="D187" s="23">
        <f t="shared" si="116"/>
        <v>-0.18539999999999998</v>
      </c>
      <c r="E187" s="23">
        <f t="shared" si="116"/>
        <v>-0.14539999999999997</v>
      </c>
      <c r="F187" s="23">
        <f t="shared" si="116"/>
        <v>-0.10539999999999999</v>
      </c>
      <c r="G187" s="23">
        <f>(scatterplots_LWG_grazdays_CS!$V$3*$A187+scatterplots_LWG_grazdays_CS!$W$3)/1000+G186</f>
        <v>6.6378000000000092</v>
      </c>
      <c r="H187" s="23">
        <f t="shared" si="104"/>
        <v>10.477800000000006</v>
      </c>
      <c r="I187" s="23">
        <f t="shared" si="118"/>
        <v>12.277800000000001</v>
      </c>
      <c r="J187" s="23">
        <f t="shared" si="103"/>
        <v>13.277800000000001</v>
      </c>
      <c r="K187" s="23">
        <f t="shared" si="101"/>
        <v>13.677800000000003</v>
      </c>
      <c r="L187" s="23">
        <f t="shared" si="105"/>
        <v>14.317800000000005</v>
      </c>
      <c r="M187" s="23">
        <f t="shared" si="106"/>
        <v>18.157799999999998</v>
      </c>
      <c r="N187" s="23">
        <f>(scatterplots_LWG_grazdays_CS!$V$4*$A187+scatterplots_LWG_grazdays_CS!$W$4)/1000</f>
        <v>-0.39190000000000008</v>
      </c>
      <c r="O187" s="23">
        <f t="shared" si="97"/>
        <v>-0.3519000000000001</v>
      </c>
      <c r="P187" s="23">
        <f t="shared" si="97"/>
        <v>-0.31190000000000007</v>
      </c>
      <c r="Q187" s="23">
        <f t="shared" si="97"/>
        <v>-0.27190000000000009</v>
      </c>
      <c r="R187" s="23">
        <f>(scatterplots_LWG_grazdays_CS!$V$4*$A187+scatterplots_LWG_grazdays_CS!$W$4)/1000+R186</f>
        <v>-8.8467000000000056</v>
      </c>
      <c r="S187" s="23">
        <f t="shared" si="108"/>
        <v>-5.0467000000000048</v>
      </c>
      <c r="T187" s="23">
        <f t="shared" si="109"/>
        <v>-1.2467000000000052</v>
      </c>
      <c r="U187" s="23">
        <f t="shared" si="110"/>
        <v>2.5532999999999952</v>
      </c>
      <c r="V187" s="23">
        <f>(scatterplots_LWG_grazdays_CS!$V$5*$A187+scatterplots_LWG_grazdays_CS!$W$5)/1000</f>
        <v>-0.49180000000000007</v>
      </c>
      <c r="W187" s="23">
        <f t="shared" si="98"/>
        <v>-0.45180000000000009</v>
      </c>
      <c r="X187" s="23">
        <f t="shared" si="117"/>
        <v>-0.41180000000000005</v>
      </c>
      <c r="Y187" s="23">
        <f t="shared" si="117"/>
        <v>-0.37180000000000007</v>
      </c>
      <c r="Z187" s="23">
        <f>(scatterplots_LWG_grazdays_CS!$V$5*$A187+scatterplots_LWG_grazdays_CS!$W$5)/1000+Z186</f>
        <v>-18.137400000000007</v>
      </c>
      <c r="AA187" s="23">
        <f t="shared" si="111"/>
        <v>-14.337400000000008</v>
      </c>
      <c r="AB187" s="23">
        <f t="shared" si="112"/>
        <v>-10.537400000000005</v>
      </c>
      <c r="AC187" s="23">
        <f t="shared" si="113"/>
        <v>-6.7374000000000063</v>
      </c>
      <c r="AD187" s="23">
        <f>(scatterplots_LWG_grazdays_CS!$V$6*$A187+scatterplots_LWG_grazdays_CS!$W$6)/1000</f>
        <v>-0.65089999999999992</v>
      </c>
      <c r="AE187" s="23">
        <f t="shared" si="100"/>
        <v>-0.61089999999999989</v>
      </c>
      <c r="AF187" s="23">
        <f t="shared" si="102"/>
        <v>-0.57089999999999996</v>
      </c>
      <c r="AG187" s="23">
        <f t="shared" si="102"/>
        <v>-0.53089999999999993</v>
      </c>
      <c r="AH187" s="23">
        <f>(scatterplots_LWG_grazdays_CS!$V$6*$A187+scatterplots_LWG_grazdays_CS!$W$6)/1000+AH186</f>
        <v>-32.933699999999988</v>
      </c>
      <c r="AI187" s="23">
        <f t="shared" si="107"/>
        <v>-29.13369999999999</v>
      </c>
      <c r="AJ187" s="23">
        <f t="shared" si="114"/>
        <v>-25.333699999999986</v>
      </c>
      <c r="AK187" s="23">
        <f t="shared" si="115"/>
        <v>-21.533699999999993</v>
      </c>
    </row>
    <row r="188" spans="1:37">
      <c r="A188" s="12">
        <v>186</v>
      </c>
      <c r="B188" s="12">
        <v>97</v>
      </c>
      <c r="C188" s="23">
        <f>(scatterplots_LWG_grazdays_CS!$V$3*$A188+scatterplots_LWG_grazdays_CS!$W$3)/1000</f>
        <v>-0.22824</v>
      </c>
      <c r="D188" s="23">
        <f t="shared" si="116"/>
        <v>-0.18823999999999999</v>
      </c>
      <c r="E188" s="23">
        <f t="shared" si="116"/>
        <v>-0.14823999999999998</v>
      </c>
      <c r="F188" s="23">
        <f t="shared" si="116"/>
        <v>-0.10824</v>
      </c>
      <c r="G188" s="23">
        <f>(scatterplots_LWG_grazdays_CS!$V$3*$A188+scatterplots_LWG_grazdays_CS!$W$3)/1000+G187</f>
        <v>6.4095600000000097</v>
      </c>
      <c r="H188" s="23">
        <f t="shared" ref="H188:H202" si="119">D188+H187</f>
        <v>10.289560000000005</v>
      </c>
      <c r="I188" s="23">
        <f t="shared" si="118"/>
        <v>12.089560000000001</v>
      </c>
      <c r="J188" s="23">
        <f t="shared" si="103"/>
        <v>13.089560000000001</v>
      </c>
      <c r="K188" s="23">
        <f t="shared" si="101"/>
        <v>13.489560000000003</v>
      </c>
      <c r="L188" s="23">
        <f t="shared" ref="L188:L202" si="120">E188+L187</f>
        <v>14.169560000000006</v>
      </c>
      <c r="M188" s="23">
        <f t="shared" ref="M188:M202" si="121">F188+M187</f>
        <v>18.04956</v>
      </c>
      <c r="N188" s="23">
        <f>(scatterplots_LWG_grazdays_CS!$V$4*$A188+scatterplots_LWG_grazdays_CS!$W$4)/1000</f>
        <v>-0.39563999999999999</v>
      </c>
      <c r="O188" s="23">
        <f t="shared" si="97"/>
        <v>-0.35564000000000001</v>
      </c>
      <c r="P188" s="23">
        <f t="shared" si="97"/>
        <v>-0.31563999999999998</v>
      </c>
      <c r="Q188" s="23">
        <f t="shared" si="97"/>
        <v>-0.27564</v>
      </c>
      <c r="R188" s="23">
        <f>(scatterplots_LWG_grazdays_CS!$V$4*$A188+scatterplots_LWG_grazdays_CS!$W$4)/1000+R187</f>
        <v>-9.2423400000000058</v>
      </c>
      <c r="S188" s="23">
        <f t="shared" si="108"/>
        <v>-5.402340000000005</v>
      </c>
      <c r="T188" s="23">
        <f t="shared" si="109"/>
        <v>-1.5623400000000052</v>
      </c>
      <c r="U188" s="23">
        <f t="shared" si="110"/>
        <v>2.2776599999999951</v>
      </c>
      <c r="V188" s="23">
        <f>(scatterplots_LWG_grazdays_CS!$V$5*$A188+scatterplots_LWG_grazdays_CS!$W$5)/1000</f>
        <v>-0.49608000000000002</v>
      </c>
      <c r="W188" s="23">
        <f t="shared" si="98"/>
        <v>-0.45608000000000004</v>
      </c>
      <c r="X188" s="23">
        <f t="shared" si="117"/>
        <v>-0.41608000000000001</v>
      </c>
      <c r="Y188" s="23">
        <f t="shared" si="117"/>
        <v>-0.37608000000000003</v>
      </c>
      <c r="Z188" s="23">
        <f>(scatterplots_LWG_grazdays_CS!$V$5*$A188+scatterplots_LWG_grazdays_CS!$W$5)/1000+Z187</f>
        <v>-18.633480000000006</v>
      </c>
      <c r="AA188" s="23">
        <f t="shared" si="111"/>
        <v>-14.793480000000008</v>
      </c>
      <c r="AB188" s="23">
        <f t="shared" si="112"/>
        <v>-10.953480000000006</v>
      </c>
      <c r="AC188" s="23">
        <f t="shared" si="113"/>
        <v>-7.1134800000000062</v>
      </c>
      <c r="AD188" s="23">
        <f>(scatterplots_LWG_grazdays_CS!$V$6*$A188+scatterplots_LWG_grazdays_CS!$W$6)/1000</f>
        <v>-0.65603999999999996</v>
      </c>
      <c r="AE188" s="23">
        <f>AD188+AE$1/1000</f>
        <v>-0.61603999999999992</v>
      </c>
      <c r="AF188" s="23">
        <f t="shared" si="102"/>
        <v>-0.57604</v>
      </c>
      <c r="AG188" s="23">
        <f t="shared" si="102"/>
        <v>-0.53603999999999996</v>
      </c>
      <c r="AH188" s="23">
        <f>(scatterplots_LWG_grazdays_CS!$V$6*$A188+scatterplots_LWG_grazdays_CS!$W$6)/1000+AH187</f>
        <v>-33.589739999999985</v>
      </c>
      <c r="AI188" s="23">
        <f t="shared" si="107"/>
        <v>-29.749739999999989</v>
      </c>
      <c r="AJ188" s="23">
        <f t="shared" si="114"/>
        <v>-25.909739999999985</v>
      </c>
      <c r="AK188" s="23">
        <f t="shared" si="115"/>
        <v>-22.069739999999992</v>
      </c>
    </row>
    <row r="189" spans="1:37">
      <c r="A189" s="12">
        <v>187</v>
      </c>
      <c r="B189" s="12">
        <v>98</v>
      </c>
      <c r="C189" s="23">
        <f>(scatterplots_LWG_grazdays_CS!$V$3*$A189+scatterplots_LWG_grazdays_CS!$W$3)/1000</f>
        <v>-0.23107999999999992</v>
      </c>
      <c r="D189" s="23">
        <f t="shared" si="116"/>
        <v>-0.19107999999999992</v>
      </c>
      <c r="E189" s="23">
        <f t="shared" si="116"/>
        <v>-0.15107999999999994</v>
      </c>
      <c r="F189" s="23">
        <f t="shared" si="116"/>
        <v>-0.11107999999999993</v>
      </c>
      <c r="G189" s="23">
        <f>(scatterplots_LWG_grazdays_CS!$V$3*$A189+scatterplots_LWG_grazdays_CS!$W$3)/1000+G188</f>
        <v>6.1784800000000102</v>
      </c>
      <c r="H189" s="23">
        <f t="shared" si="119"/>
        <v>10.098480000000006</v>
      </c>
      <c r="I189" s="23">
        <f t="shared" si="118"/>
        <v>11.898480000000001</v>
      </c>
      <c r="J189" s="23">
        <f t="shared" si="103"/>
        <v>12.898480000000001</v>
      </c>
      <c r="K189" s="23">
        <f t="shared" si="101"/>
        <v>13.298480000000003</v>
      </c>
      <c r="L189" s="23">
        <f t="shared" si="120"/>
        <v>14.018480000000006</v>
      </c>
      <c r="M189" s="23">
        <f t="shared" si="121"/>
        <v>17.938479999999998</v>
      </c>
      <c r="N189" s="23">
        <f>(scatterplots_LWG_grazdays_CS!$V$4*$A189+scatterplots_LWG_grazdays_CS!$W$4)/1000</f>
        <v>-0.39938000000000001</v>
      </c>
      <c r="O189" s="23">
        <f t="shared" si="97"/>
        <v>-0.35938000000000003</v>
      </c>
      <c r="P189" s="23">
        <f t="shared" si="97"/>
        <v>-0.31938</v>
      </c>
      <c r="Q189" s="23">
        <f t="shared" si="97"/>
        <v>-0.27938000000000002</v>
      </c>
      <c r="R189" s="23">
        <f>(scatterplots_LWG_grazdays_CS!$V$4*$A189+scatterplots_LWG_grazdays_CS!$W$4)/1000+R188</f>
        <v>-9.6417200000000065</v>
      </c>
      <c r="S189" s="23">
        <f t="shared" si="108"/>
        <v>-5.7617200000000048</v>
      </c>
      <c r="T189" s="23">
        <f t="shared" si="109"/>
        <v>-1.8817200000000052</v>
      </c>
      <c r="U189" s="23">
        <f t="shared" si="110"/>
        <v>1.9982799999999952</v>
      </c>
      <c r="V189" s="23">
        <f>(scatterplots_LWG_grazdays_CS!$V$5*$A189+scatterplots_LWG_grazdays_CS!$W$5)/1000</f>
        <v>-0.50036000000000003</v>
      </c>
      <c r="W189" s="23">
        <f t="shared" si="98"/>
        <v>-0.46036000000000005</v>
      </c>
      <c r="X189" s="23">
        <f t="shared" si="117"/>
        <v>-0.42036000000000001</v>
      </c>
      <c r="Y189" s="23">
        <f t="shared" si="117"/>
        <v>-0.38036000000000003</v>
      </c>
      <c r="Z189" s="23">
        <f>(scatterplots_LWG_grazdays_CS!$V$5*$A189+scatterplots_LWG_grazdays_CS!$W$5)/1000+Z188</f>
        <v>-19.133840000000006</v>
      </c>
      <c r="AA189" s="23">
        <f t="shared" si="111"/>
        <v>-15.253840000000007</v>
      </c>
      <c r="AB189" s="23">
        <f t="shared" si="112"/>
        <v>-11.373840000000007</v>
      </c>
      <c r="AC189" s="23">
        <f t="shared" si="113"/>
        <v>-7.4938400000000058</v>
      </c>
      <c r="AD189" s="23">
        <f>(scatterplots_LWG_grazdays_CS!$V$6*$A189+scatterplots_LWG_grazdays_CS!$W$6)/1000</f>
        <v>-0.66117999999999999</v>
      </c>
      <c r="AE189" s="23">
        <f t="shared" si="100"/>
        <v>-0.62117999999999995</v>
      </c>
      <c r="AF189" s="23">
        <f t="shared" si="102"/>
        <v>-0.58118000000000003</v>
      </c>
      <c r="AG189" s="23">
        <f t="shared" si="102"/>
        <v>-0.54117999999999999</v>
      </c>
      <c r="AH189" s="23">
        <f>(scatterplots_LWG_grazdays_CS!$V$6*$A189+scatterplots_LWG_grazdays_CS!$W$6)/1000+AH188</f>
        <v>-34.250919999999986</v>
      </c>
      <c r="AI189" s="23">
        <f t="shared" ref="AI189:AI202" si="122">AE189+AI188</f>
        <v>-30.370919999999987</v>
      </c>
      <c r="AJ189" s="23">
        <f t="shared" si="114"/>
        <v>-26.490919999999985</v>
      </c>
      <c r="AK189" s="23">
        <f t="shared" si="115"/>
        <v>-22.610919999999993</v>
      </c>
    </row>
    <row r="190" spans="1:37">
      <c r="A190" s="12">
        <v>188</v>
      </c>
      <c r="B190" s="12">
        <v>99</v>
      </c>
      <c r="C190" s="23">
        <f>(scatterplots_LWG_grazdays_CS!$V$3*$A190+scatterplots_LWG_grazdays_CS!$W$3)/1000</f>
        <v>-0.23391999999999996</v>
      </c>
      <c r="D190" s="23">
        <f t="shared" si="116"/>
        <v>-0.19391999999999995</v>
      </c>
      <c r="E190" s="23">
        <f t="shared" si="116"/>
        <v>-0.15391999999999995</v>
      </c>
      <c r="F190" s="23">
        <f t="shared" si="116"/>
        <v>-0.11391999999999997</v>
      </c>
      <c r="G190" s="23">
        <f>(scatterplots_LWG_grazdays_CS!$V$3*$A190+scatterplots_LWG_grazdays_CS!$W$3)/1000+G189</f>
        <v>5.9445600000000098</v>
      </c>
      <c r="H190" s="23">
        <f t="shared" si="119"/>
        <v>9.9045600000000054</v>
      </c>
      <c r="I190" s="23">
        <f t="shared" si="118"/>
        <v>11.704560000000001</v>
      </c>
      <c r="J190" s="23">
        <f t="shared" si="103"/>
        <v>12.704560000000001</v>
      </c>
      <c r="K190" s="23">
        <f t="shared" si="101"/>
        <v>13.104560000000003</v>
      </c>
      <c r="L190" s="23">
        <f t="shared" si="120"/>
        <v>13.864560000000006</v>
      </c>
      <c r="M190" s="23">
        <f t="shared" si="121"/>
        <v>17.824559999999998</v>
      </c>
      <c r="N190" s="23">
        <f>(scatterplots_LWG_grazdays_CS!$V$4*$A190+scatterplots_LWG_grazdays_CS!$W$4)/1000</f>
        <v>-0.40311999999999998</v>
      </c>
      <c r="O190" s="23">
        <f t="shared" si="97"/>
        <v>-0.36312</v>
      </c>
      <c r="P190" s="23">
        <f t="shared" si="97"/>
        <v>-0.32311999999999996</v>
      </c>
      <c r="Q190" s="23">
        <f t="shared" si="97"/>
        <v>-0.28311999999999998</v>
      </c>
      <c r="R190" s="23">
        <f>(scatterplots_LWG_grazdays_CS!$V$4*$A190+scatterplots_LWG_grazdays_CS!$W$4)/1000+R189</f>
        <v>-10.044840000000006</v>
      </c>
      <c r="S190" s="23">
        <f t="shared" si="108"/>
        <v>-6.1248400000000052</v>
      </c>
      <c r="T190" s="23">
        <f t="shared" si="109"/>
        <v>-2.2048400000000052</v>
      </c>
      <c r="U190" s="23">
        <f t="shared" si="110"/>
        <v>1.7151599999999951</v>
      </c>
      <c r="V190" s="23">
        <f>(scatterplots_LWG_grazdays_CS!$V$5*$A190+scatterplots_LWG_grazdays_CS!$W$5)/1000</f>
        <v>-0.50464000000000009</v>
      </c>
      <c r="W190" s="23">
        <f t="shared" si="98"/>
        <v>-0.46464000000000011</v>
      </c>
      <c r="X190" s="23">
        <f t="shared" si="117"/>
        <v>-0.42464000000000007</v>
      </c>
      <c r="Y190" s="23">
        <f t="shared" si="117"/>
        <v>-0.38464000000000009</v>
      </c>
      <c r="Z190" s="23">
        <f>(scatterplots_LWG_grazdays_CS!$V$5*$A190+scatterplots_LWG_grazdays_CS!$W$5)/1000+Z189</f>
        <v>-19.638480000000005</v>
      </c>
      <c r="AA190" s="23">
        <f t="shared" ref="AA190:AA202" si="123">AA189+W190</f>
        <v>-15.718480000000007</v>
      </c>
      <c r="AB190" s="23">
        <f t="shared" si="112"/>
        <v>-11.798480000000007</v>
      </c>
      <c r="AC190" s="23">
        <f t="shared" si="113"/>
        <v>-7.8784800000000059</v>
      </c>
      <c r="AD190" s="23">
        <f>(scatterplots_LWG_grazdays_CS!$V$6*$A190+scatterplots_LWG_grazdays_CS!$W$6)/1000</f>
        <v>-0.66631999999999991</v>
      </c>
      <c r="AE190" s="23">
        <f t="shared" si="100"/>
        <v>-0.62631999999999988</v>
      </c>
      <c r="AF190" s="23">
        <f t="shared" si="102"/>
        <v>-0.58631999999999995</v>
      </c>
      <c r="AG190" s="23">
        <f t="shared" si="102"/>
        <v>-0.54631999999999992</v>
      </c>
      <c r="AH190" s="23">
        <f>(scatterplots_LWG_grazdays_CS!$V$6*$A190+scatterplots_LWG_grazdays_CS!$W$6)/1000+AH189</f>
        <v>-34.917239999999985</v>
      </c>
      <c r="AI190" s="23">
        <f t="shared" si="122"/>
        <v>-30.997239999999987</v>
      </c>
      <c r="AJ190" s="23">
        <f t="shared" si="114"/>
        <v>-27.077239999999986</v>
      </c>
      <c r="AK190" s="23">
        <f t="shared" si="115"/>
        <v>-23.157239999999994</v>
      </c>
    </row>
    <row r="191" spans="1:37">
      <c r="A191" s="12">
        <v>189</v>
      </c>
      <c r="B191" s="12">
        <v>100</v>
      </c>
      <c r="C191" s="23">
        <f>(scatterplots_LWG_grazdays_CS!$V$3*$A191+scatterplots_LWG_grazdays_CS!$W$3)/1000</f>
        <v>-0.23676</v>
      </c>
      <c r="D191" s="23">
        <f t="shared" si="116"/>
        <v>-0.19675999999999999</v>
      </c>
      <c r="E191" s="23">
        <f t="shared" si="116"/>
        <v>-0.15676000000000001</v>
      </c>
      <c r="F191" s="23">
        <f t="shared" si="116"/>
        <v>-0.11676</v>
      </c>
      <c r="G191" s="23">
        <f>(scatterplots_LWG_grazdays_CS!$V$3*$A191+scatterplots_LWG_grazdays_CS!$W$3)/1000+G190</f>
        <v>5.7078000000000095</v>
      </c>
      <c r="H191" s="23">
        <f t="shared" si="119"/>
        <v>9.707800000000006</v>
      </c>
      <c r="I191" s="23">
        <f t="shared" si="118"/>
        <v>11.507800000000001</v>
      </c>
      <c r="J191" s="23">
        <f t="shared" si="103"/>
        <v>12.507800000000001</v>
      </c>
      <c r="K191" s="23">
        <f t="shared" si="101"/>
        <v>12.907800000000003</v>
      </c>
      <c r="L191" s="23">
        <f t="shared" si="120"/>
        <v>13.707800000000006</v>
      </c>
      <c r="M191" s="23">
        <f t="shared" si="121"/>
        <v>17.707799999999999</v>
      </c>
      <c r="N191" s="23">
        <f>(scatterplots_LWG_grazdays_CS!$V$4*$A191+scatterplots_LWG_grazdays_CS!$W$4)/1000</f>
        <v>-0.40686</v>
      </c>
      <c r="O191" s="23">
        <f t="shared" si="97"/>
        <v>-0.36686000000000002</v>
      </c>
      <c r="P191" s="23">
        <f t="shared" si="97"/>
        <v>-0.32685999999999998</v>
      </c>
      <c r="Q191" s="23">
        <f t="shared" si="97"/>
        <v>-0.28686</v>
      </c>
      <c r="R191" s="23">
        <f>(scatterplots_LWG_grazdays_CS!$V$4*$A191+scatterplots_LWG_grazdays_CS!$W$4)/1000+R190</f>
        <v>-10.451700000000006</v>
      </c>
      <c r="S191" s="23">
        <f t="shared" si="108"/>
        <v>-6.4917000000000051</v>
      </c>
      <c r="T191" s="23">
        <f t="shared" si="109"/>
        <v>-2.5317000000000052</v>
      </c>
      <c r="U191" s="23">
        <f t="shared" si="110"/>
        <v>1.4282999999999952</v>
      </c>
      <c r="V191" s="23">
        <f>(scatterplots_LWG_grazdays_CS!$V$5*$A191+scatterplots_LWG_grazdays_CS!$W$5)/1000</f>
        <v>-0.50892000000000004</v>
      </c>
      <c r="W191" s="23">
        <f t="shared" si="98"/>
        <v>-0.46892000000000006</v>
      </c>
      <c r="X191" s="23">
        <f t="shared" si="117"/>
        <v>-0.42892000000000002</v>
      </c>
      <c r="Y191" s="23">
        <f t="shared" si="117"/>
        <v>-0.38892000000000004</v>
      </c>
      <c r="Z191" s="23">
        <f>(scatterplots_LWG_grazdays_CS!$V$5*$A191+scatterplots_LWG_grazdays_CS!$W$5)/1000+Z190</f>
        <v>-20.147400000000005</v>
      </c>
      <c r="AA191" s="23">
        <f t="shared" si="123"/>
        <v>-16.187400000000007</v>
      </c>
      <c r="AB191" s="23">
        <f t="shared" si="112"/>
        <v>-12.227400000000006</v>
      </c>
      <c r="AC191" s="23">
        <f t="shared" si="113"/>
        <v>-8.2674000000000056</v>
      </c>
      <c r="AD191" s="23">
        <f>(scatterplots_LWG_grazdays_CS!$V$6*$A191+scatterplots_LWG_grazdays_CS!$W$6)/1000</f>
        <v>-0.67145999999999995</v>
      </c>
      <c r="AE191" s="23">
        <f t="shared" si="100"/>
        <v>-0.63145999999999991</v>
      </c>
      <c r="AF191" s="23">
        <f t="shared" si="102"/>
        <v>-0.59145999999999999</v>
      </c>
      <c r="AG191" s="23">
        <f t="shared" si="102"/>
        <v>-0.55145999999999995</v>
      </c>
      <c r="AH191" s="23">
        <f>(scatterplots_LWG_grazdays_CS!$V$6*$A191+scatterplots_LWG_grazdays_CS!$W$6)/1000+AH190</f>
        <v>-35.588699999999989</v>
      </c>
      <c r="AI191" s="23">
        <f t="shared" si="122"/>
        <v>-31.628699999999988</v>
      </c>
      <c r="AJ191" s="23">
        <f t="shared" si="114"/>
        <v>-27.668699999999987</v>
      </c>
      <c r="AK191" s="23">
        <f t="shared" si="115"/>
        <v>-23.708699999999993</v>
      </c>
    </row>
    <row r="192" spans="1:37">
      <c r="A192" s="12">
        <v>190</v>
      </c>
      <c r="B192" s="12">
        <v>101</v>
      </c>
      <c r="C192" s="23">
        <f>(scatterplots_LWG_grazdays_CS!$V$3*$A192+scatterplots_LWG_grazdays_CS!$W$3)/1000</f>
        <v>-0.23960000000000004</v>
      </c>
      <c r="D192" s="23">
        <f t="shared" si="116"/>
        <v>-0.19960000000000003</v>
      </c>
      <c r="E192" s="23">
        <f t="shared" si="116"/>
        <v>-0.15960000000000002</v>
      </c>
      <c r="F192" s="23">
        <f t="shared" si="116"/>
        <v>-0.11960000000000004</v>
      </c>
      <c r="G192" s="23">
        <f>(scatterplots_LWG_grazdays_CS!$V$3*$A192+scatterplots_LWG_grazdays_CS!$W$3)/1000+G191</f>
        <v>5.4682000000000093</v>
      </c>
      <c r="H192" s="23">
        <f t="shared" si="119"/>
        <v>9.5082000000000058</v>
      </c>
      <c r="I192" s="23">
        <f t="shared" si="118"/>
        <v>11.308200000000001</v>
      </c>
      <c r="J192" s="23">
        <f t="shared" si="103"/>
        <v>12.308200000000001</v>
      </c>
      <c r="K192" s="23">
        <f t="shared" si="101"/>
        <v>12.708200000000003</v>
      </c>
      <c r="L192" s="23">
        <f t="shared" si="120"/>
        <v>13.548200000000007</v>
      </c>
      <c r="M192" s="23">
        <f t="shared" si="121"/>
        <v>17.588200000000001</v>
      </c>
      <c r="N192" s="23">
        <f>(scatterplots_LWG_grazdays_CS!$V$4*$A192+scatterplots_LWG_grazdays_CS!$W$4)/1000</f>
        <v>-0.41060000000000002</v>
      </c>
      <c r="O192" s="23">
        <f t="shared" si="97"/>
        <v>-0.37060000000000004</v>
      </c>
      <c r="P192" s="23">
        <f t="shared" si="97"/>
        <v>-0.3306</v>
      </c>
      <c r="Q192" s="23">
        <f t="shared" si="97"/>
        <v>-0.29060000000000002</v>
      </c>
      <c r="R192" s="23">
        <f>(scatterplots_LWG_grazdays_CS!$V$4*$A192+scatterplots_LWG_grazdays_CS!$W$4)/1000+R191</f>
        <v>-10.862300000000007</v>
      </c>
      <c r="S192" s="23">
        <f t="shared" si="108"/>
        <v>-6.8623000000000047</v>
      </c>
      <c r="T192" s="23">
        <f t="shared" si="109"/>
        <v>-2.8623000000000052</v>
      </c>
      <c r="U192" s="23">
        <f t="shared" si="110"/>
        <v>1.1376999999999953</v>
      </c>
      <c r="V192" s="23">
        <f>(scatterplots_LWG_grazdays_CS!$V$5*$A192+scatterplots_LWG_grazdays_CS!$W$5)/1000</f>
        <v>-0.5132000000000001</v>
      </c>
      <c r="W192" s="23">
        <f t="shared" si="98"/>
        <v>-0.47320000000000012</v>
      </c>
      <c r="X192" s="23">
        <f t="shared" si="117"/>
        <v>-0.43320000000000008</v>
      </c>
      <c r="Y192" s="23">
        <f t="shared" si="117"/>
        <v>-0.3932000000000001</v>
      </c>
      <c r="Z192" s="23">
        <f>(scatterplots_LWG_grazdays_CS!$V$5*$A192+scatterplots_LWG_grazdays_CS!$W$5)/1000+Z191</f>
        <v>-20.660600000000006</v>
      </c>
      <c r="AA192" s="23">
        <f t="shared" si="123"/>
        <v>-16.660600000000006</v>
      </c>
      <c r="AB192" s="23">
        <f t="shared" si="112"/>
        <v>-12.660600000000006</v>
      </c>
      <c r="AC192" s="23">
        <f t="shared" si="113"/>
        <v>-8.6606000000000058</v>
      </c>
      <c r="AD192" s="23">
        <f>(scatterplots_LWG_grazdays_CS!$V$6*$A192+scatterplots_LWG_grazdays_CS!$W$6)/1000</f>
        <v>-0.67659999999999987</v>
      </c>
      <c r="AE192" s="23">
        <f t="shared" si="100"/>
        <v>-0.63659999999999983</v>
      </c>
      <c r="AF192" s="23">
        <f t="shared" si="102"/>
        <v>-0.59659999999999991</v>
      </c>
      <c r="AG192" s="23">
        <f t="shared" si="102"/>
        <v>-0.55659999999999987</v>
      </c>
      <c r="AH192" s="23">
        <f>(scatterplots_LWG_grazdays_CS!$V$6*$A192+scatterplots_LWG_grazdays_CS!$W$6)/1000+AH191</f>
        <v>-36.265299999999989</v>
      </c>
      <c r="AI192" s="23">
        <f t="shared" si="122"/>
        <v>-32.265299999999989</v>
      </c>
      <c r="AJ192" s="23">
        <f t="shared" si="114"/>
        <v>-28.265299999999986</v>
      </c>
      <c r="AK192" s="23">
        <f t="shared" si="115"/>
        <v>-24.265299999999993</v>
      </c>
    </row>
    <row r="193" spans="1:37">
      <c r="A193" s="12">
        <v>191</v>
      </c>
      <c r="B193" s="12">
        <v>102</v>
      </c>
      <c r="C193" s="23">
        <f>(scatterplots_LWG_grazdays_CS!$V$3*$A193+scatterplots_LWG_grazdays_CS!$W$3)/1000</f>
        <v>-0.24243999999999993</v>
      </c>
      <c r="D193" s="23">
        <f t="shared" si="116"/>
        <v>-0.20243999999999993</v>
      </c>
      <c r="E193" s="23">
        <f t="shared" si="116"/>
        <v>-0.16243999999999992</v>
      </c>
      <c r="F193" s="23">
        <f t="shared" si="116"/>
        <v>-0.12243999999999994</v>
      </c>
      <c r="G193" s="23">
        <f>(scatterplots_LWG_grazdays_CS!$V$3*$A193+scatterplots_LWG_grazdays_CS!$W$3)/1000+G192</f>
        <v>5.2257600000000091</v>
      </c>
      <c r="H193" s="23">
        <f t="shared" si="119"/>
        <v>9.3057600000000065</v>
      </c>
      <c r="I193" s="23">
        <f t="shared" si="118"/>
        <v>11.105760000000002</v>
      </c>
      <c r="J193" s="23">
        <f t="shared" si="103"/>
        <v>12.105760000000002</v>
      </c>
      <c r="K193" s="23">
        <f t="shared" si="101"/>
        <v>12.505760000000004</v>
      </c>
      <c r="L193" s="23">
        <f t="shared" si="120"/>
        <v>13.385760000000007</v>
      </c>
      <c r="M193" s="23">
        <f t="shared" si="121"/>
        <v>17.46576</v>
      </c>
      <c r="N193" s="23">
        <f>(scatterplots_LWG_grazdays_CS!$V$4*$A193+scatterplots_LWG_grazdays_CS!$W$4)/1000</f>
        <v>-0.41434000000000004</v>
      </c>
      <c r="O193" s="23">
        <f t="shared" si="97"/>
        <v>-0.37434000000000006</v>
      </c>
      <c r="P193" s="23">
        <f t="shared" si="97"/>
        <v>-0.33434000000000003</v>
      </c>
      <c r="Q193" s="23">
        <f t="shared" si="97"/>
        <v>-0.29434000000000005</v>
      </c>
      <c r="R193" s="23">
        <f>(scatterplots_LWG_grazdays_CS!$V$4*$A193+scatterplots_LWG_grazdays_CS!$W$4)/1000+R192</f>
        <v>-11.276640000000006</v>
      </c>
      <c r="S193" s="23">
        <f t="shared" si="108"/>
        <v>-7.2366400000000048</v>
      </c>
      <c r="T193" s="23">
        <f t="shared" si="109"/>
        <v>-3.1966400000000053</v>
      </c>
      <c r="U193" s="23">
        <f t="shared" si="110"/>
        <v>0.84335999999999522</v>
      </c>
      <c r="V193" s="23">
        <f>(scatterplots_LWG_grazdays_CS!$V$5*$A193+scatterplots_LWG_grazdays_CS!$W$5)/1000</f>
        <v>-0.51748000000000005</v>
      </c>
      <c r="W193" s="23">
        <f t="shared" si="98"/>
        <v>-0.47748000000000007</v>
      </c>
      <c r="X193" s="23">
        <f t="shared" si="117"/>
        <v>-0.43748000000000004</v>
      </c>
      <c r="Y193" s="23">
        <f t="shared" si="117"/>
        <v>-0.39748000000000006</v>
      </c>
      <c r="Z193" s="23">
        <f>(scatterplots_LWG_grazdays_CS!$V$5*$A193+scatterplots_LWG_grazdays_CS!$W$5)/1000+Z192</f>
        <v>-21.178080000000005</v>
      </c>
      <c r="AA193" s="23">
        <f t="shared" si="123"/>
        <v>-17.138080000000006</v>
      </c>
      <c r="AB193" s="23">
        <f t="shared" si="112"/>
        <v>-13.098080000000007</v>
      </c>
      <c r="AC193" s="23">
        <f t="shared" si="113"/>
        <v>-9.0580800000000057</v>
      </c>
      <c r="AD193" s="23">
        <f>(scatterplots_LWG_grazdays_CS!$V$6*$A193+scatterplots_LWG_grazdays_CS!$W$6)/1000</f>
        <v>-0.6817399999999999</v>
      </c>
      <c r="AE193" s="23">
        <f t="shared" si="100"/>
        <v>-0.64173999999999987</v>
      </c>
      <c r="AF193" s="23">
        <f t="shared" si="102"/>
        <v>-0.60173999999999994</v>
      </c>
      <c r="AG193" s="23">
        <f t="shared" si="102"/>
        <v>-0.56173999999999991</v>
      </c>
      <c r="AH193" s="23">
        <f>(scatterplots_LWG_grazdays_CS!$V$6*$A193+scatterplots_LWG_grazdays_CS!$W$6)/1000+AH192</f>
        <v>-36.947039999999987</v>
      </c>
      <c r="AI193" s="23">
        <f t="shared" si="122"/>
        <v>-32.907039999999988</v>
      </c>
      <c r="AJ193" s="23">
        <f t="shared" si="114"/>
        <v>-28.867039999999985</v>
      </c>
      <c r="AK193" s="23">
        <f t="shared" si="115"/>
        <v>-24.827039999999993</v>
      </c>
    </row>
    <row r="194" spans="1:37">
      <c r="A194" s="12">
        <v>192</v>
      </c>
      <c r="B194" s="12">
        <v>103</v>
      </c>
      <c r="C194" s="23">
        <f>(scatterplots_LWG_grazdays_CS!$V$3*$A194+scatterplots_LWG_grazdays_CS!$W$3)/1000</f>
        <v>-0.24527999999999997</v>
      </c>
      <c r="D194" s="23">
        <f t="shared" si="116"/>
        <v>-0.20527999999999996</v>
      </c>
      <c r="E194" s="23">
        <f t="shared" si="116"/>
        <v>-0.16527999999999998</v>
      </c>
      <c r="F194" s="23">
        <f t="shared" si="116"/>
        <v>-0.12527999999999997</v>
      </c>
      <c r="G194" s="23">
        <f>(scatterplots_LWG_grazdays_CS!$V$3*$A194+scatterplots_LWG_grazdays_CS!$W$3)/1000+G193</f>
        <v>4.9804800000000089</v>
      </c>
      <c r="H194" s="23">
        <f t="shared" si="119"/>
        <v>9.1004800000000063</v>
      </c>
      <c r="I194" s="23">
        <f t="shared" si="118"/>
        <v>10.900480000000002</v>
      </c>
      <c r="J194" s="23">
        <f t="shared" si="103"/>
        <v>11.900480000000002</v>
      </c>
      <c r="K194" s="23">
        <f t="shared" si="101"/>
        <v>12.300480000000004</v>
      </c>
      <c r="L194" s="23">
        <f t="shared" si="120"/>
        <v>13.220480000000007</v>
      </c>
      <c r="M194" s="23">
        <f t="shared" si="121"/>
        <v>17.340479999999999</v>
      </c>
      <c r="N194" s="23">
        <f>(scatterplots_LWG_grazdays_CS!$V$4*$A194+scatterplots_LWG_grazdays_CS!$W$4)/1000</f>
        <v>-0.41808000000000006</v>
      </c>
      <c r="O194" s="23">
        <f t="shared" si="97"/>
        <v>-0.37808000000000008</v>
      </c>
      <c r="P194" s="23">
        <f t="shared" si="97"/>
        <v>-0.33808000000000005</v>
      </c>
      <c r="Q194" s="23">
        <f t="shared" si="97"/>
        <v>-0.29808000000000007</v>
      </c>
      <c r="R194" s="23">
        <f>(scatterplots_LWG_grazdays_CS!$V$4*$A194+scatterplots_LWG_grazdays_CS!$W$4)/1000+R193</f>
        <v>-11.694720000000006</v>
      </c>
      <c r="S194" s="23">
        <f t="shared" si="108"/>
        <v>-7.6147200000000046</v>
      </c>
      <c r="T194" s="23">
        <f t="shared" si="109"/>
        <v>-3.5347200000000054</v>
      </c>
      <c r="U194" s="23">
        <f t="shared" si="110"/>
        <v>0.5452799999999951</v>
      </c>
      <c r="V194" s="23">
        <f>(scatterplots_LWG_grazdays_CS!$V$5*$A194+scatterplots_LWG_grazdays_CS!$W$5)/1000</f>
        <v>-0.52176</v>
      </c>
      <c r="W194" s="23">
        <f t="shared" si="98"/>
        <v>-0.48176000000000002</v>
      </c>
      <c r="X194" s="23">
        <f t="shared" si="117"/>
        <v>-0.44175999999999999</v>
      </c>
      <c r="Y194" s="23">
        <f t="shared" si="117"/>
        <v>-0.40176000000000001</v>
      </c>
      <c r="Z194" s="23">
        <f>(scatterplots_LWG_grazdays_CS!$V$5*$A194+scatterplots_LWG_grazdays_CS!$W$5)/1000+Z193</f>
        <v>-21.699840000000005</v>
      </c>
      <c r="AA194" s="23">
        <f t="shared" si="123"/>
        <v>-17.619840000000007</v>
      </c>
      <c r="AB194" s="23">
        <f t="shared" si="112"/>
        <v>-13.539840000000007</v>
      </c>
      <c r="AC194" s="23">
        <f t="shared" si="113"/>
        <v>-9.4598400000000051</v>
      </c>
      <c r="AD194" s="23">
        <f>(scatterplots_LWG_grazdays_CS!$V$6*$A194+scatterplots_LWG_grazdays_CS!$W$6)/1000</f>
        <v>-0.68687999999999994</v>
      </c>
      <c r="AE194" s="23">
        <f t="shared" si="100"/>
        <v>-0.6468799999999999</v>
      </c>
      <c r="AF194" s="23">
        <f t="shared" si="102"/>
        <v>-0.60687999999999998</v>
      </c>
      <c r="AG194" s="23">
        <f t="shared" si="102"/>
        <v>-0.56687999999999994</v>
      </c>
      <c r="AH194" s="23">
        <f>(scatterplots_LWG_grazdays_CS!$V$6*$A194+scatterplots_LWG_grazdays_CS!$W$6)/1000+AH193</f>
        <v>-37.633919999999989</v>
      </c>
      <c r="AI194" s="23">
        <f t="shared" si="122"/>
        <v>-33.553919999999991</v>
      </c>
      <c r="AJ194" s="23">
        <f t="shared" si="114"/>
        <v>-29.473919999999985</v>
      </c>
      <c r="AK194" s="23">
        <f t="shared" si="115"/>
        <v>-25.393919999999994</v>
      </c>
    </row>
    <row r="195" spans="1:37">
      <c r="A195" s="12">
        <v>193</v>
      </c>
      <c r="B195" s="12">
        <v>104</v>
      </c>
      <c r="C195" s="23">
        <f>(scatterplots_LWG_grazdays_CS!$V$3*$A195+scatterplots_LWG_grazdays_CS!$W$3)/1000</f>
        <v>-0.24812000000000001</v>
      </c>
      <c r="D195" s="23">
        <f t="shared" si="116"/>
        <v>-0.20812</v>
      </c>
      <c r="E195" s="23">
        <f t="shared" si="116"/>
        <v>-0.16811999999999999</v>
      </c>
      <c r="F195" s="23">
        <f t="shared" si="116"/>
        <v>-0.12812000000000001</v>
      </c>
      <c r="G195" s="23">
        <f>(scatterplots_LWG_grazdays_CS!$V$3*$A195+scatterplots_LWG_grazdays_CS!$W$3)/1000+G194</f>
        <v>4.7323600000000088</v>
      </c>
      <c r="H195" s="23">
        <f t="shared" si="119"/>
        <v>8.8923600000000071</v>
      </c>
      <c r="I195" s="23">
        <f t="shared" si="118"/>
        <v>10.692360000000003</v>
      </c>
      <c r="J195" s="23">
        <f t="shared" si="103"/>
        <v>11.692360000000003</v>
      </c>
      <c r="K195" s="23">
        <f t="shared" si="101"/>
        <v>12.092360000000005</v>
      </c>
      <c r="L195" s="23">
        <f t="shared" si="120"/>
        <v>13.052360000000007</v>
      </c>
      <c r="M195" s="23">
        <f t="shared" si="121"/>
        <v>17.21236</v>
      </c>
      <c r="N195" s="23">
        <f>(scatterplots_LWG_grazdays_CS!$V$4*$A195+scatterplots_LWG_grazdays_CS!$W$4)/1000</f>
        <v>-0.42182000000000003</v>
      </c>
      <c r="O195" s="23">
        <f t="shared" si="97"/>
        <v>-0.38182000000000005</v>
      </c>
      <c r="P195" s="23">
        <f t="shared" si="97"/>
        <v>-0.34182000000000001</v>
      </c>
      <c r="Q195" s="23">
        <f t="shared" si="97"/>
        <v>-0.30182000000000003</v>
      </c>
      <c r="R195" s="23">
        <f>(scatterplots_LWG_grazdays_CS!$V$4*$A195+scatterplots_LWG_grazdays_CS!$W$4)/1000+R194</f>
        <v>-12.116540000000006</v>
      </c>
      <c r="S195" s="23">
        <f t="shared" si="108"/>
        <v>-7.9965400000000049</v>
      </c>
      <c r="T195" s="23">
        <f t="shared" si="109"/>
        <v>-3.8765400000000056</v>
      </c>
      <c r="U195" s="23">
        <f t="shared" si="110"/>
        <v>0.24345999999999507</v>
      </c>
      <c r="V195" s="23">
        <f>(scatterplots_LWG_grazdays_CS!$V$5*$A195+scatterplots_LWG_grazdays_CS!$W$5)/1000</f>
        <v>-0.52604000000000006</v>
      </c>
      <c r="W195" s="23">
        <f t="shared" si="98"/>
        <v>-0.48604000000000008</v>
      </c>
      <c r="X195" s="23">
        <f t="shared" si="117"/>
        <v>-0.44604000000000005</v>
      </c>
      <c r="Y195" s="23">
        <f t="shared" si="117"/>
        <v>-0.40604000000000007</v>
      </c>
      <c r="Z195" s="23">
        <f>(scatterplots_LWG_grazdays_CS!$V$5*$A195+scatterplots_LWG_grazdays_CS!$W$5)/1000+Z194</f>
        <v>-22.225880000000004</v>
      </c>
      <c r="AA195" s="23">
        <f t="shared" si="123"/>
        <v>-18.105880000000006</v>
      </c>
      <c r="AB195" s="23">
        <f t="shared" si="112"/>
        <v>-13.985880000000007</v>
      </c>
      <c r="AC195" s="23">
        <f t="shared" si="113"/>
        <v>-9.865880000000006</v>
      </c>
      <c r="AD195" s="23">
        <f>(scatterplots_LWG_grazdays_CS!$V$6*$A195+scatterplots_LWG_grazdays_CS!$W$6)/1000</f>
        <v>-0.69201999999999997</v>
      </c>
      <c r="AE195" s="23">
        <f t="shared" si="100"/>
        <v>-0.65201999999999993</v>
      </c>
      <c r="AF195" s="23">
        <f t="shared" si="102"/>
        <v>-0.61202000000000001</v>
      </c>
      <c r="AG195" s="23">
        <f t="shared" si="102"/>
        <v>-0.57201999999999997</v>
      </c>
      <c r="AH195" s="23">
        <f>(scatterplots_LWG_grazdays_CS!$V$6*$A195+scatterplots_LWG_grazdays_CS!$W$6)/1000+AH194</f>
        <v>-38.325939999999989</v>
      </c>
      <c r="AI195" s="23">
        <f t="shared" si="122"/>
        <v>-34.205939999999991</v>
      </c>
      <c r="AJ195" s="23">
        <f t="shared" si="114"/>
        <v>-30.085939999999987</v>
      </c>
      <c r="AK195" s="23">
        <f t="shared" si="115"/>
        <v>-25.965939999999993</v>
      </c>
    </row>
    <row r="196" spans="1:37">
      <c r="A196" s="12">
        <v>194</v>
      </c>
      <c r="B196" s="12">
        <v>105</v>
      </c>
      <c r="C196" s="23">
        <f>(scatterplots_LWG_grazdays_CS!$V$3*$A196+scatterplots_LWG_grazdays_CS!$W$3)/1000</f>
        <v>-0.25095999999999991</v>
      </c>
      <c r="D196" s="23">
        <f t="shared" si="116"/>
        <v>-0.2109599999999999</v>
      </c>
      <c r="E196" s="23">
        <f t="shared" si="116"/>
        <v>-0.17095999999999989</v>
      </c>
      <c r="F196" s="23">
        <f t="shared" si="116"/>
        <v>-0.13095999999999991</v>
      </c>
      <c r="G196" s="23">
        <f>(scatterplots_LWG_grazdays_CS!$V$3*$A196+scatterplots_LWG_grazdays_CS!$W$3)/1000+G195</f>
        <v>4.4814000000000087</v>
      </c>
      <c r="H196" s="23">
        <f t="shared" si="119"/>
        <v>8.6814000000000071</v>
      </c>
      <c r="I196" s="23">
        <f t="shared" si="118"/>
        <v>10.481400000000002</v>
      </c>
      <c r="J196" s="23">
        <f t="shared" si="103"/>
        <v>11.481400000000002</v>
      </c>
      <c r="K196" s="23">
        <f t="shared" si="101"/>
        <v>11.881400000000005</v>
      </c>
      <c r="L196" s="23">
        <f t="shared" si="120"/>
        <v>12.881400000000008</v>
      </c>
      <c r="M196" s="23">
        <f t="shared" si="121"/>
        <v>17.081400000000002</v>
      </c>
      <c r="N196" s="23">
        <f>(scatterplots_LWG_grazdays_CS!$V$4*$A196+scatterplots_LWG_grazdays_CS!$W$4)/1000</f>
        <v>-0.42556000000000005</v>
      </c>
      <c r="O196" s="23">
        <f t="shared" ref="O196:Q202" si="124">$N196+O$1/1000</f>
        <v>-0.38556000000000007</v>
      </c>
      <c r="P196" s="23">
        <f t="shared" si="124"/>
        <v>-0.34556000000000003</v>
      </c>
      <c r="Q196" s="23">
        <f t="shared" si="124"/>
        <v>-0.30556000000000005</v>
      </c>
      <c r="R196" s="23">
        <f>(scatterplots_LWG_grazdays_CS!$V$4*$A196+scatterplots_LWG_grazdays_CS!$W$4)/1000+R195</f>
        <v>-12.542100000000007</v>
      </c>
      <c r="S196" s="23">
        <f t="shared" si="108"/>
        <v>-8.3821000000000048</v>
      </c>
      <c r="T196" s="23">
        <f t="shared" si="109"/>
        <v>-4.2221000000000055</v>
      </c>
      <c r="U196" s="23">
        <f t="shared" si="110"/>
        <v>-6.2100000000004985E-2</v>
      </c>
      <c r="V196" s="23">
        <f>(scatterplots_LWG_grazdays_CS!$V$5*$A196+scatterplots_LWG_grazdays_CS!$W$5)/1000</f>
        <v>-0.53032000000000001</v>
      </c>
      <c r="W196" s="23">
        <f t="shared" ref="W196:W202" si="125">V196+W$1/1000</f>
        <v>-0.49032000000000003</v>
      </c>
      <c r="X196" s="23">
        <f t="shared" si="117"/>
        <v>-0.45032</v>
      </c>
      <c r="Y196" s="23">
        <f t="shared" si="117"/>
        <v>-0.41032000000000002</v>
      </c>
      <c r="Z196" s="23">
        <f>(scatterplots_LWG_grazdays_CS!$V$5*$A196+scatterplots_LWG_grazdays_CS!$W$5)/1000+Z195</f>
        <v>-22.756200000000003</v>
      </c>
      <c r="AA196" s="23">
        <f t="shared" si="123"/>
        <v>-18.596200000000007</v>
      </c>
      <c r="AB196" s="23">
        <f t="shared" si="112"/>
        <v>-14.436200000000007</v>
      </c>
      <c r="AC196" s="23">
        <f t="shared" si="113"/>
        <v>-10.276200000000006</v>
      </c>
      <c r="AD196" s="23">
        <f>(scatterplots_LWG_grazdays_CS!$V$6*$A196+scatterplots_LWG_grazdays_CS!$W$6)/1000</f>
        <v>-0.69716</v>
      </c>
      <c r="AE196" s="23">
        <f t="shared" ref="AE196:AE202" si="126">AD196+AE$1/1000</f>
        <v>-0.65715999999999997</v>
      </c>
      <c r="AF196" s="23">
        <f t="shared" si="102"/>
        <v>-0.61716000000000004</v>
      </c>
      <c r="AG196" s="23">
        <f t="shared" si="102"/>
        <v>-0.57716000000000001</v>
      </c>
      <c r="AH196" s="23">
        <f>(scatterplots_LWG_grazdays_CS!$V$6*$A196+scatterplots_LWG_grazdays_CS!$W$6)/1000+AH195</f>
        <v>-39.023099999999985</v>
      </c>
      <c r="AI196" s="23">
        <f t="shared" si="122"/>
        <v>-34.863099999999989</v>
      </c>
      <c r="AJ196" s="23">
        <f t="shared" si="114"/>
        <v>-30.703099999999985</v>
      </c>
      <c r="AK196" s="23">
        <f t="shared" si="115"/>
        <v>-26.543099999999992</v>
      </c>
    </row>
    <row r="197" spans="1:37">
      <c r="A197" s="12">
        <v>195</v>
      </c>
      <c r="B197" s="12">
        <v>106</v>
      </c>
      <c r="C197" s="23">
        <f>(scatterplots_LWG_grazdays_CS!$V$3*$A197+scatterplots_LWG_grazdays_CS!$W$3)/1000</f>
        <v>-0.25379999999999997</v>
      </c>
      <c r="D197" s="23">
        <f t="shared" si="116"/>
        <v>-0.21379999999999996</v>
      </c>
      <c r="E197" s="23">
        <f t="shared" si="116"/>
        <v>-0.17379999999999995</v>
      </c>
      <c r="F197" s="23">
        <f t="shared" si="116"/>
        <v>-0.13379999999999997</v>
      </c>
      <c r="G197" s="23">
        <f>(scatterplots_LWG_grazdays_CS!$V$3*$A197+scatterplots_LWG_grazdays_CS!$W$3)/1000+G196</f>
        <v>4.2276000000000087</v>
      </c>
      <c r="H197" s="23">
        <f t="shared" si="119"/>
        <v>8.467600000000008</v>
      </c>
      <c r="I197" s="23">
        <f>D197+I196</f>
        <v>10.267600000000003</v>
      </c>
      <c r="J197" s="23">
        <f t="shared" si="103"/>
        <v>11.267600000000003</v>
      </c>
      <c r="K197" s="23">
        <f t="shared" si="101"/>
        <v>11.667600000000006</v>
      </c>
      <c r="L197" s="23">
        <f t="shared" si="120"/>
        <v>12.707600000000008</v>
      </c>
      <c r="M197" s="23">
        <f t="shared" si="121"/>
        <v>16.947600000000001</v>
      </c>
      <c r="N197" s="23">
        <f>(scatterplots_LWG_grazdays_CS!$V$4*$A197+scatterplots_LWG_grazdays_CS!$W$4)/1000</f>
        <v>-0.42930000000000007</v>
      </c>
      <c r="O197" s="23">
        <f t="shared" si="124"/>
        <v>-0.38930000000000009</v>
      </c>
      <c r="P197" s="23">
        <f t="shared" si="124"/>
        <v>-0.34930000000000005</v>
      </c>
      <c r="Q197" s="23">
        <f t="shared" si="124"/>
        <v>-0.30930000000000007</v>
      </c>
      <c r="R197" s="23">
        <f>(scatterplots_LWG_grazdays_CS!$V$4*$A197+scatterplots_LWG_grazdays_CS!$W$4)/1000+R196</f>
        <v>-12.971400000000006</v>
      </c>
      <c r="S197" s="23">
        <f t="shared" si="108"/>
        <v>-8.7714000000000052</v>
      </c>
      <c r="T197" s="23">
        <f t="shared" si="109"/>
        <v>-4.5714000000000059</v>
      </c>
      <c r="U197" s="23">
        <f t="shared" si="110"/>
        <v>-0.37140000000000506</v>
      </c>
      <c r="V197" s="23">
        <f>(scatterplots_LWG_grazdays_CS!$V$5*$A197+scatterplots_LWG_grazdays_CS!$W$5)/1000</f>
        <v>-0.53460000000000008</v>
      </c>
      <c r="W197" s="23">
        <f t="shared" si="125"/>
        <v>-0.4946000000000001</v>
      </c>
      <c r="X197" s="23">
        <f t="shared" si="117"/>
        <v>-0.45460000000000006</v>
      </c>
      <c r="Y197" s="23">
        <f t="shared" si="117"/>
        <v>-0.41460000000000008</v>
      </c>
      <c r="Z197" s="23">
        <f>(scatterplots_LWG_grazdays_CS!$V$5*$A197+scatterplots_LWG_grazdays_CS!$W$5)/1000+Z196</f>
        <v>-23.290800000000004</v>
      </c>
      <c r="AA197" s="23">
        <f t="shared" si="123"/>
        <v>-19.090800000000005</v>
      </c>
      <c r="AB197" s="23">
        <f t="shared" si="112"/>
        <v>-14.890800000000006</v>
      </c>
      <c r="AC197" s="23">
        <f t="shared" si="113"/>
        <v>-10.690800000000007</v>
      </c>
      <c r="AD197" s="23">
        <f>(scatterplots_LWG_grazdays_CS!$V$6*$A197+scatterplots_LWG_grazdays_CS!$W$6)/1000</f>
        <v>-0.70229999999999992</v>
      </c>
      <c r="AE197" s="23">
        <f t="shared" si="126"/>
        <v>-0.66229999999999989</v>
      </c>
      <c r="AF197" s="23">
        <f t="shared" si="102"/>
        <v>-0.62229999999999996</v>
      </c>
      <c r="AG197" s="23">
        <f t="shared" si="102"/>
        <v>-0.58229999999999993</v>
      </c>
      <c r="AH197" s="23">
        <f>(scatterplots_LWG_grazdays_CS!$V$6*$A197+scatterplots_LWG_grazdays_CS!$W$6)/1000+AH196</f>
        <v>-39.725399999999986</v>
      </c>
      <c r="AI197" s="23">
        <f t="shared" si="122"/>
        <v>-35.525399999999991</v>
      </c>
      <c r="AJ197" s="23">
        <f t="shared" si="114"/>
        <v>-31.325399999999984</v>
      </c>
      <c r="AK197" s="23">
        <f t="shared" si="115"/>
        <v>-27.125399999999992</v>
      </c>
    </row>
    <row r="198" spans="1:37">
      <c r="A198" s="12">
        <v>196</v>
      </c>
      <c r="B198" s="12">
        <v>107</v>
      </c>
      <c r="C198" s="23">
        <f>(scatterplots_LWG_grazdays_CS!$V$3*$A198+scatterplots_LWG_grazdays_CS!$W$3)/1000</f>
        <v>-0.25663999999999998</v>
      </c>
      <c r="D198" s="23">
        <f t="shared" si="116"/>
        <v>-0.21663999999999997</v>
      </c>
      <c r="E198" s="23">
        <f t="shared" si="116"/>
        <v>-0.17663999999999996</v>
      </c>
      <c r="F198" s="23">
        <f t="shared" si="116"/>
        <v>-0.13663999999999998</v>
      </c>
      <c r="G198" s="23">
        <f>(scatterplots_LWG_grazdays_CS!$V$3*$A198+scatterplots_LWG_grazdays_CS!$W$3)/1000+G197</f>
        <v>3.9709600000000087</v>
      </c>
      <c r="H198" s="23">
        <f t="shared" si="119"/>
        <v>8.2509600000000081</v>
      </c>
      <c r="I198" s="23">
        <f t="shared" si="118"/>
        <v>10.050960000000003</v>
      </c>
      <c r="J198" s="23">
        <f t="shared" si="103"/>
        <v>11.050960000000003</v>
      </c>
      <c r="K198" s="23">
        <f t="shared" si="101"/>
        <v>11.450960000000006</v>
      </c>
      <c r="L198" s="23">
        <f t="shared" si="120"/>
        <v>12.530960000000007</v>
      </c>
      <c r="M198" s="23">
        <f t="shared" si="121"/>
        <v>16.810960000000001</v>
      </c>
      <c r="N198" s="23">
        <f>(scatterplots_LWG_grazdays_CS!$V$4*$A198+scatterplots_LWG_grazdays_CS!$W$4)/1000</f>
        <v>-0.43304000000000009</v>
      </c>
      <c r="O198" s="23">
        <f t="shared" si="124"/>
        <v>-0.39304000000000011</v>
      </c>
      <c r="P198" s="23">
        <f t="shared" si="124"/>
        <v>-0.35304000000000008</v>
      </c>
      <c r="Q198" s="23">
        <f t="shared" si="124"/>
        <v>-0.3130400000000001</v>
      </c>
      <c r="R198" s="23">
        <f>(scatterplots_LWG_grazdays_CS!$V$4*$A198+scatterplots_LWG_grazdays_CS!$W$4)/1000+R197</f>
        <v>-13.404440000000006</v>
      </c>
      <c r="S198" s="23">
        <f t="shared" si="108"/>
        <v>-9.1644400000000061</v>
      </c>
      <c r="T198" s="23">
        <f t="shared" si="109"/>
        <v>-4.9244400000000059</v>
      </c>
      <c r="U198" s="23">
        <f t="shared" si="110"/>
        <v>-0.68444000000000516</v>
      </c>
      <c r="V198" s="23">
        <f>(scatterplots_LWG_grazdays_CS!$V$5*$A198+scatterplots_LWG_grazdays_CS!$W$5)/1000</f>
        <v>-0.53888000000000003</v>
      </c>
      <c r="W198" s="23">
        <f t="shared" si="125"/>
        <v>-0.49888000000000005</v>
      </c>
      <c r="X198" s="23">
        <f t="shared" si="117"/>
        <v>-0.45888000000000001</v>
      </c>
      <c r="Y198" s="23">
        <f t="shared" si="117"/>
        <v>-0.41888000000000003</v>
      </c>
      <c r="Z198" s="23">
        <f>(scatterplots_LWG_grazdays_CS!$V$5*$A198+scatterplots_LWG_grazdays_CS!$W$5)/1000+Z197</f>
        <v>-23.829680000000003</v>
      </c>
      <c r="AA198" s="23">
        <f t="shared" si="123"/>
        <v>-19.589680000000005</v>
      </c>
      <c r="AB198" s="23">
        <f t="shared" si="112"/>
        <v>-15.349680000000006</v>
      </c>
      <c r="AC198" s="23">
        <f t="shared" si="113"/>
        <v>-11.109680000000006</v>
      </c>
      <c r="AD198" s="23">
        <f>(scatterplots_LWG_grazdays_CS!$V$6*$A198+scatterplots_LWG_grazdays_CS!$W$6)/1000</f>
        <v>-0.70743999999999996</v>
      </c>
      <c r="AE198" s="23">
        <f t="shared" si="126"/>
        <v>-0.66743999999999992</v>
      </c>
      <c r="AF198" s="23">
        <f t="shared" si="102"/>
        <v>-0.62744</v>
      </c>
      <c r="AG198" s="23">
        <f t="shared" si="102"/>
        <v>-0.58743999999999996</v>
      </c>
      <c r="AH198" s="23">
        <f>(scatterplots_LWG_grazdays_CS!$V$6*$A198+scatterplots_LWG_grazdays_CS!$W$6)/1000+AH197</f>
        <v>-40.432839999999985</v>
      </c>
      <c r="AI198" s="23">
        <f t="shared" si="122"/>
        <v>-36.19283999999999</v>
      </c>
      <c r="AJ198" s="23">
        <f t="shared" si="114"/>
        <v>-31.952839999999984</v>
      </c>
      <c r="AK198" s="23">
        <f t="shared" si="115"/>
        <v>-27.712839999999993</v>
      </c>
    </row>
    <row r="199" spans="1:37">
      <c r="A199" s="12">
        <v>197</v>
      </c>
      <c r="B199" s="12">
        <v>108</v>
      </c>
      <c r="C199" s="23">
        <f>(scatterplots_LWG_grazdays_CS!$V$3*$A199+scatterplots_LWG_grazdays_CS!$W$3)/1000</f>
        <v>-0.25948000000000004</v>
      </c>
      <c r="D199" s="23">
        <f t="shared" si="116"/>
        <v>-0.21948000000000004</v>
      </c>
      <c r="E199" s="23">
        <f t="shared" si="116"/>
        <v>-0.17948000000000003</v>
      </c>
      <c r="F199" s="23">
        <f t="shared" si="116"/>
        <v>-0.13948000000000005</v>
      </c>
      <c r="G199" s="23">
        <f>(scatterplots_LWG_grazdays_CS!$V$3*$A199+scatterplots_LWG_grazdays_CS!$W$3)/1000+G198</f>
        <v>3.7114800000000088</v>
      </c>
      <c r="H199" s="23">
        <f t="shared" si="119"/>
        <v>8.0314800000000073</v>
      </c>
      <c r="I199" s="23">
        <f t="shared" si="118"/>
        <v>9.8314800000000027</v>
      </c>
      <c r="J199" s="23">
        <f t="shared" si="103"/>
        <v>10.831480000000003</v>
      </c>
      <c r="K199" s="23">
        <f t="shared" si="101"/>
        <v>11.231480000000005</v>
      </c>
      <c r="L199" s="23">
        <f t="shared" si="120"/>
        <v>12.351480000000008</v>
      </c>
      <c r="M199" s="23">
        <f t="shared" si="121"/>
        <v>16.671480000000003</v>
      </c>
      <c r="N199" s="23">
        <f>(scatterplots_LWG_grazdays_CS!$V$4*$A199+scatterplots_LWG_grazdays_CS!$W$4)/1000</f>
        <v>-0.43678000000000011</v>
      </c>
      <c r="O199" s="23">
        <f t="shared" si="124"/>
        <v>-0.39678000000000013</v>
      </c>
      <c r="P199" s="23">
        <f t="shared" si="124"/>
        <v>-0.3567800000000001</v>
      </c>
      <c r="Q199" s="23">
        <f t="shared" si="124"/>
        <v>-0.31678000000000012</v>
      </c>
      <c r="R199" s="23">
        <f>(scatterplots_LWG_grazdays_CS!$V$4*$A199+scatterplots_LWG_grazdays_CS!$W$4)/1000+R198</f>
        <v>-13.841220000000007</v>
      </c>
      <c r="S199" s="23">
        <f t="shared" si="108"/>
        <v>-9.5612200000000058</v>
      </c>
      <c r="T199" s="23">
        <f t="shared" si="109"/>
        <v>-5.2812200000000065</v>
      </c>
      <c r="U199" s="23">
        <f t="shared" si="110"/>
        <v>-1.0012200000000053</v>
      </c>
      <c r="V199" s="23">
        <f>(scatterplots_LWG_grazdays_CS!$V$5*$A199+scatterplots_LWG_grazdays_CS!$W$5)/1000</f>
        <v>-0.54316000000000009</v>
      </c>
      <c r="W199" s="23">
        <f t="shared" si="125"/>
        <v>-0.50316000000000005</v>
      </c>
      <c r="X199" s="23">
        <f t="shared" si="117"/>
        <v>-0.46316000000000007</v>
      </c>
      <c r="Y199" s="23">
        <f t="shared" si="117"/>
        <v>-0.42316000000000009</v>
      </c>
      <c r="Z199" s="23">
        <f>(scatterplots_LWG_grazdays_CS!$V$5*$A199+scatterplots_LWG_grazdays_CS!$W$5)/1000+Z198</f>
        <v>-24.372840000000004</v>
      </c>
      <c r="AA199" s="23">
        <f t="shared" si="123"/>
        <v>-20.092840000000006</v>
      </c>
      <c r="AB199" s="23">
        <f t="shared" si="112"/>
        <v>-15.812840000000007</v>
      </c>
      <c r="AC199" s="23">
        <f t="shared" si="113"/>
        <v>-11.532840000000006</v>
      </c>
      <c r="AD199" s="23">
        <f>(scatterplots_LWG_grazdays_CS!$V$6*$A199+scatterplots_LWG_grazdays_CS!$W$6)/1000</f>
        <v>-0.71257999999999988</v>
      </c>
      <c r="AE199" s="23">
        <f t="shared" si="126"/>
        <v>-0.67257999999999984</v>
      </c>
      <c r="AF199" s="23">
        <f t="shared" si="102"/>
        <v>-0.63257999999999992</v>
      </c>
      <c r="AG199" s="23">
        <f t="shared" si="102"/>
        <v>-0.59257999999999988</v>
      </c>
      <c r="AH199" s="23">
        <f>(scatterplots_LWG_grazdays_CS!$V$6*$A199+scatterplots_LWG_grazdays_CS!$W$6)/1000+AH198</f>
        <v>-41.145419999999987</v>
      </c>
      <c r="AI199" s="23">
        <f t="shared" si="122"/>
        <v>-36.865419999999986</v>
      </c>
      <c r="AJ199" s="23">
        <f t="shared" si="114"/>
        <v>-32.585419999999985</v>
      </c>
      <c r="AK199" s="23">
        <f t="shared" si="115"/>
        <v>-28.305419999999991</v>
      </c>
    </row>
    <row r="200" spans="1:37">
      <c r="A200" s="12">
        <v>198</v>
      </c>
      <c r="B200" s="12">
        <v>109</v>
      </c>
      <c r="C200" s="23">
        <f>(scatterplots_LWG_grazdays_CS!$V$3*$A200+scatterplots_LWG_grazdays_CS!$W$3)/1000</f>
        <v>-0.26231999999999994</v>
      </c>
      <c r="D200" s="23">
        <f t="shared" si="116"/>
        <v>-0.22231999999999993</v>
      </c>
      <c r="E200" s="23">
        <f t="shared" si="116"/>
        <v>-0.18231999999999993</v>
      </c>
      <c r="F200" s="23">
        <f t="shared" si="116"/>
        <v>-0.14231999999999995</v>
      </c>
      <c r="G200" s="23">
        <f>(scatterplots_LWG_grazdays_CS!$V$3*$A200+scatterplots_LWG_grazdays_CS!$W$3)/1000+G199</f>
        <v>3.4491600000000089</v>
      </c>
      <c r="H200" s="23">
        <f t="shared" si="119"/>
        <v>7.8091600000000074</v>
      </c>
      <c r="I200" s="23">
        <f t="shared" si="118"/>
        <v>9.6091600000000028</v>
      </c>
      <c r="J200" s="23">
        <f t="shared" si="103"/>
        <v>10.609160000000003</v>
      </c>
      <c r="K200" s="23">
        <f t="shared" si="101"/>
        <v>11.009160000000005</v>
      </c>
      <c r="L200" s="23">
        <f t="shared" si="120"/>
        <v>12.169160000000007</v>
      </c>
      <c r="M200" s="23">
        <f t="shared" si="121"/>
        <v>16.529160000000001</v>
      </c>
      <c r="N200" s="23">
        <f>(scatterplots_LWG_grazdays_CS!$V$4*$A200+scatterplots_LWG_grazdays_CS!$W$4)/1000</f>
        <v>-0.44052000000000008</v>
      </c>
      <c r="O200" s="23">
        <f t="shared" si="124"/>
        <v>-0.4005200000000001</v>
      </c>
      <c r="P200" s="23">
        <f t="shared" si="124"/>
        <v>-0.36052000000000006</v>
      </c>
      <c r="Q200" s="23">
        <f t="shared" si="124"/>
        <v>-0.32052000000000008</v>
      </c>
      <c r="R200" s="23">
        <f>(scatterplots_LWG_grazdays_CS!$V$4*$A200+scatterplots_LWG_grazdays_CS!$W$4)/1000+R199</f>
        <v>-14.281740000000006</v>
      </c>
      <c r="S200" s="23">
        <f t="shared" si="108"/>
        <v>-9.961740000000006</v>
      </c>
      <c r="T200" s="23">
        <f t="shared" si="109"/>
        <v>-5.6417400000000066</v>
      </c>
      <c r="U200" s="23">
        <f t="shared" si="110"/>
        <v>-1.3217400000000055</v>
      </c>
      <c r="V200" s="23">
        <f>(scatterplots_LWG_grazdays_CS!$V$5*$A200+scatterplots_LWG_grazdays_CS!$W$5)/1000</f>
        <v>-0.54744000000000004</v>
      </c>
      <c r="W200" s="23">
        <f t="shared" si="125"/>
        <v>-0.50744</v>
      </c>
      <c r="X200" s="23">
        <f t="shared" si="117"/>
        <v>-0.46744000000000002</v>
      </c>
      <c r="Y200" s="23">
        <f t="shared" si="117"/>
        <v>-0.42744000000000004</v>
      </c>
      <c r="Z200" s="23">
        <f>(scatterplots_LWG_grazdays_CS!$V$5*$A200+scatterplots_LWG_grazdays_CS!$W$5)/1000+Z199</f>
        <v>-24.920280000000005</v>
      </c>
      <c r="AA200" s="23">
        <f t="shared" si="123"/>
        <v>-20.600280000000005</v>
      </c>
      <c r="AB200" s="23">
        <f t="shared" si="112"/>
        <v>-16.280280000000008</v>
      </c>
      <c r="AC200" s="23">
        <f t="shared" si="113"/>
        <v>-11.960280000000006</v>
      </c>
      <c r="AD200" s="23">
        <f>(scatterplots_LWG_grazdays_CS!$V$6*$A200+scatterplots_LWG_grazdays_CS!$W$6)/1000</f>
        <v>-0.71771999999999991</v>
      </c>
      <c r="AE200" s="23">
        <f t="shared" si="126"/>
        <v>-0.67771999999999988</v>
      </c>
      <c r="AF200" s="23">
        <f t="shared" si="102"/>
        <v>-0.63771999999999995</v>
      </c>
      <c r="AG200" s="23">
        <f t="shared" si="102"/>
        <v>-0.59771999999999992</v>
      </c>
      <c r="AH200" s="23">
        <f>(scatterplots_LWG_grazdays_CS!$V$6*$A200+scatterplots_LWG_grazdays_CS!$W$6)/1000+AH199</f>
        <v>-41.863139999999987</v>
      </c>
      <c r="AI200" s="23">
        <f t="shared" si="122"/>
        <v>-37.543139999999987</v>
      </c>
      <c r="AJ200" s="23">
        <f t="shared" si="114"/>
        <v>-33.223139999999987</v>
      </c>
      <c r="AK200" s="23">
        <f t="shared" si="115"/>
        <v>-28.90313999999999</v>
      </c>
    </row>
    <row r="201" spans="1:37">
      <c r="A201" s="12">
        <v>199</v>
      </c>
      <c r="B201" s="12">
        <v>110</v>
      </c>
      <c r="C201" s="23">
        <f>(scatterplots_LWG_grazdays_CS!$V$3*$A201+scatterplots_LWG_grazdays_CS!$W$3)/1000</f>
        <v>-0.26515999999999995</v>
      </c>
      <c r="D201" s="23">
        <f t="shared" si="116"/>
        <v>-0.22515999999999994</v>
      </c>
      <c r="E201" s="23">
        <f t="shared" si="116"/>
        <v>-0.18515999999999994</v>
      </c>
      <c r="F201" s="23">
        <f t="shared" si="116"/>
        <v>-0.14515999999999996</v>
      </c>
      <c r="G201" s="23">
        <f>(scatterplots_LWG_grazdays_CS!$V$3*$A201+scatterplots_LWG_grazdays_CS!$W$3)/1000+G200</f>
        <v>3.184000000000009</v>
      </c>
      <c r="H201" s="23">
        <f t="shared" si="119"/>
        <v>7.5840000000000076</v>
      </c>
      <c r="I201" s="23">
        <f t="shared" si="118"/>
        <v>9.3840000000000021</v>
      </c>
      <c r="J201" s="23">
        <f t="shared" si="103"/>
        <v>10.384000000000002</v>
      </c>
      <c r="K201" s="23">
        <f t="shared" si="101"/>
        <v>10.784000000000004</v>
      </c>
      <c r="L201" s="23">
        <f t="shared" si="120"/>
        <v>11.984000000000007</v>
      </c>
      <c r="M201" s="23">
        <f t="shared" si="121"/>
        <v>16.384</v>
      </c>
      <c r="N201" s="23">
        <f>(scatterplots_LWG_grazdays_CS!$V$4*$A201+scatterplots_LWG_grazdays_CS!$W$4)/1000</f>
        <v>-0.44425999999999999</v>
      </c>
      <c r="O201" s="23">
        <f t="shared" si="124"/>
        <v>-0.40426000000000001</v>
      </c>
      <c r="P201" s="23">
        <f t="shared" si="124"/>
        <v>-0.36425999999999997</v>
      </c>
      <c r="Q201" s="23">
        <f t="shared" si="124"/>
        <v>-0.32425999999999999</v>
      </c>
      <c r="R201" s="23">
        <f>(scatterplots_LWG_grazdays_CS!$V$4*$A201+scatterplots_LWG_grazdays_CS!$W$4)/1000+R200</f>
        <v>-14.726000000000006</v>
      </c>
      <c r="S201" s="23">
        <f t="shared" si="108"/>
        <v>-10.366000000000007</v>
      </c>
      <c r="T201" s="23">
        <f t="shared" si="109"/>
        <v>-6.0060000000000064</v>
      </c>
      <c r="U201" s="23">
        <f t="shared" si="110"/>
        <v>-1.6460000000000055</v>
      </c>
      <c r="V201" s="23">
        <f>(scatterplots_LWG_grazdays_CS!$V$5*$A201+scatterplots_LWG_grazdays_CS!$W$5)/1000</f>
        <v>-0.55171999999999999</v>
      </c>
      <c r="W201" s="23">
        <f t="shared" si="125"/>
        <v>-0.51171999999999995</v>
      </c>
      <c r="X201" s="23">
        <f t="shared" si="117"/>
        <v>-0.47171999999999997</v>
      </c>
      <c r="Y201" s="23">
        <f t="shared" si="117"/>
        <v>-0.43171999999999999</v>
      </c>
      <c r="Z201" s="23">
        <f>(scatterplots_LWG_grazdays_CS!$V$5*$A201+scatterplots_LWG_grazdays_CS!$W$5)/1000+Z200</f>
        <v>-25.472000000000005</v>
      </c>
      <c r="AA201" s="23">
        <f t="shared" si="123"/>
        <v>-21.112000000000005</v>
      </c>
      <c r="AB201" s="23">
        <f t="shared" si="112"/>
        <v>-16.75200000000001</v>
      </c>
      <c r="AC201" s="23">
        <f t="shared" si="113"/>
        <v>-12.392000000000007</v>
      </c>
      <c r="AD201" s="23">
        <f>(scatterplots_LWG_grazdays_CS!$V$6*$A201+scatterplots_LWG_grazdays_CS!$W$6)/1000</f>
        <v>-0.72285999999999995</v>
      </c>
      <c r="AE201" s="23">
        <f t="shared" si="126"/>
        <v>-0.68285999999999991</v>
      </c>
      <c r="AF201" s="23">
        <f t="shared" si="102"/>
        <v>-0.64285999999999999</v>
      </c>
      <c r="AG201" s="23">
        <f t="shared" si="102"/>
        <v>-0.60285999999999995</v>
      </c>
      <c r="AH201" s="23">
        <f>(scatterplots_LWG_grazdays_CS!$V$6*$A201+scatterplots_LWG_grazdays_CS!$W$6)/1000+AH200</f>
        <v>-42.585999999999984</v>
      </c>
      <c r="AI201" s="23">
        <f t="shared" si="122"/>
        <v>-38.225999999999985</v>
      </c>
      <c r="AJ201" s="23">
        <f t="shared" si="114"/>
        <v>-33.865999999999985</v>
      </c>
      <c r="AK201" s="23">
        <f t="shared" si="115"/>
        <v>-29.50599999999999</v>
      </c>
    </row>
    <row r="202" spans="1:37">
      <c r="A202" s="12">
        <v>200</v>
      </c>
      <c r="B202" s="12">
        <v>111</v>
      </c>
      <c r="C202" s="23">
        <f>(scatterplots_LWG_grazdays_CS!$V$3*$A202+scatterplots_LWG_grazdays_CS!$W$3)/1000</f>
        <v>-0.26800000000000002</v>
      </c>
      <c r="D202" s="23">
        <f t="shared" si="116"/>
        <v>-0.22800000000000001</v>
      </c>
      <c r="E202" s="23">
        <f t="shared" si="116"/>
        <v>-0.188</v>
      </c>
      <c r="F202" s="23">
        <f t="shared" si="116"/>
        <v>-0.14800000000000002</v>
      </c>
      <c r="G202" s="23">
        <f>(scatterplots_LWG_grazdays_CS!$V$3*$A202+scatterplots_LWG_grazdays_CS!$W$3)/1000+G201</f>
        <v>2.9160000000000093</v>
      </c>
      <c r="H202" s="23">
        <f t="shared" si="119"/>
        <v>7.3560000000000079</v>
      </c>
      <c r="I202" s="23">
        <f t="shared" si="118"/>
        <v>9.1560000000000024</v>
      </c>
      <c r="J202" s="23">
        <f t="shared" si="103"/>
        <v>10.156000000000002</v>
      </c>
      <c r="K202" s="23">
        <f t="shared" si="101"/>
        <v>10.556000000000004</v>
      </c>
      <c r="L202" s="23">
        <f t="shared" si="120"/>
        <v>11.796000000000006</v>
      </c>
      <c r="M202" s="23">
        <f t="shared" si="121"/>
        <v>16.236000000000001</v>
      </c>
      <c r="N202" s="23">
        <f>(scatterplots_LWG_grazdays_CS!$V$4*$A202+scatterplots_LWG_grazdays_CS!$W$4)/1000</f>
        <v>-0.44800000000000001</v>
      </c>
      <c r="O202" s="23">
        <f t="shared" si="124"/>
        <v>-0.40800000000000003</v>
      </c>
      <c r="P202" s="23">
        <f t="shared" si="124"/>
        <v>-0.36799999999999999</v>
      </c>
      <c r="Q202" s="23">
        <f t="shared" si="124"/>
        <v>-0.32800000000000001</v>
      </c>
      <c r="R202" s="23">
        <f>(scatterplots_LWG_grazdays_CS!$V$4*$A202+scatterplots_LWG_grazdays_CS!$W$4)/1000+R201</f>
        <v>-15.174000000000007</v>
      </c>
      <c r="S202" s="23">
        <f t="shared" si="108"/>
        <v>-10.774000000000006</v>
      </c>
      <c r="T202" s="23">
        <f t="shared" si="109"/>
        <v>-6.3740000000000068</v>
      </c>
      <c r="U202" s="23">
        <f t="shared" si="110"/>
        <v>-1.9740000000000055</v>
      </c>
      <c r="V202" s="23">
        <f>(scatterplots_LWG_grazdays_CS!$V$5*$A202+scatterplots_LWG_grazdays_CS!$W$5)/1000</f>
        <v>-0.55600000000000005</v>
      </c>
      <c r="W202" s="23">
        <f t="shared" si="125"/>
        <v>-0.51600000000000001</v>
      </c>
      <c r="X202" s="23">
        <f t="shared" si="117"/>
        <v>-0.47600000000000003</v>
      </c>
      <c r="Y202" s="23">
        <f t="shared" si="117"/>
        <v>-0.43600000000000005</v>
      </c>
      <c r="Z202" s="23">
        <f>(scatterplots_LWG_grazdays_CS!$V$5*$A202+scatterplots_LWG_grazdays_CS!$W$5)/1000+Z201</f>
        <v>-26.028000000000006</v>
      </c>
      <c r="AA202" s="23">
        <f t="shared" si="123"/>
        <v>-21.628000000000007</v>
      </c>
      <c r="AB202" s="23">
        <f t="shared" si="112"/>
        <v>-17.228000000000009</v>
      </c>
      <c r="AC202" s="23">
        <f t="shared" si="113"/>
        <v>-12.828000000000007</v>
      </c>
      <c r="AD202" s="23">
        <f>(scatterplots_LWG_grazdays_CS!$V$6*$A202+scatterplots_LWG_grazdays_CS!$W$6)/1000</f>
        <v>-0.72799999999999998</v>
      </c>
      <c r="AE202" s="23">
        <f t="shared" si="126"/>
        <v>-0.68799999999999994</v>
      </c>
      <c r="AF202" s="23">
        <f t="shared" si="102"/>
        <v>-0.64800000000000002</v>
      </c>
      <c r="AG202" s="23">
        <f t="shared" si="102"/>
        <v>-0.60799999999999998</v>
      </c>
      <c r="AH202" s="23">
        <f>(scatterplots_LWG_grazdays_CS!$V$6*$A202+scatterplots_LWG_grazdays_CS!$W$6)/1000+AH201</f>
        <v>-43.313999999999986</v>
      </c>
      <c r="AI202" s="23">
        <f t="shared" si="122"/>
        <v>-38.913999999999987</v>
      </c>
      <c r="AJ202" s="23">
        <f t="shared" si="114"/>
        <v>-34.513999999999989</v>
      </c>
      <c r="AK202" s="23">
        <f t="shared" si="115"/>
        <v>-30.11399999999999</v>
      </c>
    </row>
  </sheetData>
  <customSheetViews>
    <customSheetView guid="{51F81FF1-EE1A-40FC-8953-32A9F2F33EA5}" state="hidden" topLeftCell="AI1">
      <pageMargins left="0" right="0" top="0" bottom="0" header="0" footer="0"/>
      <pageSetup paperSize="9" orientation="portrait" horizontalDpi="300" verticalDpi="0" r:id="rId1"/>
    </customSheetView>
  </customSheetViews>
  <phoneticPr fontId="4" type="noConversion"/>
  <pageMargins left="0.7" right="0.7" top="0.75" bottom="0.75" header="0.3" footer="0.3"/>
  <pageSetup paperSize="9" orientation="portrait" horizontalDpi="300"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B525-5104-44EF-8066-D04D399E9712}">
  <sheetPr codeName="Sheet1"/>
  <dimension ref="A1:A8"/>
  <sheetViews>
    <sheetView zoomScale="145" zoomScaleNormal="145" workbookViewId="0"/>
  </sheetViews>
  <sheetFormatPr defaultColWidth="8.7109375" defaultRowHeight="14.85"/>
  <cols>
    <col min="1" max="1" width="98.140625" style="137" customWidth="1"/>
    <col min="2" max="16384" width="8.7109375" style="137"/>
  </cols>
  <sheetData>
    <row r="1" spans="1:1" ht="47.1">
      <c r="A1" s="141" t="s">
        <v>0</v>
      </c>
    </row>
    <row r="2" spans="1:1">
      <c r="A2" s="138"/>
    </row>
    <row r="3" spans="1:1" ht="177">
      <c r="A3" s="139" t="s">
        <v>1</v>
      </c>
    </row>
    <row r="6" spans="1:1" ht="117.95">
      <c r="A6" s="140" t="s">
        <v>2</v>
      </c>
    </row>
    <row r="8" spans="1:1" ht="59.1">
      <c r="A8" s="139" t="s">
        <v>3</v>
      </c>
    </row>
  </sheetData>
  <customSheetViews>
    <customSheetView guid="{51F81FF1-EE1A-40FC-8953-32A9F2F33EA5}">
      <selection activeCell="A9" sqref="A9"/>
      <pageMargins left="0" right="0" top="0" bottom="0" header="0" footer="0"/>
      <pageSetup paperSize="9" orientation="portrait" horizontalDpi="300" verticalDpi="0" r:id="rId1"/>
    </customSheetView>
  </customSheetViews>
  <pageMargins left="0.7" right="0.7" top="0.75" bottom="0.75" header="0.3" footer="0.3"/>
  <pageSetup paperSize="9" orientation="portrait" horizontalDpi="300"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56C29-88D8-473C-A48A-F248642BA880}">
  <sheetPr codeName="Sheet2"/>
  <dimension ref="A1:G92"/>
  <sheetViews>
    <sheetView zoomScaleNormal="100" workbookViewId="0">
      <selection activeCell="D28" sqref="D28"/>
    </sheetView>
  </sheetViews>
  <sheetFormatPr defaultRowHeight="14.85"/>
  <cols>
    <col min="1" max="1" width="54.28515625" customWidth="1"/>
    <col min="2" max="2" width="8.85546875" style="21" customWidth="1"/>
    <col min="3" max="3" width="7.28515625" style="21" customWidth="1"/>
    <col min="4" max="4" width="74.7109375" customWidth="1"/>
    <col min="5" max="5" width="8.5703125" customWidth="1"/>
    <col min="6" max="6" width="9" style="96" customWidth="1"/>
    <col min="7" max="7" width="9.28515625" style="96" customWidth="1"/>
  </cols>
  <sheetData>
    <row r="1" spans="1:7" ht="15.6" thickBot="1">
      <c r="A1" s="73" t="s">
        <v>4</v>
      </c>
      <c r="B1" s="74"/>
      <c r="C1" s="134"/>
      <c r="D1" s="81" t="s">
        <v>5</v>
      </c>
      <c r="E1" s="90"/>
    </row>
    <row r="2" spans="1:7" ht="15.6" thickBot="1">
      <c r="A2" s="75" t="s">
        <v>6</v>
      </c>
      <c r="B2" s="79"/>
      <c r="C2" s="134"/>
      <c r="D2" s="82" t="s">
        <v>7</v>
      </c>
      <c r="E2" s="86"/>
    </row>
    <row r="3" spans="1:7" ht="15.6" thickBot="1">
      <c r="A3" s="76" t="s">
        <v>8</v>
      </c>
      <c r="B3" s="45">
        <v>0</v>
      </c>
      <c r="C3" s="134"/>
      <c r="D3" s="83" t="s">
        <v>9</v>
      </c>
      <c r="E3" s="52">
        <f>Calculations!B22</f>
        <v>26.066694086774298</v>
      </c>
    </row>
    <row r="4" spans="1:7" ht="15.6" thickBot="1">
      <c r="A4" s="76"/>
      <c r="B4" s="133"/>
      <c r="C4" s="135"/>
      <c r="D4" s="83" t="s">
        <v>10</v>
      </c>
      <c r="E4" s="55">
        <f>Calculations!B17</f>
        <v>63.847276774304653</v>
      </c>
    </row>
    <row r="5" spans="1:7" ht="15.6" thickBot="1">
      <c r="A5" s="76" t="s">
        <v>11</v>
      </c>
      <c r="B5" s="45" t="s">
        <v>12</v>
      </c>
      <c r="C5" s="134"/>
      <c r="D5" s="83" t="s">
        <v>13</v>
      </c>
      <c r="E5" s="54">
        <f>Calculations!B23</f>
        <v>53.434399643120216</v>
      </c>
    </row>
    <row r="6" spans="1:7">
      <c r="A6" s="76" t="s">
        <v>14</v>
      </c>
      <c r="B6" s="63">
        <v>2.2000000000000002</v>
      </c>
      <c r="C6" s="134"/>
      <c r="D6" s="83"/>
      <c r="E6" s="87"/>
    </row>
    <row r="7" spans="1:7" ht="15.6" thickBot="1">
      <c r="A7" s="76" t="s">
        <v>15</v>
      </c>
      <c r="B7" s="63">
        <v>60</v>
      </c>
      <c r="C7" s="134"/>
      <c r="D7" s="82" t="s">
        <v>16</v>
      </c>
      <c r="E7" s="87"/>
      <c r="F7" s="98"/>
      <c r="G7" s="98"/>
    </row>
    <row r="8" spans="1:7">
      <c r="A8" s="76" t="s">
        <v>17</v>
      </c>
      <c r="B8" s="63">
        <v>0</v>
      </c>
      <c r="C8" s="134"/>
      <c r="D8" s="83" t="s">
        <v>18</v>
      </c>
      <c r="E8" s="52">
        <f>Calculations!B45</f>
        <v>53.434399643120216</v>
      </c>
      <c r="F8" s="98"/>
      <c r="G8" s="98"/>
    </row>
    <row r="9" spans="1:7">
      <c r="A9" s="76" t="s">
        <v>19</v>
      </c>
      <c r="B9" s="46">
        <v>100</v>
      </c>
      <c r="C9" s="134"/>
      <c r="D9" s="83" t="s">
        <v>20</v>
      </c>
      <c r="E9" s="55">
        <f>Calculations!B46/1000</f>
        <v>0</v>
      </c>
      <c r="F9" s="98"/>
      <c r="G9" s="98"/>
    </row>
    <row r="10" spans="1:7" ht="15.6" thickBot="1">
      <c r="A10" s="76" t="s">
        <v>21</v>
      </c>
      <c r="B10" s="47">
        <v>300</v>
      </c>
      <c r="C10" s="134"/>
      <c r="D10" s="83" t="s">
        <v>22</v>
      </c>
      <c r="E10" s="91">
        <f>Calculations!B47</f>
        <v>0</v>
      </c>
      <c r="F10" s="98"/>
      <c r="G10" s="98"/>
    </row>
    <row r="11" spans="1:7" ht="15.6" thickBot="1">
      <c r="A11" s="76"/>
      <c r="B11" s="131"/>
      <c r="C11" s="134"/>
      <c r="D11" s="83" t="s">
        <v>23</v>
      </c>
      <c r="E11" s="92">
        <f>Calculations!B48</f>
        <v>0</v>
      </c>
      <c r="F11" s="99"/>
    </row>
    <row r="12" spans="1:7" ht="15.6" thickBot="1">
      <c r="A12" s="77" t="s">
        <v>24</v>
      </c>
      <c r="B12" s="80"/>
      <c r="C12" s="134"/>
      <c r="D12" s="84"/>
      <c r="E12" s="88"/>
      <c r="F12" s="100"/>
      <c r="G12" s="101"/>
    </row>
    <row r="13" spans="1:7" ht="15.6" thickBot="1">
      <c r="A13" s="76" t="s">
        <v>25</v>
      </c>
      <c r="B13" s="45" t="s">
        <v>26</v>
      </c>
      <c r="C13" s="134"/>
      <c r="D13" s="82" t="s">
        <v>27</v>
      </c>
      <c r="E13" s="89"/>
      <c r="F13" s="102"/>
      <c r="G13" s="102"/>
    </row>
    <row r="14" spans="1:7">
      <c r="A14" s="76" t="s">
        <v>28</v>
      </c>
      <c r="B14" s="46">
        <v>22</v>
      </c>
      <c r="C14" s="134"/>
      <c r="D14" s="83" t="s">
        <v>29</v>
      </c>
      <c r="E14" s="52">
        <f>Calculations!B50</f>
        <v>168972.29916897503</v>
      </c>
      <c r="F14" s="102"/>
      <c r="G14" s="102"/>
    </row>
    <row r="15" spans="1:7">
      <c r="A15" s="76" t="s">
        <v>30</v>
      </c>
      <c r="B15" s="46">
        <v>0.2</v>
      </c>
      <c r="C15" s="134"/>
      <c r="D15" s="83" t="s">
        <v>31</v>
      </c>
      <c r="E15" s="53">
        <f>Calculations!B51</f>
        <v>0</v>
      </c>
    </row>
    <row r="16" spans="1:7" ht="15.6" thickBot="1">
      <c r="A16" s="78" t="s">
        <v>32</v>
      </c>
      <c r="B16" s="48">
        <v>400</v>
      </c>
      <c r="C16" s="93"/>
      <c r="D16" s="85" t="s">
        <v>33</v>
      </c>
      <c r="E16" s="56">
        <f>Calculations!B52</f>
        <v>0</v>
      </c>
    </row>
    <row r="17" spans="1:7">
      <c r="A17" s="136" t="str">
        <f>IF(B6&lt;2.6, "*Note that Lifetime Ewe Management recommends a BCS target range of 3.0-3.5 during joining, http://www.lifetimewool.com.au", "")</f>
        <v>*Note that Lifetime Ewe Management recommends a BCS target range of 3.0-3.5 during joining, http://www.lifetimewool.com.au</v>
      </c>
      <c r="B17" s="93"/>
      <c r="C17" s="94"/>
      <c r="D17" s="96"/>
      <c r="E17" s="96"/>
    </row>
    <row r="18" spans="1:7">
      <c r="A18" s="96" t="s">
        <v>34</v>
      </c>
      <c r="B18" s="93"/>
      <c r="C18" s="95"/>
      <c r="D18" s="96"/>
      <c r="E18" s="96"/>
    </row>
    <row r="19" spans="1:7" ht="29.85" customHeight="1">
      <c r="A19" s="144" t="s">
        <v>35</v>
      </c>
      <c r="B19" s="144"/>
      <c r="C19" s="144"/>
      <c r="D19" s="144"/>
      <c r="E19" s="144"/>
      <c r="F19" s="143"/>
      <c r="G19" s="143"/>
    </row>
    <row r="20" spans="1:7">
      <c r="A20" s="96"/>
      <c r="B20" s="93"/>
      <c r="C20" s="93"/>
      <c r="D20" s="96"/>
      <c r="E20" s="96"/>
    </row>
    <row r="21" spans="1:7">
      <c r="A21" s="96"/>
      <c r="B21" s="93"/>
      <c r="C21" s="95"/>
      <c r="D21" s="96"/>
      <c r="E21" s="96"/>
    </row>
    <row r="22" spans="1:7">
      <c r="A22" s="96"/>
      <c r="B22" s="93"/>
      <c r="C22" s="95"/>
      <c r="D22" s="96"/>
      <c r="E22" s="96"/>
    </row>
    <row r="23" spans="1:7">
      <c r="A23" s="96"/>
      <c r="B23" s="93"/>
      <c r="C23" s="97"/>
      <c r="D23" s="96"/>
      <c r="E23" s="96"/>
    </row>
    <row r="24" spans="1:7">
      <c r="A24" s="96"/>
      <c r="B24" s="93"/>
      <c r="C24" s="93"/>
      <c r="D24" s="96"/>
      <c r="E24" s="96"/>
    </row>
    <row r="25" spans="1:7">
      <c r="A25" s="96"/>
      <c r="B25" s="93"/>
      <c r="C25" s="93"/>
      <c r="D25" s="96"/>
      <c r="E25" s="96"/>
    </row>
    <row r="26" spans="1:7">
      <c r="A26" s="96"/>
      <c r="B26" s="93"/>
      <c r="C26" s="93"/>
      <c r="D26" s="96"/>
      <c r="E26" s="96"/>
    </row>
    <row r="27" spans="1:7">
      <c r="A27" s="96"/>
      <c r="B27" s="93"/>
      <c r="C27" s="93"/>
      <c r="D27" s="96"/>
      <c r="E27" s="96"/>
    </row>
    <row r="28" spans="1:7">
      <c r="A28" s="96"/>
      <c r="B28" s="93"/>
      <c r="C28" s="93"/>
      <c r="D28" s="96"/>
      <c r="E28" s="96"/>
    </row>
    <row r="29" spans="1:7">
      <c r="A29" s="96"/>
      <c r="B29" s="93"/>
      <c r="C29" s="93"/>
      <c r="D29" s="96"/>
      <c r="E29" s="96"/>
    </row>
    <row r="30" spans="1:7">
      <c r="A30" s="96"/>
      <c r="B30" s="93"/>
      <c r="C30" s="93"/>
      <c r="D30" s="96"/>
      <c r="E30" s="96"/>
    </row>
    <row r="31" spans="1:7">
      <c r="A31" s="96"/>
      <c r="B31" s="93"/>
      <c r="C31" s="93"/>
      <c r="D31" s="96"/>
      <c r="E31" s="96"/>
    </row>
    <row r="32" spans="1:7">
      <c r="A32" s="96"/>
      <c r="B32" s="93"/>
      <c r="C32" s="93"/>
      <c r="D32" s="96"/>
      <c r="E32" s="96"/>
    </row>
    <row r="33" spans="1:5">
      <c r="A33" s="96"/>
      <c r="B33" s="93"/>
      <c r="C33" s="93"/>
      <c r="D33" s="96"/>
      <c r="E33" s="96"/>
    </row>
    <row r="34" spans="1:5">
      <c r="A34" s="96"/>
      <c r="B34" s="93"/>
      <c r="C34" s="93"/>
      <c r="D34" s="96"/>
      <c r="E34" s="96"/>
    </row>
    <row r="35" spans="1:5">
      <c r="A35" s="96"/>
      <c r="B35" s="93"/>
      <c r="C35" s="93"/>
      <c r="D35" s="96"/>
      <c r="E35" s="96"/>
    </row>
    <row r="36" spans="1:5">
      <c r="A36" s="96"/>
      <c r="B36" s="93"/>
      <c r="C36" s="93"/>
      <c r="D36" s="96"/>
      <c r="E36" s="96"/>
    </row>
    <row r="37" spans="1:5">
      <c r="A37" s="96"/>
      <c r="B37" s="93"/>
      <c r="C37" s="93"/>
      <c r="D37" s="96"/>
      <c r="E37" s="96"/>
    </row>
    <row r="38" spans="1:5">
      <c r="A38" s="96"/>
      <c r="B38" s="93"/>
      <c r="C38" s="93"/>
      <c r="D38" s="96"/>
      <c r="E38" s="96"/>
    </row>
    <row r="39" spans="1:5">
      <c r="A39" s="96"/>
      <c r="B39" s="93"/>
      <c r="C39" s="93"/>
      <c r="D39" s="96"/>
      <c r="E39" s="96"/>
    </row>
    <row r="40" spans="1:5">
      <c r="A40" s="96"/>
      <c r="B40" s="93"/>
      <c r="C40" s="93"/>
      <c r="D40" s="96"/>
      <c r="E40" s="96"/>
    </row>
    <row r="41" spans="1:5">
      <c r="A41" s="96"/>
      <c r="B41" s="93"/>
      <c r="C41" s="93"/>
      <c r="D41" s="96"/>
      <c r="E41" s="96"/>
    </row>
    <row r="42" spans="1:5">
      <c r="A42" s="96"/>
      <c r="B42" s="93"/>
      <c r="C42" s="93"/>
      <c r="D42" s="96"/>
      <c r="E42" s="96"/>
    </row>
    <row r="43" spans="1:5">
      <c r="A43" s="96"/>
      <c r="B43" s="93"/>
      <c r="C43" s="93"/>
      <c r="D43" s="96"/>
      <c r="E43" s="96"/>
    </row>
    <row r="44" spans="1:5">
      <c r="A44" s="96"/>
      <c r="B44" s="93"/>
      <c r="C44" s="93"/>
      <c r="D44" s="96"/>
      <c r="E44" s="96"/>
    </row>
    <row r="45" spans="1:5">
      <c r="A45" s="96"/>
      <c r="B45" s="93"/>
      <c r="C45" s="93"/>
      <c r="D45" s="96"/>
      <c r="E45" s="96"/>
    </row>
    <row r="46" spans="1:5">
      <c r="A46" s="96"/>
      <c r="B46" s="93"/>
      <c r="C46" s="93"/>
      <c r="D46" s="96"/>
      <c r="E46" s="96"/>
    </row>
    <row r="47" spans="1:5">
      <c r="A47" s="96"/>
      <c r="B47" s="93"/>
      <c r="C47" s="93"/>
      <c r="D47" s="96"/>
      <c r="E47" s="96"/>
    </row>
    <row r="48" spans="1:5">
      <c r="A48" s="96"/>
      <c r="B48" s="93"/>
      <c r="C48" s="93"/>
      <c r="D48" s="96"/>
      <c r="E48" s="96"/>
    </row>
    <row r="49" spans="1:5">
      <c r="A49" s="96"/>
      <c r="B49" s="93"/>
      <c r="C49" s="93"/>
      <c r="D49" s="96"/>
      <c r="E49" s="96"/>
    </row>
    <row r="50" spans="1:5">
      <c r="A50" s="96"/>
      <c r="B50" s="93"/>
      <c r="C50" s="93"/>
      <c r="D50" s="96"/>
      <c r="E50" s="96"/>
    </row>
    <row r="51" spans="1:5">
      <c r="A51" s="96"/>
      <c r="B51" s="93"/>
      <c r="C51" s="93"/>
      <c r="D51" s="96"/>
      <c r="E51" s="96"/>
    </row>
    <row r="52" spans="1:5">
      <c r="A52" s="96"/>
      <c r="B52" s="93"/>
      <c r="C52" s="93"/>
      <c r="D52" s="96"/>
      <c r="E52" s="96"/>
    </row>
    <row r="53" spans="1:5">
      <c r="A53" s="96"/>
      <c r="B53" s="93"/>
      <c r="C53" s="93"/>
      <c r="D53" s="96"/>
      <c r="E53" s="96"/>
    </row>
    <row r="54" spans="1:5">
      <c r="A54" s="96"/>
      <c r="B54" s="93"/>
      <c r="C54" s="93"/>
      <c r="D54" s="96"/>
      <c r="E54" s="96"/>
    </row>
    <row r="55" spans="1:5">
      <c r="A55" s="96"/>
      <c r="B55" s="93"/>
      <c r="C55" s="93"/>
      <c r="D55" s="96"/>
      <c r="E55" s="96"/>
    </row>
    <row r="56" spans="1:5">
      <c r="A56" s="96"/>
      <c r="B56" s="93"/>
      <c r="C56" s="93"/>
      <c r="D56" s="96"/>
      <c r="E56" s="96"/>
    </row>
    <row r="57" spans="1:5">
      <c r="A57" s="96"/>
      <c r="B57" s="93"/>
      <c r="C57" s="93"/>
      <c r="D57" s="96"/>
      <c r="E57" s="96"/>
    </row>
    <row r="58" spans="1:5">
      <c r="A58" s="96"/>
      <c r="B58" s="93"/>
      <c r="C58" s="93"/>
      <c r="D58" s="96"/>
      <c r="E58" s="96"/>
    </row>
    <row r="59" spans="1:5">
      <c r="A59" s="96"/>
      <c r="B59" s="93"/>
      <c r="C59" s="93"/>
      <c r="D59" s="96"/>
      <c r="E59" s="96"/>
    </row>
    <row r="60" spans="1:5">
      <c r="A60" s="96"/>
      <c r="B60" s="93"/>
      <c r="C60" s="93"/>
      <c r="D60" s="96"/>
      <c r="E60" s="96"/>
    </row>
    <row r="61" spans="1:5">
      <c r="A61" s="96"/>
      <c r="B61" s="93"/>
      <c r="C61" s="93"/>
      <c r="D61" s="96"/>
      <c r="E61" s="96"/>
    </row>
    <row r="62" spans="1:5">
      <c r="A62" s="96"/>
      <c r="B62" s="93"/>
      <c r="C62" s="93"/>
      <c r="D62" s="96"/>
      <c r="E62" s="96"/>
    </row>
    <row r="63" spans="1:5">
      <c r="A63" s="96"/>
      <c r="B63" s="93"/>
      <c r="C63" s="93"/>
      <c r="D63" s="96"/>
      <c r="E63" s="96"/>
    </row>
    <row r="64" spans="1:5">
      <c r="A64" s="96"/>
      <c r="B64" s="93"/>
      <c r="C64" s="93"/>
      <c r="D64" s="96"/>
      <c r="E64" s="96"/>
    </row>
    <row r="65" spans="1:5">
      <c r="A65" s="96"/>
      <c r="B65" s="93"/>
      <c r="C65" s="93"/>
      <c r="D65" s="96"/>
      <c r="E65" s="96"/>
    </row>
    <row r="66" spans="1:5">
      <c r="A66" s="96"/>
      <c r="B66" s="93"/>
      <c r="C66" s="93"/>
      <c r="D66" s="96"/>
      <c r="E66" s="96"/>
    </row>
    <row r="67" spans="1:5">
      <c r="A67" s="96"/>
      <c r="B67" s="93"/>
      <c r="C67" s="93"/>
      <c r="D67" s="96"/>
      <c r="E67" s="96"/>
    </row>
    <row r="68" spans="1:5">
      <c r="A68" s="96"/>
      <c r="B68" s="93"/>
      <c r="C68" s="93"/>
      <c r="D68" s="96"/>
      <c r="E68" s="96"/>
    </row>
    <row r="69" spans="1:5">
      <c r="A69" s="96"/>
      <c r="B69" s="93"/>
      <c r="C69" s="93"/>
      <c r="D69" s="96"/>
      <c r="E69" s="96"/>
    </row>
    <row r="70" spans="1:5">
      <c r="A70" s="96"/>
      <c r="B70" s="93"/>
      <c r="C70" s="93"/>
      <c r="D70" s="96"/>
      <c r="E70" s="96"/>
    </row>
    <row r="71" spans="1:5">
      <c r="A71" s="96"/>
      <c r="B71" s="93"/>
      <c r="C71" s="93"/>
      <c r="D71" s="96"/>
      <c r="E71" s="96"/>
    </row>
    <row r="72" spans="1:5">
      <c r="A72" s="96"/>
      <c r="B72" s="93"/>
      <c r="C72" s="93"/>
      <c r="D72" s="96"/>
      <c r="E72" s="96"/>
    </row>
    <row r="73" spans="1:5">
      <c r="A73" s="96"/>
      <c r="B73" s="93"/>
      <c r="C73" s="93"/>
      <c r="D73" s="96"/>
      <c r="E73" s="96"/>
    </row>
    <row r="74" spans="1:5">
      <c r="A74" s="96"/>
      <c r="B74" s="93"/>
      <c r="C74" s="93"/>
      <c r="D74" s="96"/>
      <c r="E74" s="96"/>
    </row>
    <row r="75" spans="1:5">
      <c r="A75" s="96"/>
      <c r="B75" s="93"/>
      <c r="C75" s="93"/>
      <c r="D75" s="96"/>
      <c r="E75" s="96"/>
    </row>
    <row r="76" spans="1:5">
      <c r="A76" s="96"/>
      <c r="B76" s="93"/>
      <c r="C76" s="93"/>
      <c r="D76" s="96"/>
      <c r="E76" s="96"/>
    </row>
    <row r="77" spans="1:5">
      <c r="A77" s="96"/>
      <c r="B77" s="93"/>
      <c r="C77" s="93"/>
      <c r="D77" s="96"/>
      <c r="E77" s="96"/>
    </row>
    <row r="78" spans="1:5">
      <c r="A78" s="96"/>
      <c r="B78" s="93"/>
      <c r="C78" s="93"/>
      <c r="D78" s="96"/>
      <c r="E78" s="96"/>
    </row>
    <row r="79" spans="1:5">
      <c r="A79" s="96"/>
      <c r="B79" s="93"/>
      <c r="C79" s="93"/>
      <c r="D79" s="96"/>
      <c r="E79" s="96"/>
    </row>
    <row r="80" spans="1:5">
      <c r="A80" s="96"/>
      <c r="B80" s="93"/>
      <c r="C80" s="93"/>
      <c r="D80" s="96"/>
      <c r="E80" s="96"/>
    </row>
    <row r="81" spans="1:5">
      <c r="A81" s="96"/>
      <c r="B81" s="93"/>
      <c r="C81" s="93"/>
      <c r="D81" s="96"/>
      <c r="E81" s="96"/>
    </row>
    <row r="82" spans="1:5">
      <c r="A82" s="96"/>
      <c r="B82" s="93"/>
      <c r="C82" s="93"/>
      <c r="D82" s="96"/>
      <c r="E82" s="96"/>
    </row>
    <row r="83" spans="1:5">
      <c r="A83" s="96"/>
      <c r="B83" s="93"/>
      <c r="C83" s="93"/>
      <c r="D83" s="96"/>
      <c r="E83" s="96"/>
    </row>
    <row r="84" spans="1:5">
      <c r="A84" s="96"/>
      <c r="B84" s="93"/>
      <c r="C84" s="93"/>
      <c r="D84" s="96"/>
      <c r="E84" s="96"/>
    </row>
    <row r="85" spans="1:5">
      <c r="A85" s="96"/>
      <c r="B85" s="93"/>
      <c r="C85" s="93"/>
      <c r="D85" s="96"/>
      <c r="E85" s="96"/>
    </row>
    <row r="86" spans="1:5">
      <c r="A86" s="96"/>
      <c r="B86" s="93"/>
      <c r="C86" s="93"/>
      <c r="D86" s="96"/>
      <c r="E86" s="96"/>
    </row>
    <row r="87" spans="1:5">
      <c r="A87" s="96"/>
      <c r="B87" s="93"/>
      <c r="C87" s="93"/>
      <c r="D87" s="96"/>
      <c r="E87" s="96"/>
    </row>
    <row r="88" spans="1:5">
      <c r="A88" s="96"/>
      <c r="B88" s="93"/>
      <c r="C88" s="93"/>
      <c r="D88" s="96"/>
      <c r="E88" s="96"/>
    </row>
    <row r="89" spans="1:5">
      <c r="A89" s="96"/>
      <c r="B89" s="93"/>
      <c r="C89" s="93"/>
      <c r="D89" s="96"/>
      <c r="E89" s="96"/>
    </row>
    <row r="90" spans="1:5">
      <c r="A90" s="96"/>
      <c r="B90" s="93"/>
      <c r="C90" s="93"/>
      <c r="D90" s="96"/>
      <c r="E90" s="96"/>
    </row>
    <row r="91" spans="1:5">
      <c r="A91" s="96"/>
      <c r="B91" s="93"/>
      <c r="C91" s="93"/>
      <c r="D91" s="96"/>
      <c r="E91" s="96"/>
    </row>
    <row r="92" spans="1:5">
      <c r="A92" s="96"/>
      <c r="B92" s="93"/>
      <c r="C92" s="93"/>
      <c r="D92" s="96"/>
      <c r="E92" s="96"/>
    </row>
  </sheetData>
  <sheetProtection formatCells="0" formatColumns="0" formatRows="0"/>
  <customSheetViews>
    <customSheetView guid="{51F81FF1-EE1A-40FC-8953-32A9F2F33EA5}">
      <selection activeCell="A9" sqref="A9"/>
      <pageMargins left="0" right="0" top="0" bottom="0" header="0" footer="0"/>
      <pageSetup paperSize="9" orientation="portrait" horizontalDpi="300" verticalDpi="0" r:id="rId1"/>
    </customSheetView>
  </customSheetViews>
  <mergeCells count="1">
    <mergeCell ref="A19:E19"/>
  </mergeCells>
  <pageMargins left="0.7" right="0.7" top="0.75" bottom="0.75" header="0.3" footer="0.3"/>
  <pageSetup paperSize="9" orientation="portrait" horizontalDpi="300"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EEC125-E2B6-4202-B9A7-F6619A75EB90}">
          <x14:formula1>
            <xm:f>Lists!$B$2:$B$6</xm:f>
          </x14:formula1>
          <xm:sqref>B13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3299E-0CA8-44F2-967A-35C751DA0A43}">
  <sheetPr codeName="Sheet3"/>
  <dimension ref="A1:P94"/>
  <sheetViews>
    <sheetView zoomScale="85" zoomScaleNormal="85" workbookViewId="0">
      <selection activeCell="A2" sqref="A2:A8"/>
    </sheetView>
  </sheetViews>
  <sheetFormatPr defaultRowHeight="14.85"/>
  <cols>
    <col min="1" max="1" width="5.140625" style="36" customWidth="1"/>
    <col min="2" max="2" width="76.5703125" customWidth="1"/>
    <col min="3" max="3" width="26.5703125" customWidth="1"/>
    <col min="4" max="4" width="25.140625" customWidth="1"/>
    <col min="5" max="5" width="98.85546875" customWidth="1"/>
  </cols>
  <sheetData>
    <row r="1" spans="1:16" s="36" customFormat="1" ht="24" customHeight="1" thickBot="1">
      <c r="A1" s="151" t="s">
        <v>36</v>
      </c>
      <c r="B1" s="151"/>
      <c r="C1" s="103" t="s">
        <v>37</v>
      </c>
      <c r="D1" s="103" t="s">
        <v>38</v>
      </c>
      <c r="E1" s="119" t="s">
        <v>5</v>
      </c>
    </row>
    <row r="2" spans="1:16" ht="24" customHeight="1">
      <c r="A2" s="155" t="s">
        <v>39</v>
      </c>
      <c r="B2" s="148" t="s">
        <v>40</v>
      </c>
      <c r="C2" s="104" t="s">
        <v>41</v>
      </c>
      <c r="D2" s="105"/>
      <c r="E2" s="120" t="s">
        <v>42</v>
      </c>
    </row>
    <row r="3" spans="1:16" ht="24" customHeight="1">
      <c r="A3" s="156"/>
      <c r="B3" s="149"/>
      <c r="C3" s="106" t="s">
        <v>43</v>
      </c>
      <c r="D3" s="107"/>
      <c r="E3" s="121" t="s">
        <v>44</v>
      </c>
    </row>
    <row r="4" spans="1:16" ht="24" customHeight="1">
      <c r="A4" s="156"/>
      <c r="B4" s="149"/>
      <c r="C4" s="106" t="s">
        <v>45</v>
      </c>
      <c r="D4" s="107"/>
      <c r="E4" s="121" t="s">
        <v>46</v>
      </c>
    </row>
    <row r="5" spans="1:16" ht="24" customHeight="1">
      <c r="A5" s="156"/>
      <c r="B5" s="149"/>
      <c r="C5" s="106" t="s">
        <v>47</v>
      </c>
      <c r="D5" s="107"/>
      <c r="E5" s="122"/>
    </row>
    <row r="6" spans="1:16" ht="24" customHeight="1">
      <c r="A6" s="156"/>
      <c r="B6" s="149"/>
      <c r="C6" s="106" t="s">
        <v>48</v>
      </c>
      <c r="D6" s="107"/>
      <c r="E6" s="122"/>
    </row>
    <row r="7" spans="1:16" ht="24" customHeight="1">
      <c r="A7" s="156"/>
      <c r="B7" s="149"/>
      <c r="C7" s="106" t="s">
        <v>49</v>
      </c>
      <c r="D7" s="107"/>
      <c r="E7" s="122"/>
    </row>
    <row r="8" spans="1:16" ht="24" customHeight="1" thickBot="1">
      <c r="A8" s="157"/>
      <c r="B8" s="150"/>
      <c r="C8" s="108" t="s">
        <v>50</v>
      </c>
      <c r="D8" s="109"/>
      <c r="E8" s="123"/>
    </row>
    <row r="9" spans="1:16" ht="24" customHeight="1" thickBot="1">
      <c r="A9" s="66"/>
      <c r="B9" s="51"/>
      <c r="C9" s="110"/>
      <c r="D9" s="110"/>
      <c r="E9" s="124"/>
    </row>
    <row r="10" spans="1:16" ht="24" customHeight="1">
      <c r="A10" s="152" t="s">
        <v>51</v>
      </c>
      <c r="B10" s="148" t="s">
        <v>52</v>
      </c>
      <c r="C10" s="111" t="s">
        <v>53</v>
      </c>
      <c r="D10" s="111" t="s">
        <v>54</v>
      </c>
      <c r="E10" s="125" t="s">
        <v>53</v>
      </c>
    </row>
    <row r="11" spans="1:16" ht="24" customHeight="1">
      <c r="A11" s="153"/>
      <c r="B11" s="149"/>
      <c r="C11" s="106" t="s">
        <v>41</v>
      </c>
      <c r="D11" s="106" t="s">
        <v>41</v>
      </c>
      <c r="E11" s="121" t="s">
        <v>55</v>
      </c>
      <c r="N11" s="49"/>
      <c r="O11" s="49"/>
      <c r="P11" s="49"/>
    </row>
    <row r="12" spans="1:16" ht="24" customHeight="1">
      <c r="A12" s="153"/>
      <c r="B12" s="149"/>
      <c r="C12" s="106" t="s">
        <v>56</v>
      </c>
      <c r="D12" s="106" t="s">
        <v>56</v>
      </c>
      <c r="E12" s="121" t="s">
        <v>57</v>
      </c>
    </row>
    <row r="13" spans="1:16" ht="24" customHeight="1">
      <c r="A13" s="153"/>
      <c r="B13" s="149"/>
      <c r="C13" s="106" t="s">
        <v>58</v>
      </c>
      <c r="D13" s="106" t="s">
        <v>58</v>
      </c>
      <c r="E13" s="121" t="s">
        <v>59</v>
      </c>
    </row>
    <row r="14" spans="1:16" ht="24" customHeight="1">
      <c r="A14" s="153"/>
      <c r="B14" s="149"/>
      <c r="C14" s="106" t="s">
        <v>60</v>
      </c>
      <c r="D14" s="106" t="s">
        <v>61</v>
      </c>
      <c r="E14" s="121"/>
    </row>
    <row r="15" spans="1:16" ht="24" customHeight="1">
      <c r="A15" s="153"/>
      <c r="B15" s="149"/>
      <c r="C15" s="106" t="s">
        <v>62</v>
      </c>
      <c r="D15" s="106" t="s">
        <v>63</v>
      </c>
      <c r="E15" s="126" t="s">
        <v>54</v>
      </c>
    </row>
    <row r="16" spans="1:16" ht="24" customHeight="1">
      <c r="A16" s="153"/>
      <c r="B16" s="149"/>
      <c r="C16" s="106" t="s">
        <v>64</v>
      </c>
      <c r="D16" s="106" t="s">
        <v>64</v>
      </c>
      <c r="E16" s="121" t="s">
        <v>65</v>
      </c>
    </row>
    <row r="17" spans="1:5" ht="24" customHeight="1">
      <c r="A17" s="153"/>
      <c r="B17" s="149"/>
      <c r="C17" s="106" t="s">
        <v>66</v>
      </c>
      <c r="D17" s="106" t="s">
        <v>67</v>
      </c>
      <c r="E17" s="121" t="s">
        <v>68</v>
      </c>
    </row>
    <row r="18" spans="1:5" ht="24" customHeight="1" thickBot="1">
      <c r="A18" s="154"/>
      <c r="B18" s="150"/>
      <c r="C18" s="108"/>
      <c r="D18" s="108"/>
      <c r="E18" s="127" t="s">
        <v>69</v>
      </c>
    </row>
    <row r="19" spans="1:5" ht="24" customHeight="1" thickBot="1">
      <c r="A19" s="66"/>
      <c r="B19" s="51"/>
      <c r="C19" s="106"/>
      <c r="D19" s="106"/>
      <c r="E19" s="128"/>
    </row>
    <row r="20" spans="1:5" s="65" customFormat="1" ht="24" customHeight="1">
      <c r="A20" s="145" t="s">
        <v>70</v>
      </c>
      <c r="B20" s="148" t="s">
        <v>71</v>
      </c>
      <c r="C20" s="112" t="s">
        <v>41</v>
      </c>
      <c r="D20" s="113"/>
      <c r="E20" s="120" t="s">
        <v>72</v>
      </c>
    </row>
    <row r="21" spans="1:5" s="65" customFormat="1" ht="24" customHeight="1">
      <c r="A21" s="146"/>
      <c r="B21" s="149"/>
      <c r="C21" s="114" t="s">
        <v>73</v>
      </c>
      <c r="D21" s="115"/>
      <c r="E21" s="121" t="s">
        <v>74</v>
      </c>
    </row>
    <row r="22" spans="1:5" s="65" customFormat="1" ht="24" customHeight="1">
      <c r="A22" s="146"/>
      <c r="B22" s="149"/>
      <c r="C22" s="114" t="s">
        <v>75</v>
      </c>
      <c r="D22" s="116"/>
      <c r="E22" s="129" t="s">
        <v>76</v>
      </c>
    </row>
    <row r="23" spans="1:5" s="65" customFormat="1" ht="24" customHeight="1">
      <c r="A23" s="146"/>
      <c r="B23" s="149"/>
      <c r="C23" s="106" t="s">
        <v>47</v>
      </c>
      <c r="D23" s="116"/>
      <c r="E23" s="129" t="s">
        <v>77</v>
      </c>
    </row>
    <row r="24" spans="1:5" s="65" customFormat="1" ht="24" customHeight="1">
      <c r="A24" s="146"/>
      <c r="B24" s="149"/>
      <c r="C24" s="114" t="s">
        <v>78</v>
      </c>
      <c r="D24" s="116"/>
      <c r="E24" s="129" t="s">
        <v>79</v>
      </c>
    </row>
    <row r="25" spans="1:5" s="65" customFormat="1" ht="24" customHeight="1">
      <c r="A25" s="146"/>
      <c r="B25" s="149"/>
      <c r="C25" s="114" t="s">
        <v>80</v>
      </c>
      <c r="D25" s="116"/>
      <c r="E25" s="129" t="s">
        <v>81</v>
      </c>
    </row>
    <row r="26" spans="1:5" s="65" customFormat="1" ht="24" customHeight="1">
      <c r="A26" s="146"/>
      <c r="B26" s="149"/>
      <c r="C26" s="114" t="s">
        <v>66</v>
      </c>
      <c r="D26" s="116"/>
      <c r="E26" s="129"/>
    </row>
    <row r="27" spans="1:5" s="65" customFormat="1" ht="24" customHeight="1">
      <c r="A27" s="146"/>
      <c r="B27" s="149"/>
      <c r="C27" s="115" t="s">
        <v>82</v>
      </c>
      <c r="D27" s="116"/>
      <c r="E27" s="129"/>
    </row>
    <row r="28" spans="1:5" s="65" customFormat="1" ht="24" customHeight="1">
      <c r="A28" s="146"/>
      <c r="B28" s="149"/>
      <c r="C28" s="115" t="s">
        <v>83</v>
      </c>
      <c r="D28" s="116"/>
      <c r="E28" s="129"/>
    </row>
    <row r="29" spans="1:5" s="65" customFormat="1" ht="24" customHeight="1" thickBot="1">
      <c r="A29" s="147"/>
      <c r="B29" s="150"/>
      <c r="C29" s="117" t="s">
        <v>84</v>
      </c>
      <c r="D29" s="118"/>
      <c r="E29" s="130"/>
    </row>
    <row r="31" spans="1:5">
      <c r="D31" s="50"/>
    </row>
    <row r="32" spans="1:5">
      <c r="D32" s="50"/>
    </row>
    <row r="33" spans="4:4">
      <c r="D33" s="50"/>
    </row>
    <row r="34" spans="4:4">
      <c r="D34" s="50"/>
    </row>
    <row r="35" spans="4:4">
      <c r="D35" s="50"/>
    </row>
    <row r="36" spans="4:4">
      <c r="D36" s="50"/>
    </row>
    <row r="37" spans="4:4">
      <c r="D37" s="50"/>
    </row>
    <row r="38" spans="4:4">
      <c r="D38" s="50"/>
    </row>
    <row r="39" spans="4:4">
      <c r="D39" s="50"/>
    </row>
    <row r="40" spans="4:4">
      <c r="D40" s="50"/>
    </row>
    <row r="41" spans="4:4">
      <c r="D41" s="50"/>
    </row>
    <row r="42" spans="4:4">
      <c r="D42" s="50"/>
    </row>
    <row r="43" spans="4:4">
      <c r="D43" s="50"/>
    </row>
    <row r="44" spans="4:4">
      <c r="D44" s="50"/>
    </row>
    <row r="45" spans="4:4">
      <c r="D45" s="50"/>
    </row>
    <row r="46" spans="4:4">
      <c r="D46" s="50"/>
    </row>
    <row r="47" spans="4:4">
      <c r="D47" s="50"/>
    </row>
    <row r="48" spans="4:4">
      <c r="D48" s="50"/>
    </row>
    <row r="49" spans="4:4">
      <c r="D49" s="50"/>
    </row>
    <row r="50" spans="4:4">
      <c r="D50" s="50"/>
    </row>
    <row r="51" spans="4:4">
      <c r="D51" s="50"/>
    </row>
    <row r="52" spans="4:4">
      <c r="D52" s="50"/>
    </row>
    <row r="53" spans="4:4">
      <c r="D53" s="50"/>
    </row>
    <row r="54" spans="4:4">
      <c r="D54" s="50"/>
    </row>
    <row r="55" spans="4:4">
      <c r="D55" s="50"/>
    </row>
    <row r="56" spans="4:4">
      <c r="D56" s="50"/>
    </row>
    <row r="57" spans="4:4">
      <c r="D57" s="50"/>
    </row>
    <row r="58" spans="4:4">
      <c r="D58" s="50"/>
    </row>
    <row r="59" spans="4:4">
      <c r="D59" s="50"/>
    </row>
    <row r="60" spans="4:4">
      <c r="D60" s="50"/>
    </row>
    <row r="61" spans="4:4">
      <c r="D61" s="50"/>
    </row>
    <row r="62" spans="4:4">
      <c r="D62" s="50"/>
    </row>
    <row r="63" spans="4:4">
      <c r="D63" s="50"/>
    </row>
    <row r="64" spans="4:4">
      <c r="D64" s="50"/>
    </row>
    <row r="65" spans="4:4">
      <c r="D65" s="50"/>
    </row>
    <row r="66" spans="4:4">
      <c r="D66" s="50"/>
    </row>
    <row r="67" spans="4:4">
      <c r="D67" s="50"/>
    </row>
    <row r="68" spans="4:4">
      <c r="D68" s="50"/>
    </row>
    <row r="69" spans="4:4">
      <c r="D69" s="50"/>
    </row>
    <row r="70" spans="4:4">
      <c r="D70" s="50"/>
    </row>
    <row r="71" spans="4:4">
      <c r="D71" s="50"/>
    </row>
    <row r="72" spans="4:4">
      <c r="D72" s="50"/>
    </row>
    <row r="73" spans="4:4">
      <c r="D73" s="50"/>
    </row>
    <row r="74" spans="4:4">
      <c r="D74" s="50"/>
    </row>
    <row r="75" spans="4:4">
      <c r="D75" s="50"/>
    </row>
    <row r="76" spans="4:4">
      <c r="D76" s="50"/>
    </row>
    <row r="77" spans="4:4">
      <c r="D77" s="50"/>
    </row>
    <row r="78" spans="4:4">
      <c r="D78" s="50"/>
    </row>
    <row r="79" spans="4:4">
      <c r="D79" s="50"/>
    </row>
    <row r="80" spans="4:4">
      <c r="D80" s="50"/>
    </row>
    <row r="81" spans="4:4">
      <c r="D81" s="50"/>
    </row>
    <row r="82" spans="4:4">
      <c r="D82" s="50"/>
    </row>
    <row r="83" spans="4:4">
      <c r="D83" s="50"/>
    </row>
    <row r="84" spans="4:4">
      <c r="D84" s="50"/>
    </row>
    <row r="85" spans="4:4">
      <c r="D85" s="50"/>
    </row>
    <row r="86" spans="4:4">
      <c r="D86" s="50"/>
    </row>
    <row r="87" spans="4:4">
      <c r="D87" s="50"/>
    </row>
    <row r="88" spans="4:4">
      <c r="D88" s="50"/>
    </row>
    <row r="89" spans="4:4">
      <c r="D89" s="50"/>
    </row>
    <row r="90" spans="4:4">
      <c r="D90" s="50"/>
    </row>
    <row r="91" spans="4:4">
      <c r="D91" s="50"/>
    </row>
    <row r="92" spans="4:4">
      <c r="D92" s="50"/>
    </row>
    <row r="93" spans="4:4">
      <c r="D93" s="50"/>
    </row>
    <row r="94" spans="4:4">
      <c r="D94" s="50"/>
    </row>
  </sheetData>
  <customSheetViews>
    <customSheetView guid="{51F81FF1-EE1A-40FC-8953-32A9F2F33EA5}">
      <selection activeCell="A9" sqref="A9"/>
      <pageMargins left="0" right="0" top="0" bottom="0" header="0" footer="0"/>
      <pageSetup paperSize="9" orientation="portrait" horizontalDpi="300" verticalDpi="0" r:id="rId1"/>
    </customSheetView>
  </customSheetViews>
  <mergeCells count="7">
    <mergeCell ref="A20:A29"/>
    <mergeCell ref="B20:B29"/>
    <mergeCell ref="A1:B1"/>
    <mergeCell ref="A10:A18"/>
    <mergeCell ref="B10:B18"/>
    <mergeCell ref="B2:B8"/>
    <mergeCell ref="A2:A8"/>
  </mergeCells>
  <phoneticPr fontId="4" type="noConversion"/>
  <pageMargins left="0.7" right="0.7" top="0.75" bottom="0.75" header="0.3" footer="0.3"/>
  <pageSetup paperSize="9" orientation="portrait" horizontalDpi="300"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D3647-3009-409B-BEDD-E7FE755162FD}">
  <sheetPr codeName="Sheet4"/>
  <dimension ref="A1:H38"/>
  <sheetViews>
    <sheetView topLeftCell="A17" zoomScaleNormal="100" workbookViewId="0">
      <selection activeCell="A44" sqref="A44"/>
    </sheetView>
  </sheetViews>
  <sheetFormatPr defaultRowHeight="14.85"/>
  <cols>
    <col min="1" max="1" width="85.5703125" customWidth="1"/>
    <col min="2" max="2" width="90.85546875" style="16" customWidth="1"/>
  </cols>
  <sheetData>
    <row r="1" spans="1:8">
      <c r="A1" s="57" t="s">
        <v>85</v>
      </c>
    </row>
    <row r="2" spans="1:8" ht="19.5" customHeight="1">
      <c r="A2" s="58" t="s">
        <v>86</v>
      </c>
      <c r="B2" s="158"/>
    </row>
    <row r="3" spans="1:8" ht="156.75" customHeight="1">
      <c r="A3" s="59" t="s">
        <v>87</v>
      </c>
      <c r="B3" s="158"/>
    </row>
    <row r="4" spans="1:8">
      <c r="A4" s="58" t="s">
        <v>88</v>
      </c>
      <c r="B4" s="158"/>
    </row>
    <row r="5" spans="1:8" ht="44.25">
      <c r="A5" s="59" t="s">
        <v>89</v>
      </c>
      <c r="B5" s="158"/>
    </row>
    <row r="6" spans="1:8">
      <c r="A6" s="58" t="s">
        <v>90</v>
      </c>
      <c r="B6" s="158"/>
    </row>
    <row r="7" spans="1:8" ht="59.1">
      <c r="A7" s="59" t="s">
        <v>91</v>
      </c>
      <c r="B7" s="158"/>
    </row>
    <row r="8" spans="1:8" ht="17.25" customHeight="1">
      <c r="A8" s="58" t="s">
        <v>92</v>
      </c>
      <c r="B8" s="158"/>
    </row>
    <row r="9" spans="1:8" ht="73.7">
      <c r="A9" s="59" t="s">
        <v>93</v>
      </c>
      <c r="B9" s="158"/>
    </row>
    <row r="10" spans="1:8" ht="18" customHeight="1">
      <c r="A10" s="61" t="s">
        <v>94</v>
      </c>
      <c r="B10" s="160"/>
    </row>
    <row r="11" spans="1:8" ht="132.75">
      <c r="A11" s="60" t="s">
        <v>95</v>
      </c>
      <c r="B11" s="160"/>
    </row>
    <row r="12" spans="1:8" ht="18" customHeight="1">
      <c r="A12" s="61" t="s">
        <v>96</v>
      </c>
    </row>
    <row r="13" spans="1:8" ht="105.2">
      <c r="A13" s="60" t="s">
        <v>97</v>
      </c>
      <c r="B13" s="159"/>
    </row>
    <row r="14" spans="1:8" ht="15" customHeight="1">
      <c r="A14" s="61" t="s">
        <v>24</v>
      </c>
      <c r="B14" s="159"/>
    </row>
    <row r="15" spans="1:8" ht="158.25" customHeight="1">
      <c r="A15" s="64" t="s">
        <v>98</v>
      </c>
      <c r="B15" s="159"/>
    </row>
    <row r="16" spans="1:8" ht="30" customHeight="1">
      <c r="A16" s="62" t="s">
        <v>99</v>
      </c>
      <c r="H16" s="68"/>
    </row>
    <row r="17" spans="1:2" ht="29.45">
      <c r="A17" s="60" t="s">
        <v>100</v>
      </c>
      <c r="B17" s="161"/>
    </row>
    <row r="18" spans="1:2">
      <c r="A18" s="62" t="s">
        <v>101</v>
      </c>
      <c r="B18" s="161"/>
    </row>
    <row r="19" spans="1:2" ht="60.95">
      <c r="A19" s="60" t="s">
        <v>102</v>
      </c>
      <c r="B19" s="161"/>
    </row>
    <row r="20" spans="1:2" ht="24" customHeight="1">
      <c r="A20" s="24" t="s">
        <v>103</v>
      </c>
      <c r="B20" s="161"/>
    </row>
    <row r="21" spans="1:2" ht="16.7">
      <c r="A21" s="24" t="s">
        <v>104</v>
      </c>
    </row>
    <row r="22" spans="1:2">
      <c r="A22" s="24" t="s">
        <v>105</v>
      </c>
    </row>
    <row r="23" spans="1:2" ht="16.7">
      <c r="A23" s="24" t="s">
        <v>106</v>
      </c>
      <c r="B23" s="161"/>
    </row>
    <row r="24" spans="1:2" ht="16.7">
      <c r="A24" s="24" t="s">
        <v>107</v>
      </c>
      <c r="B24" s="161"/>
    </row>
    <row r="25" spans="1:2" ht="16.7">
      <c r="A25" s="24" t="s">
        <v>108</v>
      </c>
      <c r="B25" s="161"/>
    </row>
    <row r="26" spans="1:2" ht="16.7">
      <c r="A26" s="24" t="s">
        <v>109</v>
      </c>
      <c r="B26" s="161"/>
    </row>
    <row r="27" spans="1:2" ht="16.7">
      <c r="A27" s="24" t="s">
        <v>110</v>
      </c>
      <c r="B27" s="161"/>
    </row>
    <row r="28" spans="1:2">
      <c r="A28" s="24" t="s">
        <v>105</v>
      </c>
      <c r="B28" s="161"/>
    </row>
    <row r="29" spans="1:2" ht="16.7">
      <c r="A29" s="24" t="s">
        <v>111</v>
      </c>
      <c r="B29" s="161"/>
    </row>
    <row r="30" spans="1:2" ht="16.7">
      <c r="A30" t="s">
        <v>112</v>
      </c>
      <c r="B30" s="161"/>
    </row>
    <row r="31" spans="1:2">
      <c r="B31" s="161"/>
    </row>
    <row r="32" spans="1:2">
      <c r="A32" s="62" t="s">
        <v>113</v>
      </c>
      <c r="B32" s="161"/>
    </row>
    <row r="33" spans="1:2" ht="44.25">
      <c r="A33" s="60" t="s">
        <v>114</v>
      </c>
      <c r="B33" s="161"/>
    </row>
    <row r="34" spans="1:2">
      <c r="B34" s="161"/>
    </row>
    <row r="35" spans="1:2">
      <c r="B35" s="161"/>
    </row>
    <row r="36" spans="1:2">
      <c r="B36" s="161"/>
    </row>
    <row r="37" spans="1:2">
      <c r="B37" s="161"/>
    </row>
    <row r="38" spans="1:2">
      <c r="B38" s="161"/>
    </row>
  </sheetData>
  <customSheetViews>
    <customSheetView guid="{51F81FF1-EE1A-40FC-8953-32A9F2F33EA5}">
      <selection activeCell="A3" sqref="A3"/>
      <pageMargins left="0" right="0" top="0" bottom="0" header="0" footer="0"/>
      <pageSetup paperSize="9" orientation="portrait" horizontalDpi="300" verticalDpi="0" r:id="rId1"/>
    </customSheetView>
  </customSheetViews>
  <mergeCells count="5">
    <mergeCell ref="B2:B9"/>
    <mergeCell ref="B13:B15"/>
    <mergeCell ref="B10:B11"/>
    <mergeCell ref="B17:B20"/>
    <mergeCell ref="B23:B38"/>
  </mergeCells>
  <pageMargins left="0.7" right="0.7" top="0.75" bottom="0.75" header="0.3" footer="0.3"/>
  <pageSetup paperSize="9" orientation="portrait" horizontalDpi="300"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0B05-6342-4CE7-89AD-7E3C61C1897B}">
  <sheetPr codeName="Sheet5"/>
  <dimension ref="A1:J52"/>
  <sheetViews>
    <sheetView topLeftCell="A22" workbookViewId="0">
      <selection activeCell="A2" sqref="A2"/>
    </sheetView>
  </sheetViews>
  <sheetFormatPr defaultRowHeight="14.85"/>
  <cols>
    <col min="1" max="1" width="69.42578125" customWidth="1"/>
    <col min="2" max="2" width="8.7109375" style="21"/>
    <col min="3" max="3" width="3.7109375" customWidth="1"/>
  </cols>
  <sheetData>
    <row r="1" spans="1:10">
      <c r="A1" s="36" t="s">
        <v>115</v>
      </c>
    </row>
    <row r="2" spans="1:10">
      <c r="A2" s="29" t="s">
        <v>4</v>
      </c>
    </row>
    <row r="3" spans="1:10">
      <c r="A3" t="s">
        <v>116</v>
      </c>
      <c r="B3" s="12" t="str">
        <f>'Stubble Grazing Calculator'!B5</f>
        <v>wheat</v>
      </c>
    </row>
    <row r="4" spans="1:10">
      <c r="A4" t="s">
        <v>117</v>
      </c>
      <c r="B4" s="12" t="str">
        <f>IF(AND('Stubble Grazing Calculator'!B6&gt;=2,'Stubble Grazing Calculator'!B6&lt;3), "2-2.75", IF(AND('Stubble Grazing Calculator'!B6&gt;=3, 'Stubble Grazing Calculator'!B6&lt;4), "3-3.75", IF('Stubble Grazing Calculator'!B6&gt;=4, "4+", "&lt;2")))</f>
        <v>2-2.75</v>
      </c>
      <c r="D4" s="21"/>
    </row>
    <row r="5" spans="1:10">
      <c r="A5" t="s">
        <v>118</v>
      </c>
      <c r="B5" s="12">
        <f>'Stubble Grazing Calculator'!B7</f>
        <v>60</v>
      </c>
      <c r="C5" t="s">
        <v>119</v>
      </c>
      <c r="D5" t="s">
        <v>120</v>
      </c>
    </row>
    <row r="6" spans="1:10">
      <c r="A6" t="s">
        <v>121</v>
      </c>
      <c r="B6" s="72">
        <f>(0.2704*EXP(0.9751*'Stubble Grazing Calculator'!B8)-0.2704)</f>
        <v>0</v>
      </c>
      <c r="D6" t="s">
        <v>122</v>
      </c>
    </row>
    <row r="7" spans="1:10">
      <c r="A7" t="s">
        <v>19</v>
      </c>
      <c r="B7" s="12">
        <f>'Stubble Grazing Calculator'!B9</f>
        <v>100</v>
      </c>
      <c r="E7" s="12" t="s">
        <v>123</v>
      </c>
      <c r="F7" s="12" t="s">
        <v>124</v>
      </c>
      <c r="G7" s="12" t="s">
        <v>125</v>
      </c>
      <c r="H7" s="12" t="s">
        <v>126</v>
      </c>
    </row>
    <row r="8" spans="1:10">
      <c r="A8" t="s">
        <v>127</v>
      </c>
      <c r="B8" s="12">
        <f>'Stubble Grazing Calculator'!B10</f>
        <v>300</v>
      </c>
      <c r="D8" s="21" t="s">
        <v>128</v>
      </c>
      <c r="E8" s="12">
        <f>scatterplots_LWG_grazdays_CS!V3</f>
        <v>-2.84</v>
      </c>
      <c r="F8" s="12">
        <f>scatterplots_LWG_grazdays_CS!V4</f>
        <v>-3.74</v>
      </c>
      <c r="G8" s="12">
        <f>scatterplots_LWG_grazdays_CS!V5</f>
        <v>-4.28</v>
      </c>
      <c r="H8" s="12">
        <f>scatterplots_LWG_grazdays_CS!V6</f>
        <v>-5.14</v>
      </c>
      <c r="I8" s="12"/>
    </row>
    <row r="9" spans="1:10">
      <c r="A9" t="s">
        <v>129</v>
      </c>
      <c r="B9" s="12">
        <f>'Stubble Grazing Calculator'!B3</f>
        <v>0</v>
      </c>
      <c r="D9" s="21" t="s">
        <v>130</v>
      </c>
      <c r="E9" s="12">
        <f>IF($B3="wheat",300,IF($B3="barley",365,IF($B3="canola",312,IF($B3="lupins",343,"n/a"))))</f>
        <v>300</v>
      </c>
      <c r="F9" s="12">
        <f t="shared" ref="F9:H9" si="0">IF($B3="wheat",300,IF($B3="barley",365,IF($B3="canola",312,IF($B3="lupins",343,"n/a"))))</f>
        <v>300</v>
      </c>
      <c r="G9" s="12">
        <f t="shared" si="0"/>
        <v>300</v>
      </c>
      <c r="H9" s="12">
        <f t="shared" si="0"/>
        <v>300</v>
      </c>
      <c r="I9" s="12"/>
    </row>
    <row r="10" spans="1:10">
      <c r="A10" s="21"/>
      <c r="B10" s="21" t="str">
        <f>IF(B6="0-1",Pregnancy!D7,"0")</f>
        <v>0</v>
      </c>
      <c r="D10" t="s">
        <v>131</v>
      </c>
      <c r="J10" s="12"/>
    </row>
    <row r="11" spans="1:10">
      <c r="A11" s="30" t="s">
        <v>132</v>
      </c>
      <c r="D11" s="12" t="s">
        <v>128</v>
      </c>
      <c r="E11">
        <v>-0.17730000000000001</v>
      </c>
      <c r="F11">
        <v>-0.23330000000000001</v>
      </c>
      <c r="G11">
        <v>-0.29020000000000001</v>
      </c>
      <c r="H11">
        <v>-0.3206</v>
      </c>
    </row>
    <row r="12" spans="1:10">
      <c r="A12" s="26" t="s">
        <v>133</v>
      </c>
      <c r="B12" s="27">
        <f>(B8/B7)*((B5+B6)^0.75/58^0.75)</f>
        <v>3.0772564973635985</v>
      </c>
      <c r="D12" s="21" t="s">
        <v>130</v>
      </c>
      <c r="E12">
        <v>29.12</v>
      </c>
      <c r="F12">
        <v>29.12</v>
      </c>
      <c r="G12">
        <v>29.12</v>
      </c>
      <c r="H12">
        <v>29.12</v>
      </c>
    </row>
    <row r="13" spans="1:10">
      <c r="A13" s="26" t="s">
        <v>134</v>
      </c>
      <c r="B13" s="28">
        <f>IF(B4="&lt;2",(B9-E9)/E8,IF(B4="2-2.75",(B9-F9)/F8,IF(B4="3-3.75",(B9-G9)/G8,IF(B4="4+",(B9-H9)/H8,"n/a"))))</f>
        <v>80.213903743315498</v>
      </c>
      <c r="D13" s="28"/>
    </row>
    <row r="14" spans="1:10">
      <c r="A14" s="26" t="s">
        <v>135</v>
      </c>
      <c r="B14" s="28">
        <f>IF(B4="&lt;2",(2*-E24)/(2*E23),IF(B4="2-2.75",(2*-F24)/(2*F23),IF(B4="3-3.75",(2*-G24)/(2*G23),IF(B4="4+",(2*-H24)/(2*H23),"n/a"))))</f>
        <v>157.89473684210526</v>
      </c>
      <c r="C14" t="s">
        <v>119</v>
      </c>
      <c r="D14" s="34" t="s">
        <v>136</v>
      </c>
    </row>
    <row r="15" spans="1:10">
      <c r="A15" s="26" t="s">
        <v>137</v>
      </c>
      <c r="B15" s="28">
        <f>IF(B4="&lt;2",(-200-E9)/E8,IF(B4="2-2.75",(-200-F9)/F8,IF(B4="3-3.75",(-200-G9)/G8,IF(B4="4+",(-200-H9)/H8,"n/a"))))</f>
        <v>133.68983957219251</v>
      </c>
      <c r="D15" s="34"/>
    </row>
    <row r="16" spans="1:10">
      <c r="A16" s="26" t="s">
        <v>138</v>
      </c>
      <c r="B16" s="28">
        <f>IF(B4="&lt;2",(E23*B15^2+E24*B15+E25),IF(B4="2-2.75",(F23*B15^2+F24*B15+F25),IF(B4="3-3.75",(G23*B15^2+G24*B15+G25),IF(B4="4+",(H23*B15^2+H24*B15+H25),"n/a"))))</f>
        <v>6.1483027824644623</v>
      </c>
      <c r="D16" s="34"/>
    </row>
    <row r="17" spans="1:9">
      <c r="A17" s="26" t="s">
        <v>139</v>
      </c>
      <c r="B17" s="28">
        <f>IF(B4="&lt;2",((E23*B13^2+E24*B13)/B12)+B5,IF(B4="2-2.75",((F23*B13^2+F24*B13)/B12)+B5,IF(B4="3-3.75",((G23*B13^2+G24*B13)/B12)+B5,IF(B4="4+",((H23*B13^2+H24*B13)/B12)+B5,"n/a"))))</f>
        <v>63.847276774304653</v>
      </c>
      <c r="D17" s="34"/>
    </row>
    <row r="18" spans="1:9">
      <c r="A18" s="26" t="s">
        <v>140</v>
      </c>
      <c r="B18" s="39">
        <f>IF(B4="&lt;2",(E11/2)*B14^2+E12*B14,IF(B4="2-2.75",(F11/2)*B14^2+F12*B14,IF(B4="3-3.75",(G11/2)*B14^2+G12*B14,IF(B4="4+",(H11/2)*B14^2+H12*B14,"n/a"))))</f>
        <v>1689.7229916897504</v>
      </c>
      <c r="C18" s="67" t="s">
        <v>141</v>
      </c>
      <c r="D18" s="34" t="s">
        <v>142</v>
      </c>
    </row>
    <row r="19" spans="1:9">
      <c r="A19" s="26" t="s">
        <v>143</v>
      </c>
      <c r="B19" s="28">
        <f>B16/B30+B15</f>
        <v>164.43135348451483</v>
      </c>
      <c r="C19" s="67"/>
      <c r="D19" s="34"/>
    </row>
    <row r="21" spans="1:9">
      <c r="A21" s="31" t="s">
        <v>5</v>
      </c>
      <c r="B21" s="28"/>
      <c r="C21" s="21"/>
      <c r="D21" s="38" t="s">
        <v>144</v>
      </c>
      <c r="I21" s="12"/>
    </row>
    <row r="22" spans="1:9">
      <c r="A22" s="25" t="s">
        <v>145</v>
      </c>
      <c r="B22" s="40">
        <f>B13/B12</f>
        <v>26.066694086774298</v>
      </c>
      <c r="D22" s="21"/>
      <c r="E22" s="12" t="s">
        <v>123</v>
      </c>
      <c r="F22" s="12" t="s">
        <v>124</v>
      </c>
      <c r="G22" s="12" t="s">
        <v>125</v>
      </c>
      <c r="H22" s="12" t="s">
        <v>126</v>
      </c>
      <c r="I22" s="12"/>
    </row>
    <row r="23" spans="1:9">
      <c r="A23" s="25" t="s">
        <v>146</v>
      </c>
      <c r="B23" s="40">
        <f>B19/B12</f>
        <v>53.434399643120216</v>
      </c>
      <c r="D23" s="21" t="s">
        <v>128</v>
      </c>
      <c r="E23" s="33">
        <f>cumulative_LWG!AN4</f>
        <v>-1.4E-3</v>
      </c>
      <c r="F23" s="33">
        <f>cumulative_LWG!AN5</f>
        <v>-1.9E-3</v>
      </c>
      <c r="G23" s="33">
        <f>cumulative_LWG!AN6</f>
        <v>-2.0999999999999999E-3</v>
      </c>
      <c r="H23" s="33">
        <f>cumulative_LWG!AN7</f>
        <v>-2.5999999999999999E-3</v>
      </c>
      <c r="I23" s="12"/>
    </row>
    <row r="24" spans="1:9">
      <c r="C24" s="24"/>
      <c r="D24" s="21" t="s">
        <v>130</v>
      </c>
      <c r="E24" s="33">
        <f>E9/1000</f>
        <v>0.3</v>
      </c>
      <c r="F24" s="33">
        <f t="shared" ref="F24:H24" si="1">F9/1000</f>
        <v>0.3</v>
      </c>
      <c r="G24" s="33">
        <f t="shared" si="1"/>
        <v>0.3</v>
      </c>
      <c r="H24" s="33">
        <f t="shared" si="1"/>
        <v>0.3</v>
      </c>
      <c r="I24" s="12"/>
    </row>
    <row r="25" spans="1:9">
      <c r="D25" s="21" t="s">
        <v>147</v>
      </c>
      <c r="E25" s="12">
        <v>0</v>
      </c>
      <c r="F25" s="12">
        <v>0</v>
      </c>
      <c r="G25" s="12">
        <v>0</v>
      </c>
      <c r="H25" s="12">
        <v>0</v>
      </c>
    </row>
    <row r="26" spans="1:9">
      <c r="A26" s="36" t="s">
        <v>24</v>
      </c>
    </row>
    <row r="27" spans="1:9">
      <c r="A27" s="29" t="s">
        <v>4</v>
      </c>
      <c r="D27" s="38" t="s">
        <v>148</v>
      </c>
    </row>
    <row r="28" spans="1:9">
      <c r="A28" t="s">
        <v>149</v>
      </c>
      <c r="B28" s="21">
        <f>IF('Stubble Grazing Calculator'!B13="no suppt", 0, 'Stubble Grazing Calculator'!B15)</f>
        <v>0</v>
      </c>
      <c r="D28" s="21" t="s">
        <v>128</v>
      </c>
      <c r="E28" s="33">
        <f>E23</f>
        <v>-1.4E-3</v>
      </c>
      <c r="F28" s="33">
        <f>F23</f>
        <v>-1.9E-3</v>
      </c>
      <c r="G28" s="33">
        <f>G23</f>
        <v>-2.0999999999999999E-3</v>
      </c>
      <c r="H28" s="33">
        <f>H23</f>
        <v>-2.5999999999999999E-3</v>
      </c>
    </row>
    <row r="29" spans="1:9">
      <c r="A29" t="s">
        <v>150</v>
      </c>
      <c r="B29" s="21">
        <f>'Stubble Grazing Calculator'!B14</f>
        <v>22</v>
      </c>
      <c r="D29" s="21" t="s">
        <v>130</v>
      </c>
      <c r="E29" s="37">
        <f>E24+$B28*$B31</f>
        <v>0.3</v>
      </c>
      <c r="F29" s="37">
        <f>F24+$B28*$B31</f>
        <v>0.3</v>
      </c>
      <c r="G29" s="37">
        <f>G24+$B28*$B31</f>
        <v>0.3</v>
      </c>
      <c r="H29" s="37">
        <f>H24+$B28*$B31</f>
        <v>0.3</v>
      </c>
    </row>
    <row r="30" spans="1:9">
      <c r="A30" t="s">
        <v>151</v>
      </c>
      <c r="B30" s="21">
        <v>0.2</v>
      </c>
      <c r="D30" s="21" t="s">
        <v>147</v>
      </c>
      <c r="E30" s="37">
        <f>-$B36*$B35+$B36</f>
        <v>0</v>
      </c>
      <c r="F30" s="37">
        <f>-$B36*$B35+$B36</f>
        <v>0</v>
      </c>
      <c r="G30" s="37">
        <f>-$B36*$B35+$B36</f>
        <v>0</v>
      </c>
      <c r="H30" s="37">
        <f>-$B36*$B35+$B36</f>
        <v>0</v>
      </c>
    </row>
    <row r="31" spans="1:9">
      <c r="A31" s="41" t="s">
        <v>152</v>
      </c>
      <c r="B31" s="21">
        <f>IF('Stubble Grazing Calculator'!B13=E33,E34,IF('Stubble Grazing Calculator'!B13=G33,G34,IF('Stubble Grazing Calculator'!B13=H33,H34,F34)))</f>
        <v>0.42</v>
      </c>
    </row>
    <row r="32" spans="1:9">
      <c r="A32" s="41" t="s">
        <v>153</v>
      </c>
      <c r="B32" s="21">
        <f>'Stubble Grazing Calculator'!B16</f>
        <v>400</v>
      </c>
      <c r="D32" s="34" t="s">
        <v>154</v>
      </c>
    </row>
    <row r="33" spans="1:8">
      <c r="D33" s="21" t="s">
        <v>26</v>
      </c>
      <c r="E33" s="12" t="s">
        <v>155</v>
      </c>
      <c r="F33" s="21" t="s">
        <v>156</v>
      </c>
      <c r="G33" s="12" t="s">
        <v>157</v>
      </c>
      <c r="H33" t="s">
        <v>12</v>
      </c>
    </row>
    <row r="34" spans="1:8">
      <c r="A34" s="30" t="s">
        <v>132</v>
      </c>
      <c r="D34">
        <v>0</v>
      </c>
      <c r="E34" s="12">
        <v>0.32</v>
      </c>
      <c r="F34" s="12">
        <v>0.42</v>
      </c>
      <c r="G34" s="12">
        <v>0.27500000000000002</v>
      </c>
      <c r="H34" s="12">
        <v>0.35</v>
      </c>
    </row>
    <row r="35" spans="1:8">
      <c r="A35" s="26" t="s">
        <v>158</v>
      </c>
      <c r="B35" s="28">
        <f>B29*B12</f>
        <v>67.699642941999173</v>
      </c>
    </row>
    <row r="36" spans="1:8">
      <c r="A36" s="26" t="s">
        <v>159</v>
      </c>
      <c r="B36" s="27">
        <f>B28*B31</f>
        <v>0</v>
      </c>
      <c r="D36" t="s">
        <v>160</v>
      </c>
    </row>
    <row r="37" spans="1:8">
      <c r="A37" s="26" t="s">
        <v>161</v>
      </c>
      <c r="B37" s="28">
        <f>IF(B4="&lt;2",(E8*($B$29*$B$12))+E9,IF(B4="2-2.75",(F8*($B$29*$B$12))+F9,IF(B4="3-3.75",(G8*($B$29*$B$12))+G9,IF(B4="4+",(H8*($B$29*$B$12))+H9,"n/a"))))</f>
        <v>46.803335396923075</v>
      </c>
      <c r="D37" t="s">
        <v>162</v>
      </c>
    </row>
    <row r="38" spans="1:8">
      <c r="A38" s="26" t="s">
        <v>163</v>
      </c>
      <c r="B38" s="28">
        <f>IF(B4="&lt;2",(E23*B35^2+E24*B35),IF(B4="2-2.75",(F23*B35^2+F24*B35),IF(B4="3-3.75",(G23*B35^2+G24*B35),IF(B4="4+",(H23*B35^2+H24*B35),"n/a"))))</f>
        <v>11.601733739098812</v>
      </c>
      <c r="D38" t="s">
        <v>164</v>
      </c>
    </row>
    <row r="39" spans="1:8">
      <c r="A39" s="26" t="s">
        <v>165</v>
      </c>
      <c r="B39" s="28">
        <f>IF(B4="&lt;2",(E28*B15^2+E29*B15+E30),IF(B4="2-2.75",(F28*B15^2+F29*B15+F30),IF(B4="3-3.75",(G28*B15^2+G29*B15+G30),IF(B4="4+",(H28*B15^2+H29*B15+H30),"n/a"))))</f>
        <v>6.1483027824644623</v>
      </c>
      <c r="D39" t="s">
        <v>166</v>
      </c>
    </row>
    <row r="40" spans="1:8">
      <c r="A40" s="26" t="s">
        <v>167</v>
      </c>
      <c r="B40" s="27">
        <f>B31*B28-B30</f>
        <v>-0.2</v>
      </c>
      <c r="D40" t="s">
        <v>168</v>
      </c>
    </row>
    <row r="41" spans="1:8">
      <c r="A41" s="26" t="s">
        <v>169</v>
      </c>
      <c r="B41" s="28">
        <f>IF(B4="&lt;2",(-E29-(((E29)^2-(4*(E28*E30)))^0.5))/(2*E28),IF(B4="2-2.75",(-F29-(((F29)^2-(4*(F28*F30)))^0.5))/(2*F28),IF(B4="3-3.75",(-G29-(((G29)^2-(4*(G28*G30)))^0.5))/(2*G28),IF(B4="4+",(-H29-(((H29)^2-(4*(H28*H30)))^0.5))/(2*H28),"n/a"))))</f>
        <v>157.89473684210526</v>
      </c>
      <c r="D41" s="21"/>
      <c r="E41" s="32"/>
      <c r="F41" s="32"/>
      <c r="G41" s="32"/>
      <c r="H41" s="32"/>
    </row>
    <row r="42" spans="1:8">
      <c r="A42" s="26" t="s">
        <v>170</v>
      </c>
      <c r="B42" s="28">
        <f>B39/-B40+B15</f>
        <v>164.43135348451483</v>
      </c>
    </row>
    <row r="43" spans="1:8">
      <c r="C43" s="28"/>
    </row>
    <row r="44" spans="1:8">
      <c r="A44" s="31" t="s">
        <v>5</v>
      </c>
    </row>
    <row r="45" spans="1:8">
      <c r="A45" s="25" t="s">
        <v>171</v>
      </c>
      <c r="B45" s="40">
        <f>B42/B12</f>
        <v>53.434399643120216</v>
      </c>
    </row>
    <row r="46" spans="1:8">
      <c r="A46" s="25" t="s">
        <v>172</v>
      </c>
      <c r="B46" s="42">
        <f>B28*B8*(B45-B29)</f>
        <v>0</v>
      </c>
    </row>
    <row r="47" spans="1:8">
      <c r="A47" s="25" t="s">
        <v>22</v>
      </c>
      <c r="B47" s="44">
        <f>B46/1000*B32</f>
        <v>0</v>
      </c>
    </row>
    <row r="48" spans="1:8">
      <c r="A48" s="25" t="s">
        <v>173</v>
      </c>
      <c r="B48" s="132">
        <f>B47/(B8*(B45-B29))</f>
        <v>0</v>
      </c>
    </row>
    <row r="50" spans="1:2">
      <c r="A50" s="25" t="s">
        <v>174</v>
      </c>
      <c r="B50" s="42">
        <f>B18*B7</f>
        <v>168972.29916897503</v>
      </c>
    </row>
    <row r="51" spans="1:2">
      <c r="A51" s="25" t="s">
        <v>175</v>
      </c>
      <c r="B51" s="42">
        <f>B46*13</f>
        <v>0</v>
      </c>
    </row>
    <row r="52" spans="1:2">
      <c r="A52" s="25" t="s">
        <v>176</v>
      </c>
      <c r="B52" s="43">
        <f>B51/(B51+B50)</f>
        <v>0</v>
      </c>
    </row>
  </sheetData>
  <customSheetViews>
    <customSheetView guid="{51F81FF1-EE1A-40FC-8953-32A9F2F33EA5}" state="hidden">
      <pageMargins left="0" right="0" top="0" bottom="0" header="0" footer="0"/>
      <pageSetup paperSize="9" orientation="portrait" horizontalDpi="300" verticalDpi="0" r:id="rId1"/>
    </customSheetView>
  </customSheetViews>
  <phoneticPr fontId="4" type="noConversion"/>
  <pageMargins left="0.7" right="0.7" top="0.75" bottom="0.75" header="0.3" footer="0.3"/>
  <pageSetup paperSize="9" orientation="portrait" horizontalDpi="300"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AAB32-CB88-499D-AD5A-0F2F1C9D2D7A}">
  <sheetPr codeName="Sheet13"/>
  <dimension ref="A1:AJ87"/>
  <sheetViews>
    <sheetView workbookViewId="0">
      <selection activeCell="A2" sqref="A2"/>
    </sheetView>
  </sheetViews>
  <sheetFormatPr defaultRowHeight="14.85"/>
  <cols>
    <col min="1" max="1" width="12.28515625" customWidth="1"/>
    <col min="12" max="12" width="3.5703125" customWidth="1"/>
    <col min="19" max="19" width="11.7109375" customWidth="1"/>
    <col min="20" max="20" width="7.140625" style="12" customWidth="1"/>
    <col min="21" max="21" width="8.85546875" style="12" customWidth="1"/>
    <col min="22" max="22" width="9.28515625" style="12" customWidth="1"/>
    <col min="23" max="23" width="8.28515625" style="12" customWidth="1"/>
    <col min="26" max="26" width="12.5703125" customWidth="1"/>
    <col min="29" max="29" width="10.140625" customWidth="1"/>
    <col min="30" max="30" width="11.42578125" customWidth="1"/>
    <col min="31" max="31" width="11.140625" customWidth="1"/>
    <col min="32" max="33" width="10.140625" customWidth="1"/>
    <col min="34" max="34" width="11.85546875" customWidth="1"/>
    <col min="35" max="35" width="11.42578125" customWidth="1"/>
    <col min="36" max="36" width="10.140625" customWidth="1"/>
  </cols>
  <sheetData>
    <row r="1" spans="1:36">
      <c r="S1" t="s">
        <v>177</v>
      </c>
      <c r="T1" s="161" t="s">
        <v>178</v>
      </c>
      <c r="U1" s="161"/>
      <c r="V1" s="161" t="s">
        <v>179</v>
      </c>
      <c r="W1" s="161"/>
    </row>
    <row r="2" spans="1:36">
      <c r="D2" s="161" t="s">
        <v>180</v>
      </c>
      <c r="E2" s="161"/>
      <c r="F2" t="s">
        <v>181</v>
      </c>
      <c r="M2" t="s">
        <v>182</v>
      </c>
      <c r="S2" t="s">
        <v>183</v>
      </c>
      <c r="T2" s="12" t="s">
        <v>184</v>
      </c>
      <c r="U2" s="12" t="s">
        <v>130</v>
      </c>
      <c r="V2" s="12" t="s">
        <v>128</v>
      </c>
      <c r="W2" s="12" t="s">
        <v>130</v>
      </c>
    </row>
    <row r="3" spans="1:36">
      <c r="A3" t="s">
        <v>185</v>
      </c>
      <c r="B3" t="s">
        <v>123</v>
      </c>
      <c r="C3" t="s">
        <v>186</v>
      </c>
      <c r="D3" s="12" t="s">
        <v>187</v>
      </c>
      <c r="E3" s="12" t="s">
        <v>188</v>
      </c>
      <c r="S3" t="s">
        <v>189</v>
      </c>
      <c r="T3" s="12">
        <v>-7.89</v>
      </c>
      <c r="U3" s="12">
        <v>710</v>
      </c>
      <c r="V3" s="12">
        <v>-2.84</v>
      </c>
      <c r="W3" s="12">
        <v>300</v>
      </c>
    </row>
    <row r="4" spans="1:36">
      <c r="A4" s="19">
        <v>13.86</v>
      </c>
      <c r="B4" s="19">
        <v>708.57142857142844</v>
      </c>
      <c r="C4" s="17">
        <f>-2.841*A4+300</f>
        <v>260.62374</v>
      </c>
      <c r="D4" s="17" t="e">
        <f>$C4-tVal*SE*SQRT(1/_xludf.Count+($A4-Xmean)^2/SSxx)</f>
        <v>#NAME?</v>
      </c>
      <c r="E4" s="17"/>
      <c r="M4" s="36"/>
      <c r="S4" t="s">
        <v>190</v>
      </c>
      <c r="T4" s="12">
        <v>-5.63</v>
      </c>
      <c r="U4" s="12">
        <v>440</v>
      </c>
      <c r="V4" s="12">
        <v>-3.74</v>
      </c>
      <c r="W4" s="12">
        <v>300</v>
      </c>
    </row>
    <row r="5" spans="1:36">
      <c r="A5" s="19">
        <v>27.72</v>
      </c>
      <c r="B5" s="19">
        <v>560.71428571428532</v>
      </c>
      <c r="C5" s="17">
        <f t="shared" ref="C5:C13" si="0">-2.841*A5+300</f>
        <v>221.24748</v>
      </c>
      <c r="D5" s="17"/>
      <c r="E5" s="17"/>
      <c r="S5" t="s">
        <v>191</v>
      </c>
      <c r="T5" s="12">
        <v>-6.64</v>
      </c>
      <c r="U5" s="12">
        <v>462</v>
      </c>
      <c r="V5" s="12">
        <v>-4.28</v>
      </c>
      <c r="W5" s="12">
        <v>300</v>
      </c>
    </row>
    <row r="6" spans="1:36">
      <c r="A6" s="19">
        <v>41.58</v>
      </c>
      <c r="B6" s="19">
        <v>125.71428571428547</v>
      </c>
      <c r="C6" s="17">
        <f t="shared" si="0"/>
        <v>181.87121999999999</v>
      </c>
      <c r="D6" s="17"/>
      <c r="E6" s="17"/>
      <c r="S6" t="s">
        <v>192</v>
      </c>
      <c r="T6" s="12">
        <v>-5.29</v>
      </c>
      <c r="U6" s="12">
        <v>311</v>
      </c>
      <c r="V6" s="12">
        <v>-5.14</v>
      </c>
      <c r="W6" s="12">
        <v>300</v>
      </c>
      <c r="AC6" s="161" t="s">
        <v>193</v>
      </c>
      <c r="AD6" s="161"/>
      <c r="AE6" s="161"/>
      <c r="AF6" s="161"/>
      <c r="AG6" s="161" t="s">
        <v>131</v>
      </c>
      <c r="AH6" s="161"/>
      <c r="AI6" s="161"/>
      <c r="AJ6" s="161"/>
    </row>
    <row r="7" spans="1:36">
      <c r="A7" s="19">
        <v>53.46</v>
      </c>
      <c r="B7" s="19">
        <v>520.00000000000034</v>
      </c>
      <c r="C7" s="17">
        <f t="shared" si="0"/>
        <v>148.12013999999999</v>
      </c>
      <c r="D7" s="17"/>
      <c r="E7" s="17"/>
      <c r="AC7" s="12" t="s">
        <v>189</v>
      </c>
      <c r="AD7" s="12" t="s">
        <v>190</v>
      </c>
      <c r="AE7" s="12" t="s">
        <v>191</v>
      </c>
      <c r="AF7" s="12" t="s">
        <v>192</v>
      </c>
      <c r="AG7" s="12" t="s">
        <v>189</v>
      </c>
      <c r="AH7" s="12" t="s">
        <v>190</v>
      </c>
      <c r="AI7" s="12" t="s">
        <v>191</v>
      </c>
      <c r="AJ7" s="12" t="s">
        <v>192</v>
      </c>
    </row>
    <row r="8" spans="1:36">
      <c r="A8" s="19">
        <v>55.44</v>
      </c>
      <c r="B8" s="19">
        <v>272.72727272727315</v>
      </c>
      <c r="C8" s="17">
        <f t="shared" si="0"/>
        <v>142.49495999999999</v>
      </c>
      <c r="D8" s="17"/>
      <c r="E8" s="17"/>
      <c r="AB8" s="12">
        <v>0</v>
      </c>
      <c r="AC8" s="14">
        <f>-2.841*$AB8 + 300</f>
        <v>300</v>
      </c>
      <c r="AD8" s="14">
        <f t="shared" ref="AD8:AD18" si="1">-3.7395*$AB8 + 300</f>
        <v>300</v>
      </c>
      <c r="AE8" s="14">
        <f>-4.6511*$AB8 + 300</f>
        <v>300</v>
      </c>
      <c r="AF8" s="14">
        <f>-5.1373*$AB8 + 300</f>
        <v>300</v>
      </c>
      <c r="AG8" s="14">
        <f>62.4*(AC8/1000)+10.4</f>
        <v>29.119999999999997</v>
      </c>
      <c r="AH8" s="14">
        <f>62.4*(AD8/1000)+10.4</f>
        <v>29.119999999999997</v>
      </c>
      <c r="AI8" s="14">
        <f>62.4*(AE8/1000)+10.4</f>
        <v>29.119999999999997</v>
      </c>
      <c r="AJ8" s="14">
        <f>62.4*(AF8/1000)+10.4</f>
        <v>29.119999999999997</v>
      </c>
    </row>
    <row r="9" spans="1:36">
      <c r="A9" s="19">
        <v>69.3</v>
      </c>
      <c r="B9" s="19">
        <v>44.999999999999922</v>
      </c>
      <c r="C9" s="17">
        <f t="shared" si="0"/>
        <v>103.11869999999999</v>
      </c>
      <c r="D9" s="17"/>
      <c r="E9" s="17"/>
      <c r="AB9" s="12">
        <v>10</v>
      </c>
      <c r="AC9" s="14">
        <f t="shared" ref="AC9:AC18" si="2">-2.841*$AB9 + 300</f>
        <v>271.58999999999997</v>
      </c>
      <c r="AD9" s="14">
        <f t="shared" si="1"/>
        <v>262.60500000000002</v>
      </c>
      <c r="AE9" s="14">
        <f t="shared" ref="AE9:AE18" si="3">-4.6511*$AB9 + 300</f>
        <v>253.489</v>
      </c>
      <c r="AF9" s="14">
        <f t="shared" ref="AF9:AF18" si="4">-5.1373*$AB9 + 300</f>
        <v>248.62700000000001</v>
      </c>
      <c r="AG9" s="14">
        <f t="shared" ref="AG9:AG18" si="5">62.4*(AC9/1000)+10.4</f>
        <v>27.347216000000003</v>
      </c>
      <c r="AH9" s="14">
        <f t="shared" ref="AH9:AH18" si="6">62.4*(AD9/1000)+10.4</f>
        <v>26.786552</v>
      </c>
      <c r="AI9" s="14">
        <f t="shared" ref="AI9:AI18" si="7">62.4*(AE9/1000)+10.4</f>
        <v>26.217713600000003</v>
      </c>
      <c r="AJ9" s="14">
        <f t="shared" ref="AJ9:AJ18" si="8">62.4*(AF9/1000)+10.4</f>
        <v>25.914324800000003</v>
      </c>
    </row>
    <row r="10" spans="1:36">
      <c r="A10" s="19">
        <v>83.16</v>
      </c>
      <c r="B10" s="19">
        <v>-225.00000000000017</v>
      </c>
      <c r="C10" s="17">
        <f t="shared" si="0"/>
        <v>63.742439999999988</v>
      </c>
      <c r="D10" s="17"/>
      <c r="E10" s="17"/>
      <c r="AB10" s="12">
        <v>20</v>
      </c>
      <c r="AC10" s="14">
        <f t="shared" si="2"/>
        <v>243.18</v>
      </c>
      <c r="AD10" s="14">
        <f t="shared" si="1"/>
        <v>225.20999999999998</v>
      </c>
      <c r="AE10" s="14">
        <f t="shared" si="3"/>
        <v>206.97800000000001</v>
      </c>
      <c r="AF10" s="14">
        <f t="shared" si="4"/>
        <v>197.25400000000002</v>
      </c>
      <c r="AG10" s="14">
        <f t="shared" si="5"/>
        <v>25.574432000000002</v>
      </c>
      <c r="AH10" s="14">
        <f t="shared" si="6"/>
        <v>24.453103999999996</v>
      </c>
      <c r="AI10" s="14">
        <f t="shared" si="7"/>
        <v>23.315427200000002</v>
      </c>
      <c r="AJ10" s="14">
        <f t="shared" si="8"/>
        <v>22.708649600000001</v>
      </c>
    </row>
    <row r="11" spans="1:36">
      <c r="A11" s="19">
        <v>97.02</v>
      </c>
      <c r="B11" s="19">
        <v>-17.142857142856563</v>
      </c>
      <c r="C11" s="17">
        <f t="shared" si="0"/>
        <v>24.366179999999986</v>
      </c>
      <c r="D11" s="17"/>
      <c r="E11" s="17"/>
      <c r="AB11" s="12">
        <v>30</v>
      </c>
      <c r="AC11" s="14">
        <f t="shared" si="2"/>
        <v>214.76999999999998</v>
      </c>
      <c r="AD11" s="14">
        <f t="shared" si="1"/>
        <v>187.815</v>
      </c>
      <c r="AE11" s="14">
        <f t="shared" si="3"/>
        <v>160.46700000000001</v>
      </c>
      <c r="AF11" s="14">
        <f t="shared" si="4"/>
        <v>145.881</v>
      </c>
      <c r="AG11" s="14">
        <f t="shared" si="5"/>
        <v>23.801648</v>
      </c>
      <c r="AH11" s="14">
        <f t="shared" si="6"/>
        <v>22.119655999999999</v>
      </c>
      <c r="AI11" s="14">
        <f t="shared" si="7"/>
        <v>20.413140800000001</v>
      </c>
      <c r="AJ11" s="14">
        <f t="shared" si="8"/>
        <v>19.502974399999999</v>
      </c>
    </row>
    <row r="12" spans="1:36">
      <c r="A12" s="19">
        <v>106.92</v>
      </c>
      <c r="B12" s="19">
        <v>-103.03030303030309</v>
      </c>
      <c r="C12" s="17">
        <f t="shared" si="0"/>
        <v>-3.7597200000000157</v>
      </c>
      <c r="D12" s="17"/>
      <c r="E12" s="17"/>
      <c r="AB12" s="12">
        <v>40</v>
      </c>
      <c r="AC12" s="14">
        <f t="shared" si="2"/>
        <v>186.35999999999999</v>
      </c>
      <c r="AD12" s="14">
        <f t="shared" si="1"/>
        <v>150.41999999999999</v>
      </c>
      <c r="AE12" s="14">
        <f t="shared" si="3"/>
        <v>113.95600000000002</v>
      </c>
      <c r="AF12" s="14">
        <f t="shared" si="4"/>
        <v>94.50800000000001</v>
      </c>
      <c r="AG12" s="14">
        <f t="shared" si="5"/>
        <v>22.028863999999999</v>
      </c>
      <c r="AH12" s="14">
        <f t="shared" si="6"/>
        <v>19.786208000000002</v>
      </c>
      <c r="AI12" s="14">
        <f t="shared" si="7"/>
        <v>17.510854399999999</v>
      </c>
      <c r="AJ12" s="14">
        <f t="shared" si="8"/>
        <v>16.297299200000001</v>
      </c>
    </row>
    <row r="13" spans="1:36">
      <c r="A13" s="19">
        <v>110.88</v>
      </c>
      <c r="B13" s="19">
        <v>5.7142857142851771</v>
      </c>
      <c r="C13" s="17">
        <f t="shared" si="0"/>
        <v>-15.010080000000016</v>
      </c>
      <c r="D13" s="17"/>
      <c r="E13" s="17"/>
      <c r="AB13" s="12">
        <v>50</v>
      </c>
      <c r="AC13" s="14">
        <f t="shared" si="2"/>
        <v>157.94999999999999</v>
      </c>
      <c r="AD13" s="14">
        <f t="shared" si="1"/>
        <v>113.02500000000001</v>
      </c>
      <c r="AE13" s="14">
        <f t="shared" si="3"/>
        <v>67.445000000000022</v>
      </c>
      <c r="AF13" s="14">
        <f t="shared" si="4"/>
        <v>43.134999999999991</v>
      </c>
      <c r="AG13" s="14">
        <f t="shared" si="5"/>
        <v>20.256079999999997</v>
      </c>
      <c r="AH13" s="14">
        <f t="shared" si="6"/>
        <v>17.452760000000001</v>
      </c>
      <c r="AI13" s="14">
        <f t="shared" si="7"/>
        <v>14.608568000000002</v>
      </c>
      <c r="AJ13" s="14">
        <f t="shared" si="8"/>
        <v>13.091623999999999</v>
      </c>
    </row>
    <row r="14" spans="1:36">
      <c r="AB14" s="12">
        <v>60</v>
      </c>
      <c r="AC14" s="14">
        <f t="shared" si="2"/>
        <v>129.54</v>
      </c>
      <c r="AD14" s="14">
        <f t="shared" si="1"/>
        <v>75.63</v>
      </c>
      <c r="AE14" s="14">
        <f t="shared" si="3"/>
        <v>20.934000000000026</v>
      </c>
      <c r="AF14" s="14">
        <f t="shared" si="4"/>
        <v>-8.2379999999999995</v>
      </c>
      <c r="AG14" s="14">
        <f t="shared" si="5"/>
        <v>18.483295999999999</v>
      </c>
      <c r="AH14" s="14">
        <f t="shared" si="6"/>
        <v>15.119312000000001</v>
      </c>
      <c r="AI14" s="14">
        <f t="shared" si="7"/>
        <v>11.706281600000002</v>
      </c>
      <c r="AJ14" s="14">
        <f t="shared" si="8"/>
        <v>9.8859488000000013</v>
      </c>
    </row>
    <row r="15" spans="1:36">
      <c r="AB15" s="12">
        <v>70</v>
      </c>
      <c r="AC15" s="14">
        <f t="shared" si="2"/>
        <v>101.13</v>
      </c>
      <c r="AD15" s="14">
        <f t="shared" si="1"/>
        <v>38.235000000000014</v>
      </c>
      <c r="AE15" s="14">
        <f t="shared" si="3"/>
        <v>-25.576999999999998</v>
      </c>
      <c r="AF15" s="14">
        <f t="shared" si="4"/>
        <v>-59.61099999999999</v>
      </c>
      <c r="AG15" s="14">
        <f t="shared" si="5"/>
        <v>16.710512000000001</v>
      </c>
      <c r="AH15" s="14">
        <f t="shared" si="6"/>
        <v>12.785864</v>
      </c>
      <c r="AI15" s="14">
        <f t="shared" si="7"/>
        <v>8.803995200000001</v>
      </c>
      <c r="AJ15" s="14">
        <f t="shared" si="8"/>
        <v>6.6802736000000014</v>
      </c>
    </row>
    <row r="16" spans="1:36">
      <c r="AB16" s="12">
        <v>80</v>
      </c>
      <c r="AC16" s="14">
        <f t="shared" si="2"/>
        <v>72.71999999999997</v>
      </c>
      <c r="AD16" s="14">
        <f t="shared" si="1"/>
        <v>0.83999999999997499</v>
      </c>
      <c r="AE16" s="14">
        <f t="shared" si="3"/>
        <v>-72.087999999999965</v>
      </c>
      <c r="AF16" s="14">
        <f t="shared" si="4"/>
        <v>-110.98399999999998</v>
      </c>
      <c r="AG16" s="14">
        <f t="shared" si="5"/>
        <v>14.937727999999998</v>
      </c>
      <c r="AH16" s="14">
        <f t="shared" si="6"/>
        <v>10.452415999999999</v>
      </c>
      <c r="AI16" s="14">
        <f t="shared" si="7"/>
        <v>5.9017088000000024</v>
      </c>
      <c r="AJ16" s="14">
        <f t="shared" si="8"/>
        <v>3.4745984000000014</v>
      </c>
    </row>
    <row r="17" spans="1:36">
      <c r="A17" t="s">
        <v>185</v>
      </c>
      <c r="B17" t="s">
        <v>124</v>
      </c>
      <c r="C17" t="s">
        <v>186</v>
      </c>
      <c r="AB17" s="12">
        <v>90</v>
      </c>
      <c r="AC17" s="14">
        <f t="shared" si="2"/>
        <v>44.309999999999974</v>
      </c>
      <c r="AD17" s="14">
        <f t="shared" si="1"/>
        <v>-36.555000000000007</v>
      </c>
      <c r="AE17" s="14">
        <f t="shared" si="3"/>
        <v>-118.59899999999993</v>
      </c>
      <c r="AF17" s="14">
        <f t="shared" si="4"/>
        <v>-162.35699999999997</v>
      </c>
      <c r="AG17" s="14">
        <f t="shared" si="5"/>
        <v>13.164943999999998</v>
      </c>
      <c r="AH17" s="14">
        <f t="shared" si="6"/>
        <v>8.1189680000000006</v>
      </c>
      <c r="AI17" s="14">
        <f t="shared" si="7"/>
        <v>2.9994224000000047</v>
      </c>
      <c r="AJ17" s="14">
        <f t="shared" si="8"/>
        <v>0.26892320000000147</v>
      </c>
    </row>
    <row r="18" spans="1:36">
      <c r="A18" s="19">
        <v>13.86</v>
      </c>
      <c r="B18" s="19">
        <v>625.85034013605423</v>
      </c>
      <c r="C18" s="17">
        <f>-3.7395*A18+300</f>
        <v>248.17052999999999</v>
      </c>
      <c r="D18" s="17"/>
      <c r="E18" s="17"/>
      <c r="AB18" s="12">
        <v>100</v>
      </c>
      <c r="AC18" s="14">
        <f t="shared" si="2"/>
        <v>15.899999999999977</v>
      </c>
      <c r="AD18" s="14">
        <f t="shared" si="1"/>
        <v>-73.949999999999989</v>
      </c>
      <c r="AE18" s="14">
        <f t="shared" si="3"/>
        <v>-165.10999999999996</v>
      </c>
      <c r="AF18" s="14">
        <f t="shared" si="4"/>
        <v>-213.73000000000002</v>
      </c>
      <c r="AG18" s="14">
        <f t="shared" si="5"/>
        <v>11.392159999999999</v>
      </c>
      <c r="AH18" s="14">
        <f t="shared" si="6"/>
        <v>5.7855200000000009</v>
      </c>
      <c r="AI18" s="14">
        <f t="shared" si="7"/>
        <v>9.713600000000433E-2</v>
      </c>
      <c r="AJ18" s="14">
        <f t="shared" si="8"/>
        <v>-2.936752000000002</v>
      </c>
    </row>
    <row r="19" spans="1:36">
      <c r="A19" s="19">
        <v>27.72</v>
      </c>
      <c r="B19" s="19">
        <v>331.13553113553121</v>
      </c>
      <c r="C19" s="17">
        <f t="shared" ref="C19:C39" si="9">-3.7395*A19+300</f>
        <v>196.34106</v>
      </c>
      <c r="D19" s="17"/>
      <c r="E19" s="17"/>
      <c r="AC19" s="12"/>
      <c r="AD19" s="12"/>
      <c r="AE19" s="12"/>
      <c r="AF19" s="12"/>
      <c r="AG19" s="12"/>
      <c r="AH19" s="12"/>
      <c r="AI19" s="12"/>
      <c r="AJ19" s="12"/>
    </row>
    <row r="20" spans="1:36">
      <c r="A20" s="19">
        <v>28.6</v>
      </c>
      <c r="B20" s="19">
        <v>-38.461538461538467</v>
      </c>
      <c r="C20" s="17">
        <f t="shared" si="9"/>
        <v>193.05029999999999</v>
      </c>
      <c r="D20" s="17"/>
      <c r="E20" s="17"/>
    </row>
    <row r="21" spans="1:36">
      <c r="A21" s="19">
        <v>32.400000000000006</v>
      </c>
      <c r="B21" s="19">
        <v>190.74074074074073</v>
      </c>
      <c r="C21" s="17">
        <f t="shared" si="9"/>
        <v>178.84019999999998</v>
      </c>
      <c r="D21" s="17"/>
      <c r="E21" s="17"/>
    </row>
    <row r="22" spans="1:36">
      <c r="A22" s="19">
        <v>34.020000000000003</v>
      </c>
      <c r="B22" s="19">
        <v>241.07142857142856</v>
      </c>
      <c r="C22" s="17">
        <f t="shared" si="9"/>
        <v>172.78220999999999</v>
      </c>
      <c r="D22" s="17"/>
      <c r="E22" s="17"/>
    </row>
    <row r="23" spans="1:36">
      <c r="A23" s="19">
        <v>34.580000000000005</v>
      </c>
      <c r="B23" s="19">
        <v>278.57142857142856</v>
      </c>
      <c r="C23" s="17">
        <f t="shared" si="9"/>
        <v>170.68808999999999</v>
      </c>
      <c r="D23" s="17"/>
      <c r="E23" s="17"/>
    </row>
    <row r="24" spans="1:36">
      <c r="A24" s="19">
        <v>41.58</v>
      </c>
      <c r="B24" s="19">
        <v>73.469387755102048</v>
      </c>
      <c r="C24" s="17">
        <f t="shared" si="9"/>
        <v>144.51159000000001</v>
      </c>
      <c r="D24" s="17"/>
      <c r="E24" s="17"/>
    </row>
    <row r="25" spans="1:36">
      <c r="A25" s="19">
        <v>51.03</v>
      </c>
      <c r="B25" s="19">
        <v>-142.85714285714283</v>
      </c>
      <c r="C25" s="17">
        <f t="shared" si="9"/>
        <v>109.173315</v>
      </c>
      <c r="D25" s="17"/>
      <c r="E25" s="17"/>
    </row>
    <row r="26" spans="1:36">
      <c r="A26" s="19">
        <v>51.870000000000005</v>
      </c>
      <c r="B26" s="19">
        <v>35.714285714285708</v>
      </c>
      <c r="C26" s="17">
        <f t="shared" si="9"/>
        <v>106.03213499999998</v>
      </c>
      <c r="D26" s="17"/>
      <c r="E26" s="17"/>
    </row>
    <row r="27" spans="1:36">
      <c r="A27" s="19">
        <v>53.46</v>
      </c>
      <c r="B27" s="19">
        <v>357.14285714285717</v>
      </c>
      <c r="C27" s="17">
        <f t="shared" si="9"/>
        <v>100.08633</v>
      </c>
      <c r="D27" s="17"/>
      <c r="E27" s="17"/>
    </row>
    <row r="28" spans="1:36" ht="15" customHeight="1">
      <c r="A28" s="19">
        <v>55.44</v>
      </c>
      <c r="B28" s="19">
        <v>368.25396825396837</v>
      </c>
      <c r="C28" s="17">
        <f t="shared" si="9"/>
        <v>92.682119999999998</v>
      </c>
      <c r="D28" s="17"/>
      <c r="E28" s="17"/>
    </row>
    <row r="29" spans="1:36">
      <c r="A29" s="19">
        <v>59.400000000000006</v>
      </c>
      <c r="B29" s="19">
        <v>250</v>
      </c>
      <c r="C29" s="17">
        <f t="shared" si="9"/>
        <v>77.873699999999985</v>
      </c>
      <c r="D29" s="17"/>
      <c r="E29" s="17"/>
    </row>
    <row r="30" spans="1:36">
      <c r="A30" s="19">
        <v>60.480000000000004</v>
      </c>
      <c r="B30" s="19">
        <v>85.470085470085465</v>
      </c>
      <c r="C30" s="17">
        <f t="shared" si="9"/>
        <v>73.835039999999992</v>
      </c>
      <c r="D30" s="17"/>
      <c r="E30" s="17"/>
    </row>
    <row r="31" spans="1:36">
      <c r="A31" s="19">
        <v>68.040000000000006</v>
      </c>
      <c r="B31" s="19">
        <v>139.28571428571422</v>
      </c>
      <c r="C31" s="17">
        <f t="shared" si="9"/>
        <v>45.564419999999984</v>
      </c>
      <c r="D31" s="17"/>
      <c r="E31" s="17"/>
    </row>
    <row r="32" spans="1:36">
      <c r="A32" s="19">
        <v>69.160000000000011</v>
      </c>
      <c r="B32" s="19">
        <v>50.000000000000028</v>
      </c>
      <c r="C32" s="17">
        <f t="shared" si="9"/>
        <v>41.376179999999977</v>
      </c>
      <c r="D32" s="17"/>
      <c r="E32" s="17"/>
    </row>
    <row r="33" spans="1:5">
      <c r="A33" s="19">
        <v>69.3</v>
      </c>
      <c r="B33" s="19">
        <v>109.52380952380946</v>
      </c>
      <c r="C33" s="17">
        <f t="shared" si="9"/>
        <v>40.852649999999983</v>
      </c>
      <c r="D33" s="17"/>
      <c r="E33" s="17"/>
    </row>
    <row r="34" spans="1:5">
      <c r="A34" s="19">
        <v>83.16</v>
      </c>
      <c r="B34" s="19">
        <v>-178.02197802197804</v>
      </c>
      <c r="C34" s="17">
        <f t="shared" si="9"/>
        <v>-10.976819999999975</v>
      </c>
      <c r="D34" s="17"/>
      <c r="E34" s="17"/>
    </row>
    <row r="35" spans="1:5">
      <c r="A35" s="19">
        <v>97.02</v>
      </c>
      <c r="B35" s="19">
        <v>-137.41496598639429</v>
      </c>
      <c r="C35" s="17">
        <f t="shared" si="9"/>
        <v>-62.80628999999999</v>
      </c>
      <c r="D35" s="17"/>
      <c r="E35" s="17"/>
    </row>
    <row r="36" spans="1:5">
      <c r="A36" s="19">
        <v>102.06</v>
      </c>
      <c r="B36" s="19">
        <v>-185.71428571428567</v>
      </c>
      <c r="C36" s="17">
        <f t="shared" si="9"/>
        <v>-81.653369999999995</v>
      </c>
      <c r="D36" s="17"/>
      <c r="E36" s="17"/>
    </row>
    <row r="37" spans="1:5">
      <c r="A37" s="19">
        <v>103.74000000000001</v>
      </c>
      <c r="B37" s="19">
        <v>-166.66666666666666</v>
      </c>
      <c r="C37" s="17">
        <f t="shared" si="9"/>
        <v>-87.935730000000035</v>
      </c>
      <c r="D37" s="17"/>
      <c r="E37" s="17"/>
    </row>
    <row r="38" spans="1:5">
      <c r="A38" s="19">
        <v>106.92</v>
      </c>
      <c r="B38" s="19">
        <v>-7.4074074074075105</v>
      </c>
      <c r="C38" s="17">
        <f t="shared" si="9"/>
        <v>-99.827339999999992</v>
      </c>
      <c r="D38" s="17"/>
      <c r="E38" s="17"/>
    </row>
    <row r="39" spans="1:5">
      <c r="A39" s="19">
        <v>110.88</v>
      </c>
      <c r="B39" s="19">
        <v>-213.60544217687064</v>
      </c>
      <c r="C39" s="17">
        <f t="shared" si="9"/>
        <v>-114.63576</v>
      </c>
      <c r="D39" s="17"/>
      <c r="E39" s="17"/>
    </row>
    <row r="41" spans="1:5">
      <c r="A41" t="s">
        <v>185</v>
      </c>
      <c r="B41" t="s">
        <v>125</v>
      </c>
      <c r="C41" t="s">
        <v>186</v>
      </c>
    </row>
    <row r="42" spans="1:5">
      <c r="A42" s="19">
        <v>13.86</v>
      </c>
      <c r="B42" s="19">
        <v>560.71428571428555</v>
      </c>
      <c r="C42" s="17">
        <f>-4.2793*A42+300</f>
        <v>240.68890199999998</v>
      </c>
      <c r="D42" s="17"/>
      <c r="E42" s="17"/>
    </row>
    <row r="43" spans="1:5">
      <c r="A43" s="19">
        <v>27.72</v>
      </c>
      <c r="B43" s="19">
        <v>309.89010989011001</v>
      </c>
      <c r="C43" s="17">
        <f t="shared" ref="C43:C65" si="10">-4.2793*A43+300</f>
        <v>181.377804</v>
      </c>
      <c r="D43" s="17"/>
      <c r="E43" s="17"/>
    </row>
    <row r="44" spans="1:5">
      <c r="A44" s="19">
        <v>28.6</v>
      </c>
      <c r="B44" s="19">
        <v>343.50132625994701</v>
      </c>
      <c r="C44" s="17">
        <f t="shared" si="10"/>
        <v>177.61201999999997</v>
      </c>
      <c r="D44" s="17"/>
      <c r="E44" s="17"/>
    </row>
    <row r="45" spans="1:5">
      <c r="A45" s="19">
        <v>32.400000000000006</v>
      </c>
      <c r="B45" s="19">
        <v>144.44444444444446</v>
      </c>
      <c r="C45" s="17">
        <f t="shared" si="10"/>
        <v>161.35067999999998</v>
      </c>
      <c r="D45" s="17"/>
      <c r="E45" s="17"/>
    </row>
    <row r="46" spans="1:5">
      <c r="A46" s="19">
        <v>34.020000000000003</v>
      </c>
      <c r="B46" s="19">
        <v>173.80952380952385</v>
      </c>
      <c r="C46" s="17">
        <f t="shared" si="10"/>
        <v>154.41821399999998</v>
      </c>
      <c r="D46" s="17"/>
      <c r="E46" s="17"/>
    </row>
    <row r="47" spans="1:5">
      <c r="A47" s="19">
        <v>34.580000000000005</v>
      </c>
      <c r="B47" s="19">
        <v>132.41758241758234</v>
      </c>
      <c r="C47" s="17">
        <f t="shared" si="10"/>
        <v>152.02180599999997</v>
      </c>
      <c r="D47" s="17"/>
      <c r="E47" s="17"/>
    </row>
    <row r="48" spans="1:5">
      <c r="A48" s="19">
        <v>41.58</v>
      </c>
      <c r="B48" s="19">
        <v>-46.428571428571587</v>
      </c>
      <c r="C48" s="17">
        <f t="shared" si="10"/>
        <v>122.06670600000001</v>
      </c>
      <c r="D48" s="17"/>
      <c r="E48" s="17"/>
    </row>
    <row r="49" spans="1:5">
      <c r="A49" s="19">
        <v>44.24</v>
      </c>
      <c r="B49" s="19">
        <v>-22.727272727272734</v>
      </c>
      <c r="C49" s="17">
        <f t="shared" si="10"/>
        <v>110.68376799999999</v>
      </c>
      <c r="D49" s="17"/>
      <c r="E49" s="17"/>
    </row>
    <row r="50" spans="1:5">
      <c r="A50" s="19">
        <v>51.03</v>
      </c>
      <c r="B50" s="19">
        <v>-166.66666666666666</v>
      </c>
      <c r="C50" s="17">
        <f t="shared" si="10"/>
        <v>81.627320999999995</v>
      </c>
      <c r="D50" s="17"/>
      <c r="E50" s="17"/>
    </row>
    <row r="51" spans="1:5">
      <c r="A51" s="19">
        <v>51.870000000000005</v>
      </c>
      <c r="B51" s="19">
        <v>32.967032967032978</v>
      </c>
      <c r="C51" s="17">
        <f t="shared" si="10"/>
        <v>78.032708999999983</v>
      </c>
      <c r="D51" s="17"/>
      <c r="E51" s="17"/>
    </row>
    <row r="52" spans="1:5">
      <c r="A52" s="19">
        <v>53.46</v>
      </c>
      <c r="B52" s="19">
        <v>775</v>
      </c>
      <c r="C52" s="17">
        <f t="shared" si="10"/>
        <v>71.228622000000001</v>
      </c>
      <c r="D52" s="17"/>
      <c r="E52" s="17"/>
    </row>
    <row r="53" spans="1:5">
      <c r="A53" s="19">
        <v>55.44</v>
      </c>
      <c r="B53" s="19">
        <v>485.71428571428635</v>
      </c>
      <c r="C53" s="17">
        <f t="shared" si="10"/>
        <v>62.755607999999995</v>
      </c>
      <c r="D53" s="17"/>
      <c r="E53" s="17"/>
    </row>
    <row r="54" spans="1:5">
      <c r="A54" s="19">
        <v>59.400000000000006</v>
      </c>
      <c r="B54" s="19">
        <v>-94.827586206896541</v>
      </c>
      <c r="C54" s="17">
        <f t="shared" si="10"/>
        <v>45.809579999999983</v>
      </c>
      <c r="D54" s="17"/>
      <c r="E54" s="17"/>
    </row>
    <row r="55" spans="1:5">
      <c r="A55" s="19">
        <v>60.480000000000004</v>
      </c>
      <c r="B55" s="19">
        <v>54.487179487179496</v>
      </c>
      <c r="C55" s="17">
        <f t="shared" si="10"/>
        <v>41.187935999999979</v>
      </c>
      <c r="D55" s="17"/>
      <c r="E55" s="17"/>
    </row>
    <row r="56" spans="1:5">
      <c r="A56" s="19">
        <v>68.040000000000006</v>
      </c>
      <c r="B56" s="19">
        <v>29.523809523809401</v>
      </c>
      <c r="C56" s="17">
        <f t="shared" si="10"/>
        <v>8.8364279999999553</v>
      </c>
      <c r="D56" s="17"/>
      <c r="E56" s="17"/>
    </row>
    <row r="57" spans="1:5">
      <c r="A57" s="19">
        <v>69.160000000000011</v>
      </c>
      <c r="B57" s="19">
        <v>29.670329670329693</v>
      </c>
      <c r="C57" s="17">
        <f t="shared" si="10"/>
        <v>4.0436119999999391</v>
      </c>
      <c r="D57" s="17"/>
      <c r="E57" s="17"/>
    </row>
    <row r="58" spans="1:5">
      <c r="A58" s="19">
        <v>69.3</v>
      </c>
      <c r="B58" s="19">
        <v>-168.74999999999974</v>
      </c>
      <c r="C58" s="17">
        <f t="shared" si="10"/>
        <v>3.4445099999999798</v>
      </c>
      <c r="D58" s="17"/>
      <c r="E58" s="17"/>
    </row>
    <row r="59" spans="1:5">
      <c r="A59" s="19">
        <v>83.16</v>
      </c>
      <c r="B59" s="19">
        <v>-147.25274725274764</v>
      </c>
      <c r="C59" s="17">
        <f t="shared" si="10"/>
        <v>-55.866587999999979</v>
      </c>
      <c r="D59" s="17"/>
      <c r="E59" s="17"/>
    </row>
    <row r="60" spans="1:5">
      <c r="A60" s="19">
        <v>88.48</v>
      </c>
      <c r="B60" s="19">
        <v>-214.28571428571431</v>
      </c>
      <c r="C60" s="17">
        <f t="shared" si="10"/>
        <v>-78.632464000000027</v>
      </c>
      <c r="D60" s="17"/>
      <c r="E60" s="17"/>
    </row>
    <row r="61" spans="1:5">
      <c r="A61" s="19">
        <v>97.02</v>
      </c>
      <c r="B61" s="19">
        <v>-153.57142857142833</v>
      </c>
      <c r="C61" s="17">
        <f t="shared" si="10"/>
        <v>-115.17768599999999</v>
      </c>
      <c r="D61" s="17"/>
      <c r="E61" s="17"/>
    </row>
    <row r="62" spans="1:5">
      <c r="A62" s="19">
        <v>102.06</v>
      </c>
      <c r="B62" s="19">
        <v>-145.71428571428564</v>
      </c>
      <c r="C62" s="17">
        <f t="shared" si="10"/>
        <v>-136.74535800000001</v>
      </c>
      <c r="D62" s="17"/>
      <c r="E62" s="17"/>
    </row>
    <row r="63" spans="1:5">
      <c r="A63" s="19">
        <v>103.74000000000001</v>
      </c>
      <c r="B63" s="19">
        <v>-190.10989010989013</v>
      </c>
      <c r="C63" s="17">
        <f t="shared" si="10"/>
        <v>-143.93458200000003</v>
      </c>
      <c r="D63" s="17"/>
      <c r="E63" s="17"/>
    </row>
    <row r="64" spans="1:5">
      <c r="A64" s="19">
        <v>106.92</v>
      </c>
      <c r="B64" s="19">
        <v>-326.66666666666663</v>
      </c>
      <c r="C64" s="17">
        <f t="shared" si="10"/>
        <v>-157.542756</v>
      </c>
      <c r="D64" s="17"/>
      <c r="E64" s="17"/>
    </row>
    <row r="65" spans="1:5">
      <c r="A65" s="19">
        <v>110.88</v>
      </c>
      <c r="B65" s="19">
        <v>-382.14285714285751</v>
      </c>
      <c r="C65" s="17">
        <f t="shared" si="10"/>
        <v>-174.48878400000001</v>
      </c>
      <c r="D65" s="17"/>
      <c r="E65" s="17"/>
    </row>
    <row r="67" spans="1:5">
      <c r="A67" t="s">
        <v>185</v>
      </c>
      <c r="B67" t="s">
        <v>126</v>
      </c>
      <c r="C67" t="s">
        <v>186</v>
      </c>
    </row>
    <row r="68" spans="1:5">
      <c r="A68">
        <v>34.020000000000003</v>
      </c>
      <c r="B68">
        <v>421.42857142857133</v>
      </c>
      <c r="C68" s="17">
        <f>-5.1373*A68+300</f>
        <v>125.22905399999999</v>
      </c>
      <c r="D68" s="17"/>
      <c r="E68" s="17"/>
    </row>
    <row r="69" spans="1:5">
      <c r="A69">
        <v>34.580000000000005</v>
      </c>
      <c r="B69">
        <v>442.85714285714306</v>
      </c>
      <c r="C69" s="17">
        <f t="shared" ref="C69:C77" si="11">-5.1373*A69+300</f>
        <v>122.35216599999998</v>
      </c>
      <c r="D69" s="17"/>
      <c r="E69" s="17"/>
    </row>
    <row r="70" spans="1:5">
      <c r="A70">
        <v>44.24</v>
      </c>
      <c r="B70">
        <v>-33.834586466165412</v>
      </c>
      <c r="C70" s="17">
        <f t="shared" si="11"/>
        <v>72.725848000000013</v>
      </c>
      <c r="D70" s="17"/>
      <c r="E70" s="17"/>
    </row>
    <row r="71" spans="1:5">
      <c r="A71">
        <v>51.03</v>
      </c>
      <c r="B71">
        <v>-357.14285714285717</v>
      </c>
      <c r="C71" s="17">
        <f t="shared" si="11"/>
        <v>37.843581000000029</v>
      </c>
      <c r="D71" s="17"/>
      <c r="E71" s="17"/>
    </row>
    <row r="72" spans="1:5">
      <c r="A72">
        <v>51.870000000000005</v>
      </c>
      <c r="B72">
        <v>-142.85714285714286</v>
      </c>
      <c r="C72" s="17">
        <f t="shared" si="11"/>
        <v>33.528249000000017</v>
      </c>
      <c r="D72" s="17"/>
      <c r="E72" s="17"/>
    </row>
    <row r="73" spans="1:5">
      <c r="A73">
        <v>68.040000000000006</v>
      </c>
      <c r="B73">
        <v>-142.85714285714286</v>
      </c>
      <c r="C73" s="17">
        <f t="shared" si="11"/>
        <v>-49.541892000000018</v>
      </c>
      <c r="D73" s="17"/>
      <c r="E73" s="17"/>
    </row>
    <row r="74" spans="1:5">
      <c r="A74">
        <v>69.160000000000011</v>
      </c>
      <c r="B74">
        <v>-85.714285714284898</v>
      </c>
      <c r="C74" s="17">
        <f t="shared" si="11"/>
        <v>-55.295668000000035</v>
      </c>
      <c r="D74" s="17"/>
      <c r="E74" s="17"/>
    </row>
    <row r="75" spans="1:5">
      <c r="A75">
        <v>88.48</v>
      </c>
      <c r="B75">
        <v>-212.40601503759399</v>
      </c>
      <c r="C75" s="17">
        <f t="shared" si="11"/>
        <v>-154.54830399999997</v>
      </c>
      <c r="D75" s="17"/>
      <c r="E75" s="17"/>
    </row>
    <row r="76" spans="1:5">
      <c r="A76">
        <v>102.06</v>
      </c>
      <c r="B76">
        <v>-71.428571428571431</v>
      </c>
      <c r="C76" s="17">
        <f t="shared" si="11"/>
        <v>-224.31283799999994</v>
      </c>
      <c r="D76" s="17"/>
      <c r="E76" s="17"/>
    </row>
    <row r="77" spans="1:5">
      <c r="A77">
        <v>103.74000000000001</v>
      </c>
      <c r="B77">
        <v>-128.57142857142887</v>
      </c>
      <c r="C77" s="17">
        <f t="shared" si="11"/>
        <v>-232.94350199999997</v>
      </c>
      <c r="D77" s="17"/>
      <c r="E77" s="17"/>
    </row>
    <row r="78" spans="1:5">
      <c r="A78" s="19"/>
      <c r="B78" s="19"/>
    </row>
    <row r="79" spans="1:5">
      <c r="A79" s="19"/>
      <c r="B79" s="19"/>
    </row>
    <row r="80" spans="1:5">
      <c r="A80" s="19"/>
      <c r="B80" s="19"/>
    </row>
    <row r="81" spans="1:5">
      <c r="A81" s="19"/>
      <c r="B81" s="19"/>
    </row>
    <row r="82" spans="1:5">
      <c r="A82" s="19"/>
      <c r="B82" s="19"/>
    </row>
    <row r="83" spans="1:5">
      <c r="A83" s="19"/>
      <c r="C83" s="19"/>
      <c r="D83" s="19"/>
      <c r="E83" s="19"/>
    </row>
    <row r="84" spans="1:5">
      <c r="A84" s="19"/>
      <c r="B84" s="19"/>
    </row>
    <row r="85" spans="1:5">
      <c r="A85" s="19"/>
      <c r="B85" s="19"/>
    </row>
    <row r="86" spans="1:5">
      <c r="A86" s="19"/>
      <c r="B86" s="19"/>
    </row>
    <row r="87" spans="1:5">
      <c r="A87" s="19"/>
      <c r="B87" s="19"/>
    </row>
  </sheetData>
  <customSheetViews>
    <customSheetView guid="{51F81FF1-EE1A-40FC-8953-32A9F2F33EA5}" state="hidden">
      <pageMargins left="0" right="0" top="0" bottom="0" header="0" footer="0"/>
    </customSheetView>
  </customSheetViews>
  <mergeCells count="5">
    <mergeCell ref="T1:U1"/>
    <mergeCell ref="V1:W1"/>
    <mergeCell ref="D2:E2"/>
    <mergeCell ref="AC6:AF6"/>
    <mergeCell ref="AG6:AJ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BEC54-3801-4D68-84F8-3266B4A8FDF0}">
  <sheetPr codeName="Sheet6"/>
  <dimension ref="A1:D12"/>
  <sheetViews>
    <sheetView workbookViewId="0">
      <selection activeCell="A2" sqref="A2"/>
    </sheetView>
  </sheetViews>
  <sheetFormatPr defaultRowHeight="14.85"/>
  <cols>
    <col min="1" max="1" width="7.140625" customWidth="1"/>
    <col min="2" max="2" width="8.85546875" customWidth="1"/>
    <col min="3" max="3" width="11.85546875" bestFit="1" customWidth="1"/>
    <col min="4" max="4" width="14.7109375" customWidth="1"/>
  </cols>
  <sheetData>
    <row r="1" spans="1:4">
      <c r="A1" t="s">
        <v>194</v>
      </c>
      <c r="B1" t="s">
        <v>195</v>
      </c>
      <c r="C1" t="s">
        <v>196</v>
      </c>
      <c r="D1" t="s">
        <v>197</v>
      </c>
    </row>
    <row r="2" spans="1:4">
      <c r="A2">
        <v>0</v>
      </c>
      <c r="B2">
        <v>0</v>
      </c>
      <c r="C2">
        <v>0.01</v>
      </c>
      <c r="D2" s="32">
        <f>(0.2704*EXP(0.9751*A2)-0.2704)</f>
        <v>0</v>
      </c>
    </row>
    <row r="3" spans="1:4">
      <c r="A3">
        <v>0.5</v>
      </c>
      <c r="D3" s="71">
        <f t="shared" ref="D3:D12" si="0">(0.2704*EXP(0.9751*A3)-0.2704)</f>
        <v>0.1698982526320138</v>
      </c>
    </row>
    <row r="4" spans="1:4">
      <c r="A4" s="18">
        <v>1</v>
      </c>
      <c r="D4" s="32">
        <f t="shared" si="0"/>
        <v>0.44654730499557926</v>
      </c>
    </row>
    <row r="5" spans="1:4">
      <c r="A5" s="18">
        <v>1.5</v>
      </c>
      <c r="D5" s="71">
        <f t="shared" si="0"/>
        <v>0.89702102669669026</v>
      </c>
    </row>
    <row r="6" spans="1:4">
      <c r="A6" s="18">
        <v>2</v>
      </c>
      <c r="D6" s="32">
        <f t="shared" si="0"/>
        <v>1.6305372712293795</v>
      </c>
    </row>
    <row r="7" spans="1:4">
      <c r="A7" s="18">
        <v>2.5</v>
      </c>
      <c r="B7">
        <v>0.4</v>
      </c>
      <c r="C7" s="18">
        <f>B7/8.8*50</f>
        <v>2.2727272727272729</v>
      </c>
      <c r="D7" s="71">
        <f t="shared" si="0"/>
        <v>2.8249378657003112</v>
      </c>
    </row>
    <row r="8" spans="1:4">
      <c r="A8" s="18">
        <v>3</v>
      </c>
      <c r="B8">
        <v>1.1000000000000001</v>
      </c>
      <c r="C8" s="18">
        <f t="shared" ref="C8:C12" si="1">B8/8.8*50</f>
        <v>6.25</v>
      </c>
      <c r="D8" s="32">
        <f t="shared" si="0"/>
        <v>4.7698065590737961</v>
      </c>
    </row>
    <row r="9" spans="1:4">
      <c r="A9" s="18">
        <v>3.5</v>
      </c>
      <c r="B9">
        <v>1.7</v>
      </c>
      <c r="C9" s="18">
        <f t="shared" si="1"/>
        <v>9.6590909090909083</v>
      </c>
      <c r="D9" s="71">
        <f t="shared" si="0"/>
        <v>7.9366789233158528</v>
      </c>
    </row>
    <row r="10" spans="1:4">
      <c r="A10" s="18">
        <v>4</v>
      </c>
      <c r="B10">
        <v>2.6</v>
      </c>
      <c r="C10" s="18">
        <f t="shared" si="1"/>
        <v>14.77272727272727</v>
      </c>
      <c r="D10" s="32">
        <f t="shared" si="0"/>
        <v>13.093366675846893</v>
      </c>
    </row>
    <row r="11" spans="1:4">
      <c r="A11" s="18">
        <v>4.5</v>
      </c>
      <c r="B11">
        <v>3.8</v>
      </c>
      <c r="C11" s="18">
        <f t="shared" si="1"/>
        <v>21.59090909090909</v>
      </c>
      <c r="D11" s="71">
        <f t="shared" si="0"/>
        <v>21.490114482090696</v>
      </c>
    </row>
    <row r="12" spans="1:4">
      <c r="A12" s="18">
        <v>5</v>
      </c>
      <c r="B12">
        <v>5.3</v>
      </c>
      <c r="C12" s="18">
        <f t="shared" si="1"/>
        <v>30.11363636363636</v>
      </c>
      <c r="D12" s="32">
        <f t="shared" si="0"/>
        <v>35.162723161383731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582CA-2FFF-448C-9A3A-02DCF71DFD86}">
  <sheetPr codeName="Sheet7"/>
  <dimension ref="A1:U13"/>
  <sheetViews>
    <sheetView workbookViewId="0">
      <selection activeCell="A2" sqref="A2"/>
    </sheetView>
  </sheetViews>
  <sheetFormatPr defaultRowHeight="14.85"/>
  <cols>
    <col min="1" max="1" width="6.28515625" style="12" bestFit="1" customWidth="1"/>
    <col min="2" max="2" width="13.5703125" style="12" bestFit="1" customWidth="1"/>
    <col min="3" max="3" width="13.7109375" style="12" bestFit="1" customWidth="1"/>
    <col min="4" max="4" width="18" style="12" bestFit="1" customWidth="1"/>
    <col min="5" max="7" width="8.7109375" style="12"/>
  </cols>
  <sheetData>
    <row r="1" spans="1:21">
      <c r="A1" s="22" t="s">
        <v>198</v>
      </c>
      <c r="B1" s="22" t="s">
        <v>199</v>
      </c>
      <c r="C1" s="22" t="s">
        <v>200</v>
      </c>
      <c r="D1" s="22" t="s">
        <v>201</v>
      </c>
      <c r="E1" s="22" t="s">
        <v>202</v>
      </c>
      <c r="F1" s="22" t="s">
        <v>203</v>
      </c>
      <c r="G1" s="22" t="s">
        <v>204</v>
      </c>
      <c r="H1" s="22" t="s">
        <v>205</v>
      </c>
      <c r="I1" s="22" t="s">
        <v>193</v>
      </c>
      <c r="J1" s="22"/>
    </row>
    <row r="2" spans="1:21">
      <c r="A2" s="12" t="s">
        <v>12</v>
      </c>
      <c r="B2" s="12" t="s">
        <v>26</v>
      </c>
      <c r="C2" s="12" t="s">
        <v>206</v>
      </c>
      <c r="D2" s="12" t="s">
        <v>207</v>
      </c>
      <c r="E2" s="12">
        <v>300</v>
      </c>
      <c r="F2" s="12">
        <v>30</v>
      </c>
      <c r="G2" s="14">
        <v>1</v>
      </c>
      <c r="H2" s="23">
        <f>0.64/7</f>
        <v>9.1428571428571428E-2</v>
      </c>
      <c r="I2" s="23">
        <f>-1.7/7</f>
        <v>-0.24285714285714285</v>
      </c>
      <c r="J2" s="35"/>
      <c r="K2" s="35"/>
      <c r="L2" s="35"/>
      <c r="M2" s="35"/>
    </row>
    <row r="3" spans="1:21">
      <c r="B3" s="12" t="s">
        <v>155</v>
      </c>
      <c r="C3" s="12" t="s">
        <v>208</v>
      </c>
      <c r="D3" s="12" t="s">
        <v>209</v>
      </c>
      <c r="E3" s="12">
        <v>365</v>
      </c>
      <c r="F3" s="12">
        <v>35</v>
      </c>
      <c r="G3" s="14">
        <f t="shared" ref="G3:G13" si="0">(F3-30)/3</f>
        <v>1.6666666666666667</v>
      </c>
      <c r="H3" s="23">
        <f>1.26/7</f>
        <v>0.18</v>
      </c>
      <c r="I3" s="23">
        <f>-1.6/7</f>
        <v>-0.22857142857142859</v>
      </c>
      <c r="J3" s="35"/>
      <c r="K3" s="35"/>
    </row>
    <row r="4" spans="1:21">
      <c r="B4" s="12" t="s">
        <v>156</v>
      </c>
      <c r="C4" s="12" t="s">
        <v>210</v>
      </c>
      <c r="D4" s="69" t="s">
        <v>211</v>
      </c>
      <c r="E4" s="12">
        <v>312</v>
      </c>
      <c r="F4" s="12">
        <v>40</v>
      </c>
      <c r="G4" s="14">
        <f t="shared" si="0"/>
        <v>3.3333333333333335</v>
      </c>
      <c r="H4" s="23">
        <f>2.55/7</f>
        <v>0.36428571428571427</v>
      </c>
      <c r="I4" s="23">
        <f>-1.37/7</f>
        <v>-0.19571428571428573</v>
      </c>
      <c r="J4" s="35"/>
      <c r="K4" s="35"/>
    </row>
    <row r="5" spans="1:21">
      <c r="B5" s="12" t="s">
        <v>157</v>
      </c>
      <c r="C5" s="12" t="s">
        <v>212</v>
      </c>
      <c r="D5" s="70" t="s">
        <v>213</v>
      </c>
      <c r="E5" s="12">
        <v>343</v>
      </c>
      <c r="F5" s="12">
        <v>45</v>
      </c>
      <c r="G5" s="14">
        <f t="shared" si="0"/>
        <v>5</v>
      </c>
      <c r="H5" s="23">
        <f>4/7</f>
        <v>0.5714285714285714</v>
      </c>
      <c r="I5" s="23">
        <f>-1.16/7</f>
        <v>-0.1657142857142857</v>
      </c>
      <c r="J5" s="35"/>
      <c r="K5" s="35"/>
      <c r="U5" t="s">
        <v>214</v>
      </c>
    </row>
    <row r="6" spans="1:21">
      <c r="B6" s="12" t="s">
        <v>12</v>
      </c>
      <c r="D6" s="70" t="s">
        <v>215</v>
      </c>
      <c r="F6" s="12">
        <v>50</v>
      </c>
      <c r="G6" s="14">
        <f t="shared" si="0"/>
        <v>6.666666666666667</v>
      </c>
      <c r="H6" s="23">
        <f>5.34/7</f>
        <v>0.76285714285714279</v>
      </c>
      <c r="I6" s="23">
        <f>-0.85/7</f>
        <v>-0.12142857142857143</v>
      </c>
      <c r="J6" s="35"/>
      <c r="K6" s="35"/>
    </row>
    <row r="7" spans="1:21">
      <c r="D7" s="70" t="s">
        <v>216</v>
      </c>
      <c r="F7" s="12">
        <v>55</v>
      </c>
      <c r="G7" s="14">
        <f t="shared" si="0"/>
        <v>8.3333333333333339</v>
      </c>
      <c r="H7" s="23">
        <f>6.54/7</f>
        <v>0.93428571428571427</v>
      </c>
      <c r="I7" s="23">
        <f>-0.42/7</f>
        <v>-0.06</v>
      </c>
      <c r="J7" s="35"/>
      <c r="K7" s="35"/>
    </row>
    <row r="8" spans="1:21">
      <c r="F8" s="12">
        <v>60</v>
      </c>
      <c r="G8" s="14">
        <f t="shared" si="0"/>
        <v>10</v>
      </c>
      <c r="H8" s="23">
        <f>7.76/7</f>
        <v>1.1085714285714285</v>
      </c>
      <c r="I8" s="23">
        <f>0.07/7</f>
        <v>0.01</v>
      </c>
      <c r="J8" s="35"/>
      <c r="K8" s="35"/>
    </row>
    <row r="9" spans="1:21">
      <c r="F9" s="12">
        <v>65</v>
      </c>
      <c r="G9" s="14">
        <f t="shared" si="0"/>
        <v>11.666666666666666</v>
      </c>
      <c r="H9" s="23">
        <f>8.72/7</f>
        <v>1.2457142857142858</v>
      </c>
      <c r="I9" s="23">
        <f>0.34/7</f>
        <v>4.8571428571428578E-2</v>
      </c>
      <c r="J9" s="35"/>
      <c r="K9" s="35"/>
    </row>
    <row r="10" spans="1:21">
      <c r="F10" s="12">
        <v>70</v>
      </c>
      <c r="G10" s="14">
        <f t="shared" si="0"/>
        <v>13.333333333333334</v>
      </c>
      <c r="H10" s="23">
        <f>9.64/7</f>
        <v>1.3771428571428572</v>
      </c>
      <c r="I10" s="23">
        <f>0.61/7</f>
        <v>8.7142857142857147E-2</v>
      </c>
      <c r="J10" s="35"/>
      <c r="K10" s="35"/>
    </row>
    <row r="11" spans="1:21">
      <c r="F11" s="12">
        <v>75</v>
      </c>
      <c r="G11" s="14">
        <f t="shared" si="0"/>
        <v>15</v>
      </c>
      <c r="H11" s="23">
        <f>10.43/7</f>
        <v>1.49</v>
      </c>
      <c r="I11" s="23">
        <f>0.94/7</f>
        <v>0.13428571428571429</v>
      </c>
      <c r="J11" s="35"/>
      <c r="K11" s="35"/>
    </row>
    <row r="12" spans="1:21">
      <c r="F12" s="12">
        <v>80</v>
      </c>
      <c r="G12" s="14">
        <f t="shared" si="0"/>
        <v>16.666666666666668</v>
      </c>
      <c r="H12" s="23">
        <f>10.02/7</f>
        <v>1.4314285714285713</v>
      </c>
      <c r="I12" s="23">
        <f>1.1/7</f>
        <v>0.15714285714285717</v>
      </c>
      <c r="J12" s="35"/>
      <c r="K12" s="35"/>
    </row>
    <row r="13" spans="1:21">
      <c r="F13" s="12">
        <v>85</v>
      </c>
      <c r="G13" s="14">
        <f t="shared" si="0"/>
        <v>18.333333333333332</v>
      </c>
      <c r="H13" s="23">
        <f>9.17/7</f>
        <v>1.31</v>
      </c>
      <c r="I13" s="23">
        <f>1.15/7</f>
        <v>0.16428571428571428</v>
      </c>
      <c r="J13" s="35"/>
      <c r="K13" s="35"/>
    </row>
  </sheetData>
  <customSheetViews>
    <customSheetView guid="{51F81FF1-EE1A-40FC-8953-32A9F2F33EA5}" state="hidden">
      <pageMargins left="0" right="0" top="0" bottom="0" header="0" footer="0"/>
      <pageSetup paperSize="9" orientation="portrait" horizontalDpi="300" verticalDpi="0" r:id="rId1"/>
    </customSheetView>
  </customSheetViews>
  <pageMargins left="0.7" right="0.7" top="0.75" bottom="0.75" header="0.3" footer="0.3"/>
  <pageSetup paperSize="9" orientation="portrait" horizontalDpi="300"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406d9aec-898d-46cb-bf31-c4360018fedc">PCFZEUR3HMRA-582714330-460207</_dlc_DocId>
    <_dlc_DocIdUrl xmlns="406d9aec-898d-46cb-bf31-c4360018fedc">
      <Url>https://mlaus.sharepoint.com/sites/CRM/_layouts/15/DocIdRedir.aspx?ID=PCFZEUR3HMRA-582714330-460207</Url>
      <Description>PCFZEUR3HMRA-582714330-460207</Description>
    </_dlc_DocIdUrl>
    <Description0 xmlns="812f1821-9b08-4c39-99da-29d577233d6f" xsi:nil="true"/>
    <Original_x0020_Created xmlns="4b62e893-22f0-4291-b835-e3dda2a89aab" xsi:nil="true"/>
    <Sent_x0020_On xmlns="4b62e893-22f0-4291-b835-e3dda2a89aab" xsi:nil="true"/>
    <Original_x0020_Author xmlns="4b62e893-22f0-4291-b835-e3dda2a89aab" xsi:nil="true"/>
    <Attach_x0020_Count xmlns="4b62e893-22f0-4291-b835-e3dda2a89aab" xsi:nil="true"/>
    <BCC xmlns="4b62e893-22f0-4291-b835-e3dda2a89aab" xsi:nil="true"/>
    <Sensitivity xmlns="4b62e893-22f0-4291-b835-e3dda2a89aab" xsi:nil="true"/>
    <IconOverlay xmlns="http://schemas.microsoft.com/sharepoint/v4" xsi:nil="true"/>
    <To xmlns="4b62e893-22f0-4291-b835-e3dda2a89aab" xsi:nil="true"/>
    <Conversation_x0020_Topic xmlns="4b62e893-22f0-4291-b835-e3dda2a89aab" xsi:nil="true"/>
    <Original_x0020_Modified xmlns="4b62e893-22f0-4291-b835-e3dda2a89aab" xsi:nil="true"/>
    <CC xmlns="4b62e893-22f0-4291-b835-e3dda2a89aab" xsi:nil="true"/>
    <Importance xmlns="4b62e893-22f0-4291-b835-e3dda2a89aab" xsi:nil="true"/>
    <_dlc_DocIdPersistId xmlns="406d9aec-898d-46cb-bf31-c4360018fedc" xsi:nil="true"/>
    <Original_x0020_Producer xmlns="4b62e893-22f0-4291-b835-e3dda2a89aab" xsi:nil="true"/>
    <Notes xmlns="812f1821-9b08-4c39-99da-29d577233d6f" xsi:nil="true"/>
    <Message_x0020_ID xmlns="4b62e893-22f0-4291-b835-e3dda2a89aab" xsi:nil="true"/>
    <Received_x0020_Time xmlns="4b62e893-22f0-4291-b835-e3dda2a89aab" xsi:nil="true"/>
    <From1 xmlns="4b62e893-22f0-4291-b835-e3dda2a89a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71DBBAAFF8F234786F3FE35C2C55285" ma:contentTypeVersion="36" ma:contentTypeDescription="Create a new document." ma:contentTypeScope="" ma:versionID="94cf037de85f23fcc1b7ba337ec3b15e">
  <xsd:schema xmlns:xsd="http://www.w3.org/2001/XMLSchema" xmlns:xs="http://www.w3.org/2001/XMLSchema" xmlns:p="http://schemas.microsoft.com/office/2006/metadata/properties" xmlns:ns1="http://schemas.microsoft.com/sharepoint/v3" xmlns:ns2="812f1821-9b08-4c39-99da-29d577233d6f" xmlns:ns3="4b62e893-22f0-4291-b835-e3dda2a89aab" xmlns:ns4="406d9aec-898d-46cb-bf31-c4360018fedc" xmlns:ns5="http://schemas.microsoft.com/sharepoint/v4" targetNamespace="http://schemas.microsoft.com/office/2006/metadata/properties" ma:root="true" ma:fieldsID="64414e7eefab2bd3d3125ffea51f8a24" ns1:_="" ns2:_="" ns3:_="" ns4:_="" ns5:_="">
    <xsd:import namespace="http://schemas.microsoft.com/sharepoint/v3"/>
    <xsd:import namespace="812f1821-9b08-4c39-99da-29d577233d6f"/>
    <xsd:import namespace="4b62e893-22f0-4291-b835-e3dda2a89aab"/>
    <xsd:import namespace="406d9aec-898d-46cb-bf31-c4360018fedc"/>
    <xsd:import namespace="http://schemas.microsoft.com/sharepoint/v4"/>
    <xsd:element name="properties">
      <xsd:complexType>
        <xsd:sequence>
          <xsd:element name="documentManagement">
            <xsd:complexType>
              <xsd:all>
                <xsd:element ref="ns2:Description0" minOccurs="0"/>
                <xsd:element ref="ns2:Notes" minOccurs="0"/>
                <xsd:element ref="ns3:Original_x0020_Created" minOccurs="0"/>
                <xsd:element ref="ns3:Original_x0020_Modified" minOccurs="0"/>
                <xsd:element ref="ns3:Attach_x0020_Count" minOccurs="0"/>
                <xsd:element ref="ns3:Original_x0020_Author" minOccurs="0"/>
                <xsd:element ref="ns3:Importance" minOccurs="0"/>
                <xsd:element ref="ns3:Message_x0020_ID" minOccurs="0"/>
                <xsd:element ref="ns3:BCC" minOccurs="0"/>
                <xsd:element ref="ns3:CC" minOccurs="0"/>
                <xsd:element ref="ns3:Original_x0020_Producer" minOccurs="0"/>
                <xsd:element ref="ns3:Received_x0020_Time" minOccurs="0"/>
                <xsd:element ref="ns3:Sensitivity" minOccurs="0"/>
                <xsd:element ref="ns3:Sent_x0020_On" minOccurs="0"/>
                <xsd:element ref="ns3:To" minOccurs="0"/>
                <xsd:element ref="ns4:_dlc_DocId" minOccurs="0"/>
                <xsd:element ref="ns4:_dlc_DocIdUrl" minOccurs="0"/>
                <xsd:element ref="ns4:_dlc_DocIdPersistId" minOccurs="0"/>
                <xsd:element ref="ns2:MediaServiceMetadata" minOccurs="0"/>
                <xsd:element ref="ns2:MediaServiceFastMetadata" minOccurs="0"/>
                <xsd:element ref="ns2:MediaServiceAutoKeyPoints" minOccurs="0"/>
                <xsd:element ref="ns2:MediaServiceKeyPoints" minOccurs="0"/>
                <xsd:element ref="ns4:SharedWithUsers" minOccurs="0"/>
                <xsd:element ref="ns4:SharedWithDetails" minOccurs="0"/>
                <xsd:element ref="ns2:MediaServiceDateTaken" minOccurs="0"/>
                <xsd:element ref="ns3:Conversation_x0020_Topic" minOccurs="0"/>
                <xsd:element ref="ns3:From1" minOccurs="0"/>
                <xsd:element ref="ns5:IconOverlay" minOccurs="0"/>
                <xsd:element ref="ns1:_vti_ItemDeclaredRecord" minOccurs="0"/>
                <xsd:element ref="ns1:_vti_ItemHoldRecordStatu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36" nillable="true" ma:displayName="Declared Record" ma:hidden="true" ma:internalName="_vti_ItemDeclaredRecord" ma:readOnly="true">
      <xsd:simpleType>
        <xsd:restriction base="dms:DateTime"/>
      </xsd:simpleType>
    </xsd:element>
    <xsd:element name="_vti_ItemHoldRecordStatus" ma:index="37"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2f1821-9b08-4c39-99da-29d577233d6f" elementFormDefault="qualified">
    <xsd:import namespace="http://schemas.microsoft.com/office/2006/documentManagement/types"/>
    <xsd:import namespace="http://schemas.microsoft.com/office/infopath/2007/PartnerControls"/>
    <xsd:element name="Description0" ma:index="1" nillable="true" ma:displayName="Description" ma:internalName="Description0" ma:readOnly="false">
      <xsd:simpleType>
        <xsd:restriction base="dms:Note">
          <xsd:maxLength value="255"/>
        </xsd:restriction>
      </xsd:simpleType>
    </xsd:element>
    <xsd:element name="Notes" ma:index="2" nillable="true" ma:displayName="BSO notes" ma:format="Dropdown" ma:internalName="Notes" ma:readOnly="false">
      <xsd:simpleType>
        <xsd:restriction base="dms:Note">
          <xsd:maxLength value="255"/>
        </xsd:restriction>
      </xsd:simpleType>
    </xsd:element>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hidden="true" ma:internalName="MediaServiceKeyPoints" ma:readOnly="true">
      <xsd:simpleType>
        <xsd:restriction base="dms:Note"/>
      </xsd:simpleType>
    </xsd:element>
    <xsd:element name="MediaServiceDateTaken" ma:index="28" nillable="true" ma:displayName="MediaServiceDateTaken" ma:hidden="true" ma:internalName="MediaServiceDateTaken" ma:readOnly="true">
      <xsd:simpleType>
        <xsd:restriction base="dms:Text"/>
      </xsd:simpleType>
    </xsd:element>
    <xsd:element name="MediaServiceAutoTags" ma:index="38" nillable="true" ma:displayName="Tags" ma:hidden="true" ma:internalName="MediaServiceAutoTags" ma:readOnly="true">
      <xsd:simpleType>
        <xsd:restriction base="dms:Text"/>
      </xsd:simpleType>
    </xsd:element>
    <xsd:element name="MediaServiceOCR" ma:index="39" nillable="true" ma:displayName="Extracted Text" ma:hidden="true" ma:internalName="MediaServiceOCR" ma:readOnly="true">
      <xsd:simpleType>
        <xsd:restriction base="dms:Note"/>
      </xsd:simpleType>
    </xsd:element>
    <xsd:element name="MediaServiceGenerationTime" ma:index="40" nillable="true" ma:displayName="MediaServiceGenerationTime" ma:hidden="true" ma:internalName="MediaServiceGenerationTime" ma:readOnly="true">
      <xsd:simpleType>
        <xsd:restriction base="dms:Text"/>
      </xsd:simpleType>
    </xsd:element>
    <xsd:element name="MediaServiceEventHashCode" ma:index="41" nillable="true" ma:displayName="MediaServiceEventHashCode" ma:hidden="true" ma:internalName="MediaServiceEventHashCode" ma:readOnly="true">
      <xsd:simpleType>
        <xsd:restriction base="dms:Text"/>
      </xsd:simpleType>
    </xsd:element>
    <xsd:element name="MediaServiceLocation" ma:index="42" nillable="true" ma:displayName="Location" ma:hidden="true" ma:internalName="MediaServiceLocation" ma:readOnly="true">
      <xsd:simpleType>
        <xsd:restriction base="dms:Text"/>
      </xsd:simpleType>
    </xsd:element>
    <xsd:element name="MediaLengthInSeconds" ma:index="4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b62e893-22f0-4291-b835-e3dda2a89aab" elementFormDefault="qualified">
    <xsd:import namespace="http://schemas.microsoft.com/office/2006/documentManagement/types"/>
    <xsd:import namespace="http://schemas.microsoft.com/office/infopath/2007/PartnerControls"/>
    <xsd:element name="Original_x0020_Created" ma:index="3" nillable="true" ma:displayName="Original Created" ma:format="DateTime" ma:hidden="true" ma:internalName="Original_x0020_Created" ma:readOnly="false">
      <xsd:simpleType>
        <xsd:restriction base="dms:DateTime"/>
      </xsd:simpleType>
    </xsd:element>
    <xsd:element name="Original_x0020_Modified" ma:index="4" nillable="true" ma:displayName="Original Modified" ma:format="DateTime" ma:hidden="true" ma:internalName="Original_x0020_Modified" ma:readOnly="false">
      <xsd:simpleType>
        <xsd:restriction base="dms:DateTime"/>
      </xsd:simpleType>
    </xsd:element>
    <xsd:element name="Attach_x0020_Count" ma:index="5" nillable="true" ma:displayName="Attach Count" ma:hidden="true" ma:internalName="Attach_x0020_Count" ma:readOnly="false">
      <xsd:simpleType>
        <xsd:restriction base="dms:Text">
          <xsd:maxLength value="255"/>
        </xsd:restriction>
      </xsd:simpleType>
    </xsd:element>
    <xsd:element name="Original_x0020_Author" ma:index="6" nillable="true" ma:displayName="Original Author" ma:hidden="true" ma:internalName="Original_x0020_Author" ma:readOnly="false">
      <xsd:simpleType>
        <xsd:restriction base="dms:Text">
          <xsd:maxLength value="255"/>
        </xsd:restriction>
      </xsd:simpleType>
    </xsd:element>
    <xsd:element name="Importance" ma:index="7" nillable="true" ma:displayName="Importance" ma:hidden="true" ma:internalName="Importance" ma:readOnly="false">
      <xsd:simpleType>
        <xsd:restriction base="dms:Text">
          <xsd:maxLength value="255"/>
        </xsd:restriction>
      </xsd:simpleType>
    </xsd:element>
    <xsd:element name="Message_x0020_ID" ma:index="8" nillable="true" ma:displayName="Message ID" ma:hidden="true" ma:internalName="Message_x0020_ID" ma:readOnly="false">
      <xsd:simpleType>
        <xsd:restriction base="dms:Text">
          <xsd:maxLength value="255"/>
        </xsd:restriction>
      </xsd:simpleType>
    </xsd:element>
    <xsd:element name="BCC" ma:index="10" nillable="true" ma:displayName="BCC" ma:hidden="true" ma:internalName="BCC" ma:readOnly="false">
      <xsd:simpleType>
        <xsd:restriction base="dms:Text">
          <xsd:maxLength value="255"/>
        </xsd:restriction>
      </xsd:simpleType>
    </xsd:element>
    <xsd:element name="CC" ma:index="11" nillable="true" ma:displayName="CC" ma:hidden="true" ma:internalName="CC" ma:readOnly="false">
      <xsd:simpleType>
        <xsd:restriction base="dms:Text">
          <xsd:maxLength value="255"/>
        </xsd:restriction>
      </xsd:simpleType>
    </xsd:element>
    <xsd:element name="Original_x0020_Producer" ma:index="12" nillable="true" ma:displayName="Original Producer" ma:hidden="true" ma:internalName="Original_x0020_Producer" ma:readOnly="false">
      <xsd:simpleType>
        <xsd:restriction base="dms:Text">
          <xsd:maxLength value="255"/>
        </xsd:restriction>
      </xsd:simpleType>
    </xsd:element>
    <xsd:element name="Received_x0020_Time" ma:index="13" nillable="true" ma:displayName="Received Time" ma:format="DateTime" ma:hidden="true" ma:internalName="Received_x0020_Time" ma:readOnly="false">
      <xsd:simpleType>
        <xsd:restriction base="dms:DateTime"/>
      </xsd:simpleType>
    </xsd:element>
    <xsd:element name="Sensitivity" ma:index="14" nillable="true" ma:displayName="Sensitivity" ma:hidden="true" ma:internalName="Sensitivity" ma:readOnly="false">
      <xsd:simpleType>
        <xsd:restriction base="dms:Text">
          <xsd:maxLength value="255"/>
        </xsd:restriction>
      </xsd:simpleType>
    </xsd:element>
    <xsd:element name="Sent_x0020_On" ma:index="15" nillable="true" ma:displayName="Sent On" ma:format="DateTime" ma:hidden="true" ma:internalName="Sent_x0020_On" ma:readOnly="false">
      <xsd:simpleType>
        <xsd:restriction base="dms:DateTime"/>
      </xsd:simpleType>
    </xsd:element>
    <xsd:element name="To" ma:index="16" nillable="true" ma:displayName="To" ma:hidden="true" ma:internalName="To" ma:readOnly="false">
      <xsd:simpleType>
        <xsd:restriction base="dms:Text">
          <xsd:maxLength value="255"/>
        </xsd:restriction>
      </xsd:simpleType>
    </xsd:element>
    <xsd:element name="Conversation_x0020_Topic" ma:index="33" nillable="true" ma:displayName="Conversation Topic" ma:hidden="true" ma:internalName="Conversation_x0020_Topic" ma:readOnly="false">
      <xsd:simpleType>
        <xsd:restriction base="dms:Text">
          <xsd:maxLength value="255"/>
        </xsd:restriction>
      </xsd:simpleType>
    </xsd:element>
    <xsd:element name="From1" ma:index="34" nillable="true" ma:displayName="From" ma:hidden="true" ma:internalName="From1"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6d9aec-898d-46cb-bf31-c4360018fedc" elementFormDefault="qualified">
    <xsd:import namespace="http://schemas.microsoft.com/office/2006/documentManagement/types"/>
    <xsd:import namespace="http://schemas.microsoft.com/office/infopath/2007/PartnerControls"/>
    <xsd:element name="_dlc_DocId" ma:index="19" nillable="true" ma:displayName="Document ID Value" ma:description="The value of the document ID assigned to this item." ma:hidden="true" ma:internalName="_dlc_DocId" ma:readOnly="false">
      <xsd:simpleType>
        <xsd:restriction base="dms:Text"/>
      </xsd:simpleType>
    </xsd:element>
    <xsd:element name="_dlc_DocIdUrl" ma:index="20"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false">
      <xsd:simpleType>
        <xsd:restriction base="dms:Boolean"/>
      </xsd:simpleType>
    </xsd:element>
    <xsd:element name="SharedWithUsers" ma:index="26"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5" nillable="true" ma:displayName="IconOverlay" ma:hidden="true" ma:internalName="IconOverlay"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D0B0007-26C9-4161-BD56-283966A64BCF}"/>
</file>

<file path=customXml/itemProps2.xml><?xml version="1.0" encoding="utf-8"?>
<ds:datastoreItem xmlns:ds="http://schemas.openxmlformats.org/officeDocument/2006/customXml" ds:itemID="{6BB5CB4D-B55E-4213-87B3-174C5F42303B}"/>
</file>

<file path=customXml/itemProps3.xml><?xml version="1.0" encoding="utf-8"?>
<ds:datastoreItem xmlns:ds="http://schemas.openxmlformats.org/officeDocument/2006/customXml" ds:itemID="{F186CDDA-A8F1-4D1B-9E1D-5FDC00FCBAD8}"/>
</file>

<file path=customXml/itemProps4.xml><?xml version="1.0" encoding="utf-8"?>
<ds:datastoreItem xmlns:ds="http://schemas.openxmlformats.org/officeDocument/2006/customXml" ds:itemID="{BFDE5FEC-87A5-4D2C-B7C1-542CAB2909C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Treble, Karen (A&amp;F, Floreat)</dc:creator>
  <cp:keywords/>
  <dc:description/>
  <cp:lastModifiedBy/>
  <cp:revision/>
  <dcterms:created xsi:type="dcterms:W3CDTF">2020-02-13T22:21:03Z</dcterms:created>
  <dcterms:modified xsi:type="dcterms:W3CDTF">2022-02-15T22:47:48Z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0x010100771DBBAAFF8F234786F3FE35C2C55285</vt:lpwstr>
  </property>
  <property fmtid="{D5CDD505-2E9C-101B-9397-08002B2CF9AE}" pid="3" name="_dlc_DocIdItemGuid">
    <vt:lpwstr>2a6479dc-72c5-418a-afb1-425ea67b4041</vt:lpwstr>
  </property>
</Properties>
</file>